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მიწაბოგირა - ეწერის გზა\"/>
    </mc:Choice>
  </mc:AlternateContent>
  <bookViews>
    <workbookView xWindow="0" yWindow="0" windowWidth="28800" windowHeight="12135"/>
  </bookViews>
  <sheets>
    <sheet name="სააგურედან–ახალდაგებულ გზამდე" sheetId="1" r:id="rId1"/>
  </sheets>
  <definedNames>
    <definedName name="_xlnm.Print_Area" localSheetId="0">'სააგურედან–ახალდაგებულ გზამდე'!$A$1:$M$324</definedName>
    <definedName name="_xlnm.Print_Titles" localSheetId="0">'სააგურედან–ახალდაგებულ გზამდე'!$7:$7</definedName>
  </definedNames>
  <calcPr calcId="152511"/>
</workbook>
</file>

<file path=xl/calcChain.xml><?xml version="1.0" encoding="utf-8"?>
<calcChain xmlns="http://schemas.openxmlformats.org/spreadsheetml/2006/main">
  <c r="F91" i="1" l="1"/>
  <c r="F95" i="1" s="1"/>
  <c r="F110" i="1"/>
  <c r="F114" i="1" s="1"/>
  <c r="F139" i="1"/>
  <c r="F143" i="1" s="1"/>
  <c r="F125" i="1"/>
  <c r="F127" i="1" s="1"/>
  <c r="F41" i="1"/>
  <c r="F47" i="1" s="1"/>
  <c r="E46" i="1"/>
  <c r="E45" i="1"/>
  <c r="E44" i="1"/>
  <c r="E42" i="1"/>
  <c r="E136" i="1"/>
  <c r="F292" i="1"/>
  <c r="F260" i="1"/>
  <c r="F250" i="1"/>
  <c r="F218" i="1"/>
  <c r="F29" i="1"/>
  <c r="F36" i="1" s="1"/>
  <c r="E33" i="1"/>
  <c r="E32" i="1"/>
  <c r="E31" i="1"/>
  <c r="E30" i="1"/>
  <c r="F96" i="1"/>
  <c r="F100" i="1" s="1"/>
  <c r="F130" i="1"/>
  <c r="F137" i="1" s="1"/>
  <c r="F115" i="1"/>
  <c r="F120" i="1" s="1"/>
  <c r="F123" i="1" s="1"/>
  <c r="F69" i="1"/>
  <c r="F74" i="1" s="1"/>
  <c r="F63" i="1"/>
  <c r="F49" i="1"/>
  <c r="E66" i="1"/>
  <c r="E65" i="1"/>
  <c r="E64" i="1"/>
  <c r="E118" i="1"/>
  <c r="E117" i="1"/>
  <c r="E116" i="1"/>
  <c r="F109" i="1"/>
  <c r="F108" i="1"/>
  <c r="E106" i="1"/>
  <c r="F106" i="1" s="1"/>
  <c r="E105" i="1"/>
  <c r="F105" i="1" s="1"/>
  <c r="E93" i="1"/>
  <c r="E92" i="1"/>
  <c r="E82" i="1"/>
  <c r="E80" i="1"/>
  <c r="E79" i="1"/>
  <c r="E78" i="1"/>
  <c r="F77" i="1"/>
  <c r="F210" i="1"/>
  <c r="F211" i="1" s="1"/>
  <c r="F209" i="1"/>
  <c r="E208" i="1"/>
  <c r="F208" i="1" s="1"/>
  <c r="E207" i="1"/>
  <c r="F207" i="1" s="1"/>
  <c r="F206" i="1"/>
  <c r="F204" i="1"/>
  <c r="F203" i="1"/>
  <c r="E202" i="1"/>
  <c r="F202" i="1" s="1"/>
  <c r="F196" i="1"/>
  <c r="F200" i="1" s="1"/>
  <c r="E189" i="1"/>
  <c r="E188" i="1"/>
  <c r="E187" i="1"/>
  <c r="F186" i="1"/>
  <c r="F181" i="1"/>
  <c r="F182" i="1" s="1"/>
  <c r="F180" i="1"/>
  <c r="F179" i="1"/>
  <c r="E177" i="1"/>
  <c r="F177" i="1" s="1"/>
  <c r="E176" i="1"/>
  <c r="F176" i="1" s="1"/>
  <c r="F167" i="1"/>
  <c r="F169" i="1" s="1"/>
  <c r="E164" i="1"/>
  <c r="E163" i="1"/>
  <c r="F162" i="1"/>
  <c r="F166" i="1" s="1"/>
  <c r="E155" i="1"/>
  <c r="E154" i="1"/>
  <c r="E153" i="1"/>
  <c r="E151" i="1"/>
  <c r="E149" i="1"/>
  <c r="E148" i="1"/>
  <c r="E147" i="1"/>
  <c r="F146" i="1"/>
  <c r="E72" i="1"/>
  <c r="E71" i="1"/>
  <c r="E70" i="1"/>
  <c r="E54" i="1"/>
  <c r="E52" i="1"/>
  <c r="E51" i="1"/>
  <c r="E50" i="1"/>
  <c r="F42" i="1" l="1"/>
  <c r="F43" i="1"/>
  <c r="F46" i="1" s="1"/>
  <c r="F150" i="1"/>
  <c r="F152" i="1" s="1"/>
  <c r="F156" i="1" s="1"/>
  <c r="F121" i="1"/>
  <c r="F122" i="1"/>
  <c r="F124" i="1"/>
  <c r="F136" i="1"/>
  <c r="F129" i="1"/>
  <c r="F32" i="1"/>
  <c r="F31" i="1"/>
  <c r="F33" i="1"/>
  <c r="F35" i="1"/>
  <c r="F30" i="1"/>
  <c r="F64" i="1"/>
  <c r="F98" i="1"/>
  <c r="F97" i="1"/>
  <c r="F102" i="1"/>
  <c r="F103" i="1"/>
  <c r="F101" i="1"/>
  <c r="F70" i="1"/>
  <c r="F197" i="1"/>
  <c r="F189" i="1"/>
  <c r="F118" i="1"/>
  <c r="F79" i="1"/>
  <c r="F119" i="1"/>
  <c r="F126" i="1"/>
  <c r="F147" i="1"/>
  <c r="F168" i="1"/>
  <c r="F173" i="1"/>
  <c r="F148" i="1"/>
  <c r="F149" i="1"/>
  <c r="F174" i="1"/>
  <c r="F198" i="1"/>
  <c r="F135" i="1"/>
  <c r="F171" i="1"/>
  <c r="F172" i="1"/>
  <c r="F214" i="1"/>
  <c r="F92" i="1"/>
  <c r="F80" i="1"/>
  <c r="F78" i="1"/>
  <c r="F93" i="1"/>
  <c r="F68" i="1"/>
  <c r="F65" i="1"/>
  <c r="F112" i="1"/>
  <c r="F141" i="1"/>
  <c r="F111" i="1"/>
  <c r="F133" i="1"/>
  <c r="F140" i="1"/>
  <c r="F132" i="1"/>
  <c r="F138" i="1"/>
  <c r="F81" i="1"/>
  <c r="F85" i="1" s="1"/>
  <c r="F116" i="1"/>
  <c r="F117" i="1"/>
  <c r="F131" i="1"/>
  <c r="F183" i="1"/>
  <c r="F163" i="1"/>
  <c r="F164" i="1"/>
  <c r="F212" i="1"/>
  <c r="F185" i="1"/>
  <c r="F190" i="1"/>
  <c r="F187" i="1"/>
  <c r="F188" i="1"/>
  <c r="F53" i="1"/>
  <c r="F58" i="1" s="1"/>
  <c r="F50" i="1"/>
  <c r="F51" i="1"/>
  <c r="F52" i="1"/>
  <c r="F71" i="1"/>
  <c r="F151" i="1" l="1"/>
  <c r="F45" i="1"/>
  <c r="F44" i="1"/>
  <c r="F157" i="1"/>
  <c r="F159" i="1" s="1"/>
  <c r="F83" i="1"/>
  <c r="F84" i="1" s="1"/>
  <c r="F193" i="1"/>
  <c r="F192" i="1"/>
  <c r="F195" i="1"/>
  <c r="F194" i="1"/>
  <c r="F59" i="1"/>
  <c r="F60" i="1"/>
  <c r="F62" i="1"/>
  <c r="F61" i="1"/>
  <c r="F54" i="1"/>
  <c r="F55" i="1"/>
  <c r="F86" i="1"/>
  <c r="F82" i="1"/>
  <c r="F153" i="1"/>
  <c r="F155" i="1"/>
  <c r="F154" i="1"/>
  <c r="F160" i="1" l="1"/>
  <c r="F161" i="1"/>
  <c r="F158" i="1"/>
  <c r="F57" i="1"/>
  <c r="F56" i="1"/>
  <c r="F88" i="1"/>
  <c r="F90" i="1"/>
  <c r="F87" i="1"/>
  <c r="F89" i="1"/>
  <c r="F26" i="1" l="1"/>
  <c r="F237" i="1" l="1"/>
  <c r="F266" i="1" l="1"/>
  <c r="F224" i="1"/>
  <c r="F299" i="1" l="1"/>
  <c r="F298" i="1" l="1"/>
  <c r="F295" i="1"/>
  <c r="F294" i="1"/>
  <c r="F293" i="1"/>
  <c r="F296" i="1"/>
  <c r="E291" i="1" l="1"/>
  <c r="E249" i="1"/>
  <c r="E19" i="1" l="1"/>
  <c r="F279" i="1"/>
  <c r="E290" i="1" l="1"/>
  <c r="E248" i="1"/>
  <c r="F248" i="1" s="1"/>
  <c r="E245" i="1"/>
  <c r="E244" i="1"/>
  <c r="E243" i="1"/>
  <c r="E242" i="1"/>
  <c r="E284" i="1"/>
  <c r="F277" i="1"/>
  <c r="E277" i="1"/>
  <c r="E278" i="1"/>
  <c r="E275" i="1"/>
  <c r="E274" i="1"/>
  <c r="E273" i="1"/>
  <c r="E272" i="1"/>
  <c r="E271" i="1"/>
  <c r="E270" i="1"/>
  <c r="E269" i="1"/>
  <c r="F235" i="1"/>
  <c r="F249" i="1"/>
  <c r="F246" i="1"/>
  <c r="E233" i="1"/>
  <c r="E232" i="1"/>
  <c r="E231" i="1"/>
  <c r="E229" i="1"/>
  <c r="E228" i="1"/>
  <c r="E227" i="1"/>
  <c r="F10" i="1" l="1"/>
  <c r="E18" i="1"/>
  <c r="E17" i="1"/>
  <c r="E16" i="1"/>
  <c r="E14" i="1"/>
  <c r="F14" i="1" s="1"/>
  <c r="F264" i="1" l="1"/>
  <c r="E222" i="1"/>
  <c r="E221" i="1"/>
  <c r="E220" i="1"/>
  <c r="E219" i="1"/>
  <c r="F221" i="1" l="1"/>
  <c r="F219" i="1"/>
  <c r="F225" i="1"/>
  <c r="F222" i="1"/>
  <c r="F220" i="1"/>
  <c r="F263" i="1"/>
  <c r="F262" i="1"/>
  <c r="F261" i="1"/>
  <c r="F267" i="1"/>
  <c r="F291" i="1" l="1"/>
  <c r="F290" i="1"/>
  <c r="F288" i="1"/>
  <c r="E285" i="1"/>
  <c r="F285" i="1" s="1"/>
  <c r="E287" i="1"/>
  <c r="F287" i="1" s="1"/>
  <c r="E286" i="1"/>
  <c r="F286" i="1" s="1"/>
  <c r="F284" i="1"/>
  <c r="F282" i="1"/>
  <c r="F278" i="1"/>
  <c r="F275" i="1"/>
  <c r="F274" i="1"/>
  <c r="F273" i="1"/>
  <c r="F272" i="1"/>
  <c r="F271" i="1"/>
  <c r="F270" i="1"/>
  <c r="F269" i="1"/>
  <c r="F240" i="1"/>
  <c r="F252" i="1" l="1"/>
  <c r="F257" i="1"/>
  <c r="F251" i="1"/>
  <c r="F254" i="1"/>
  <c r="F253" i="1"/>
  <c r="F280" i="1"/>
  <c r="F245" i="1"/>
  <c r="F244" i="1"/>
  <c r="F243" i="1"/>
  <c r="F242" i="1"/>
  <c r="F238" i="1" l="1"/>
  <c r="E28" i="1" l="1"/>
  <c r="F28" i="1" s="1"/>
  <c r="E27" i="1"/>
  <c r="F27" i="1" s="1"/>
  <c r="E236" i="1" l="1"/>
  <c r="F236" i="1" s="1"/>
  <c r="F233" i="1"/>
  <c r="F232" i="1"/>
  <c r="F231" i="1"/>
  <c r="E230" i="1"/>
  <c r="F230" i="1" s="1"/>
  <c r="F229" i="1"/>
  <c r="F228" i="1"/>
  <c r="F227" i="1"/>
  <c r="F256" i="1" l="1"/>
  <c r="F15" i="1"/>
  <c r="F21" i="1" s="1"/>
  <c r="F25" i="1" l="1"/>
  <c r="F23" i="1"/>
  <c r="F24" i="1"/>
  <c r="F22" i="1"/>
  <c r="F19" i="1"/>
  <c r="F20" i="1"/>
  <c r="F18" i="1"/>
  <c r="F16" i="1"/>
  <c r="F17" i="1"/>
</calcChain>
</file>

<file path=xl/sharedStrings.xml><?xml version="1.0" encoding="utf-8"?>
<sst xmlns="http://schemas.openxmlformats.org/spreadsheetml/2006/main" count="678" uniqueCount="191">
  <si>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</si>
  <si>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</si>
  <si>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</si>
  <si>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</si>
  <si>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</si>
  <si>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</si>
  <si>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</si>
  <si>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</si>
  <si>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</si>
  <si>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</si>
  <si>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</si>
  <si>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</si>
  <si>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</si>
  <si>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</si>
  <si>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</si>
  <si>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</si>
  <si>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</si>
  <si>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</si>
  <si>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</si>
  <si>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</si>
  <si>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</si>
  <si>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</si>
  <si>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</si>
  <si>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</si>
  <si>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</si>
  <si>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</si>
  <si>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</si>
  <si>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</si>
  <si>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</si>
  <si>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</si>
  <si>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</si>
  <si>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</si>
  <si>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</si>
  <si>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</si>
  <si>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</si>
  <si>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</si>
  <si>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</si>
  <si>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</si>
  <si>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</si>
  <si>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</si>
  <si>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</si>
  <si>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</si>
  <si>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</si>
  <si>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</si>
  <si>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</si>
  <si>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</si>
  <si>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</si>
  <si>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</si>
  <si>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</si>
  <si>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</si>
  <si>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</si>
  <si>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</si>
  <si>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</si>
  <si>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</si>
  <si>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 xml:space="preserve">27-7-2 </t>
  </si>
  <si>
    <t xml:space="preserve">საგზაო სამოსის მოწყობა
მიერთებებზე 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</si>
  <si>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</si>
  <si>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</si>
  <si>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</si>
  <si>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</si>
  <si>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</si>
  <si>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</si>
  <si>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</si>
  <si>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</si>
  <si>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</si>
  <si>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</si>
  <si>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</si>
  <si>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</si>
  <si>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</si>
  <si>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</si>
  <si>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</si>
  <si>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</si>
  <si>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</si>
  <si>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</si>
  <si>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ასფალტობეტონი წვრილმარცვლოვაბი</t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</si>
  <si>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</si>
  <si>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</si>
  <si>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</si>
  <si>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t>27-39-1;2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</si>
  <si>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</si>
  <si>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</si>
  <si>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</si>
  <si>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</si>
  <si>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</si>
  <si>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</si>
  <si>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გვ136. პოზ146</t>
  </si>
  <si>
    <t>ბულდოზერი 108 ცხ. ძ.</t>
  </si>
  <si>
    <t>მ/სთ</t>
  </si>
  <si>
    <t>ღორღი ფრ (0-40 მმ)</t>
  </si>
  <si>
    <t>თავი 3. ხელოვნური ნაგებობები</t>
  </si>
  <si>
    <t>არსებული ამორტიზირებული აზბოცემენტის მილების დემონტაჟი</t>
  </si>
  <si>
    <t>1-23-6</t>
  </si>
  <si>
    <t xml:space="preserve">ქვაბულის დამუშავება ექსკავატორით ჩამჩის მოცულობით 
0,25 მ3 და დატვირთვა ა/თვითმცლელებზე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</si>
  <si>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3</t>
    </r>
  </si>
  <si>
    <r>
      <rPr>
        <sz val="12"/>
        <color indexed="8"/>
        <rFont val="Sylfaen"/>
        <family val="1"/>
        <charset val="204"/>
      </rPr>
      <t xml:space="preserve">ექსკავატორი ჩამჩის 
</t>
    </r>
    <r>
      <rPr>
        <sz val="12"/>
        <color indexed="8"/>
        <rFont val="Sylfaen"/>
        <family val="1"/>
        <charset val="204"/>
      </rPr>
      <t>მოცულობით 0,25მ</t>
    </r>
    <r>
      <rPr>
        <vertAlign val="superscript"/>
        <sz val="12"/>
        <color indexed="8"/>
        <rFont val="Sylfaen"/>
        <family val="1"/>
        <charset val="204"/>
      </rPr>
      <t>3</t>
    </r>
  </si>
  <si>
    <t>1-80-2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</si>
  <si>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</si>
  <si>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 xml:space="preserve">ზედმეტი გრუნტის დატვირთვა 
ექსკავატორის საშუალებით </t>
  </si>
  <si>
    <t>30-44-12</t>
  </si>
  <si>
    <r>
      <rPr>
        <sz val="12"/>
        <color indexed="8"/>
        <rFont val="AcadNusx"/>
      </rPr>
      <t>მ</t>
    </r>
    <r>
      <rPr>
        <vertAlign val="superscript"/>
        <sz val="12"/>
        <color indexed="8"/>
        <rFont val="AcadNusx"/>
      </rPr>
      <t>3</t>
    </r>
  </si>
  <si>
    <t>ამწე პნევმო სვლაზე 16ტ</t>
  </si>
  <si>
    <t>ამოღებული მილების განატანა ნაყარში 5კმ-ზე</t>
  </si>
  <si>
    <r>
      <t xml:space="preserve">გზის გადამკვეთი </t>
    </r>
    <r>
      <rPr>
        <b/>
        <sz val="12"/>
        <color theme="1"/>
        <rFont val="Arial"/>
        <family val="2"/>
        <charset val="204"/>
      </rPr>
      <t>d</t>
    </r>
    <r>
      <rPr>
        <b/>
        <sz val="12"/>
        <color theme="1"/>
        <rFont val="AcadNusx"/>
      </rPr>
      <t>=530მმ ლითონის მილების მოწყობა</t>
    </r>
  </si>
  <si>
    <r>
      <rPr>
        <sz val="12"/>
        <color theme="1"/>
        <rFont val="AcadNusx"/>
      </rPr>
      <t>m</t>
    </r>
    <r>
      <rPr>
        <vertAlign val="superscript"/>
        <sz val="12"/>
        <color theme="1"/>
        <rFont val="AcadNusx"/>
      </rPr>
      <t>3</t>
    </r>
  </si>
  <si>
    <r>
      <t>ექსკავატორი ჩამჩის 
მოცულობით 0,25მ</t>
    </r>
    <r>
      <rPr>
        <vertAlign val="superscript"/>
        <sz val="12"/>
        <color theme="1"/>
        <rFont val="Sylfaen"/>
        <family val="1"/>
        <charset val="204"/>
      </rPr>
      <t>3</t>
    </r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</si>
  <si>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</si>
  <si>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t>ზედმეტი გრუნტის გატანა ნაყარში 5კმ-ზე</t>
  </si>
  <si>
    <t>30-3-2</t>
  </si>
  <si>
    <t>ქვიშა ხრეშოვანი ნარევით
 (ტკეპნის კოეფიციენტის გათვალისწინებით K=1,1)</t>
  </si>
  <si>
    <t>22-11-11</t>
  </si>
  <si>
    <t>წასაცხები ჰიდროიზოლაცის მოწყობა (ბიტუმ პოლიმერული მასტიკა) 2 ფენა</t>
  </si>
  <si>
    <t>ბიტუმ პოლიმერული მასტიკა</t>
  </si>
  <si>
    <t>მინბამბა</t>
  </si>
  <si>
    <r>
      <t>მ</t>
    </r>
    <r>
      <rPr>
        <vertAlign val="superscript"/>
        <sz val="12"/>
        <rFont val="Sylfaen"/>
        <family val="1"/>
      </rPr>
      <t>2</t>
    </r>
  </si>
  <si>
    <t>ქაღალდი შესაფუთი</t>
  </si>
  <si>
    <t>22-5-11</t>
  </si>
  <si>
    <t>ლითონის მილის d-530 მმ. 
კედლის სისქით 6,0მმ. ჩადება ტრანშეაში</t>
  </si>
  <si>
    <t>გრძ/მ</t>
  </si>
  <si>
    <t>ფოლადის მილი d=530მმ</t>
  </si>
  <si>
    <t>პროექტით</t>
  </si>
  <si>
    <t>მონოლითური ბეტონის პორტალური კედლების მოსაწყობად ქვაბულის დამუშავება ექსკავატორით და დატვირთვა ა/თვითმცლელებზე</t>
  </si>
  <si>
    <r>
      <rPr>
        <sz val="12"/>
        <color theme="1"/>
        <rFont val="AcadNusx"/>
      </rPr>
      <t xml:space="preserve">ქვიშა ხრეშოვანი ნარევით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</si>
  <si>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 xml:space="preserve">30-8-3 </t>
  </si>
  <si>
    <t>ამწე მუხლუხა სვლაზე 16ტ</t>
  </si>
  <si>
    <t>ბეტონი B-22,5 F200 W6</t>
  </si>
  <si>
    <t>ცემენტის ხსნარი</t>
  </si>
  <si>
    <t>ხის მასალა</t>
  </si>
  <si>
    <r>
      <t xml:space="preserve">გზის გადამკვეთი </t>
    </r>
    <r>
      <rPr>
        <b/>
        <sz val="12"/>
        <rFont val="Arial"/>
        <family val="2"/>
        <charset val="204"/>
      </rPr>
      <t>d</t>
    </r>
    <r>
      <rPr>
        <b/>
        <sz val="12"/>
        <rFont val="AcadNusx"/>
      </rPr>
      <t>=1000მმ ლითონის მილების მოწყობა</t>
    </r>
  </si>
  <si>
    <r>
      <t>m</t>
    </r>
    <r>
      <rPr>
        <vertAlign val="superscript"/>
        <sz val="12"/>
        <color indexed="8"/>
        <rFont val="AcadNusx"/>
      </rPr>
      <t>3</t>
    </r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</si>
  <si>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</si>
  <si>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>kac/sT</t>
  </si>
  <si>
    <t>lari</t>
  </si>
  <si>
    <t>ლითონის მილის d-1000 მმ. 
კედლის სისქით 6,0მმ. ჩადება ტრანშეაში</t>
  </si>
  <si>
    <t>ფოლადის მილი d=1000მმ</t>
  </si>
  <si>
    <t>sxva manqanebi</t>
  </si>
  <si>
    <t>Sromis danaxarji</t>
  </si>
  <si>
    <t>materialuri resursebi</t>
  </si>
  <si>
    <t>amwe muxluxa svlaze tvirTamweobiT 16 tn-mde</t>
  </si>
  <si>
    <t>man/sT</t>
  </si>
  <si>
    <t>xis masala</t>
  </si>
  <si>
    <t>sxva masalebi</t>
  </si>
  <si>
    <t>jami:</t>
  </si>
  <si>
    <r>
      <t xml:space="preserve">ამორტიზირებული აზბოცემენტის  მილების დემონტაჟი </t>
    </r>
    <r>
      <rPr>
        <b/>
        <sz val="12"/>
        <color indexed="8"/>
        <rFont val="Arial"/>
        <family val="2"/>
        <charset val="204"/>
      </rPr>
      <t>d-500მმ</t>
    </r>
  </si>
  <si>
    <r>
      <t xml:space="preserve">ამორტიზირებული აზბოცემენტის  მილების დემონტაჟი </t>
    </r>
    <r>
      <rPr>
        <b/>
        <sz val="12"/>
        <color indexed="8"/>
        <rFont val="Arial"/>
        <family val="2"/>
        <charset val="204"/>
      </rPr>
      <t>d-1000მმ</t>
    </r>
  </si>
  <si>
    <r>
      <t xml:space="preserve">პორტალური კედლის მოწყობა </t>
    </r>
    <r>
      <rPr>
        <b/>
        <sz val="12"/>
        <color indexed="8"/>
        <rFont val="Arial"/>
        <family val="2"/>
        <charset val="204"/>
      </rPr>
      <t>B-22,5</t>
    </r>
    <r>
      <rPr>
        <b/>
        <sz val="12"/>
        <color indexed="8"/>
        <rFont val="AcadNusx"/>
      </rPr>
      <t xml:space="preserve"> კლასის მონოლითური ბეტონით (ფუნდამენტი, ტანი, პარაპეტი)</t>
    </r>
  </si>
  <si>
    <r>
      <t xml:space="preserve">პორტალური კედლის მოწყობა </t>
    </r>
    <r>
      <rPr>
        <b/>
        <sz val="12"/>
        <color theme="1"/>
        <rFont val="Arial"/>
        <family val="2"/>
        <charset val="204"/>
      </rPr>
      <t xml:space="preserve">B-22,5 F200 W6 </t>
    </r>
    <r>
      <rPr>
        <b/>
        <sz val="12"/>
        <color theme="1"/>
        <rFont val="AcadNusx"/>
      </rPr>
      <t>კლასის მონოლითური ბეტონით (ფუნდამენტი, ტანი, პარაპეტი)</t>
    </r>
  </si>
  <si>
    <t>თავი 4, საგზაო სამოსი</t>
  </si>
  <si>
    <t>სულ თავი 1-4-ის მიხედვით</t>
  </si>
  <si>
    <t>გვ133. პოზ67</t>
  </si>
  <si>
    <t>გვ135. პოზ126</t>
  </si>
  <si>
    <t>გვ135. პოზ125</t>
  </si>
  <si>
    <t>სრფ-2019. 
II კვ. გვ142</t>
  </si>
  <si>
    <t>გვ133. პოზ51</t>
  </si>
  <si>
    <t>სრფ-2019. 
II კვ. გვ39 პოზ532</t>
  </si>
  <si>
    <t>სრფ-2019. 
II კვ. გვ38 პოზ468</t>
  </si>
  <si>
    <t>სრფ-2019. 
II კვ. გვ13 პოზ.24</t>
  </si>
  <si>
    <t>სრფ-2019. 
II კვ. გვ44 პოზ88</t>
  </si>
  <si>
    <t>სრფ-2019. 
II კვ. გვ12 პოზ81</t>
  </si>
  <si>
    <t>ასფალტობეტონი წვრილმარცვლოვანი</t>
  </si>
  <si>
    <t xml:space="preserve">
სამტრედიის მუნიციპალიტეტის მელაურის თემის სოფ. მიწაბოგირაში ყოფილი 
კოლმ. შენობიდან სააგურეს მიმართულებით სოფ. ეწერის ახალდაგებულ გზამდე გზის რეაბილიტაციის 
სამუშაოების საპროექტო-სახარჯთაღრიცხვო დოკუმენტაცია
</t>
  </si>
  <si>
    <t>kvleva-Ziebis krebuli გვ. 557 ცხრ-17</t>
  </si>
  <si>
    <t>22-11-16</t>
  </si>
  <si>
    <t>არსებული მილიების გაწმენდა</t>
  </si>
  <si>
    <t>გრუნტის დამუშავება ხელით 
მექანიზიმის მიუდგომელ ადგილებში</t>
  </si>
  <si>
    <t xml:space="preserve">გრუნტის დამუშავება ხელით 
მექანიზიმის მიუდგომელ ადგილებში </t>
  </si>
  <si>
    <t xml:space="preserve">არსებული მილების გაწმენდა ხელით </t>
  </si>
  <si>
    <t xml:space="preserve">გაწმენდილი მასის დატვირთვა 
ექსკავატორის საშუალებით </t>
  </si>
  <si>
    <t>გაწმენდილი მასის გატანა ნაყარში 5კმ-ზე</t>
  </si>
  <si>
    <t xml:space="preserve">ქვაბულის დამუშავება ექსკავატორით ჩამჩის მოცულობით 0,25 მ3 და დატვირთვა ა/თვითმცლელებზე </t>
  </si>
  <si>
    <t>სულ თავი 4-ის მიხედვით</t>
  </si>
  <si>
    <r>
      <t xml:space="preserve">betoni </t>
    </r>
    <r>
      <rPr>
        <sz val="11"/>
        <rFont val="Arial"/>
        <family val="2"/>
      </rPr>
      <t>B-22.5</t>
    </r>
  </si>
  <si>
    <r>
      <t>მ</t>
    </r>
    <r>
      <rPr>
        <vertAlign val="superscript"/>
        <sz val="11"/>
        <rFont val="Sylfaen"/>
        <family val="1"/>
        <charset val="204"/>
      </rPr>
      <t>3</t>
    </r>
  </si>
  <si>
    <t>k/sT</t>
  </si>
  <si>
    <t xml:space="preserve">გრუნტის დატვირთვა ხელით ა/თვითმცლელზე
</t>
  </si>
  <si>
    <t>ვზერ 88--1-3</t>
  </si>
  <si>
    <t>ინსპექტირების შედეგად დაკორექტირებული ხარჯთაღრიცხვა</t>
  </si>
  <si>
    <r>
      <rPr>
        <sz val="12"/>
        <color theme="1"/>
        <rFont val="AcadNusx"/>
      </rPr>
      <t xml:space="preserve">ქვიშა ხრეშოვანი ნარევი (ტკეპნის კოეფიციენტი </t>
    </r>
    <r>
      <rPr>
        <sz val="12"/>
        <color theme="1"/>
        <rFont val="Arial"/>
        <family val="2"/>
        <charset val="204"/>
      </rPr>
      <t>K=1,1)</t>
    </r>
  </si>
  <si>
    <t xml:space="preserve">საგზაო სამოსის კონსტრუქციის მოსაწყობად ყრილის მოწყობა  ქვიშა ხრეშოვანი ნარევით სისქით </t>
  </si>
  <si>
    <t xml:space="preserve">ქვესაგები ფენის მოწყობა ქვიშა–ხრეშოვანი ნარევით                 სისქით 10 სმ </t>
  </si>
  <si>
    <t xml:space="preserve">ტრანშეის შევსება ქვიშა–ხრეშოვანი ნარევით </t>
  </si>
  <si>
    <t>ქვიშა ხრეშოვანი ნარევით</t>
  </si>
  <si>
    <t xml:space="preserve">პორტალური კედლების  უბეების შევსება ქვიშა–ხრეშოვანი ნარევით </t>
  </si>
  <si>
    <t xml:space="preserve">ქვესაგები ფენის მოწყობა ქვიშა–ხრეშოვანი ნარევით სისქით 10 სმ </t>
  </si>
  <si>
    <t>პორტალური კედლების  უბეების შევსება ქვიშა–ხრეშოვანი ნარევით</t>
  </si>
  <si>
    <t>საფუძვლის შემასწორებელი ფენის მოწყობა  ქვიშა ხრეშოვანი ნარევით სისქით  hსაშ12სმ</t>
  </si>
  <si>
    <t xml:space="preserve">მისაყრელი გვერდულების მოწყობა ქვიშა ხრეშით  </t>
  </si>
  <si>
    <t xml:space="preserve">საფუძვლის ქვედა ფენა  ქვიშა ხრეშოვანი ნარევით სისქით  12სმ </t>
  </si>
  <si>
    <t>მასალების ტრანსპორტირება არაუმეტეს</t>
  </si>
  <si>
    <t>ზედნადები ხარჯები არაუმეტეს</t>
  </si>
  <si>
    <t xml:space="preserve">გეგმიური მოგება არაუმეტეს 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</si>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</sst>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  <numFmt numFmtId="171" formatCode="#,##0.0000_);[Red]\(#,##0.0000\)"/>
    <numFmt numFmtId="172" formatCode="#,##0.0000_ ;[Red]\-#,##0.0000\ "/>
    <numFmt numFmtId="173" formatCode="#,##0.000_);[Red]\(#,##0.000\)"/>
    <numFmt numFmtId="174" formatCode="#,##0.000000000"/>
    <numFmt numFmtId="175" formatCode="#,##0.000"/>
    <numFmt numFmtId="176" formatCode="#,##0.0000000000"/>
    <numFmt numFmtId="177" formatCode="#,##0.000_ ;[Red]\-#,##0.000\ "/>
    <numFmt numFmtId="178" formatCode="#,##0.0_);[Red]\(#,##0.0\)"/>
  </numFmts>
  <fonts count="67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sz val="11"/>
      <color indexed="8"/>
      <name val="Calibri"/>
    </font>
    <font>
      <vertAlign val="superscript"/>
      <sz val="12"/>
      <color indexed="8"/>
      <name val="Sylfae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sz val="12"/>
      <color theme="1"/>
      <name val="AcadNusx"/>
    </font>
    <font>
      <vertAlign val="superscript"/>
      <sz val="12"/>
      <color theme="1"/>
      <name val="AcadNusx"/>
    </font>
    <font>
      <vertAlign val="superscript"/>
      <sz val="12"/>
      <color theme="1"/>
      <name val="Sylfaen"/>
      <family val="1"/>
      <charset val="204"/>
    </font>
    <font>
      <b/>
      <sz val="11"/>
      <color theme="1"/>
      <name val="AcadNusx"/>
    </font>
    <font>
      <sz val="12"/>
      <color theme="1"/>
      <name val="Calibri"/>
      <family val="2"/>
      <charset val="204"/>
    </font>
    <font>
      <vertAlign val="superscript"/>
      <sz val="12"/>
      <name val="Sylfaen"/>
      <family val="1"/>
    </font>
    <font>
      <b/>
      <sz val="10"/>
      <color theme="1"/>
      <name val="Sylfaen"/>
      <family val="1"/>
      <charset val="204"/>
    </font>
    <font>
      <b/>
      <sz val="11"/>
      <name val="AcadNusx"/>
    </font>
    <font>
      <sz val="12"/>
      <name val="Arial"/>
      <family val="2"/>
      <charset val="204"/>
    </font>
    <font>
      <sz val="11"/>
      <name val="Arial"/>
      <family val="2"/>
    </font>
    <font>
      <b/>
      <sz val="12"/>
      <color theme="1"/>
      <name val="Sylfaen"/>
      <family val="1"/>
    </font>
    <font>
      <b/>
      <sz val="12"/>
      <name val="Arial Cy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name val="Sylfaen"/>
      <family val="1"/>
      <charset val="204"/>
    </font>
    <font>
      <sz val="11"/>
      <name val="AcadNusx"/>
    </font>
    <font>
      <sz val="11"/>
      <name val="Sylfaen"/>
      <family val="1"/>
      <charset val="204"/>
    </font>
    <font>
      <b/>
      <sz val="11"/>
      <color theme="1"/>
      <name val="Sylfaen"/>
      <family val="1"/>
      <charset val="204"/>
    </font>
    <font>
      <vertAlign val="superscript"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11" fillId="0" borderId="6"/>
    <xf numFmtId="0" fontId="13" fillId="0" borderId="6"/>
    <xf numFmtId="0" fontId="20" fillId="0" borderId="6"/>
    <xf numFmtId="43" fontId="38" fillId="0" borderId="0" applyFont="0" applyFill="0" applyBorder="0" applyAlignment="0" applyProtection="0"/>
    <xf numFmtId="0" fontId="20" fillId="0" borderId="6"/>
  </cellStyleXfs>
  <cellXfs count="358">
    <xf numFmtId="0" fontId="0" fillId="0" borderId="0" xfId="0" applyFont="1" applyAlignment="1"/>
    <xf numFmtId="166" fontId="26" fillId="0" borderId="7" xfId="0" applyNumberFormat="1" applyFont="1" applyFill="1" applyBorder="1" applyAlignment="1">
      <alignment horizontal="right" vertical="center"/>
    </xf>
    <xf numFmtId="164" fontId="26" fillId="0" borderId="7" xfId="0" applyNumberFormat="1" applyFont="1" applyFill="1" applyBorder="1" applyAlignment="1">
      <alignment horizontal="right" vertical="center"/>
    </xf>
    <xf numFmtId="168" fontId="24" fillId="0" borderId="13" xfId="2" applyNumberFormat="1" applyFont="1" applyFill="1" applyBorder="1" applyAlignment="1">
      <alignment horizontal="right" vertical="center"/>
    </xf>
    <xf numFmtId="168" fontId="14" fillId="0" borderId="13" xfId="2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40" fontId="14" fillId="0" borderId="13" xfId="5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2" fillId="0" borderId="6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left" vertical="center"/>
    </xf>
    <xf numFmtId="49" fontId="26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/>
    <xf numFmtId="164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vertical="center"/>
    </xf>
    <xf numFmtId="170" fontId="2" fillId="0" borderId="7" xfId="0" applyNumberFormat="1" applyFont="1" applyFill="1" applyBorder="1" applyAlignment="1">
      <alignment horizontal="center" vertical="center"/>
    </xf>
    <xf numFmtId="167" fontId="26" fillId="0" borderId="7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0" fontId="13" fillId="0" borderId="13" xfId="2" applyFill="1" applyBorder="1" applyAlignment="1">
      <alignment horizontal="center" vertical="center"/>
    </xf>
    <xf numFmtId="170" fontId="2" fillId="0" borderId="1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vertical="center" wrapText="1"/>
    </xf>
    <xf numFmtId="0" fontId="24" fillId="0" borderId="13" xfId="2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4" fillId="0" borderId="13" xfId="5" applyFont="1" applyFill="1" applyBorder="1" applyAlignment="1">
      <alignment horizontal="center" vertical="center"/>
    </xf>
    <xf numFmtId="40" fontId="13" fillId="0" borderId="13" xfId="0" applyNumberFormat="1" applyFont="1" applyFill="1" applyBorder="1" applyAlignment="1">
      <alignment horizontal="right"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40" fontId="13" fillId="0" borderId="13" xfId="5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vertical="center" wrapText="1"/>
    </xf>
    <xf numFmtId="49" fontId="26" fillId="0" borderId="14" xfId="0" applyNumberFormat="1" applyFont="1" applyFill="1" applyBorder="1" applyAlignment="1">
      <alignment vertical="center"/>
    </xf>
    <xf numFmtId="2" fontId="0" fillId="0" borderId="7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left" vertical="center" wrapText="1"/>
    </xf>
    <xf numFmtId="168" fontId="13" fillId="0" borderId="13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8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3" fillId="0" borderId="13" xfId="2" applyFill="1" applyBorder="1" applyAlignment="1">
      <alignment horizontal="left" vertical="center"/>
    </xf>
    <xf numFmtId="170" fontId="13" fillId="0" borderId="13" xfId="2" applyNumberFormat="1" applyFill="1" applyBorder="1" applyAlignment="1">
      <alignment horizontal="center" vertical="center"/>
    </xf>
    <xf numFmtId="0" fontId="21" fillId="0" borderId="13" xfId="3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 wrapText="1"/>
    </xf>
    <xf numFmtId="0" fontId="13" fillId="0" borderId="13" xfId="2" applyFill="1" applyBorder="1" applyAlignment="1">
      <alignment vertical="center" wrapText="1"/>
    </xf>
    <xf numFmtId="0" fontId="13" fillId="0" borderId="13" xfId="2" applyFill="1" applyBorder="1"/>
    <xf numFmtId="167" fontId="13" fillId="0" borderId="13" xfId="2" applyNumberForma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wrapText="1"/>
    </xf>
    <xf numFmtId="49" fontId="0" fillId="0" borderId="14" xfId="0" applyNumberFormat="1" applyFont="1" applyFill="1" applyBorder="1" applyAlignment="1">
      <alignment horizontal="center" vertical="center" wrapText="1"/>
    </xf>
    <xf numFmtId="164" fontId="26" fillId="0" borderId="15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/>
    <xf numFmtId="49" fontId="26" fillId="0" borderId="15" xfId="0" applyNumberFormat="1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vertical="center" wrapText="1"/>
    </xf>
    <xf numFmtId="0" fontId="13" fillId="0" borderId="6" xfId="2" applyFill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3" fillId="0" borderId="6" xfId="2" applyFill="1" applyAlignment="1">
      <alignment horizont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15" fillId="0" borderId="13" xfId="2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0" fillId="0" borderId="1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/>
    </xf>
    <xf numFmtId="0" fontId="19" fillId="0" borderId="13" xfId="1" applyFont="1" applyFill="1" applyBorder="1" applyAlignment="1">
      <alignment horizontal="center" vertical="center" wrapText="1"/>
    </xf>
    <xf numFmtId="167" fontId="12" fillId="0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 wrapText="1"/>
    </xf>
    <xf numFmtId="0" fontId="22" fillId="0" borderId="6" xfId="1" applyFont="1" applyFill="1"/>
    <xf numFmtId="49" fontId="1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0" borderId="13" xfId="2" applyFill="1" applyBorder="1" applyAlignment="1">
      <alignment vertical="center"/>
    </xf>
    <xf numFmtId="172" fontId="13" fillId="0" borderId="13" xfId="2" applyNumberFormat="1" applyFill="1" applyBorder="1" applyAlignment="1">
      <alignment horizontal="center" vertical="center"/>
    </xf>
    <xf numFmtId="0" fontId="13" fillId="0" borderId="6" xfId="2" applyFill="1"/>
    <xf numFmtId="0" fontId="53" fillId="0" borderId="13" xfId="0" applyNumberFormat="1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vertical="center" wrapText="1"/>
    </xf>
    <xf numFmtId="49" fontId="19" fillId="0" borderId="13" xfId="3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42" fillId="0" borderId="13" xfId="0" applyNumberFormat="1" applyFont="1" applyFill="1" applyBorder="1" applyAlignment="1">
      <alignment horizontal="center" vertical="center"/>
    </xf>
    <xf numFmtId="0" fontId="45" fillId="0" borderId="13" xfId="2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left" vertical="center" wrapText="1"/>
    </xf>
    <xf numFmtId="171" fontId="13" fillId="0" borderId="13" xfId="2" applyNumberFormat="1" applyFill="1" applyBorder="1" applyAlignment="1">
      <alignment horizontal="center" vertical="center"/>
    </xf>
    <xf numFmtId="40" fontId="13" fillId="0" borderId="13" xfId="2" applyNumberFormat="1" applyFill="1" applyBorder="1" applyAlignment="1">
      <alignment horizontal="right" vertical="center"/>
    </xf>
    <xf numFmtId="0" fontId="41" fillId="0" borderId="1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vertical="center" wrapText="1"/>
    </xf>
    <xf numFmtId="49" fontId="36" fillId="0" borderId="13" xfId="0" applyNumberFormat="1" applyFont="1" applyFill="1" applyBorder="1" applyAlignment="1">
      <alignment vertical="center"/>
    </xf>
    <xf numFmtId="49" fontId="36" fillId="0" borderId="13" xfId="0" applyNumberFormat="1" applyFont="1" applyFill="1" applyBorder="1" applyAlignment="1">
      <alignment horizontal="center" vertical="center"/>
    </xf>
    <xf numFmtId="40" fontId="13" fillId="0" borderId="13" xfId="2" applyNumberFormat="1" applyFill="1" applyBorder="1" applyAlignment="1">
      <alignment horizontal="center" vertical="center"/>
    </xf>
    <xf numFmtId="49" fontId="36" fillId="0" borderId="13" xfId="0" applyNumberFormat="1" applyFont="1" applyFill="1" applyBorder="1" applyAlignment="1"/>
    <xf numFmtId="0" fontId="43" fillId="0" borderId="13" xfId="0" applyFont="1" applyFill="1" applyBorder="1" applyAlignment="1">
      <alignment vertical="center"/>
    </xf>
    <xf numFmtId="0" fontId="13" fillId="0" borderId="13" xfId="2" applyFill="1" applyBorder="1" applyAlignment="1">
      <alignment horizontal="left" vertical="center" wrapText="1"/>
    </xf>
    <xf numFmtId="40" fontId="13" fillId="0" borderId="6" xfId="2" applyNumberFormat="1" applyFill="1" applyAlignment="1">
      <alignment horizontal="right" vertical="center"/>
    </xf>
    <xf numFmtId="169" fontId="13" fillId="0" borderId="13" xfId="2" applyNumberFormat="1" applyFill="1" applyBorder="1" applyAlignment="1">
      <alignment horizontal="center" vertical="center"/>
    </xf>
    <xf numFmtId="168" fontId="24" fillId="0" borderId="6" xfId="2" applyNumberFormat="1" applyFont="1" applyFill="1" applyAlignment="1">
      <alignment horizontal="right" vertical="center"/>
    </xf>
    <xf numFmtId="0" fontId="52" fillId="0" borderId="13" xfId="2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left" vertical="center" wrapText="1"/>
    </xf>
    <xf numFmtId="167" fontId="55" fillId="0" borderId="13" xfId="0" applyNumberFormat="1" applyFont="1" applyFill="1" applyBorder="1" applyAlignment="1">
      <alignment horizontal="center" vertical="center" wrapText="1"/>
    </xf>
    <xf numFmtId="168" fontId="13" fillId="0" borderId="13" xfId="2" applyNumberForma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left" vertical="center" wrapText="1"/>
    </xf>
    <xf numFmtId="0" fontId="22" fillId="0" borderId="13" xfId="3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left" vertical="center"/>
    </xf>
    <xf numFmtId="0" fontId="41" fillId="0" borderId="13" xfId="0" applyFont="1" applyFill="1" applyBorder="1" applyAlignment="1">
      <alignment vertical="center"/>
    </xf>
    <xf numFmtId="49" fontId="41" fillId="0" borderId="13" xfId="0" applyNumberFormat="1" applyFont="1" applyFill="1" applyBorder="1" applyAlignment="1">
      <alignment horizontal="center" vertical="center" wrapText="1"/>
    </xf>
    <xf numFmtId="167" fontId="44" fillId="0" borderId="13" xfId="0" applyNumberFormat="1" applyFont="1" applyFill="1" applyBorder="1" applyAlignment="1">
      <alignment horizontal="center" vertical="center"/>
    </xf>
    <xf numFmtId="2" fontId="44" fillId="0" borderId="13" xfId="0" applyNumberFormat="1" applyFont="1" applyFill="1" applyBorder="1" applyAlignment="1">
      <alignment horizontal="center" vertical="center"/>
    </xf>
    <xf numFmtId="43" fontId="44" fillId="0" borderId="13" xfId="4" applyFont="1" applyFill="1" applyBorder="1" applyAlignment="1">
      <alignment horizontal="center" vertical="center"/>
    </xf>
    <xf numFmtId="43" fontId="44" fillId="0" borderId="13" xfId="4" applyFont="1" applyFill="1" applyBorder="1" applyAlignment="1">
      <alignment horizontal="center" vertical="center" wrapText="1"/>
    </xf>
    <xf numFmtId="49" fontId="56" fillId="0" borderId="13" xfId="0" applyNumberFormat="1" applyFont="1" applyFill="1" applyBorder="1" applyAlignment="1">
      <alignment wrapText="1"/>
    </xf>
    <xf numFmtId="49" fontId="43" fillId="0" borderId="13" xfId="0" applyNumberFormat="1" applyFont="1" applyFill="1" applyBorder="1" applyAlignment="1">
      <alignment horizontal="center" vertical="center" wrapText="1"/>
    </xf>
    <xf numFmtId="40" fontId="24" fillId="0" borderId="13" xfId="2" applyNumberFormat="1" applyFont="1" applyFill="1" applyBorder="1" applyAlignment="1">
      <alignment horizontal="right" vertical="center"/>
    </xf>
    <xf numFmtId="0" fontId="42" fillId="0" borderId="13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vertical="center" wrapText="1"/>
    </xf>
    <xf numFmtId="49" fontId="56" fillId="0" borderId="13" xfId="0" applyNumberFormat="1" applyFont="1" applyFill="1" applyBorder="1" applyAlignment="1">
      <alignment vertical="center" wrapText="1"/>
    </xf>
    <xf numFmtId="0" fontId="49" fillId="0" borderId="13" xfId="0" applyFont="1" applyFill="1" applyBorder="1" applyAlignment="1">
      <alignment horizontal="center" vertical="center" wrapText="1"/>
    </xf>
    <xf numFmtId="49" fontId="44" fillId="0" borderId="13" xfId="0" applyNumberFormat="1" applyFont="1" applyFill="1" applyBorder="1" applyAlignment="1">
      <alignment vertical="center" wrapText="1"/>
    </xf>
    <xf numFmtId="0" fontId="36" fillId="0" borderId="13" xfId="2" applyFont="1" applyFill="1" applyBorder="1" applyAlignment="1">
      <alignment horizontal="center"/>
    </xf>
    <xf numFmtId="0" fontId="45" fillId="0" borderId="13" xfId="0" applyNumberFormat="1" applyFont="1" applyFill="1" applyBorder="1" applyAlignment="1">
      <alignment horizontal="center" vertical="center"/>
    </xf>
    <xf numFmtId="171" fontId="24" fillId="0" borderId="13" xfId="2" applyNumberFormat="1" applyFont="1" applyFill="1" applyBorder="1" applyAlignment="1">
      <alignment horizontal="right" vertical="center"/>
    </xf>
    <xf numFmtId="49" fontId="52" fillId="0" borderId="13" xfId="0" applyNumberFormat="1" applyFont="1" applyFill="1" applyBorder="1" applyAlignment="1">
      <alignment horizontal="center" vertical="center" wrapText="1"/>
    </xf>
    <xf numFmtId="0" fontId="36" fillId="0" borderId="13" xfId="2" applyFont="1" applyFill="1" applyBorder="1" applyAlignment="1">
      <alignment horizontal="center" vertical="center"/>
    </xf>
    <xf numFmtId="49" fontId="50" fillId="0" borderId="13" xfId="0" applyNumberFormat="1" applyFont="1" applyFill="1" applyBorder="1" applyAlignment="1">
      <alignment vertical="center" wrapText="1"/>
    </xf>
    <xf numFmtId="49" fontId="41" fillId="0" borderId="13" xfId="0" applyNumberFormat="1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center" vertical="center"/>
    </xf>
    <xf numFmtId="0" fontId="45" fillId="0" borderId="13" xfId="2" applyFont="1" applyFill="1" applyBorder="1" applyAlignment="1">
      <alignment horizontal="left" vertical="center"/>
    </xf>
    <xf numFmtId="0" fontId="41" fillId="0" borderId="13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center" vertical="center" wrapText="1"/>
    </xf>
    <xf numFmtId="40" fontId="14" fillId="0" borderId="13" xfId="2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/>
    </xf>
    <xf numFmtId="0" fontId="13" fillId="0" borderId="13" xfId="2" applyFill="1" applyBorder="1" applyAlignment="1">
      <alignment wrapText="1"/>
    </xf>
    <xf numFmtId="49" fontId="31" fillId="0" borderId="15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24" fillId="0" borderId="6" xfId="2" applyFont="1" applyFill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left" vertical="center" wrapText="1"/>
    </xf>
    <xf numFmtId="49" fontId="33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/>
    </xf>
    <xf numFmtId="49" fontId="1" fillId="0" borderId="15" xfId="0" applyNumberFormat="1" applyFont="1" applyFill="1" applyBorder="1" applyAlignment="1">
      <alignment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left" vertical="center"/>
    </xf>
    <xf numFmtId="2" fontId="0" fillId="0" borderId="6" xfId="0" applyNumberFormat="1" applyFont="1" applyFill="1" applyBorder="1" applyAlignment="1"/>
    <xf numFmtId="2" fontId="0" fillId="0" borderId="3" xfId="0" applyNumberFormat="1" applyFont="1" applyFill="1" applyBorder="1" applyAlignment="1"/>
    <xf numFmtId="2" fontId="0" fillId="0" borderId="2" xfId="0" applyNumberFormat="1" applyFont="1" applyFill="1" applyBorder="1" applyAlignment="1"/>
    <xf numFmtId="49" fontId="0" fillId="0" borderId="1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wrapText="1"/>
    </xf>
    <xf numFmtId="0" fontId="13" fillId="0" borderId="19" xfId="2" applyFill="1" applyBorder="1" applyAlignment="1">
      <alignment horizontal="center" vertical="center"/>
    </xf>
    <xf numFmtId="0" fontId="0" fillId="0" borderId="13" xfId="0" applyNumberFormat="1" applyFont="1" applyFill="1" applyBorder="1" applyAlignment="1"/>
    <xf numFmtId="0" fontId="0" fillId="0" borderId="1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/>
    <xf numFmtId="49" fontId="4" fillId="0" borderId="7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top"/>
    </xf>
    <xf numFmtId="49" fontId="3" fillId="0" borderId="1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 wrapText="1"/>
    </xf>
    <xf numFmtId="49" fontId="10" fillId="0" borderId="13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/>
    <xf numFmtId="0" fontId="10" fillId="0" borderId="1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top"/>
    </xf>
    <xf numFmtId="0" fontId="0" fillId="0" borderId="12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center"/>
    </xf>
    <xf numFmtId="173" fontId="13" fillId="0" borderId="13" xfId="2" applyNumberFormat="1" applyFill="1" applyBorder="1" applyAlignment="1">
      <alignment horizontal="right" vertical="center"/>
    </xf>
    <xf numFmtId="2" fontId="13" fillId="0" borderId="13" xfId="2" applyNumberFormat="1" applyFill="1" applyBorder="1" applyAlignment="1">
      <alignment horizontal="center" vertical="center"/>
    </xf>
    <xf numFmtId="49" fontId="58" fillId="0" borderId="15" xfId="0" applyNumberFormat="1" applyFont="1" applyFill="1" applyBorder="1" applyAlignment="1">
      <alignment vertical="center" wrapText="1"/>
    </xf>
    <xf numFmtId="49" fontId="59" fillId="0" borderId="14" xfId="0" applyNumberFormat="1" applyFont="1" applyFill="1" applyBorder="1" applyAlignment="1">
      <alignment horizontal="center" vertical="center"/>
    </xf>
    <xf numFmtId="49" fontId="59" fillId="0" borderId="14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10" fillId="0" borderId="6" xfId="0" applyFont="1" applyFill="1" applyBorder="1" applyAlignment="1">
      <alignment horizontal="center" vertical="top"/>
    </xf>
    <xf numFmtId="168" fontId="13" fillId="2" borderId="13" xfId="2" applyNumberFormat="1" applyFill="1" applyBorder="1" applyAlignment="1">
      <alignment horizontal="right" vertical="center"/>
    </xf>
    <xf numFmtId="0" fontId="60" fillId="0" borderId="13" xfId="2" applyFont="1" applyFill="1" applyBorder="1" applyAlignment="1">
      <alignment horizontal="center" vertical="center"/>
    </xf>
    <xf numFmtId="0" fontId="61" fillId="0" borderId="13" xfId="3" applyFont="1" applyFill="1" applyBorder="1" applyAlignment="1">
      <alignment horizontal="left" vertical="center" wrapText="1"/>
    </xf>
    <xf numFmtId="0" fontId="61" fillId="0" borderId="13" xfId="3" applyNumberFormat="1" applyFont="1" applyFill="1" applyBorder="1" applyAlignment="1">
      <alignment horizontal="center" vertical="center"/>
    </xf>
    <xf numFmtId="168" fontId="62" fillId="0" borderId="13" xfId="2" applyNumberFormat="1" applyFont="1" applyFill="1" applyBorder="1" applyAlignment="1">
      <alignment horizontal="center" vertical="center"/>
    </xf>
    <xf numFmtId="168" fontId="62" fillId="0" borderId="13" xfId="2" applyNumberFormat="1" applyFont="1" applyFill="1" applyBorder="1" applyAlignment="1">
      <alignment horizontal="right" vertical="center"/>
    </xf>
    <xf numFmtId="168" fontId="62" fillId="2" borderId="13" xfId="2" applyNumberFormat="1" applyFont="1" applyFill="1" applyBorder="1" applyAlignment="1">
      <alignment horizontal="right" vertical="center"/>
    </xf>
    <xf numFmtId="0" fontId="53" fillId="0" borderId="13" xfId="0" applyFont="1" applyFill="1" applyBorder="1" applyAlignment="1">
      <alignment horizontal="center" vertical="center" wrapText="1"/>
    </xf>
    <xf numFmtId="0" fontId="62" fillId="0" borderId="13" xfId="2" applyFont="1" applyFill="1" applyBorder="1"/>
    <xf numFmtId="0" fontId="62" fillId="0" borderId="13" xfId="2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63" fillId="0" borderId="13" xfId="2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vertical="center" wrapText="1"/>
    </xf>
    <xf numFmtId="0" fontId="60" fillId="0" borderId="13" xfId="2" applyFont="1" applyFill="1" applyBorder="1" applyAlignment="1">
      <alignment horizontal="center" vertical="center" wrapText="1"/>
    </xf>
    <xf numFmtId="49" fontId="65" fillId="0" borderId="13" xfId="0" applyNumberFormat="1" applyFont="1" applyFill="1" applyBorder="1" applyAlignment="1">
      <alignment horizontal="left" vertical="center"/>
    </xf>
    <xf numFmtId="171" fontId="62" fillId="0" borderId="13" xfId="2" applyNumberFormat="1" applyFont="1" applyFill="1" applyBorder="1" applyAlignment="1">
      <alignment horizontal="center" vertical="center"/>
    </xf>
    <xf numFmtId="40" fontId="62" fillId="0" borderId="13" xfId="2" applyNumberFormat="1" applyFont="1" applyFill="1" applyBorder="1" applyAlignment="1">
      <alignment horizontal="right" vertical="center"/>
    </xf>
    <xf numFmtId="40" fontId="14" fillId="2" borderId="13" xfId="5" applyNumberFormat="1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172" fontId="13" fillId="0" borderId="20" xfId="2" applyNumberFormat="1" applyFill="1" applyBorder="1" applyAlignment="1">
      <alignment horizontal="center" vertical="center"/>
    </xf>
    <xf numFmtId="168" fontId="24" fillId="0" borderId="20" xfId="2" applyNumberFormat="1" applyFont="1" applyFill="1" applyBorder="1" applyAlignment="1">
      <alignment horizontal="right" vertical="center"/>
    </xf>
    <xf numFmtId="168" fontId="13" fillId="0" borderId="20" xfId="2" applyNumberForma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2" fontId="61" fillId="0" borderId="13" xfId="0" applyNumberFormat="1" applyFont="1" applyFill="1" applyBorder="1" applyAlignment="1">
      <alignment horizontal="center" vertical="center"/>
    </xf>
    <xf numFmtId="2" fontId="66" fillId="0" borderId="13" xfId="0" applyNumberFormat="1" applyFont="1" applyFill="1" applyBorder="1" applyAlignment="1">
      <alignment horizontal="center" vertical="center" wrapText="1"/>
    </xf>
    <xf numFmtId="1" fontId="66" fillId="0" borderId="13" xfId="0" applyNumberFormat="1" applyFont="1" applyFill="1" applyBorder="1" applyAlignment="1">
      <alignment horizontal="center" vertical="center" wrapText="1"/>
    </xf>
    <xf numFmtId="2" fontId="66" fillId="0" borderId="25" xfId="0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/>
    </xf>
    <xf numFmtId="2" fontId="46" fillId="0" borderId="13" xfId="0" applyNumberFormat="1" applyFont="1" applyFill="1" applyBorder="1" applyAlignment="1">
      <alignment horizontal="center" vertical="center" wrapText="1"/>
    </xf>
    <xf numFmtId="1" fontId="46" fillId="0" borderId="13" xfId="0" applyNumberFormat="1" applyFont="1" applyFill="1" applyBorder="1" applyAlignment="1">
      <alignment horizontal="center" vertical="center" wrapText="1"/>
    </xf>
    <xf numFmtId="2" fontId="46" fillId="0" borderId="25" xfId="0" applyNumberFormat="1" applyFont="1" applyFill="1" applyBorder="1" applyAlignment="1">
      <alignment horizontal="center" vertical="center" wrapText="1"/>
    </xf>
    <xf numFmtId="49" fontId="26" fillId="2" borderId="15" xfId="0" applyNumberFormat="1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8" fontId="14" fillId="3" borderId="13" xfId="2" applyNumberFormat="1" applyFont="1" applyFill="1" applyBorder="1" applyAlignment="1">
      <alignment horizontal="right" vertical="center"/>
    </xf>
    <xf numFmtId="40" fontId="14" fillId="3" borderId="13" xfId="2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/>
    <xf numFmtId="174" fontId="0" fillId="0" borderId="2" xfId="0" applyNumberFormat="1" applyFont="1" applyFill="1" applyBorder="1" applyAlignment="1"/>
    <xf numFmtId="175" fontId="0" fillId="0" borderId="2" xfId="0" applyNumberFormat="1" applyFont="1" applyFill="1" applyBorder="1" applyAlignment="1"/>
    <xf numFmtId="164" fontId="1" fillId="4" borderId="7" xfId="0" applyNumberFormat="1" applyFont="1" applyFill="1" applyBorder="1" applyAlignment="1">
      <alignment horizontal="right" vertical="center"/>
    </xf>
    <xf numFmtId="164" fontId="1" fillId="4" borderId="7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/>
    <xf numFmtId="174" fontId="0" fillId="0" borderId="4" xfId="0" applyNumberFormat="1" applyFont="1" applyFill="1" applyBorder="1" applyAlignment="1"/>
    <xf numFmtId="176" fontId="0" fillId="0" borderId="2" xfId="0" applyNumberFormat="1" applyFont="1" applyFill="1" applyBorder="1" applyAlignment="1"/>
    <xf numFmtId="164" fontId="26" fillId="2" borderId="15" xfId="0" applyNumberFormat="1" applyFont="1" applyFill="1" applyBorder="1" applyAlignment="1">
      <alignment horizontal="right" vertical="center"/>
    </xf>
    <xf numFmtId="49" fontId="41" fillId="0" borderId="13" xfId="0" applyNumberFormat="1" applyFont="1" applyFill="1" applyBorder="1" applyAlignment="1">
      <alignment vertical="center" wrapText="1"/>
    </xf>
    <xf numFmtId="177" fontId="13" fillId="0" borderId="13" xfId="2" applyNumberFormat="1" applyFill="1" applyBorder="1" applyAlignment="1">
      <alignment horizontal="center" vertical="center"/>
    </xf>
    <xf numFmtId="173" fontId="13" fillId="0" borderId="13" xfId="2" applyNumberFormat="1" applyFill="1" applyBorder="1" applyAlignment="1">
      <alignment horizontal="center" vertical="center"/>
    </xf>
    <xf numFmtId="178" fontId="13" fillId="0" borderId="13" xfId="2" applyNumberForma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/>
    </xf>
    <xf numFmtId="0" fontId="58" fillId="0" borderId="6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4" fillId="0" borderId="6" xfId="2" applyFont="1" applyFill="1" applyAlignment="1">
      <alignment horizontal="center" vertical="center"/>
    </xf>
    <xf numFmtId="0" fontId="14" fillId="0" borderId="6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35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Alignment="1"/>
    <xf numFmtId="0" fontId="0" fillId="5" borderId="2" xfId="0" applyFont="1" applyFill="1" applyBorder="1" applyAlignment="1"/>
    <xf numFmtId="0" fontId="0" fillId="5" borderId="8" xfId="0" applyFont="1" applyFill="1" applyBorder="1" applyAlignment="1">
      <alignment wrapText="1"/>
    </xf>
    <xf numFmtId="0" fontId="0" fillId="5" borderId="8" xfId="0" applyFont="1" applyFill="1" applyBorder="1" applyAlignment="1"/>
    <xf numFmtId="0" fontId="0" fillId="5" borderId="1" xfId="0" applyFont="1" applyFill="1" applyBorder="1" applyAlignment="1"/>
    <xf numFmtId="0" fontId="22" fillId="5" borderId="6" xfId="1" applyFont="1" applyFill="1"/>
    <xf numFmtId="0" fontId="0" fillId="5" borderId="9" xfId="0" applyFont="1" applyFill="1" applyBorder="1" applyAlignment="1"/>
  </cellXfs>
  <cellStyles count="6">
    <cellStyle name="Comma" xfId="4" builtinId="3"/>
    <cellStyle name="Normal" xfId="0" builtinId="0"/>
    <cellStyle name="Normal 2" xfId="1"/>
    <cellStyle name="silfain" xfId="2"/>
    <cellStyle name="Обычный_Лист1" xfId="5"/>
    <cellStyle name="Обычный_დემონტაჟი" xfId="3"/>
  </cellStyles>
  <dxfs count="94"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216</xdr:row>
      <xdr:rowOff>0</xdr:rowOff>
    </xdr:from>
    <xdr:to>
      <xdr:col>2</xdr:col>
      <xdr:colOff>1476375</xdr:colOff>
      <xdr:row>216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272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285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17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258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271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302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143</xdr:row>
      <xdr:rowOff>0</xdr:rowOff>
    </xdr:from>
    <xdr:to>
      <xdr:col>2</xdr:col>
      <xdr:colOff>1476375</xdr:colOff>
      <xdr:row>143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0"/>
  <sheetViews>
    <sheetView showGridLines="0" tabSelected="1" topLeftCell="A73" zoomScale="85" zoomScaleNormal="85" zoomScaleSheetLayoutView="85" workbookViewId="0">
      <selection activeCell="D319" sqref="D319"/>
    </sheetView>
  </sheetViews>
  <sheetFormatPr defaultColWidth="8.85546875" defaultRowHeight="16.5" customHeight="1" x14ac:dyDescent="0.25"/>
  <cols>
    <col min="1" max="1" width="4.42578125" style="8" customWidth="1"/>
    <col min="2" max="2" width="20" style="8" bestFit="1" customWidth="1"/>
    <col min="3" max="3" width="48.7109375" style="8" customWidth="1"/>
    <col min="4" max="4" width="9" style="8" customWidth="1"/>
    <col min="5" max="5" width="12.7109375" style="8" customWidth="1"/>
    <col min="6" max="6" width="14" style="8" customWidth="1"/>
    <col min="7" max="7" width="12.7109375" style="8" customWidth="1"/>
    <col min="8" max="8" width="14.85546875" style="8" customWidth="1"/>
    <col min="9" max="9" width="11.42578125" style="8" customWidth="1"/>
    <col min="10" max="10" width="16.140625" style="8" bestFit="1" customWidth="1"/>
    <col min="11" max="11" width="11.7109375" style="8" customWidth="1"/>
    <col min="12" max="12" width="15.7109375" style="8" customWidth="1"/>
    <col min="13" max="13" width="19.5703125" style="8" customWidth="1"/>
    <col min="14" max="14" width="6.7109375" style="351" customWidth="1"/>
    <col min="15" max="15" width="12.140625" style="8" customWidth="1"/>
    <col min="16" max="16" width="9.7109375" style="8" customWidth="1"/>
    <col min="17" max="21" width="9.140625" style="8" customWidth="1"/>
    <col min="22" max="256" width="8.85546875" style="8" customWidth="1"/>
    <col min="257" max="16384" width="8.85546875" style="9"/>
  </cols>
  <sheetData>
    <row r="1" spans="1:21" ht="16.5" customHeight="1" x14ac:dyDescent="0.25">
      <c r="E1" s="333" t="s">
        <v>175</v>
      </c>
      <c r="F1" s="333"/>
      <c r="G1" s="333"/>
      <c r="H1" s="333"/>
      <c r="I1" s="333"/>
      <c r="J1" s="333"/>
      <c r="K1" s="333"/>
      <c r="L1" s="333"/>
    </row>
    <row r="2" spans="1:21" ht="27.6" customHeight="1" x14ac:dyDescent="0.25">
      <c r="A2" s="10"/>
      <c r="B2" s="342" t="s">
        <v>64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52"/>
      <c r="O2" s="11"/>
      <c r="P2" s="11"/>
      <c r="Q2" s="11"/>
      <c r="R2" s="11"/>
      <c r="S2" s="11"/>
      <c r="T2" s="11"/>
      <c r="U2" s="11"/>
    </row>
    <row r="3" spans="1:21" ht="69.599999999999994" customHeight="1" x14ac:dyDescent="0.25">
      <c r="A3" s="343" t="s">
        <v>159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52"/>
      <c r="O3" s="11"/>
      <c r="P3" s="11"/>
      <c r="Q3" s="11"/>
      <c r="R3" s="11"/>
      <c r="S3" s="11"/>
      <c r="T3" s="11"/>
      <c r="U3" s="11"/>
    </row>
    <row r="4" spans="1:21" ht="18" customHeight="1" x14ac:dyDescent="0.35">
      <c r="A4" s="339" t="s">
        <v>0</v>
      </c>
      <c r="B4" s="340"/>
      <c r="C4" s="341"/>
      <c r="D4" s="336"/>
      <c r="E4" s="336"/>
      <c r="F4" s="12" t="s">
        <v>1</v>
      </c>
      <c r="G4" s="13"/>
      <c r="H4" s="344"/>
      <c r="I4" s="345"/>
      <c r="J4" s="345"/>
      <c r="K4" s="345"/>
      <c r="L4" s="345"/>
      <c r="M4" s="11"/>
      <c r="N4" s="352"/>
      <c r="O4" s="11"/>
      <c r="P4" s="11"/>
      <c r="Q4" s="11"/>
      <c r="R4" s="11"/>
      <c r="S4" s="11"/>
      <c r="T4" s="11"/>
      <c r="U4" s="11"/>
    </row>
    <row r="5" spans="1:21" ht="18" customHeight="1" x14ac:dyDescent="0.25">
      <c r="A5" s="337" t="s">
        <v>2</v>
      </c>
      <c r="B5" s="337" t="s">
        <v>3</v>
      </c>
      <c r="C5" s="337" t="s">
        <v>4</v>
      </c>
      <c r="D5" s="346" t="s">
        <v>5</v>
      </c>
      <c r="E5" s="346" t="s">
        <v>6</v>
      </c>
      <c r="F5" s="337" t="s">
        <v>7</v>
      </c>
      <c r="G5" s="337" t="s">
        <v>8</v>
      </c>
      <c r="H5" s="338"/>
      <c r="I5" s="337" t="s">
        <v>9</v>
      </c>
      <c r="J5" s="338"/>
      <c r="K5" s="337" t="s">
        <v>10</v>
      </c>
      <c r="L5" s="338"/>
      <c r="M5" s="14" t="s">
        <v>11</v>
      </c>
      <c r="N5" s="353"/>
      <c r="O5" s="15"/>
      <c r="P5" s="15"/>
      <c r="Q5" s="11"/>
      <c r="R5" s="11"/>
      <c r="S5" s="11"/>
      <c r="T5" s="11"/>
      <c r="U5" s="11"/>
    </row>
    <row r="6" spans="1:21" ht="26.25" customHeight="1" x14ac:dyDescent="0.25">
      <c r="A6" s="338"/>
      <c r="B6" s="338"/>
      <c r="C6" s="338"/>
      <c r="D6" s="338"/>
      <c r="E6" s="338"/>
      <c r="F6" s="338"/>
      <c r="G6" s="14" t="s">
        <v>12</v>
      </c>
      <c r="H6" s="14" t="s">
        <v>13</v>
      </c>
      <c r="I6" s="14" t="s">
        <v>12</v>
      </c>
      <c r="J6" s="14" t="s">
        <v>13</v>
      </c>
      <c r="K6" s="14" t="s">
        <v>12</v>
      </c>
      <c r="L6" s="14" t="s">
        <v>13</v>
      </c>
      <c r="M6" s="14" t="s">
        <v>14</v>
      </c>
      <c r="N6" s="354"/>
      <c r="O6" s="11"/>
      <c r="P6" s="11"/>
      <c r="Q6" s="11"/>
      <c r="R6" s="11"/>
      <c r="S6" s="11"/>
      <c r="T6" s="11"/>
      <c r="U6" s="11"/>
    </row>
    <row r="7" spans="1:21" ht="15.75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354"/>
      <c r="O7" s="11"/>
      <c r="P7" s="11"/>
      <c r="Q7" s="11"/>
      <c r="R7" s="11"/>
      <c r="S7" s="11"/>
      <c r="T7" s="11"/>
      <c r="U7" s="11"/>
    </row>
    <row r="8" spans="1:21" ht="34.15" customHeight="1" x14ac:dyDescent="0.25">
      <c r="A8" s="17"/>
      <c r="B8" s="18"/>
      <c r="C8" s="19" t="s">
        <v>15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354"/>
      <c r="O8" s="11"/>
      <c r="P8" s="11"/>
      <c r="Q8" s="11"/>
      <c r="R8" s="11"/>
      <c r="S8" s="11"/>
      <c r="T8" s="11"/>
      <c r="U8" s="11"/>
    </row>
    <row r="9" spans="1:21" ht="47.25" x14ac:dyDescent="0.25">
      <c r="A9" s="22">
        <v>1</v>
      </c>
      <c r="B9" s="23" t="s">
        <v>160</v>
      </c>
      <c r="C9" s="24" t="s">
        <v>16</v>
      </c>
      <c r="D9" s="25" t="s">
        <v>17</v>
      </c>
      <c r="E9" s="26"/>
      <c r="F9" s="1">
        <v>1.8240000000000001</v>
      </c>
      <c r="G9" s="27"/>
      <c r="H9" s="27"/>
      <c r="I9" s="27"/>
      <c r="J9" s="27"/>
      <c r="K9" s="27"/>
      <c r="L9" s="27"/>
      <c r="M9" s="27"/>
      <c r="N9" s="354"/>
      <c r="O9" s="11"/>
      <c r="P9" s="11"/>
      <c r="Q9" s="11"/>
      <c r="R9" s="11"/>
      <c r="S9" s="11"/>
      <c r="T9" s="11"/>
      <c r="U9" s="11"/>
    </row>
    <row r="10" spans="1:21" ht="18" customHeight="1" x14ac:dyDescent="0.35">
      <c r="A10" s="28"/>
      <c r="B10" s="29"/>
      <c r="C10" s="30" t="s">
        <v>18</v>
      </c>
      <c r="D10" s="14" t="s">
        <v>19</v>
      </c>
      <c r="E10" s="27">
        <v>93.22</v>
      </c>
      <c r="F10" s="27">
        <f>F9*E10</f>
        <v>170.03327999999999</v>
      </c>
      <c r="G10" s="27"/>
      <c r="H10" s="27"/>
      <c r="I10" s="27"/>
      <c r="J10" s="27"/>
      <c r="K10" s="27"/>
      <c r="L10" s="27"/>
      <c r="M10" s="27"/>
      <c r="N10" s="354"/>
      <c r="O10" s="11"/>
      <c r="P10" s="11"/>
      <c r="Q10" s="11"/>
      <c r="R10" s="11"/>
      <c r="S10" s="11"/>
      <c r="T10" s="11"/>
      <c r="U10" s="11"/>
    </row>
    <row r="11" spans="1:21" ht="18" customHeight="1" x14ac:dyDescent="0.35">
      <c r="A11" s="31"/>
      <c r="B11" s="32"/>
      <c r="C11" s="33" t="s">
        <v>21</v>
      </c>
      <c r="D11" s="34" t="s">
        <v>22</v>
      </c>
      <c r="E11" s="32"/>
      <c r="F11" s="32"/>
      <c r="G11" s="32"/>
      <c r="H11" s="323"/>
      <c r="I11" s="32"/>
      <c r="J11" s="323"/>
      <c r="K11" s="32"/>
      <c r="L11" s="323"/>
      <c r="M11" s="323"/>
      <c r="N11" s="354"/>
      <c r="O11" s="11"/>
      <c r="P11" s="11"/>
      <c r="Q11" s="11"/>
      <c r="R11" s="11"/>
      <c r="S11" s="11"/>
      <c r="T11" s="11"/>
      <c r="U11" s="11"/>
    </row>
    <row r="12" spans="1:21" ht="18" customHeight="1" x14ac:dyDescent="0.25">
      <c r="A12" s="17"/>
      <c r="B12" s="35"/>
      <c r="C12" s="36" t="s">
        <v>23</v>
      </c>
      <c r="D12" s="37"/>
      <c r="E12" s="38"/>
      <c r="F12" s="27"/>
      <c r="G12" s="27"/>
      <c r="H12" s="27"/>
      <c r="I12" s="27"/>
      <c r="J12" s="27"/>
      <c r="K12" s="27"/>
      <c r="L12" s="27"/>
      <c r="M12" s="27"/>
      <c r="N12" s="354"/>
      <c r="O12" s="11"/>
      <c r="P12" s="11"/>
      <c r="Q12" s="11"/>
      <c r="R12" s="11"/>
      <c r="S12" s="11"/>
      <c r="T12" s="11"/>
      <c r="U12" s="11"/>
    </row>
    <row r="13" spans="1:21" ht="54" customHeight="1" x14ac:dyDescent="0.25">
      <c r="A13" s="22">
        <v>1</v>
      </c>
      <c r="B13" s="19" t="s">
        <v>24</v>
      </c>
      <c r="C13" s="39" t="s">
        <v>25</v>
      </c>
      <c r="D13" s="25" t="s">
        <v>68</v>
      </c>
      <c r="E13" s="26"/>
      <c r="F13" s="2">
        <v>611.55999999999995</v>
      </c>
      <c r="G13" s="27"/>
      <c r="H13" s="27"/>
      <c r="I13" s="27"/>
      <c r="J13" s="27"/>
      <c r="K13" s="27"/>
      <c r="L13" s="27"/>
      <c r="M13" s="27"/>
      <c r="N13" s="354"/>
      <c r="O13" s="11"/>
      <c r="P13" s="11"/>
      <c r="Q13" s="11"/>
      <c r="R13" s="11"/>
      <c r="S13" s="11"/>
      <c r="T13" s="11"/>
      <c r="U13" s="11"/>
    </row>
    <row r="14" spans="1:21" ht="18" customHeight="1" x14ac:dyDescent="0.25">
      <c r="A14" s="40"/>
      <c r="B14" s="7"/>
      <c r="C14" s="41" t="s">
        <v>46</v>
      </c>
      <c r="D14" s="14" t="s">
        <v>26</v>
      </c>
      <c r="E14" s="42">
        <f>(19.1+14.4*2)/1000</f>
        <v>4.7900000000000005E-2</v>
      </c>
      <c r="F14" s="27">
        <f>F13*E14</f>
        <v>29.293724000000001</v>
      </c>
      <c r="G14" s="27"/>
      <c r="H14" s="27"/>
      <c r="I14" s="27"/>
      <c r="J14" s="27"/>
      <c r="K14" s="27"/>
      <c r="L14" s="27"/>
      <c r="M14" s="27"/>
      <c r="N14" s="354"/>
      <c r="O14" s="11"/>
      <c r="P14" s="11"/>
      <c r="Q14" s="11"/>
      <c r="R14" s="11"/>
      <c r="S14" s="11"/>
      <c r="T14" s="11"/>
      <c r="U14" s="11"/>
    </row>
    <row r="15" spans="1:21" ht="36" customHeight="1" x14ac:dyDescent="0.25">
      <c r="A15" s="22">
        <v>2</v>
      </c>
      <c r="B15" s="36" t="s">
        <v>67</v>
      </c>
      <c r="C15" s="39" t="s">
        <v>27</v>
      </c>
      <c r="D15" s="25" t="s">
        <v>68</v>
      </c>
      <c r="E15" s="43"/>
      <c r="F15" s="2">
        <f>F13</f>
        <v>611.55999999999995</v>
      </c>
      <c r="G15" s="27"/>
      <c r="H15" s="27"/>
      <c r="I15" s="27"/>
      <c r="J15" s="27"/>
      <c r="K15" s="27"/>
      <c r="L15" s="27"/>
      <c r="M15" s="27"/>
      <c r="N15" s="354"/>
      <c r="O15" s="11"/>
      <c r="P15" s="11"/>
      <c r="Q15" s="11"/>
      <c r="R15" s="11"/>
      <c r="S15" s="11"/>
      <c r="T15" s="11"/>
      <c r="U15" s="11"/>
    </row>
    <row r="16" spans="1:21" ht="18" customHeight="1" x14ac:dyDescent="0.25">
      <c r="A16" s="17"/>
      <c r="B16" s="29"/>
      <c r="C16" s="41" t="s">
        <v>18</v>
      </c>
      <c r="D16" s="14" t="s">
        <v>19</v>
      </c>
      <c r="E16" s="44">
        <f>20/1000</f>
        <v>0.02</v>
      </c>
      <c r="F16" s="27">
        <f>F15*E16</f>
        <v>12.231199999999999</v>
      </c>
      <c r="G16" s="27"/>
      <c r="H16" s="27"/>
      <c r="I16" s="27"/>
      <c r="J16" s="27"/>
      <c r="K16" s="27"/>
      <c r="L16" s="27"/>
      <c r="M16" s="27"/>
      <c r="N16" s="354"/>
      <c r="O16" s="11"/>
      <c r="P16" s="11"/>
      <c r="Q16" s="11"/>
      <c r="R16" s="11"/>
      <c r="S16" s="11"/>
      <c r="T16" s="11"/>
      <c r="U16" s="11"/>
    </row>
    <row r="17" spans="1:21" ht="36" customHeight="1" x14ac:dyDescent="0.25">
      <c r="A17" s="17"/>
      <c r="B17" s="7" t="s">
        <v>149</v>
      </c>
      <c r="C17" s="45" t="s">
        <v>28</v>
      </c>
      <c r="D17" s="14" t="s">
        <v>26</v>
      </c>
      <c r="E17" s="44">
        <f>44.8/1000</f>
        <v>4.48E-2</v>
      </c>
      <c r="F17" s="27">
        <f>F15*E17</f>
        <v>27.397887999999998</v>
      </c>
      <c r="G17" s="27"/>
      <c r="H17" s="27"/>
      <c r="I17" s="27"/>
      <c r="J17" s="27"/>
      <c r="K17" s="27"/>
      <c r="L17" s="27"/>
      <c r="M17" s="27"/>
      <c r="N17" s="354"/>
      <c r="O17" s="11"/>
      <c r="P17" s="11"/>
      <c r="Q17" s="11"/>
      <c r="R17" s="11"/>
      <c r="S17" s="11"/>
      <c r="T17" s="11"/>
      <c r="U17" s="11"/>
    </row>
    <row r="18" spans="1:21" ht="18" customHeight="1" x14ac:dyDescent="0.25">
      <c r="A18" s="17"/>
      <c r="B18" s="29"/>
      <c r="C18" s="41" t="s">
        <v>29</v>
      </c>
      <c r="D18" s="46" t="s">
        <v>22</v>
      </c>
      <c r="E18" s="42">
        <f>2.1/1000</f>
        <v>2.1000000000000003E-3</v>
      </c>
      <c r="F18" s="27">
        <f>F15*E18</f>
        <v>1.284276</v>
      </c>
      <c r="G18" s="27"/>
      <c r="H18" s="27"/>
      <c r="I18" s="27"/>
      <c r="J18" s="27"/>
      <c r="K18" s="27"/>
      <c r="L18" s="27"/>
      <c r="M18" s="27"/>
      <c r="N18" s="354"/>
      <c r="O18" s="11"/>
      <c r="P18" s="11"/>
      <c r="Q18" s="11"/>
      <c r="R18" s="11"/>
      <c r="S18" s="11"/>
      <c r="T18" s="11"/>
      <c r="U18" s="11"/>
    </row>
    <row r="19" spans="1:21" ht="18" customHeight="1" x14ac:dyDescent="0.25">
      <c r="A19" s="17"/>
      <c r="B19" s="29"/>
      <c r="C19" s="47" t="s">
        <v>81</v>
      </c>
      <c r="D19" s="48" t="s">
        <v>59</v>
      </c>
      <c r="E19" s="49">
        <f>0.05/1000</f>
        <v>5.0000000000000002E-5</v>
      </c>
      <c r="F19" s="27">
        <f>F15*E19</f>
        <v>3.0577999999999998E-2</v>
      </c>
      <c r="G19" s="27"/>
      <c r="H19" s="27"/>
      <c r="I19" s="27"/>
      <c r="J19" s="27"/>
      <c r="K19" s="27"/>
      <c r="L19" s="27"/>
      <c r="M19" s="27"/>
      <c r="N19" s="354"/>
      <c r="O19" s="11"/>
      <c r="P19" s="11"/>
      <c r="Q19" s="11"/>
      <c r="R19" s="11"/>
      <c r="S19" s="11"/>
      <c r="T19" s="11"/>
      <c r="U19" s="11"/>
    </row>
    <row r="20" spans="1:21" ht="30" customHeight="1" x14ac:dyDescent="0.25">
      <c r="A20" s="50"/>
      <c r="B20" s="51"/>
      <c r="C20" s="52" t="s">
        <v>30</v>
      </c>
      <c r="D20" s="53" t="s">
        <v>36</v>
      </c>
      <c r="E20" s="54"/>
      <c r="F20" s="2">
        <f>F15*1.8</f>
        <v>1100.808</v>
      </c>
      <c r="G20" s="27"/>
      <c r="H20" s="27"/>
      <c r="I20" s="27"/>
      <c r="J20" s="27"/>
      <c r="K20" s="27"/>
      <c r="L20" s="27"/>
      <c r="M20" s="27"/>
      <c r="N20" s="354"/>
      <c r="O20" s="11"/>
      <c r="P20" s="11"/>
      <c r="Q20" s="11"/>
      <c r="R20" s="11"/>
      <c r="S20" s="11"/>
      <c r="T20" s="11"/>
      <c r="U20" s="11"/>
    </row>
    <row r="21" spans="1:21" ht="19.5" x14ac:dyDescent="0.25">
      <c r="A21" s="50">
        <v>3</v>
      </c>
      <c r="B21" s="55" t="s">
        <v>83</v>
      </c>
      <c r="C21" s="56" t="s">
        <v>84</v>
      </c>
      <c r="D21" s="25" t="s">
        <v>68</v>
      </c>
      <c r="E21" s="57"/>
      <c r="F21" s="6">
        <f>F15</f>
        <v>611.55999999999995</v>
      </c>
      <c r="G21" s="58"/>
      <c r="H21" s="58"/>
      <c r="I21" s="58"/>
      <c r="J21" s="58"/>
      <c r="K21" s="58"/>
      <c r="L21" s="58"/>
      <c r="M21" s="58"/>
      <c r="N21" s="354"/>
      <c r="O21" s="352"/>
      <c r="P21" s="11"/>
      <c r="Q21" s="11"/>
      <c r="R21" s="11"/>
      <c r="S21" s="11"/>
      <c r="T21" s="11"/>
      <c r="U21" s="11"/>
    </row>
    <row r="22" spans="1:21" ht="18" x14ac:dyDescent="0.25">
      <c r="A22" s="50"/>
      <c r="B22" s="59"/>
      <c r="C22" s="60" t="s">
        <v>18</v>
      </c>
      <c r="D22" s="61" t="s">
        <v>19</v>
      </c>
      <c r="E22" s="62">
        <v>3.2299999999999998E-3</v>
      </c>
      <c r="F22" s="63">
        <f>F21*E22</f>
        <v>1.9753387999999996</v>
      </c>
      <c r="G22" s="58"/>
      <c r="H22" s="58"/>
      <c r="I22" s="58"/>
      <c r="J22" s="58"/>
      <c r="K22" s="58"/>
      <c r="L22" s="58"/>
      <c r="M22" s="58"/>
      <c r="N22" s="354"/>
      <c r="O22" s="11"/>
      <c r="P22" s="11"/>
      <c r="Q22" s="11"/>
      <c r="R22" s="11"/>
      <c r="S22" s="11"/>
      <c r="T22" s="11"/>
      <c r="U22" s="11"/>
    </row>
    <row r="23" spans="1:21" ht="18" x14ac:dyDescent="0.25">
      <c r="A23" s="50"/>
      <c r="B23" s="7" t="s">
        <v>85</v>
      </c>
      <c r="C23" s="60" t="s">
        <v>86</v>
      </c>
      <c r="D23" s="61" t="s">
        <v>87</v>
      </c>
      <c r="E23" s="62">
        <v>3.62E-3</v>
      </c>
      <c r="F23" s="63">
        <f>ROUND(F21*E23,2)</f>
        <v>2.21</v>
      </c>
      <c r="G23" s="58"/>
      <c r="H23" s="58"/>
      <c r="I23" s="58"/>
      <c r="J23" s="58"/>
      <c r="K23" s="58"/>
      <c r="L23" s="58"/>
      <c r="M23" s="58"/>
      <c r="N23" s="354"/>
      <c r="O23" s="11"/>
      <c r="P23" s="11"/>
      <c r="Q23" s="11"/>
      <c r="R23" s="11"/>
      <c r="S23" s="11"/>
      <c r="T23" s="11"/>
      <c r="U23" s="11"/>
    </row>
    <row r="24" spans="1:21" ht="18" x14ac:dyDescent="0.25">
      <c r="A24" s="50"/>
      <c r="B24" s="59"/>
      <c r="C24" s="60" t="s">
        <v>29</v>
      </c>
      <c r="D24" s="61" t="s">
        <v>22</v>
      </c>
      <c r="E24" s="62">
        <v>1.8000000000000001E-4</v>
      </c>
      <c r="F24" s="63">
        <f>ROUND(F21*E24,2)</f>
        <v>0.11</v>
      </c>
      <c r="G24" s="58"/>
      <c r="H24" s="58"/>
      <c r="I24" s="58"/>
      <c r="J24" s="58"/>
      <c r="K24" s="58"/>
      <c r="L24" s="58"/>
      <c r="M24" s="58"/>
      <c r="N24" s="354"/>
      <c r="O24" s="11"/>
      <c r="P24" s="11"/>
      <c r="Q24" s="11"/>
      <c r="R24" s="11"/>
      <c r="S24" s="11"/>
      <c r="T24" s="11"/>
      <c r="U24" s="11"/>
    </row>
    <row r="25" spans="1:21" ht="18" x14ac:dyDescent="0.35">
      <c r="A25" s="50"/>
      <c r="B25" s="64"/>
      <c r="C25" s="65" t="s">
        <v>88</v>
      </c>
      <c r="D25" s="61" t="s">
        <v>39</v>
      </c>
      <c r="E25" s="62">
        <v>4.0000000000000003E-5</v>
      </c>
      <c r="F25" s="63">
        <f>ROUND(F21*E25,2)</f>
        <v>0.02</v>
      </c>
      <c r="G25" s="27"/>
      <c r="H25" s="58"/>
      <c r="I25" s="58"/>
      <c r="J25" s="58"/>
      <c r="K25" s="58"/>
      <c r="L25" s="58"/>
      <c r="M25" s="58"/>
      <c r="N25" s="354"/>
      <c r="O25" s="11"/>
      <c r="P25" s="11"/>
      <c r="Q25" s="11"/>
      <c r="R25" s="11"/>
      <c r="S25" s="11"/>
      <c r="T25" s="11"/>
      <c r="U25" s="11"/>
    </row>
    <row r="26" spans="1:21" ht="20.25" customHeight="1" x14ac:dyDescent="0.25">
      <c r="A26" s="22">
        <v>4</v>
      </c>
      <c r="B26" s="36" t="s">
        <v>31</v>
      </c>
      <c r="C26" s="66" t="s">
        <v>32</v>
      </c>
      <c r="D26" s="53" t="s">
        <v>69</v>
      </c>
      <c r="E26" s="54"/>
      <c r="F26" s="2">
        <f>1824*6</f>
        <v>10944</v>
      </c>
      <c r="G26" s="27"/>
      <c r="H26" s="27"/>
      <c r="I26" s="27"/>
      <c r="J26" s="27"/>
      <c r="K26" s="27"/>
      <c r="L26" s="27"/>
      <c r="M26" s="27"/>
      <c r="N26" s="354"/>
      <c r="O26" s="11"/>
      <c r="P26" s="11"/>
      <c r="Q26" s="11"/>
      <c r="R26" s="11"/>
      <c r="S26" s="11"/>
      <c r="T26" s="11"/>
      <c r="U26" s="11"/>
    </row>
    <row r="27" spans="1:21" ht="18" customHeight="1" x14ac:dyDescent="0.25">
      <c r="A27" s="40"/>
      <c r="B27" s="67"/>
      <c r="C27" s="41" t="s">
        <v>34</v>
      </c>
      <c r="D27" s="68" t="s">
        <v>26</v>
      </c>
      <c r="E27" s="69">
        <f>0.4/1000</f>
        <v>4.0000000000000002E-4</v>
      </c>
      <c r="F27" s="27">
        <f>F26*E27</f>
        <v>4.3776000000000002</v>
      </c>
      <c r="G27" s="27"/>
      <c r="H27" s="27"/>
      <c r="I27" s="27"/>
      <c r="J27" s="27"/>
      <c r="K27" s="27"/>
      <c r="L27" s="27"/>
      <c r="M27" s="27"/>
      <c r="N27" s="354"/>
      <c r="O27" s="11"/>
      <c r="P27" s="11"/>
      <c r="Q27" s="11"/>
      <c r="R27" s="11"/>
      <c r="S27" s="11"/>
      <c r="T27" s="11"/>
      <c r="U27" s="11"/>
    </row>
    <row r="28" spans="1:21" ht="18" customHeight="1" x14ac:dyDescent="0.25">
      <c r="A28" s="40"/>
      <c r="B28" s="35"/>
      <c r="C28" s="41" t="s">
        <v>62</v>
      </c>
      <c r="D28" s="14" t="s">
        <v>26</v>
      </c>
      <c r="E28" s="69">
        <f>0.4/1000</f>
        <v>4.0000000000000002E-4</v>
      </c>
      <c r="F28" s="27">
        <f>F26*E28</f>
        <v>4.3776000000000002</v>
      </c>
      <c r="G28" s="27"/>
      <c r="H28" s="27"/>
      <c r="I28" s="27"/>
      <c r="J28" s="27"/>
      <c r="K28" s="27"/>
      <c r="L28" s="27"/>
      <c r="M28" s="27"/>
      <c r="N28" s="354"/>
      <c r="O28" s="11"/>
      <c r="P28" s="11"/>
      <c r="Q28" s="11"/>
      <c r="R28" s="11"/>
      <c r="S28" s="11"/>
      <c r="T28" s="11"/>
      <c r="U28" s="11"/>
    </row>
    <row r="29" spans="1:21" ht="54" x14ac:dyDescent="0.25">
      <c r="A29" s="70">
        <v>5</v>
      </c>
      <c r="B29" s="70" t="s">
        <v>66</v>
      </c>
      <c r="C29" s="71" t="s">
        <v>177</v>
      </c>
      <c r="D29" s="53" t="s">
        <v>70</v>
      </c>
      <c r="E29" s="53"/>
      <c r="F29" s="3">
        <f>537.88/1.22</f>
        <v>440.88524590163934</v>
      </c>
      <c r="G29" s="72"/>
      <c r="H29" s="72"/>
      <c r="I29" s="72"/>
      <c r="J29" s="72"/>
      <c r="K29" s="72"/>
      <c r="L29" s="72"/>
      <c r="M29" s="72"/>
      <c r="N29" s="355"/>
      <c r="O29" s="11"/>
      <c r="P29" s="11"/>
      <c r="Q29" s="11"/>
      <c r="R29" s="11"/>
      <c r="S29" s="11"/>
      <c r="T29" s="11"/>
      <c r="U29" s="11"/>
    </row>
    <row r="30" spans="1:21" ht="18" customHeight="1" x14ac:dyDescent="0.25">
      <c r="A30" s="74"/>
      <c r="B30" s="75"/>
      <c r="C30" s="76" t="s">
        <v>18</v>
      </c>
      <c r="D30" s="48" t="s">
        <v>19</v>
      </c>
      <c r="E30" s="77">
        <f>15/100</f>
        <v>0.15</v>
      </c>
      <c r="F30" s="72">
        <f>F29*E30</f>
        <v>66.132786885245892</v>
      </c>
      <c r="G30" s="72"/>
      <c r="H30" s="72"/>
      <c r="I30" s="72"/>
      <c r="J30" s="27"/>
      <c r="K30" s="72"/>
      <c r="L30" s="72"/>
      <c r="M30" s="27"/>
      <c r="N30" s="355"/>
      <c r="O30" s="11"/>
      <c r="P30" s="11"/>
      <c r="Q30" s="11"/>
      <c r="R30" s="11"/>
      <c r="S30" s="11"/>
      <c r="T30" s="11"/>
      <c r="U30" s="11"/>
    </row>
    <row r="31" spans="1:21" ht="18" x14ac:dyDescent="0.25">
      <c r="A31" s="74"/>
      <c r="B31" s="78"/>
      <c r="C31" s="76" t="s">
        <v>42</v>
      </c>
      <c r="D31" s="48" t="s">
        <v>26</v>
      </c>
      <c r="E31" s="77">
        <f>2.16/100</f>
        <v>2.1600000000000001E-2</v>
      </c>
      <c r="F31" s="72">
        <f>F29*E31</f>
        <v>9.5231213114754105</v>
      </c>
      <c r="G31" s="72"/>
      <c r="H31" s="72"/>
      <c r="I31" s="72"/>
      <c r="J31" s="72"/>
      <c r="K31" s="72"/>
      <c r="L31" s="27"/>
      <c r="M31" s="27"/>
      <c r="N31" s="355"/>
      <c r="O31" s="11"/>
      <c r="P31" s="11"/>
      <c r="Q31" s="11"/>
      <c r="R31" s="11"/>
      <c r="S31" s="11"/>
      <c r="T31" s="11"/>
      <c r="U31" s="11"/>
    </row>
    <row r="32" spans="1:21" ht="18" x14ac:dyDescent="0.25">
      <c r="A32" s="74"/>
      <c r="B32" s="78"/>
      <c r="C32" s="45" t="s">
        <v>76</v>
      </c>
      <c r="D32" s="48" t="s">
        <v>26</v>
      </c>
      <c r="E32" s="77">
        <f>2.73/100</f>
        <v>2.7300000000000001E-2</v>
      </c>
      <c r="F32" s="72">
        <f>E32*F29</f>
        <v>12.036167213114755</v>
      </c>
      <c r="G32" s="72"/>
      <c r="H32" s="72"/>
      <c r="I32" s="72"/>
      <c r="J32" s="72"/>
      <c r="K32" s="72"/>
      <c r="L32" s="27"/>
      <c r="M32" s="27"/>
      <c r="N32" s="355"/>
      <c r="O32" s="11"/>
      <c r="P32" s="11"/>
      <c r="Q32" s="11"/>
      <c r="R32" s="11"/>
      <c r="S32" s="11"/>
      <c r="T32" s="11"/>
      <c r="U32" s="11"/>
    </row>
    <row r="33" spans="1:256" ht="18" x14ac:dyDescent="0.25">
      <c r="A33" s="74"/>
      <c r="B33" s="78"/>
      <c r="C33" s="76" t="s">
        <v>43</v>
      </c>
      <c r="D33" s="48" t="s">
        <v>26</v>
      </c>
      <c r="E33" s="77">
        <f>0.97/100</f>
        <v>9.7000000000000003E-3</v>
      </c>
      <c r="F33" s="72">
        <f>F29*E33</f>
        <v>4.2765868852459015</v>
      </c>
      <c r="G33" s="72"/>
      <c r="H33" s="72"/>
      <c r="I33" s="72"/>
      <c r="J33" s="72"/>
      <c r="K33" s="72"/>
      <c r="L33" s="27"/>
      <c r="M33" s="27"/>
      <c r="N33" s="355"/>
      <c r="O33" s="11"/>
      <c r="P33" s="11"/>
      <c r="Q33" s="11"/>
      <c r="R33" s="11"/>
      <c r="S33" s="11"/>
      <c r="T33" s="11"/>
      <c r="U33" s="11"/>
    </row>
    <row r="34" spans="1:256" ht="18" x14ac:dyDescent="0.25">
      <c r="A34" s="74"/>
      <c r="B34" s="75"/>
      <c r="C34" s="48" t="s">
        <v>35</v>
      </c>
      <c r="D34" s="79"/>
      <c r="E34" s="48"/>
      <c r="F34" s="72"/>
      <c r="G34" s="72"/>
      <c r="H34" s="72"/>
      <c r="I34" s="72"/>
      <c r="J34" s="72"/>
      <c r="K34" s="72"/>
      <c r="L34" s="72"/>
      <c r="M34" s="72"/>
      <c r="N34" s="355"/>
      <c r="O34" s="11"/>
      <c r="P34" s="11"/>
      <c r="Q34" s="11"/>
      <c r="R34" s="11"/>
      <c r="S34" s="11"/>
      <c r="T34" s="11"/>
      <c r="U34" s="11"/>
    </row>
    <row r="35" spans="1:256" ht="54" x14ac:dyDescent="0.25">
      <c r="A35" s="70"/>
      <c r="B35" s="80"/>
      <c r="C35" s="81" t="s">
        <v>63</v>
      </c>
      <c r="D35" s="48" t="s">
        <v>59</v>
      </c>
      <c r="E35" s="48">
        <v>1.22</v>
      </c>
      <c r="F35" s="72">
        <f>F29*E35</f>
        <v>537.88</v>
      </c>
      <c r="G35" s="72"/>
      <c r="H35" s="72"/>
      <c r="I35" s="72"/>
      <c r="J35" s="72"/>
      <c r="K35" s="72"/>
      <c r="L35" s="72"/>
      <c r="M35" s="27"/>
      <c r="N35" s="355"/>
      <c r="O35" s="11"/>
      <c r="P35" s="11"/>
      <c r="Q35" s="11"/>
      <c r="R35" s="11"/>
      <c r="S35" s="11"/>
      <c r="T35" s="11"/>
      <c r="U35" s="11"/>
    </row>
    <row r="36" spans="1:256" ht="18" customHeight="1" x14ac:dyDescent="0.35">
      <c r="A36" s="74"/>
      <c r="B36" s="75"/>
      <c r="C36" s="82" t="s">
        <v>44</v>
      </c>
      <c r="D36" s="48" t="s">
        <v>59</v>
      </c>
      <c r="E36" s="83">
        <v>7.0000000000000007E-2</v>
      </c>
      <c r="F36" s="72">
        <f>F29*E36</f>
        <v>30.861967213114756</v>
      </c>
      <c r="G36" s="27"/>
      <c r="H36" s="72"/>
      <c r="I36" s="72"/>
      <c r="J36" s="72"/>
      <c r="K36" s="72"/>
      <c r="L36" s="72"/>
      <c r="M36" s="27"/>
      <c r="N36" s="355"/>
      <c r="O36" s="11"/>
      <c r="P36" s="11"/>
      <c r="Q36" s="11"/>
      <c r="R36" s="11"/>
      <c r="S36" s="11"/>
      <c r="T36" s="11"/>
      <c r="U36" s="11"/>
    </row>
    <row r="37" spans="1:256" ht="18" customHeight="1" x14ac:dyDescent="0.25">
      <c r="A37" s="17"/>
      <c r="C37" s="84" t="s">
        <v>20</v>
      </c>
      <c r="D37" s="29"/>
      <c r="E37" s="44"/>
      <c r="F37" s="27"/>
      <c r="G37" s="27"/>
      <c r="H37" s="5"/>
      <c r="I37" s="5"/>
      <c r="J37" s="5"/>
      <c r="K37" s="5"/>
      <c r="L37" s="5"/>
      <c r="M37" s="5"/>
      <c r="N37" s="354"/>
      <c r="O37" s="11"/>
      <c r="P37" s="11"/>
      <c r="Q37" s="11"/>
      <c r="R37" s="11"/>
      <c r="S37" s="11"/>
      <c r="T37" s="11"/>
      <c r="U37" s="11"/>
    </row>
    <row r="38" spans="1:256" ht="18" customHeight="1" x14ac:dyDescent="0.25">
      <c r="A38" s="50"/>
      <c r="B38" s="50"/>
      <c r="C38" s="84" t="s">
        <v>37</v>
      </c>
      <c r="D38" s="36" t="s">
        <v>22</v>
      </c>
      <c r="E38" s="50"/>
      <c r="F38" s="27"/>
      <c r="G38" s="5"/>
      <c r="H38" s="322"/>
      <c r="I38" s="5"/>
      <c r="J38" s="322"/>
      <c r="K38" s="5"/>
      <c r="L38" s="322"/>
      <c r="M38" s="322"/>
      <c r="N38" s="354"/>
      <c r="O38" s="11"/>
      <c r="P38" s="11"/>
      <c r="Q38" s="11"/>
      <c r="R38" s="11"/>
      <c r="S38" s="11"/>
      <c r="T38" s="11"/>
      <c r="U38" s="11"/>
    </row>
    <row r="39" spans="1:256" ht="18" customHeight="1" x14ac:dyDescent="0.25">
      <c r="A39" s="50"/>
      <c r="B39" s="85"/>
      <c r="C39" s="19" t="s">
        <v>89</v>
      </c>
      <c r="D39" s="86"/>
      <c r="E39" s="48"/>
      <c r="F39" s="87"/>
      <c r="G39" s="5"/>
      <c r="H39" s="5"/>
      <c r="I39" s="5"/>
      <c r="J39" s="5"/>
      <c r="K39" s="5"/>
      <c r="L39" s="5"/>
      <c r="M39" s="5"/>
      <c r="N39" s="354"/>
      <c r="O39" s="11"/>
      <c r="P39" s="11"/>
      <c r="Q39" s="11"/>
      <c r="R39" s="11"/>
      <c r="S39" s="11"/>
      <c r="T39" s="11"/>
      <c r="U39" s="1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18" x14ac:dyDescent="0.25">
      <c r="A40" s="88"/>
      <c r="B40" s="70"/>
      <c r="C40" s="89" t="s">
        <v>162</v>
      </c>
      <c r="D40" s="90"/>
      <c r="E40" s="48"/>
      <c r="F40" s="91"/>
      <c r="G40" s="92"/>
      <c r="H40" s="93"/>
      <c r="I40" s="92"/>
      <c r="J40" s="93"/>
      <c r="K40" s="92"/>
      <c r="L40" s="93"/>
      <c r="M40" s="94"/>
      <c r="N40" s="354"/>
      <c r="O40" s="11"/>
      <c r="P40" s="11"/>
      <c r="Q40" s="11"/>
      <c r="R40" s="11"/>
      <c r="S40" s="11"/>
      <c r="T40" s="11"/>
      <c r="U40" s="1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36" x14ac:dyDescent="0.25">
      <c r="A41" s="95">
        <v>1</v>
      </c>
      <c r="B41" s="70" t="s">
        <v>95</v>
      </c>
      <c r="C41" s="104" t="s">
        <v>165</v>
      </c>
      <c r="D41" s="101" t="s">
        <v>96</v>
      </c>
      <c r="E41" s="48"/>
      <c r="F41" s="98">
        <f>0.6+2.51</f>
        <v>3.11</v>
      </c>
      <c r="G41" s="27"/>
      <c r="H41" s="27"/>
      <c r="I41" s="27"/>
      <c r="J41" s="27"/>
      <c r="K41" s="27"/>
      <c r="L41" s="27"/>
      <c r="M41" s="27"/>
      <c r="N41" s="354"/>
      <c r="O41" s="11"/>
      <c r="P41" s="11"/>
      <c r="Q41" s="11"/>
      <c r="R41" s="11"/>
      <c r="S41" s="11"/>
      <c r="T41" s="11"/>
      <c r="U41" s="11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18" customHeight="1" x14ac:dyDescent="0.25">
      <c r="A42" s="99"/>
      <c r="B42" s="70"/>
      <c r="C42" s="105" t="s">
        <v>18</v>
      </c>
      <c r="D42" s="106" t="s">
        <v>19</v>
      </c>
      <c r="E42" s="83">
        <f t="shared" ref="E42" si="0">206/100</f>
        <v>2.06</v>
      </c>
      <c r="F42" s="87">
        <f>F41*E42</f>
        <v>6.4066000000000001</v>
      </c>
      <c r="G42" s="27"/>
      <c r="H42" s="27"/>
      <c r="I42" s="27"/>
      <c r="J42" s="27"/>
      <c r="K42" s="27"/>
      <c r="L42" s="27"/>
      <c r="M42" s="27"/>
      <c r="N42" s="354"/>
      <c r="O42" s="11"/>
      <c r="P42" s="11"/>
      <c r="Q42" s="11"/>
      <c r="R42" s="11"/>
      <c r="S42" s="11"/>
      <c r="T42" s="11"/>
      <c r="U42" s="11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ht="36" customHeight="1" x14ac:dyDescent="0.25">
      <c r="A43" s="107">
        <v>2</v>
      </c>
      <c r="B43" s="70" t="s">
        <v>91</v>
      </c>
      <c r="C43" s="104" t="s">
        <v>166</v>
      </c>
      <c r="D43" s="101" t="s">
        <v>96</v>
      </c>
      <c r="E43" s="83"/>
      <c r="F43" s="98">
        <f>F41</f>
        <v>3.11</v>
      </c>
      <c r="G43" s="27"/>
      <c r="H43" s="27"/>
      <c r="I43" s="27"/>
      <c r="J43" s="27"/>
      <c r="K43" s="27"/>
      <c r="L43" s="27"/>
      <c r="M43" s="27"/>
      <c r="N43" s="354"/>
      <c r="O43" s="11"/>
      <c r="P43" s="11"/>
      <c r="Q43" s="11"/>
      <c r="R43" s="11"/>
      <c r="S43" s="11"/>
      <c r="T43" s="11"/>
      <c r="U43" s="11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8" customHeight="1" x14ac:dyDescent="0.25">
      <c r="A44" s="99"/>
      <c r="B44" s="70"/>
      <c r="C44" s="100" t="s">
        <v>18</v>
      </c>
      <c r="D44" s="101" t="s">
        <v>19</v>
      </c>
      <c r="E44" s="83">
        <f t="shared" ref="E44" si="1">34/1000</f>
        <v>3.4000000000000002E-2</v>
      </c>
      <c r="F44" s="87">
        <f>F43*E44</f>
        <v>0.10574</v>
      </c>
      <c r="G44" s="27"/>
      <c r="H44" s="27"/>
      <c r="I44" s="27"/>
      <c r="J44" s="27"/>
      <c r="K44" s="27"/>
      <c r="L44" s="27"/>
      <c r="M44" s="27"/>
      <c r="N44" s="354"/>
      <c r="O44" s="11"/>
      <c r="P44" s="11"/>
      <c r="Q44" s="11"/>
      <c r="R44" s="11"/>
      <c r="S44" s="11"/>
      <c r="T44" s="11"/>
      <c r="U44" s="11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37.5" customHeight="1" x14ac:dyDescent="0.25">
      <c r="A45" s="99"/>
      <c r="B45" s="7" t="s">
        <v>150</v>
      </c>
      <c r="C45" s="102" t="s">
        <v>94</v>
      </c>
      <c r="D45" s="101" t="s">
        <v>26</v>
      </c>
      <c r="E45" s="83">
        <f t="shared" ref="E45" si="2">83.3/1000</f>
        <v>8.3299999999999999E-2</v>
      </c>
      <c r="F45" s="87">
        <f>F43*E45</f>
        <v>0.25906299999999999</v>
      </c>
      <c r="G45" s="27"/>
      <c r="H45" s="27"/>
      <c r="I45" s="27"/>
      <c r="J45" s="27"/>
      <c r="K45" s="27"/>
      <c r="L45" s="27"/>
      <c r="M45" s="27"/>
      <c r="N45" s="354"/>
      <c r="O45" s="11"/>
      <c r="P45" s="11"/>
      <c r="Q45" s="11"/>
      <c r="R45" s="11"/>
      <c r="S45" s="11"/>
      <c r="T45" s="11"/>
      <c r="U45" s="11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18" customHeight="1" x14ac:dyDescent="0.35">
      <c r="A46" s="99"/>
      <c r="B46" s="70"/>
      <c r="C46" s="100" t="s">
        <v>29</v>
      </c>
      <c r="D46" s="108" t="s">
        <v>22</v>
      </c>
      <c r="E46" s="83">
        <f t="shared" ref="E46" si="3">5.63/1000</f>
        <v>5.6299999999999996E-3</v>
      </c>
      <c r="F46" s="87">
        <f>F43*E46</f>
        <v>1.7509299999999998E-2</v>
      </c>
      <c r="G46" s="27"/>
      <c r="H46" s="27"/>
      <c r="I46" s="27"/>
      <c r="J46" s="27"/>
      <c r="K46" s="27"/>
      <c r="L46" s="27"/>
      <c r="M46" s="27"/>
      <c r="N46" s="354"/>
      <c r="O46" s="11"/>
      <c r="P46" s="11"/>
      <c r="Q46" s="11"/>
      <c r="R46" s="11"/>
      <c r="S46" s="11"/>
      <c r="T46" s="11"/>
      <c r="U46" s="11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ht="36" x14ac:dyDescent="0.25">
      <c r="A47" s="99"/>
      <c r="B47" s="80" t="s">
        <v>151</v>
      </c>
      <c r="C47" s="104" t="s">
        <v>167</v>
      </c>
      <c r="D47" s="97" t="s">
        <v>36</v>
      </c>
      <c r="E47" s="48"/>
      <c r="F47" s="98">
        <f>(F37+F41)*1.8</f>
        <v>5.5979999999999999</v>
      </c>
      <c r="G47" s="27"/>
      <c r="H47" s="27"/>
      <c r="I47" s="27"/>
      <c r="J47" s="27"/>
      <c r="K47" s="27"/>
      <c r="L47" s="27"/>
      <c r="M47" s="27"/>
      <c r="N47" s="354"/>
      <c r="O47" s="11"/>
      <c r="P47" s="11"/>
      <c r="Q47" s="11"/>
      <c r="R47" s="11"/>
      <c r="S47" s="11"/>
      <c r="T47" s="11"/>
      <c r="U47" s="11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ht="49.5" customHeight="1" x14ac:dyDescent="0.25">
      <c r="A48" s="88"/>
      <c r="B48" s="70"/>
      <c r="C48" s="89" t="s">
        <v>90</v>
      </c>
      <c r="D48" s="90"/>
      <c r="E48" s="48"/>
      <c r="F48" s="91"/>
      <c r="G48" s="92"/>
      <c r="H48" s="93"/>
      <c r="I48" s="92"/>
      <c r="J48" s="93"/>
      <c r="K48" s="92"/>
      <c r="L48" s="93"/>
      <c r="M48" s="94"/>
      <c r="N48" s="354"/>
      <c r="O48" s="11"/>
      <c r="P48" s="11"/>
      <c r="Q48" s="11"/>
      <c r="R48" s="11"/>
      <c r="S48" s="11"/>
      <c r="T48" s="11"/>
      <c r="U48" s="11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ht="72" x14ac:dyDescent="0.35">
      <c r="A49" s="95">
        <v>1</v>
      </c>
      <c r="B49" s="70" t="s">
        <v>91</v>
      </c>
      <c r="C49" s="96" t="s">
        <v>168</v>
      </c>
      <c r="D49" s="97" t="s">
        <v>93</v>
      </c>
      <c r="E49" s="48"/>
      <c r="F49" s="98">
        <f>1.5*2*5+1.5*0.9*7</f>
        <v>24.450000000000003</v>
      </c>
      <c r="G49" s="27"/>
      <c r="H49" s="27"/>
      <c r="I49" s="27"/>
      <c r="J49" s="27"/>
      <c r="K49" s="27"/>
      <c r="L49" s="27"/>
      <c r="M49" s="27"/>
      <c r="N49" s="354"/>
      <c r="O49" s="11"/>
      <c r="P49" s="11"/>
      <c r="Q49" s="11"/>
      <c r="R49" s="11"/>
      <c r="S49" s="11"/>
      <c r="T49" s="11"/>
      <c r="U49" s="11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1:256" ht="18" customHeight="1" x14ac:dyDescent="0.25">
      <c r="A50" s="99"/>
      <c r="B50" s="70"/>
      <c r="C50" s="100" t="s">
        <v>18</v>
      </c>
      <c r="D50" s="101" t="s">
        <v>19</v>
      </c>
      <c r="E50" s="83">
        <f t="shared" ref="E50" si="4">34/1000</f>
        <v>3.4000000000000002E-2</v>
      </c>
      <c r="F50" s="87">
        <f>F49*E50</f>
        <v>0.83130000000000015</v>
      </c>
      <c r="G50" s="27"/>
      <c r="H50" s="27"/>
      <c r="I50" s="27"/>
      <c r="J50" s="27"/>
      <c r="K50" s="27"/>
      <c r="L50" s="27"/>
      <c r="M50" s="27"/>
      <c r="N50" s="354"/>
      <c r="O50" s="11"/>
      <c r="P50" s="11"/>
      <c r="Q50" s="11"/>
      <c r="R50" s="11"/>
      <c r="S50" s="11"/>
      <c r="T50" s="11"/>
      <c r="U50" s="11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ht="37.5" customHeight="1" x14ac:dyDescent="0.25">
      <c r="A51" s="99"/>
      <c r="B51" s="7" t="s">
        <v>150</v>
      </c>
      <c r="C51" s="102" t="s">
        <v>94</v>
      </c>
      <c r="D51" s="101" t="s">
        <v>26</v>
      </c>
      <c r="E51" s="83">
        <f t="shared" ref="E51" si="5">83.3/1000</f>
        <v>8.3299999999999999E-2</v>
      </c>
      <c r="F51" s="87">
        <f>F49*E51</f>
        <v>2.0366850000000003</v>
      </c>
      <c r="G51" s="27"/>
      <c r="H51" s="27"/>
      <c r="I51" s="27"/>
      <c r="J51" s="27"/>
      <c r="K51" s="27"/>
      <c r="L51" s="27"/>
      <c r="M51" s="27"/>
      <c r="N51" s="354"/>
      <c r="O51" s="11"/>
      <c r="P51" s="11"/>
      <c r="Q51" s="11"/>
      <c r="R51" s="11"/>
      <c r="S51" s="11"/>
      <c r="T51" s="11"/>
      <c r="U51" s="11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ht="18" customHeight="1" x14ac:dyDescent="0.35">
      <c r="A52" s="99"/>
      <c r="B52" s="70"/>
      <c r="C52" s="103" t="s">
        <v>29</v>
      </c>
      <c r="D52" s="101" t="s">
        <v>22</v>
      </c>
      <c r="E52" s="83">
        <f t="shared" ref="E52" si="6">5.63/1000</f>
        <v>5.6299999999999996E-3</v>
      </c>
      <c r="F52" s="87">
        <f>F49*E52</f>
        <v>0.13765350000000001</v>
      </c>
      <c r="G52" s="27"/>
      <c r="H52" s="27"/>
      <c r="I52" s="27"/>
      <c r="J52" s="27"/>
      <c r="K52" s="27"/>
      <c r="L52" s="27"/>
      <c r="M52" s="27"/>
      <c r="N52" s="354"/>
      <c r="O52" s="11"/>
      <c r="P52" s="11"/>
      <c r="Q52" s="11"/>
      <c r="R52" s="11"/>
      <c r="S52" s="11"/>
      <c r="T52" s="11"/>
      <c r="U52" s="11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ht="51.6" customHeight="1" x14ac:dyDescent="0.25">
      <c r="A53" s="95">
        <v>2</v>
      </c>
      <c r="B53" s="70" t="s">
        <v>95</v>
      </c>
      <c r="C53" s="104" t="s">
        <v>163</v>
      </c>
      <c r="D53" s="101" t="s">
        <v>96</v>
      </c>
      <c r="E53" s="83"/>
      <c r="F53" s="98">
        <f>F49*10/100</f>
        <v>2.4450000000000003</v>
      </c>
      <c r="G53" s="27"/>
      <c r="H53" s="27"/>
      <c r="I53" s="27"/>
      <c r="J53" s="27"/>
      <c r="K53" s="27"/>
      <c r="L53" s="27"/>
      <c r="M53" s="27"/>
      <c r="N53" s="354"/>
      <c r="O53" s="11"/>
      <c r="P53" s="11"/>
      <c r="Q53" s="11"/>
      <c r="R53" s="11"/>
      <c r="S53" s="11"/>
      <c r="T53" s="11"/>
      <c r="U53" s="11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ht="18" customHeight="1" x14ac:dyDescent="0.25">
      <c r="A54" s="99"/>
      <c r="B54" s="70"/>
      <c r="C54" s="105" t="s">
        <v>18</v>
      </c>
      <c r="D54" s="106" t="s">
        <v>19</v>
      </c>
      <c r="E54" s="267">
        <f t="shared" ref="E54" si="7">206/100</f>
        <v>2.06</v>
      </c>
      <c r="F54" s="87">
        <f>F53*E54</f>
        <v>5.0367000000000006</v>
      </c>
      <c r="G54" s="27"/>
      <c r="H54" s="27"/>
      <c r="I54" s="27"/>
      <c r="J54" s="27"/>
      <c r="K54" s="27"/>
      <c r="L54" s="27"/>
      <c r="M54" s="27"/>
      <c r="N54" s="354"/>
      <c r="O54" s="11"/>
      <c r="P54" s="11"/>
      <c r="Q54" s="11"/>
      <c r="R54" s="11"/>
      <c r="S54" s="11"/>
      <c r="T54" s="11"/>
      <c r="U54" s="11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ht="39" customHeight="1" x14ac:dyDescent="0.25">
      <c r="A55" s="107">
        <v>3</v>
      </c>
      <c r="B55" s="311" t="s">
        <v>174</v>
      </c>
      <c r="C55" s="310" t="s">
        <v>173</v>
      </c>
      <c r="D55" s="101" t="s">
        <v>96</v>
      </c>
      <c r="E55" s="267"/>
      <c r="F55" s="98">
        <f>F53</f>
        <v>2.4450000000000003</v>
      </c>
      <c r="G55" s="27"/>
      <c r="H55" s="27"/>
      <c r="I55" s="27"/>
      <c r="J55" s="27"/>
      <c r="K55" s="27"/>
      <c r="L55" s="27"/>
      <c r="M55" s="27"/>
      <c r="N55" s="354"/>
      <c r="O55" s="11"/>
      <c r="P55" s="11"/>
      <c r="Q55" s="11"/>
      <c r="R55" s="11"/>
      <c r="S55" s="11"/>
      <c r="T55" s="11"/>
      <c r="U55" s="11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ht="28.9" customHeight="1" x14ac:dyDescent="0.25">
      <c r="A56" s="99"/>
      <c r="B56" s="70"/>
      <c r="C56" s="105" t="s">
        <v>18</v>
      </c>
      <c r="D56" s="302" t="s">
        <v>172</v>
      </c>
      <c r="E56" s="303">
        <v>0.87</v>
      </c>
      <c r="F56" s="303">
        <f>F55*E56</f>
        <v>2.1271500000000003</v>
      </c>
      <c r="G56" s="303"/>
      <c r="H56" s="303"/>
      <c r="I56" s="304"/>
      <c r="J56" s="303"/>
      <c r="K56" s="305"/>
      <c r="L56" s="303"/>
      <c r="M56" s="303"/>
      <c r="N56" s="354"/>
      <c r="O56" s="11"/>
      <c r="P56" s="11"/>
      <c r="Q56" s="11"/>
      <c r="R56" s="11"/>
      <c r="S56" s="11"/>
      <c r="T56" s="11"/>
      <c r="U56" s="11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ht="30" x14ac:dyDescent="0.25">
      <c r="A57" s="99"/>
      <c r="B57" s="80" t="s">
        <v>151</v>
      </c>
      <c r="C57" s="104" t="s">
        <v>30</v>
      </c>
      <c r="D57" s="97" t="s">
        <v>36</v>
      </c>
      <c r="E57" s="48"/>
      <c r="F57" s="98">
        <f>(F49+F55)*1.8</f>
        <v>48.411000000000008</v>
      </c>
      <c r="G57" s="27"/>
      <c r="H57" s="27"/>
      <c r="I57" s="27"/>
      <c r="J57" s="27"/>
      <c r="K57" s="27"/>
      <c r="L57" s="27"/>
      <c r="M57" s="27"/>
      <c r="N57" s="354"/>
      <c r="O57" s="11"/>
      <c r="P57" s="11"/>
      <c r="Q57" s="11"/>
      <c r="R57" s="11"/>
      <c r="S57" s="11"/>
      <c r="T57" s="11"/>
      <c r="U57" s="11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ht="19.5" x14ac:dyDescent="0.25">
      <c r="A58" s="99"/>
      <c r="B58" s="55" t="s">
        <v>83</v>
      </c>
      <c r="C58" s="295" t="s">
        <v>84</v>
      </c>
      <c r="D58" s="25" t="s">
        <v>68</v>
      </c>
      <c r="E58" s="57"/>
      <c r="F58" s="294">
        <f>F49+F53</f>
        <v>26.895000000000003</v>
      </c>
      <c r="G58" s="58"/>
      <c r="H58" s="58"/>
      <c r="I58" s="58"/>
      <c r="J58" s="58"/>
      <c r="K58" s="58"/>
      <c r="L58" s="58"/>
      <c r="M58" s="58"/>
      <c r="N58" s="354"/>
      <c r="O58" s="11"/>
      <c r="P58" s="11"/>
      <c r="Q58" s="11"/>
      <c r="R58" s="11"/>
      <c r="S58" s="11"/>
      <c r="T58" s="11"/>
      <c r="U58" s="11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ht="18" x14ac:dyDescent="0.25">
      <c r="A59" s="99"/>
      <c r="B59" s="59"/>
      <c r="C59" s="60" t="s">
        <v>18</v>
      </c>
      <c r="D59" s="61" t="s">
        <v>19</v>
      </c>
      <c r="E59" s="62">
        <v>3.2299999999999998E-3</v>
      </c>
      <c r="F59" s="63">
        <f>F58*E59</f>
        <v>8.6870849999999999E-2</v>
      </c>
      <c r="G59" s="58"/>
      <c r="H59" s="58"/>
      <c r="I59" s="58"/>
      <c r="J59" s="58"/>
      <c r="K59" s="58"/>
      <c r="L59" s="58"/>
      <c r="M59" s="58"/>
      <c r="N59" s="354"/>
      <c r="O59" s="11"/>
      <c r="P59" s="11"/>
      <c r="Q59" s="11"/>
      <c r="R59" s="11"/>
      <c r="S59" s="11"/>
      <c r="T59" s="11"/>
      <c r="U59" s="11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ht="18" x14ac:dyDescent="0.25">
      <c r="A60" s="99"/>
      <c r="B60" s="7" t="s">
        <v>85</v>
      </c>
      <c r="C60" s="60" t="s">
        <v>86</v>
      </c>
      <c r="D60" s="61" t="s">
        <v>87</v>
      </c>
      <c r="E60" s="62">
        <v>3.62E-3</v>
      </c>
      <c r="F60" s="63">
        <f>ROUND(F58*E60,2)</f>
        <v>0.1</v>
      </c>
      <c r="G60" s="58"/>
      <c r="H60" s="58"/>
      <c r="I60" s="58"/>
      <c r="J60" s="58"/>
      <c r="K60" s="58"/>
      <c r="L60" s="58"/>
      <c r="M60" s="58"/>
      <c r="N60" s="354"/>
      <c r="O60" s="11"/>
      <c r="P60" s="11"/>
      <c r="Q60" s="11"/>
      <c r="R60" s="11"/>
      <c r="S60" s="11"/>
      <c r="T60" s="11"/>
      <c r="U60" s="11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ht="18" x14ac:dyDescent="0.25">
      <c r="A61" s="99"/>
      <c r="B61" s="59"/>
      <c r="C61" s="60" t="s">
        <v>29</v>
      </c>
      <c r="D61" s="61" t="s">
        <v>22</v>
      </c>
      <c r="E61" s="62">
        <v>1.8000000000000001E-4</v>
      </c>
      <c r="F61" s="63">
        <f>ROUND(F58*E61,2)</f>
        <v>0</v>
      </c>
      <c r="G61" s="58"/>
      <c r="H61" s="58"/>
      <c r="I61" s="58"/>
      <c r="J61" s="58"/>
      <c r="K61" s="58"/>
      <c r="L61" s="58"/>
      <c r="M61" s="58"/>
      <c r="N61" s="354"/>
      <c r="O61" s="11"/>
      <c r="P61" s="11"/>
      <c r="Q61" s="11"/>
      <c r="R61" s="11"/>
      <c r="S61" s="11"/>
      <c r="T61" s="11"/>
      <c r="U61" s="11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ht="18" x14ac:dyDescent="0.35">
      <c r="A62" s="99"/>
      <c r="B62" s="64"/>
      <c r="C62" s="65" t="s">
        <v>88</v>
      </c>
      <c r="D62" s="61" t="s">
        <v>39</v>
      </c>
      <c r="E62" s="62">
        <v>4.0000000000000003E-5</v>
      </c>
      <c r="F62" s="63">
        <f>ROUND(F58*E62,2)</f>
        <v>0</v>
      </c>
      <c r="G62" s="27"/>
      <c r="H62" s="58"/>
      <c r="I62" s="58"/>
      <c r="J62" s="58"/>
      <c r="K62" s="58"/>
      <c r="L62" s="58"/>
      <c r="M62" s="58"/>
      <c r="N62" s="354"/>
      <c r="O62" s="11"/>
      <c r="P62" s="11"/>
      <c r="Q62" s="11"/>
      <c r="R62" s="11"/>
      <c r="S62" s="11"/>
      <c r="T62" s="11"/>
      <c r="U62" s="11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ht="49.5" x14ac:dyDescent="0.25">
      <c r="A63" s="95">
        <v>4</v>
      </c>
      <c r="B63" s="70" t="s">
        <v>98</v>
      </c>
      <c r="C63" s="109" t="s">
        <v>143</v>
      </c>
      <c r="D63" s="269" t="s">
        <v>99</v>
      </c>
      <c r="E63" s="48"/>
      <c r="F63" s="98">
        <f>0.28*5</f>
        <v>1.4000000000000001</v>
      </c>
      <c r="G63" s="27"/>
      <c r="H63" s="27"/>
      <c r="I63" s="27"/>
      <c r="J63" s="27"/>
      <c r="K63" s="27"/>
      <c r="L63" s="27"/>
      <c r="M63" s="27"/>
      <c r="N63" s="354"/>
      <c r="O63" s="11"/>
      <c r="P63" s="11"/>
      <c r="Q63" s="11"/>
      <c r="R63" s="11"/>
      <c r="S63" s="11"/>
      <c r="T63" s="11"/>
      <c r="U63" s="11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ht="18" customHeight="1" x14ac:dyDescent="0.25">
      <c r="A64" s="99"/>
      <c r="B64" s="70"/>
      <c r="C64" s="100" t="s">
        <v>18</v>
      </c>
      <c r="D64" s="101" t="s">
        <v>19</v>
      </c>
      <c r="E64" s="83">
        <f>4.51/1</f>
        <v>4.51</v>
      </c>
      <c r="F64" s="87">
        <f>F63*E64</f>
        <v>6.3140000000000001</v>
      </c>
      <c r="G64" s="27"/>
      <c r="H64" s="27"/>
      <c r="I64" s="27"/>
      <c r="J64" s="27"/>
      <c r="K64" s="27"/>
      <c r="L64" s="27"/>
      <c r="M64" s="27"/>
      <c r="N64" s="354"/>
      <c r="O64" s="11"/>
      <c r="P64" s="11"/>
      <c r="Q64" s="11"/>
      <c r="R64" s="11"/>
      <c r="S64" s="11"/>
      <c r="T64" s="11"/>
      <c r="U64" s="11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ht="18" customHeight="1" x14ac:dyDescent="0.35">
      <c r="A65" s="99"/>
      <c r="B65" s="110" t="s">
        <v>148</v>
      </c>
      <c r="C65" s="103" t="s">
        <v>100</v>
      </c>
      <c r="D65" s="101" t="s">
        <v>26</v>
      </c>
      <c r="E65" s="83">
        <f>0.54/1</f>
        <v>0.54</v>
      </c>
      <c r="F65" s="87">
        <f>F63*E65</f>
        <v>0.75600000000000012</v>
      </c>
      <c r="G65" s="27"/>
      <c r="H65" s="27"/>
      <c r="I65" s="27"/>
      <c r="J65" s="27"/>
      <c r="K65" s="27"/>
      <c r="L65" s="27"/>
      <c r="M65" s="27"/>
      <c r="N65" s="354"/>
      <c r="O65" s="11"/>
      <c r="P65" s="11"/>
      <c r="Q65" s="11"/>
      <c r="R65" s="11"/>
      <c r="S65" s="11"/>
      <c r="T65" s="11"/>
      <c r="U65" s="11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ht="18" customHeight="1" x14ac:dyDescent="0.35">
      <c r="A66" s="99"/>
      <c r="B66" s="70"/>
      <c r="C66" s="103" t="s">
        <v>38</v>
      </c>
      <c r="D66" s="101" t="s">
        <v>22</v>
      </c>
      <c r="E66" s="83">
        <f>10.4/1</f>
        <v>10.4</v>
      </c>
      <c r="F66" s="87">
        <v>316.16000000000003</v>
      </c>
      <c r="G66" s="27"/>
      <c r="H66" s="27"/>
      <c r="I66" s="27"/>
      <c r="J66" s="27"/>
      <c r="K66" s="27"/>
      <c r="L66" s="27"/>
      <c r="M66" s="27"/>
      <c r="N66" s="354"/>
      <c r="O66" s="11"/>
      <c r="P66" s="11"/>
      <c r="Q66" s="11"/>
      <c r="R66" s="11"/>
      <c r="S66" s="11"/>
      <c r="T66" s="11"/>
      <c r="U66" s="11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ht="18" customHeight="1" x14ac:dyDescent="0.25">
      <c r="A67" s="99"/>
      <c r="B67" s="70"/>
      <c r="C67" s="111" t="s">
        <v>35</v>
      </c>
      <c r="D67" s="112"/>
      <c r="E67" s="83"/>
      <c r="F67" s="87"/>
      <c r="G67" s="27"/>
      <c r="H67" s="27"/>
      <c r="I67" s="27"/>
      <c r="J67" s="27"/>
      <c r="K67" s="27"/>
      <c r="L67" s="27"/>
      <c r="M67" s="27"/>
      <c r="N67" s="354"/>
      <c r="O67" s="11"/>
      <c r="P67" s="11"/>
      <c r="Q67" s="11"/>
      <c r="R67" s="11"/>
      <c r="S67" s="11"/>
      <c r="T67" s="11"/>
      <c r="U67" s="11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ht="37.5" customHeight="1" x14ac:dyDescent="0.25">
      <c r="A68" s="99"/>
      <c r="B68" s="80" t="s">
        <v>151</v>
      </c>
      <c r="C68" s="268" t="s">
        <v>101</v>
      </c>
      <c r="D68" s="270" t="s">
        <v>36</v>
      </c>
      <c r="E68" s="48"/>
      <c r="F68" s="87">
        <f>F63*2.4</f>
        <v>3.3600000000000003</v>
      </c>
      <c r="G68" s="27"/>
      <c r="H68" s="27"/>
      <c r="I68" s="27"/>
      <c r="J68" s="27"/>
      <c r="K68" s="27"/>
      <c r="L68" s="27"/>
      <c r="M68" s="27"/>
      <c r="N68" s="354"/>
      <c r="O68" s="11"/>
      <c r="P68" s="11"/>
      <c r="Q68" s="11"/>
      <c r="R68" s="11"/>
      <c r="S68" s="11"/>
      <c r="T68" s="11"/>
      <c r="U68" s="11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ht="49.5" x14ac:dyDescent="0.25">
      <c r="A69" s="95">
        <v>5</v>
      </c>
      <c r="B69" s="70" t="s">
        <v>98</v>
      </c>
      <c r="C69" s="109" t="s">
        <v>142</v>
      </c>
      <c r="D69" s="269" t="s">
        <v>99</v>
      </c>
      <c r="E69" s="48"/>
      <c r="F69" s="98">
        <f>0.13*7</f>
        <v>0.91</v>
      </c>
      <c r="G69" s="27"/>
      <c r="H69" s="27"/>
      <c r="I69" s="27"/>
      <c r="J69" s="27"/>
      <c r="K69" s="27"/>
      <c r="L69" s="27"/>
      <c r="M69" s="27"/>
      <c r="N69" s="354"/>
      <c r="O69" s="11"/>
      <c r="P69" s="11"/>
      <c r="Q69" s="11"/>
      <c r="R69" s="11"/>
      <c r="S69" s="11"/>
      <c r="T69" s="11"/>
      <c r="U69" s="11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1:256" ht="18" customHeight="1" x14ac:dyDescent="0.25">
      <c r="A70" s="99"/>
      <c r="B70" s="70"/>
      <c r="C70" s="100" t="s">
        <v>18</v>
      </c>
      <c r="D70" s="101" t="s">
        <v>19</v>
      </c>
      <c r="E70" s="83">
        <f>4.51/1</f>
        <v>4.51</v>
      </c>
      <c r="F70" s="87">
        <f>F69*E70</f>
        <v>4.1040999999999999</v>
      </c>
      <c r="G70" s="27"/>
      <c r="H70" s="27"/>
      <c r="I70" s="27"/>
      <c r="J70" s="27"/>
      <c r="K70" s="27"/>
      <c r="L70" s="27"/>
      <c r="M70" s="27"/>
      <c r="N70" s="354"/>
      <c r="O70" s="11"/>
      <c r="P70" s="11"/>
      <c r="Q70" s="11"/>
      <c r="R70" s="11"/>
      <c r="S70" s="11"/>
      <c r="T70" s="11"/>
      <c r="U70" s="11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ht="18" customHeight="1" x14ac:dyDescent="0.35">
      <c r="A71" s="99"/>
      <c r="B71" s="110" t="s">
        <v>148</v>
      </c>
      <c r="C71" s="103" t="s">
        <v>100</v>
      </c>
      <c r="D71" s="101" t="s">
        <v>26</v>
      </c>
      <c r="E71" s="83">
        <f>0.54/1</f>
        <v>0.54</v>
      </c>
      <c r="F71" s="87">
        <f>F69*E71</f>
        <v>0.49140000000000006</v>
      </c>
      <c r="G71" s="27"/>
      <c r="H71" s="27"/>
      <c r="I71" s="27"/>
      <c r="J71" s="27"/>
      <c r="K71" s="27"/>
      <c r="L71" s="27"/>
      <c r="M71" s="27"/>
      <c r="N71" s="354"/>
      <c r="O71" s="11"/>
      <c r="P71" s="11"/>
      <c r="Q71" s="11"/>
      <c r="R71" s="11"/>
      <c r="S71" s="11"/>
      <c r="T71" s="11"/>
      <c r="U71" s="11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ht="18" customHeight="1" x14ac:dyDescent="0.35">
      <c r="A72" s="99"/>
      <c r="B72" s="70"/>
      <c r="C72" s="103" t="s">
        <v>38</v>
      </c>
      <c r="D72" s="101" t="s">
        <v>22</v>
      </c>
      <c r="E72" s="83">
        <f>10.4/1</f>
        <v>10.4</v>
      </c>
      <c r="F72" s="87">
        <v>316.16000000000003</v>
      </c>
      <c r="G72" s="27"/>
      <c r="H72" s="27"/>
      <c r="I72" s="27"/>
      <c r="J72" s="27"/>
      <c r="K72" s="27"/>
      <c r="L72" s="27"/>
      <c r="M72" s="27"/>
      <c r="N72" s="354"/>
      <c r="O72" s="11"/>
      <c r="P72" s="11"/>
      <c r="Q72" s="11"/>
      <c r="R72" s="11"/>
      <c r="S72" s="11"/>
      <c r="T72" s="11"/>
      <c r="U72" s="11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ht="18" customHeight="1" x14ac:dyDescent="0.25">
      <c r="A73" s="99"/>
      <c r="B73" s="70"/>
      <c r="C73" s="111" t="s">
        <v>35</v>
      </c>
      <c r="D73" s="112"/>
      <c r="E73" s="83"/>
      <c r="F73" s="87"/>
      <c r="G73" s="27"/>
      <c r="H73" s="27"/>
      <c r="I73" s="27"/>
      <c r="J73" s="27"/>
      <c r="K73" s="27"/>
      <c r="L73" s="27"/>
      <c r="M73" s="27"/>
      <c r="N73" s="354"/>
      <c r="O73" s="11"/>
      <c r="P73" s="11"/>
      <c r="Q73" s="11"/>
      <c r="R73" s="11"/>
      <c r="S73" s="11"/>
      <c r="T73" s="11"/>
      <c r="U73" s="11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ht="37.5" customHeight="1" x14ac:dyDescent="0.25">
      <c r="A74" s="99"/>
      <c r="B74" s="80" t="s">
        <v>151</v>
      </c>
      <c r="C74" s="268" t="s">
        <v>101</v>
      </c>
      <c r="D74" s="270" t="s">
        <v>36</v>
      </c>
      <c r="E74" s="48"/>
      <c r="F74" s="327">
        <f>F69*2.4</f>
        <v>2.1840000000000002</v>
      </c>
      <c r="G74" s="27"/>
      <c r="H74" s="27"/>
      <c r="I74" s="27"/>
      <c r="J74" s="27"/>
      <c r="K74" s="27"/>
      <c r="L74" s="27"/>
      <c r="M74" s="27"/>
      <c r="N74" s="354"/>
      <c r="O74" s="11"/>
      <c r="P74" s="11"/>
      <c r="Q74" s="11"/>
      <c r="R74" s="11"/>
      <c r="S74" s="11"/>
      <c r="T74" s="11"/>
      <c r="U74" s="11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ht="18" customHeight="1" x14ac:dyDescent="0.25">
      <c r="A75" s="17"/>
      <c r="B75" s="113" t="s">
        <v>20</v>
      </c>
      <c r="C75" s="114"/>
      <c r="D75" s="115"/>
      <c r="E75" s="48"/>
      <c r="F75" s="87"/>
      <c r="G75" s="5"/>
      <c r="H75" s="316"/>
      <c r="I75" s="5"/>
      <c r="J75" s="316"/>
      <c r="K75" s="5"/>
      <c r="L75" s="316"/>
      <c r="M75" s="316"/>
      <c r="N75" s="354"/>
      <c r="O75" s="11"/>
      <c r="P75" s="11"/>
      <c r="Q75" s="11"/>
      <c r="R75" s="11"/>
      <c r="S75" s="11"/>
      <c r="T75" s="11"/>
      <c r="U75" s="11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s="122" customFormat="1" ht="33" x14ac:dyDescent="0.3">
      <c r="A76" s="116"/>
      <c r="B76" s="116"/>
      <c r="C76" s="117" t="s">
        <v>127</v>
      </c>
      <c r="D76" s="79"/>
      <c r="E76" s="118"/>
      <c r="F76" s="119"/>
      <c r="G76" s="120"/>
      <c r="H76" s="119"/>
      <c r="I76" s="120"/>
      <c r="J76" s="119"/>
      <c r="K76" s="120"/>
      <c r="L76" s="119"/>
      <c r="M76" s="121"/>
      <c r="N76" s="356"/>
    </row>
    <row r="77" spans="1:256" s="122" customFormat="1" ht="82.5" x14ac:dyDescent="0.3">
      <c r="A77" s="74">
        <v>1</v>
      </c>
      <c r="B77" s="123" t="s">
        <v>91</v>
      </c>
      <c r="C77" s="109" t="s">
        <v>92</v>
      </c>
      <c r="D77" s="124" t="s">
        <v>128</v>
      </c>
      <c r="E77" s="72"/>
      <c r="F77" s="3">
        <f>1.5*1.2*F104</f>
        <v>12.599999999999998</v>
      </c>
      <c r="G77" s="72"/>
      <c r="H77" s="72"/>
      <c r="I77" s="72"/>
      <c r="J77" s="72"/>
      <c r="K77" s="72"/>
      <c r="L77" s="72"/>
      <c r="M77" s="72"/>
      <c r="N77" s="356"/>
    </row>
    <row r="78" spans="1:256" s="122" customFormat="1" ht="18" x14ac:dyDescent="0.3">
      <c r="A78" s="74"/>
      <c r="B78" s="75"/>
      <c r="C78" s="125" t="s">
        <v>18</v>
      </c>
      <c r="D78" s="48" t="s">
        <v>19</v>
      </c>
      <c r="E78" s="126">
        <f>34/1000</f>
        <v>3.4000000000000002E-2</v>
      </c>
      <c r="F78" s="72">
        <f>F77*E78</f>
        <v>0.42839999999999995</v>
      </c>
      <c r="G78" s="72"/>
      <c r="H78" s="72"/>
      <c r="I78" s="72"/>
      <c r="J78" s="72"/>
      <c r="K78" s="72"/>
      <c r="L78" s="72"/>
      <c r="M78" s="72"/>
      <c r="N78" s="356"/>
    </row>
    <row r="79" spans="1:256" s="122" customFormat="1" ht="37.5" x14ac:dyDescent="0.3">
      <c r="A79" s="74"/>
      <c r="B79" s="7" t="s">
        <v>150</v>
      </c>
      <c r="C79" s="81" t="s">
        <v>129</v>
      </c>
      <c r="D79" s="48" t="s">
        <v>26</v>
      </c>
      <c r="E79" s="126">
        <f>83.3/1000</f>
        <v>8.3299999999999999E-2</v>
      </c>
      <c r="F79" s="72">
        <f>F77*E79</f>
        <v>1.0495799999999997</v>
      </c>
      <c r="G79" s="72"/>
      <c r="H79" s="72"/>
      <c r="I79" s="72"/>
      <c r="J79" s="72"/>
      <c r="K79" s="72"/>
      <c r="L79" s="72"/>
      <c r="M79" s="72"/>
      <c r="N79" s="356"/>
    </row>
    <row r="80" spans="1:256" s="122" customFormat="1" ht="18" x14ac:dyDescent="0.35">
      <c r="A80" s="74"/>
      <c r="B80" s="75"/>
      <c r="C80" s="127" t="s">
        <v>29</v>
      </c>
      <c r="D80" s="48" t="s">
        <v>22</v>
      </c>
      <c r="E80" s="126">
        <f>5.63/1000</f>
        <v>5.6299999999999996E-3</v>
      </c>
      <c r="F80" s="72">
        <f>F77*E80</f>
        <v>7.0937999999999987E-2</v>
      </c>
      <c r="G80" s="72"/>
      <c r="H80" s="72"/>
      <c r="I80" s="72"/>
      <c r="J80" s="72"/>
      <c r="K80" s="72"/>
      <c r="L80" s="72"/>
      <c r="M80" s="72"/>
      <c r="N80" s="356"/>
    </row>
    <row r="81" spans="1:256" s="122" customFormat="1" ht="49.5" x14ac:dyDescent="0.3">
      <c r="A81" s="74">
        <v>2</v>
      </c>
      <c r="B81" s="123" t="s">
        <v>95</v>
      </c>
      <c r="C81" s="109" t="s">
        <v>164</v>
      </c>
      <c r="D81" s="48" t="s">
        <v>59</v>
      </c>
      <c r="E81" s="83"/>
      <c r="F81" s="3">
        <f>F77*10/100</f>
        <v>1.2599999999999998</v>
      </c>
      <c r="G81" s="72"/>
      <c r="H81" s="72"/>
      <c r="I81" s="72"/>
      <c r="J81" s="72"/>
      <c r="K81" s="72"/>
      <c r="L81" s="72"/>
      <c r="M81" s="72"/>
      <c r="N81" s="356"/>
    </row>
    <row r="82" spans="1:256" s="122" customFormat="1" ht="18" x14ac:dyDescent="0.3">
      <c r="A82" s="74"/>
      <c r="B82" s="128"/>
      <c r="C82" s="129" t="s">
        <v>18</v>
      </c>
      <c r="D82" s="79" t="s">
        <v>130</v>
      </c>
      <c r="E82" s="83">
        <f>206/100</f>
        <v>2.06</v>
      </c>
      <c r="F82" s="72">
        <f>F81*E82</f>
        <v>2.5955999999999997</v>
      </c>
      <c r="G82" s="72"/>
      <c r="H82" s="72"/>
      <c r="I82" s="72"/>
      <c r="J82" s="72"/>
      <c r="K82" s="72"/>
      <c r="L82" s="72"/>
      <c r="M82" s="72"/>
      <c r="N82" s="356"/>
    </row>
    <row r="83" spans="1:256" s="122" customFormat="1" ht="54" x14ac:dyDescent="0.3">
      <c r="A83" s="74"/>
      <c r="B83" s="311" t="s">
        <v>174</v>
      </c>
      <c r="C83" s="310" t="s">
        <v>173</v>
      </c>
      <c r="D83" s="101" t="s">
        <v>96</v>
      </c>
      <c r="E83" s="267"/>
      <c r="F83" s="98">
        <f>F81</f>
        <v>1.2599999999999998</v>
      </c>
      <c r="G83" s="27"/>
      <c r="H83" s="27"/>
      <c r="I83" s="27"/>
      <c r="J83" s="27"/>
      <c r="K83" s="27"/>
      <c r="L83" s="27"/>
      <c r="M83" s="27"/>
      <c r="N83" s="356"/>
    </row>
    <row r="84" spans="1:256" s="122" customFormat="1" ht="18" x14ac:dyDescent="0.3">
      <c r="A84" s="74"/>
      <c r="B84" s="70"/>
      <c r="C84" s="105" t="s">
        <v>18</v>
      </c>
      <c r="D84" s="306" t="s">
        <v>172</v>
      </c>
      <c r="E84" s="307">
        <v>0.87</v>
      </c>
      <c r="F84" s="307">
        <f>F83*E84</f>
        <v>1.0961999999999998</v>
      </c>
      <c r="G84" s="307"/>
      <c r="H84" s="307"/>
      <c r="I84" s="308"/>
      <c r="J84" s="307"/>
      <c r="K84" s="309"/>
      <c r="L84" s="307"/>
      <c r="M84" s="307"/>
      <c r="N84" s="356"/>
    </row>
    <row r="85" spans="1:256" s="122" customFormat="1" ht="33" x14ac:dyDescent="0.3">
      <c r="A85" s="74"/>
      <c r="B85" s="219" t="s">
        <v>151</v>
      </c>
      <c r="C85" s="296" t="s">
        <v>106</v>
      </c>
      <c r="D85" s="297" t="s">
        <v>36</v>
      </c>
      <c r="E85" s="298"/>
      <c r="F85" s="299">
        <f>(F77+F81)*1.8</f>
        <v>24.947999999999997</v>
      </c>
      <c r="G85" s="300"/>
      <c r="H85" s="300"/>
      <c r="I85" s="300"/>
      <c r="J85" s="300"/>
      <c r="K85" s="300"/>
      <c r="L85" s="300"/>
      <c r="M85" s="300"/>
      <c r="N85" s="356"/>
    </row>
    <row r="86" spans="1:256" s="122" customFormat="1" ht="19.5" x14ac:dyDescent="0.3">
      <c r="A86" s="74"/>
      <c r="B86" s="55" t="s">
        <v>83</v>
      </c>
      <c r="C86" s="295" t="s">
        <v>84</v>
      </c>
      <c r="D86" s="25" t="s">
        <v>68</v>
      </c>
      <c r="E86" s="57"/>
      <c r="F86" s="294">
        <f>F77+F81</f>
        <v>13.859999999999998</v>
      </c>
      <c r="G86" s="58"/>
      <c r="H86" s="58"/>
      <c r="I86" s="58"/>
      <c r="J86" s="58"/>
      <c r="K86" s="58"/>
      <c r="L86" s="58"/>
      <c r="M86" s="58"/>
      <c r="N86" s="356"/>
    </row>
    <row r="87" spans="1:256" s="122" customFormat="1" ht="18" x14ac:dyDescent="0.3">
      <c r="A87" s="74"/>
      <c r="B87" s="59"/>
      <c r="C87" s="60" t="s">
        <v>18</v>
      </c>
      <c r="D87" s="61" t="s">
        <v>19</v>
      </c>
      <c r="E87" s="62">
        <v>3.2299999999999998E-3</v>
      </c>
      <c r="F87" s="63">
        <f>F86*E87</f>
        <v>4.476779999999999E-2</v>
      </c>
      <c r="G87" s="58"/>
      <c r="H87" s="58"/>
      <c r="I87" s="58"/>
      <c r="J87" s="58"/>
      <c r="K87" s="58"/>
      <c r="L87" s="58"/>
      <c r="M87" s="58"/>
      <c r="N87" s="356"/>
    </row>
    <row r="88" spans="1:256" s="122" customFormat="1" ht="18" x14ac:dyDescent="0.3">
      <c r="A88" s="74"/>
      <c r="B88" s="7" t="s">
        <v>85</v>
      </c>
      <c r="C88" s="60" t="s">
        <v>86</v>
      </c>
      <c r="D88" s="61" t="s">
        <v>87</v>
      </c>
      <c r="E88" s="62">
        <v>3.62E-3</v>
      </c>
      <c r="F88" s="63">
        <f>ROUND(F86*E88,2)</f>
        <v>0.05</v>
      </c>
      <c r="G88" s="58"/>
      <c r="H88" s="58"/>
      <c r="I88" s="58"/>
      <c r="J88" s="58"/>
      <c r="K88" s="58"/>
      <c r="L88" s="58"/>
      <c r="M88" s="58"/>
      <c r="N88" s="356"/>
    </row>
    <row r="89" spans="1:256" s="122" customFormat="1" ht="18" x14ac:dyDescent="0.3">
      <c r="A89" s="74"/>
      <c r="B89" s="59"/>
      <c r="C89" s="60" t="s">
        <v>29</v>
      </c>
      <c r="D89" s="61" t="s">
        <v>22</v>
      </c>
      <c r="E89" s="62">
        <v>1.8000000000000001E-4</v>
      </c>
      <c r="F89" s="63">
        <f>ROUND(F86*E89,2)</f>
        <v>0</v>
      </c>
      <c r="G89" s="58"/>
      <c r="H89" s="58"/>
      <c r="I89" s="58"/>
      <c r="J89" s="58"/>
      <c r="K89" s="58"/>
      <c r="L89" s="58"/>
      <c r="M89" s="58"/>
      <c r="N89" s="356"/>
    </row>
    <row r="90" spans="1:256" s="122" customFormat="1" ht="18" x14ac:dyDescent="0.35">
      <c r="A90" s="74"/>
      <c r="B90" s="64"/>
      <c r="C90" s="65" t="s">
        <v>88</v>
      </c>
      <c r="D90" s="61" t="s">
        <v>39</v>
      </c>
      <c r="E90" s="62">
        <v>4.0000000000000003E-5</v>
      </c>
      <c r="F90" s="63">
        <f>ROUND(F86*E90,2)</f>
        <v>0</v>
      </c>
      <c r="G90" s="27"/>
      <c r="H90" s="58"/>
      <c r="I90" s="58"/>
      <c r="J90" s="58"/>
      <c r="K90" s="58"/>
      <c r="L90" s="58"/>
      <c r="M90" s="58"/>
      <c r="N90" s="356"/>
    </row>
    <row r="91" spans="1:256" s="122" customFormat="1" ht="49.5" x14ac:dyDescent="0.3">
      <c r="A91" s="74">
        <v>4</v>
      </c>
      <c r="B91" s="130" t="s">
        <v>107</v>
      </c>
      <c r="C91" s="328" t="s">
        <v>178</v>
      </c>
      <c r="D91" s="79" t="s">
        <v>61</v>
      </c>
      <c r="E91" s="72"/>
      <c r="F91" s="3">
        <f>(1.2*0.1*F104)</f>
        <v>0.84</v>
      </c>
      <c r="G91" s="72"/>
      <c r="H91" s="72"/>
      <c r="I91" s="72"/>
      <c r="J91" s="72"/>
      <c r="K91" s="72"/>
      <c r="L91" s="72"/>
      <c r="M91" s="72"/>
      <c r="N91" s="356"/>
    </row>
    <row r="92" spans="1:256" s="122" customFormat="1" ht="18" x14ac:dyDescent="0.3">
      <c r="A92" s="131"/>
      <c r="B92" s="75"/>
      <c r="C92" s="125" t="s">
        <v>18</v>
      </c>
      <c r="D92" s="48" t="s">
        <v>19</v>
      </c>
      <c r="E92" s="126">
        <f>212/100</f>
        <v>2.12</v>
      </c>
      <c r="F92" s="72">
        <f>F91*E92</f>
        <v>1.7807999999999999</v>
      </c>
      <c r="G92" s="72"/>
      <c r="H92" s="72"/>
      <c r="I92" s="72"/>
      <c r="J92" s="72"/>
      <c r="K92" s="72"/>
      <c r="L92" s="72"/>
      <c r="M92" s="72"/>
      <c r="N92" s="356"/>
    </row>
    <row r="93" spans="1:256" s="122" customFormat="1" ht="18" x14ac:dyDescent="0.35">
      <c r="A93" s="131"/>
      <c r="B93" s="75"/>
      <c r="C93" s="127" t="s">
        <v>29</v>
      </c>
      <c r="D93" s="48" t="s">
        <v>22</v>
      </c>
      <c r="E93" s="126">
        <f>10.1/100</f>
        <v>0.10099999999999999</v>
      </c>
      <c r="F93" s="72">
        <f>F91*E93</f>
        <v>8.4839999999999985E-2</v>
      </c>
      <c r="G93" s="72"/>
      <c r="H93" s="72"/>
      <c r="I93" s="72"/>
      <c r="J93" s="72"/>
      <c r="K93" s="72"/>
      <c r="L93" s="72"/>
      <c r="M93" s="72"/>
      <c r="N93" s="356"/>
    </row>
    <row r="94" spans="1:256" s="122" customFormat="1" ht="18" x14ac:dyDescent="0.3">
      <c r="A94" s="131"/>
      <c r="B94" s="75"/>
      <c r="C94" s="48" t="s">
        <v>35</v>
      </c>
      <c r="D94" s="79"/>
      <c r="E94" s="126"/>
      <c r="F94" s="72"/>
      <c r="G94" s="72"/>
      <c r="H94" s="72"/>
      <c r="I94" s="72"/>
      <c r="J94" s="72"/>
      <c r="K94" s="72"/>
      <c r="L94" s="72"/>
      <c r="M94" s="72"/>
      <c r="N94" s="356"/>
    </row>
    <row r="95" spans="1:256" s="122" customFormat="1" ht="54" x14ac:dyDescent="0.3">
      <c r="A95" s="131"/>
      <c r="B95" s="132"/>
      <c r="C95" s="146" t="s">
        <v>108</v>
      </c>
      <c r="D95" s="48" t="s">
        <v>59</v>
      </c>
      <c r="E95" s="137">
        <v>1.1000000000000001</v>
      </c>
      <c r="F95" s="72">
        <f>F91*E95</f>
        <v>0.92400000000000004</v>
      </c>
      <c r="G95" s="72"/>
      <c r="H95" s="72"/>
      <c r="I95" s="72"/>
      <c r="J95" s="72"/>
      <c r="K95" s="72"/>
      <c r="L95" s="72"/>
      <c r="M95" s="72"/>
      <c r="N95" s="356"/>
    </row>
    <row r="96" spans="1:256" ht="47.25" x14ac:dyDescent="0.25">
      <c r="A96" s="134">
        <v>5</v>
      </c>
      <c r="B96" s="135" t="s">
        <v>161</v>
      </c>
      <c r="C96" s="136" t="s">
        <v>110</v>
      </c>
      <c r="D96" s="106" t="s">
        <v>17</v>
      </c>
      <c r="E96" s="137"/>
      <c r="F96" s="266">
        <f>F104/1000</f>
        <v>7.0000000000000001E-3</v>
      </c>
      <c r="G96" s="138"/>
      <c r="H96" s="138"/>
      <c r="I96" s="138"/>
      <c r="J96" s="138"/>
      <c r="K96" s="138"/>
      <c r="L96" s="138"/>
      <c r="M96" s="138"/>
      <c r="N96" s="355"/>
      <c r="O96" s="11"/>
      <c r="P96" s="11"/>
      <c r="Q96" s="11"/>
      <c r="R96" s="11"/>
      <c r="S96" s="11"/>
      <c r="T96" s="11"/>
      <c r="U96" s="11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ht="18" x14ac:dyDescent="0.25">
      <c r="A97" s="139"/>
      <c r="B97" s="140"/>
      <c r="C97" s="141" t="s">
        <v>18</v>
      </c>
      <c r="D97" s="142" t="s">
        <v>19</v>
      </c>
      <c r="E97" s="143">
        <v>877</v>
      </c>
      <c r="F97" s="138">
        <f>F96*E97</f>
        <v>6.1390000000000002</v>
      </c>
      <c r="G97" s="138"/>
      <c r="H97" s="138"/>
      <c r="I97" s="138"/>
      <c r="J97" s="138"/>
      <c r="K97" s="138"/>
      <c r="L97" s="138"/>
      <c r="M97" s="138"/>
      <c r="N97" s="355"/>
      <c r="O97" s="11"/>
      <c r="P97" s="11"/>
      <c r="Q97" s="11"/>
      <c r="R97" s="11"/>
      <c r="S97" s="11"/>
      <c r="T97" s="11"/>
      <c r="U97" s="11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ht="18" x14ac:dyDescent="0.35">
      <c r="A98" s="139"/>
      <c r="B98" s="140"/>
      <c r="C98" s="144" t="s">
        <v>29</v>
      </c>
      <c r="D98" s="142" t="s">
        <v>22</v>
      </c>
      <c r="E98" s="143">
        <v>1455</v>
      </c>
      <c r="F98" s="138">
        <f>F96*E98</f>
        <v>10.185</v>
      </c>
      <c r="G98" s="138"/>
      <c r="H98" s="138"/>
      <c r="I98" s="138"/>
      <c r="J98" s="138"/>
      <c r="K98" s="138"/>
      <c r="L98" s="138"/>
      <c r="M98" s="138"/>
      <c r="N98" s="355"/>
      <c r="O98" s="11"/>
      <c r="P98" s="11"/>
      <c r="Q98" s="11"/>
      <c r="R98" s="11"/>
      <c r="S98" s="11"/>
      <c r="T98" s="11"/>
      <c r="U98" s="11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ht="18" x14ac:dyDescent="0.25">
      <c r="A99" s="139"/>
      <c r="B99" s="140"/>
      <c r="C99" s="142" t="s">
        <v>35</v>
      </c>
      <c r="D99" s="145"/>
      <c r="E99" s="137"/>
      <c r="F99" s="138"/>
      <c r="G99" s="138"/>
      <c r="H99" s="138"/>
      <c r="I99" s="138"/>
      <c r="J99" s="138"/>
      <c r="K99" s="138"/>
      <c r="L99" s="138"/>
      <c r="M99" s="138"/>
      <c r="N99" s="355"/>
      <c r="O99" s="11"/>
      <c r="P99" s="11"/>
      <c r="Q99" s="11"/>
      <c r="R99" s="11"/>
      <c r="S99" s="11"/>
      <c r="T99" s="11"/>
      <c r="U99" s="11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ht="30" x14ac:dyDescent="0.25">
      <c r="A100" s="139"/>
      <c r="B100" s="80" t="s">
        <v>153</v>
      </c>
      <c r="C100" s="146" t="s">
        <v>111</v>
      </c>
      <c r="D100" s="48" t="s">
        <v>36</v>
      </c>
      <c r="E100" s="143">
        <v>31</v>
      </c>
      <c r="F100" s="138">
        <f>F96*E100</f>
        <v>0.217</v>
      </c>
      <c r="G100" s="138"/>
      <c r="H100" s="138"/>
      <c r="I100" s="138"/>
      <c r="J100" s="138"/>
      <c r="K100" s="138"/>
      <c r="L100" s="138"/>
      <c r="M100" s="138"/>
      <c r="N100" s="355"/>
      <c r="O100" s="11"/>
      <c r="P100" s="11"/>
      <c r="Q100" s="11"/>
      <c r="R100" s="11"/>
      <c r="S100" s="11"/>
      <c r="T100" s="11"/>
      <c r="U100" s="11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ht="30" x14ac:dyDescent="0.25">
      <c r="A101" s="139"/>
      <c r="B101" s="80" t="s">
        <v>154</v>
      </c>
      <c r="C101" s="146" t="s">
        <v>112</v>
      </c>
      <c r="D101" s="48" t="s">
        <v>113</v>
      </c>
      <c r="E101" s="143">
        <v>8100</v>
      </c>
      <c r="F101" s="138">
        <f>F96*E101</f>
        <v>56.7</v>
      </c>
      <c r="G101" s="138"/>
      <c r="H101" s="138"/>
      <c r="I101" s="138"/>
      <c r="J101" s="138"/>
      <c r="K101" s="138"/>
      <c r="L101" s="138"/>
      <c r="M101" s="138"/>
      <c r="N101" s="355"/>
      <c r="O101" s="11"/>
      <c r="P101" s="11"/>
      <c r="Q101" s="11"/>
      <c r="R101" s="11"/>
      <c r="S101" s="11"/>
      <c r="T101" s="11"/>
      <c r="U101" s="11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ht="30" x14ac:dyDescent="0.25">
      <c r="A102" s="139"/>
      <c r="B102" s="80" t="s">
        <v>156</v>
      </c>
      <c r="C102" s="146" t="s">
        <v>114</v>
      </c>
      <c r="D102" s="48" t="s">
        <v>113</v>
      </c>
      <c r="E102" s="143">
        <v>6500</v>
      </c>
      <c r="F102" s="138">
        <f>F96*E102</f>
        <v>45.5</v>
      </c>
      <c r="G102" s="147"/>
      <c r="H102" s="138"/>
      <c r="I102" s="138"/>
      <c r="J102" s="138"/>
      <c r="K102" s="138"/>
      <c r="L102" s="138"/>
      <c r="M102" s="138"/>
      <c r="N102" s="355"/>
      <c r="O102" s="11"/>
      <c r="P102" s="11"/>
      <c r="Q102" s="11"/>
      <c r="R102" s="11"/>
      <c r="S102" s="11"/>
      <c r="T102" s="11"/>
      <c r="U102" s="11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ht="18" x14ac:dyDescent="0.35">
      <c r="A103" s="28"/>
      <c r="B103" s="29"/>
      <c r="C103" s="30" t="s">
        <v>38</v>
      </c>
      <c r="D103" s="101" t="s">
        <v>22</v>
      </c>
      <c r="E103" s="267">
        <v>58</v>
      </c>
      <c r="F103" s="87">
        <f>F96*E103</f>
        <v>0.40600000000000003</v>
      </c>
      <c r="G103" s="27"/>
      <c r="H103" s="27"/>
      <c r="I103" s="27"/>
      <c r="J103" s="27"/>
      <c r="K103" s="27"/>
      <c r="L103" s="27"/>
      <c r="M103" s="27"/>
      <c r="N103" s="355"/>
      <c r="O103" s="11"/>
      <c r="P103" s="11"/>
      <c r="Q103" s="11"/>
      <c r="R103" s="11"/>
      <c r="S103" s="11"/>
      <c r="T103" s="11"/>
      <c r="U103" s="11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s="122" customFormat="1" ht="49.5" x14ac:dyDescent="0.3">
      <c r="A104" s="74">
        <v>6</v>
      </c>
      <c r="B104" s="130" t="s">
        <v>115</v>
      </c>
      <c r="C104" s="109" t="s">
        <v>132</v>
      </c>
      <c r="D104" s="48" t="s">
        <v>117</v>
      </c>
      <c r="E104" s="79"/>
      <c r="F104" s="149">
        <v>7</v>
      </c>
      <c r="G104" s="79"/>
      <c r="H104" s="72"/>
      <c r="I104" s="79"/>
      <c r="J104" s="72"/>
      <c r="K104" s="79"/>
      <c r="L104" s="72"/>
      <c r="M104" s="72"/>
      <c r="N104" s="356"/>
    </row>
    <row r="105" spans="1:256" s="122" customFormat="1" ht="18" x14ac:dyDescent="0.3">
      <c r="A105" s="131"/>
      <c r="B105" s="75"/>
      <c r="C105" s="125" t="s">
        <v>18</v>
      </c>
      <c r="D105" s="48" t="s">
        <v>19</v>
      </c>
      <c r="E105" s="126">
        <f>973/1000</f>
        <v>0.97299999999999998</v>
      </c>
      <c r="F105" s="72">
        <f>F104*E105</f>
        <v>6.8109999999999999</v>
      </c>
      <c r="G105" s="72"/>
      <c r="H105" s="72"/>
      <c r="I105" s="72"/>
      <c r="J105" s="72"/>
      <c r="K105" s="72"/>
      <c r="L105" s="72"/>
      <c r="M105" s="72"/>
      <c r="N105" s="356"/>
    </row>
    <row r="106" spans="1:256" s="122" customFormat="1" ht="18" x14ac:dyDescent="0.35">
      <c r="A106" s="131"/>
      <c r="B106" s="75"/>
      <c r="C106" s="127" t="s">
        <v>29</v>
      </c>
      <c r="D106" s="48" t="s">
        <v>22</v>
      </c>
      <c r="E106" s="126">
        <f>483/1000</f>
        <v>0.48299999999999998</v>
      </c>
      <c r="F106" s="72">
        <f>F104*E106</f>
        <v>3.3809999999999998</v>
      </c>
      <c r="G106" s="72"/>
      <c r="H106" s="72"/>
      <c r="I106" s="72"/>
      <c r="J106" s="72"/>
      <c r="K106" s="72"/>
      <c r="L106" s="72"/>
      <c r="M106" s="72"/>
      <c r="N106" s="356"/>
    </row>
    <row r="107" spans="1:256" s="122" customFormat="1" ht="18" x14ac:dyDescent="0.3">
      <c r="A107" s="131"/>
      <c r="B107" s="75"/>
      <c r="C107" s="48" t="s">
        <v>35</v>
      </c>
      <c r="D107" s="79"/>
      <c r="E107" s="126"/>
      <c r="F107" s="72"/>
      <c r="G107" s="72"/>
      <c r="H107" s="72"/>
      <c r="I107" s="72"/>
      <c r="J107" s="72"/>
      <c r="K107" s="72"/>
      <c r="L107" s="72"/>
      <c r="M107" s="72"/>
      <c r="N107" s="356"/>
    </row>
    <row r="108" spans="1:256" s="122" customFormat="1" ht="30" x14ac:dyDescent="0.3">
      <c r="A108" s="74"/>
      <c r="B108" s="150" t="s">
        <v>155</v>
      </c>
      <c r="C108" s="76" t="s">
        <v>133</v>
      </c>
      <c r="D108" s="48" t="s">
        <v>117</v>
      </c>
      <c r="E108" s="126" t="s">
        <v>119</v>
      </c>
      <c r="F108" s="72">
        <f>F104</f>
        <v>7</v>
      </c>
      <c r="G108" s="72"/>
      <c r="H108" s="72"/>
      <c r="I108" s="72"/>
      <c r="J108" s="72"/>
      <c r="K108" s="72"/>
      <c r="L108" s="72"/>
      <c r="M108" s="72"/>
      <c r="N108" s="356"/>
    </row>
    <row r="109" spans="1:256" s="122" customFormat="1" ht="18" x14ac:dyDescent="0.35">
      <c r="A109" s="131"/>
      <c r="B109" s="75"/>
      <c r="C109" s="127" t="s">
        <v>38</v>
      </c>
      <c r="D109" s="79" t="s">
        <v>131</v>
      </c>
      <c r="E109" s="153">
        <v>0.22</v>
      </c>
      <c r="F109" s="72">
        <f>F104*E109</f>
        <v>1.54</v>
      </c>
      <c r="G109" s="72"/>
      <c r="H109" s="72"/>
      <c r="I109" s="72"/>
      <c r="J109" s="72"/>
      <c r="K109" s="72"/>
      <c r="L109" s="72"/>
      <c r="M109" s="72"/>
      <c r="N109" s="356"/>
    </row>
    <row r="110" spans="1:256" s="122" customFormat="1" ht="36" x14ac:dyDescent="0.35">
      <c r="A110" s="74">
        <v>7</v>
      </c>
      <c r="B110" s="130" t="s">
        <v>107</v>
      </c>
      <c r="C110" s="164" t="s">
        <v>179</v>
      </c>
      <c r="D110" s="48" t="s">
        <v>59</v>
      </c>
      <c r="E110" s="72"/>
      <c r="F110" s="3">
        <f>(F104*0.7*0.9)</f>
        <v>4.4099999999999993</v>
      </c>
      <c r="G110" s="72"/>
      <c r="H110" s="72"/>
      <c r="I110" s="72"/>
      <c r="J110" s="72"/>
      <c r="K110" s="72"/>
      <c r="L110" s="72"/>
      <c r="M110" s="72"/>
      <c r="N110" s="356"/>
    </row>
    <row r="111" spans="1:256" s="122" customFormat="1" ht="18" x14ac:dyDescent="0.3">
      <c r="A111" s="131"/>
      <c r="B111" s="75"/>
      <c r="C111" s="125" t="s">
        <v>18</v>
      </c>
      <c r="D111" s="48" t="s">
        <v>19</v>
      </c>
      <c r="E111" s="329">
        <v>2.12</v>
      </c>
      <c r="F111" s="72">
        <f>F110*E111</f>
        <v>9.3491999999999997</v>
      </c>
      <c r="G111" s="72"/>
      <c r="H111" s="72"/>
      <c r="I111" s="72"/>
      <c r="J111" s="72"/>
      <c r="K111" s="72"/>
      <c r="L111" s="72"/>
      <c r="M111" s="72"/>
      <c r="N111" s="356"/>
    </row>
    <row r="112" spans="1:256" s="122" customFormat="1" ht="18" x14ac:dyDescent="0.35">
      <c r="A112" s="131"/>
      <c r="B112" s="75"/>
      <c r="C112" s="127" t="s">
        <v>29</v>
      </c>
      <c r="D112" s="48" t="s">
        <v>22</v>
      </c>
      <c r="E112" s="329">
        <v>0.10100000000000001</v>
      </c>
      <c r="F112" s="72">
        <f>F110*E112</f>
        <v>0.44540999999999997</v>
      </c>
      <c r="G112" s="72"/>
      <c r="H112" s="72"/>
      <c r="I112" s="72"/>
      <c r="J112" s="72"/>
      <c r="K112" s="72"/>
      <c r="L112" s="72"/>
      <c r="M112" s="72"/>
      <c r="N112" s="356"/>
    </row>
    <row r="113" spans="1:14" s="122" customFormat="1" ht="18" x14ac:dyDescent="0.3">
      <c r="A113" s="131"/>
      <c r="B113" s="75"/>
      <c r="C113" s="48" t="s">
        <v>35</v>
      </c>
      <c r="D113" s="79"/>
      <c r="E113" s="72"/>
      <c r="F113" s="72"/>
      <c r="G113" s="72"/>
      <c r="H113" s="72"/>
      <c r="I113" s="72"/>
      <c r="J113" s="72"/>
      <c r="K113" s="72"/>
      <c r="L113" s="72"/>
      <c r="M113" s="72"/>
      <c r="N113" s="356"/>
    </row>
    <row r="114" spans="1:14" s="122" customFormat="1" ht="19.5" x14ac:dyDescent="0.3">
      <c r="A114" s="74"/>
      <c r="B114" s="132"/>
      <c r="C114" s="146" t="s">
        <v>180</v>
      </c>
      <c r="D114" s="48" t="s">
        <v>59</v>
      </c>
      <c r="E114" s="331">
        <v>1.1000000000000001</v>
      </c>
      <c r="F114" s="72">
        <f>F110*E114</f>
        <v>4.851</v>
      </c>
      <c r="G114" s="72"/>
      <c r="H114" s="72"/>
      <c r="I114" s="72"/>
      <c r="J114" s="72"/>
      <c r="K114" s="72"/>
      <c r="L114" s="72"/>
      <c r="M114" s="72"/>
      <c r="N114" s="356"/>
    </row>
    <row r="115" spans="1:14" s="122" customFormat="1" ht="82.5" x14ac:dyDescent="0.3">
      <c r="A115" s="74">
        <v>8</v>
      </c>
      <c r="B115" s="123" t="s">
        <v>91</v>
      </c>
      <c r="C115" s="151" t="s">
        <v>120</v>
      </c>
      <c r="D115" s="48" t="s">
        <v>59</v>
      </c>
      <c r="E115" s="120"/>
      <c r="F115" s="3">
        <f>1.6*2*1</f>
        <v>3.2</v>
      </c>
      <c r="G115" s="120"/>
      <c r="H115" s="72"/>
      <c r="I115" s="120"/>
      <c r="J115" s="72"/>
      <c r="K115" s="120"/>
      <c r="L115" s="72"/>
      <c r="M115" s="72"/>
      <c r="N115" s="356"/>
    </row>
    <row r="116" spans="1:14" s="122" customFormat="1" ht="18" x14ac:dyDescent="0.3">
      <c r="A116" s="74"/>
      <c r="B116" s="75"/>
      <c r="C116" s="125" t="s">
        <v>18</v>
      </c>
      <c r="D116" s="79" t="s">
        <v>130</v>
      </c>
      <c r="E116" s="126">
        <f>34/1000</f>
        <v>3.4000000000000002E-2</v>
      </c>
      <c r="F116" s="72">
        <f>F115*E116</f>
        <v>0.10880000000000001</v>
      </c>
      <c r="G116" s="120"/>
      <c r="H116" s="72"/>
      <c r="I116" s="121"/>
      <c r="J116" s="72"/>
      <c r="K116" s="120"/>
      <c r="L116" s="72"/>
      <c r="M116" s="72"/>
      <c r="N116" s="356"/>
    </row>
    <row r="117" spans="1:14" s="122" customFormat="1" ht="37.5" x14ac:dyDescent="0.3">
      <c r="A117" s="74"/>
      <c r="B117" s="75"/>
      <c r="C117" s="81" t="s">
        <v>129</v>
      </c>
      <c r="D117" s="48" t="s">
        <v>26</v>
      </c>
      <c r="E117" s="126">
        <f>83.3/1000</f>
        <v>8.3299999999999999E-2</v>
      </c>
      <c r="F117" s="72">
        <f>F115*E117</f>
        <v>0.26656000000000002</v>
      </c>
      <c r="G117" s="120"/>
      <c r="H117" s="72"/>
      <c r="I117" s="120"/>
      <c r="J117" s="72"/>
      <c r="K117" s="277"/>
      <c r="L117" s="72"/>
      <c r="M117" s="72"/>
      <c r="N117" s="356"/>
    </row>
    <row r="118" spans="1:14" s="122" customFormat="1" ht="18" x14ac:dyDescent="0.3">
      <c r="A118" s="74"/>
      <c r="B118" s="75"/>
      <c r="C118" s="133" t="s">
        <v>134</v>
      </c>
      <c r="D118" s="79" t="s">
        <v>131</v>
      </c>
      <c r="E118" s="126">
        <f>5.63/1000</f>
        <v>5.6299999999999996E-3</v>
      </c>
      <c r="F118" s="72">
        <f>F115*E118</f>
        <v>1.8016000000000001E-2</v>
      </c>
      <c r="G118" s="121"/>
      <c r="H118" s="72"/>
      <c r="I118" s="121"/>
      <c r="J118" s="72"/>
      <c r="K118" s="72"/>
      <c r="L118" s="72"/>
      <c r="M118" s="72"/>
      <c r="N118" s="356"/>
    </row>
    <row r="119" spans="1:14" s="122" customFormat="1" ht="33" x14ac:dyDescent="0.3">
      <c r="A119" s="74"/>
      <c r="B119" s="80" t="s">
        <v>151</v>
      </c>
      <c r="C119" s="151" t="s">
        <v>106</v>
      </c>
      <c r="D119" s="301" t="s">
        <v>36</v>
      </c>
      <c r="E119" s="152"/>
      <c r="F119" s="72">
        <f>F115*1.8</f>
        <v>5.7600000000000007</v>
      </c>
      <c r="G119" s="72"/>
      <c r="H119" s="72"/>
      <c r="I119" s="72"/>
      <c r="J119" s="72"/>
      <c r="K119" s="72"/>
      <c r="L119" s="72"/>
      <c r="M119" s="72"/>
      <c r="N119" s="356"/>
    </row>
    <row r="120" spans="1:14" s="122" customFormat="1" ht="19.5" x14ac:dyDescent="0.3">
      <c r="A120" s="74"/>
      <c r="B120" s="55" t="s">
        <v>83</v>
      </c>
      <c r="C120" s="295" t="s">
        <v>84</v>
      </c>
      <c r="D120" s="25" t="s">
        <v>68</v>
      </c>
      <c r="E120" s="57"/>
      <c r="F120" s="294">
        <f>F115</f>
        <v>3.2</v>
      </c>
      <c r="G120" s="58"/>
      <c r="H120" s="58"/>
      <c r="I120" s="58"/>
      <c r="J120" s="58"/>
      <c r="K120" s="58"/>
      <c r="L120" s="58"/>
      <c r="M120" s="58"/>
      <c r="N120" s="356"/>
    </row>
    <row r="121" spans="1:14" s="122" customFormat="1" ht="18" x14ac:dyDescent="0.3">
      <c r="A121" s="74"/>
      <c r="B121" s="59"/>
      <c r="C121" s="60" t="s">
        <v>18</v>
      </c>
      <c r="D121" s="61" t="s">
        <v>19</v>
      </c>
      <c r="E121" s="62">
        <v>3.2299999999999998E-3</v>
      </c>
      <c r="F121" s="63">
        <f>F120*E121</f>
        <v>1.0336E-2</v>
      </c>
      <c r="G121" s="58"/>
      <c r="H121" s="58"/>
      <c r="I121" s="58"/>
      <c r="J121" s="58"/>
      <c r="K121" s="58"/>
      <c r="L121" s="58"/>
      <c r="M121" s="58"/>
      <c r="N121" s="356"/>
    </row>
    <row r="122" spans="1:14" s="122" customFormat="1" ht="18" x14ac:dyDescent="0.3">
      <c r="A122" s="74"/>
      <c r="B122" s="7" t="s">
        <v>85</v>
      </c>
      <c r="C122" s="60" t="s">
        <v>86</v>
      </c>
      <c r="D122" s="61" t="s">
        <v>87</v>
      </c>
      <c r="E122" s="62">
        <v>3.62E-3</v>
      </c>
      <c r="F122" s="63">
        <f>ROUND(F120*E122,2)</f>
        <v>0.01</v>
      </c>
      <c r="G122" s="58"/>
      <c r="H122" s="58"/>
      <c r="I122" s="58"/>
      <c r="J122" s="58"/>
      <c r="K122" s="58"/>
      <c r="L122" s="58"/>
      <c r="M122" s="58"/>
      <c r="N122" s="356"/>
    </row>
    <row r="123" spans="1:14" s="122" customFormat="1" ht="18" x14ac:dyDescent="0.3">
      <c r="A123" s="74"/>
      <c r="B123" s="59"/>
      <c r="C123" s="60" t="s">
        <v>29</v>
      </c>
      <c r="D123" s="61" t="s">
        <v>22</v>
      </c>
      <c r="E123" s="62">
        <v>1.8000000000000001E-4</v>
      </c>
      <c r="F123" s="63">
        <f>ROUND(F120*E123,2)</f>
        <v>0</v>
      </c>
      <c r="G123" s="58"/>
      <c r="H123" s="58"/>
      <c r="I123" s="58"/>
      <c r="J123" s="58"/>
      <c r="K123" s="58"/>
      <c r="L123" s="58"/>
      <c r="M123" s="58"/>
      <c r="N123" s="356"/>
    </row>
    <row r="124" spans="1:14" s="122" customFormat="1" ht="18" x14ac:dyDescent="0.35">
      <c r="A124" s="74"/>
      <c r="B124" s="64"/>
      <c r="C124" s="65" t="s">
        <v>88</v>
      </c>
      <c r="D124" s="61" t="s">
        <v>39</v>
      </c>
      <c r="E124" s="62">
        <v>4.0000000000000003E-5</v>
      </c>
      <c r="F124" s="63">
        <f>ROUND(F120*E124,2)</f>
        <v>0</v>
      </c>
      <c r="G124" s="27"/>
      <c r="H124" s="58"/>
      <c r="I124" s="58"/>
      <c r="J124" s="58"/>
      <c r="K124" s="58"/>
      <c r="L124" s="58"/>
      <c r="M124" s="58"/>
      <c r="N124" s="356"/>
    </row>
    <row r="125" spans="1:14" s="122" customFormat="1" ht="49.5" x14ac:dyDescent="0.3">
      <c r="A125" s="74">
        <v>9</v>
      </c>
      <c r="B125" s="130" t="s">
        <v>107</v>
      </c>
      <c r="C125" s="328" t="s">
        <v>178</v>
      </c>
      <c r="D125" s="48" t="s">
        <v>59</v>
      </c>
      <c r="E125" s="153"/>
      <c r="F125" s="3">
        <f>(1.2*0.1*2)</f>
        <v>0.24</v>
      </c>
      <c r="G125" s="72"/>
      <c r="H125" s="72"/>
      <c r="I125" s="72"/>
      <c r="J125" s="72"/>
      <c r="K125" s="72"/>
      <c r="L125" s="72"/>
      <c r="M125" s="72"/>
      <c r="N125" s="356"/>
    </row>
    <row r="126" spans="1:14" s="122" customFormat="1" ht="18" x14ac:dyDescent="0.3">
      <c r="A126" s="131"/>
      <c r="B126" s="75"/>
      <c r="C126" s="133" t="s">
        <v>135</v>
      </c>
      <c r="D126" s="79" t="s">
        <v>130</v>
      </c>
      <c r="E126" s="153">
        <v>2.12</v>
      </c>
      <c r="F126" s="72">
        <f>F125*E126</f>
        <v>0.50880000000000003</v>
      </c>
      <c r="G126" s="72"/>
      <c r="H126" s="72"/>
      <c r="I126" s="72"/>
      <c r="J126" s="72"/>
      <c r="K126" s="72"/>
      <c r="L126" s="72"/>
      <c r="M126" s="72"/>
      <c r="N126" s="356"/>
    </row>
    <row r="127" spans="1:14" s="122" customFormat="1" ht="18" x14ac:dyDescent="0.3">
      <c r="A127" s="131"/>
      <c r="B127" s="75"/>
      <c r="C127" s="154" t="s">
        <v>134</v>
      </c>
      <c r="D127" s="155" t="s">
        <v>131</v>
      </c>
      <c r="E127" s="153">
        <v>0.10100000000000001</v>
      </c>
      <c r="F127" s="72">
        <f>F125*E127</f>
        <v>2.4240000000000001E-2</v>
      </c>
      <c r="G127" s="72"/>
      <c r="H127" s="72"/>
      <c r="I127" s="72"/>
      <c r="J127" s="72"/>
      <c r="K127" s="72"/>
      <c r="L127" s="72"/>
      <c r="M127" s="72"/>
      <c r="N127" s="356"/>
    </row>
    <row r="128" spans="1:14" s="122" customFormat="1" ht="18" x14ac:dyDescent="0.3">
      <c r="A128" s="131"/>
      <c r="B128" s="75"/>
      <c r="C128" s="156" t="s">
        <v>136</v>
      </c>
      <c r="D128" s="79"/>
      <c r="E128" s="153"/>
      <c r="F128" s="72"/>
      <c r="G128" s="72"/>
      <c r="H128" s="72"/>
      <c r="I128" s="72"/>
      <c r="J128" s="72"/>
      <c r="K128" s="72"/>
      <c r="L128" s="72"/>
      <c r="M128" s="72"/>
      <c r="N128" s="356"/>
    </row>
    <row r="129" spans="1:256" s="122" customFormat="1" ht="54" x14ac:dyDescent="0.3">
      <c r="A129" s="116"/>
      <c r="B129" s="132"/>
      <c r="C129" s="146" t="s">
        <v>108</v>
      </c>
      <c r="D129" s="48" t="s">
        <v>59</v>
      </c>
      <c r="E129" s="137">
        <v>1.1000000000000001</v>
      </c>
      <c r="F129" s="72">
        <f>F125*E129</f>
        <v>0.26400000000000001</v>
      </c>
      <c r="G129" s="72"/>
      <c r="H129" s="72"/>
      <c r="I129" s="72"/>
      <c r="J129" s="72"/>
      <c r="K129" s="72"/>
      <c r="L129" s="72"/>
      <c r="M129" s="72"/>
      <c r="N129" s="356"/>
    </row>
    <row r="130" spans="1:256" s="122" customFormat="1" ht="66" x14ac:dyDescent="0.3">
      <c r="A130" s="74">
        <v>10</v>
      </c>
      <c r="B130" s="130" t="s">
        <v>122</v>
      </c>
      <c r="C130" s="151" t="s">
        <v>144</v>
      </c>
      <c r="D130" s="48" t="s">
        <v>59</v>
      </c>
      <c r="E130" s="153"/>
      <c r="F130" s="3">
        <f>(1.3+0.5+0.4)*2</f>
        <v>4.4000000000000004</v>
      </c>
      <c r="G130" s="72"/>
      <c r="H130" s="72"/>
      <c r="I130" s="72"/>
      <c r="J130" s="72"/>
      <c r="K130" s="72"/>
      <c r="L130" s="72"/>
      <c r="M130" s="72"/>
      <c r="N130" s="356"/>
    </row>
    <row r="131" spans="1:256" s="122" customFormat="1" ht="18" x14ac:dyDescent="0.35">
      <c r="A131" s="131"/>
      <c r="B131" s="75"/>
      <c r="C131" s="82" t="s">
        <v>18</v>
      </c>
      <c r="D131" s="79" t="s">
        <v>130</v>
      </c>
      <c r="E131" s="153">
        <v>9.52</v>
      </c>
      <c r="F131" s="72">
        <f>F130*E131</f>
        <v>41.887999999999998</v>
      </c>
      <c r="G131" s="72"/>
      <c r="H131" s="72"/>
      <c r="I131" s="72"/>
      <c r="J131" s="72"/>
      <c r="K131" s="72"/>
      <c r="L131" s="72"/>
      <c r="M131" s="72"/>
      <c r="N131" s="356"/>
    </row>
    <row r="132" spans="1:256" s="122" customFormat="1" ht="31.5" x14ac:dyDescent="0.3">
      <c r="A132" s="131"/>
      <c r="B132" s="278" t="s">
        <v>148</v>
      </c>
      <c r="C132" s="279" t="s">
        <v>137</v>
      </c>
      <c r="D132" s="280" t="s">
        <v>138</v>
      </c>
      <c r="E132" s="281">
        <v>0.74</v>
      </c>
      <c r="F132" s="282">
        <f>F130*E132</f>
        <v>3.2560000000000002</v>
      </c>
      <c r="G132" s="282"/>
      <c r="H132" s="282"/>
      <c r="I132" s="282"/>
      <c r="J132" s="282"/>
      <c r="K132" s="283"/>
      <c r="L132" s="282"/>
      <c r="M132" s="282"/>
      <c r="N132" s="356"/>
    </row>
    <row r="133" spans="1:256" s="122" customFormat="1" x14ac:dyDescent="0.3">
      <c r="A133" s="131"/>
      <c r="B133" s="284"/>
      <c r="C133" s="285" t="s">
        <v>29</v>
      </c>
      <c r="D133" s="280" t="s">
        <v>131</v>
      </c>
      <c r="E133" s="281">
        <v>1.22</v>
      </c>
      <c r="F133" s="282">
        <f>F130*E133</f>
        <v>5.3680000000000003</v>
      </c>
      <c r="G133" s="282"/>
      <c r="H133" s="282"/>
      <c r="I133" s="282"/>
      <c r="J133" s="282"/>
      <c r="K133" s="282"/>
      <c r="L133" s="282"/>
      <c r="M133" s="282"/>
      <c r="N133" s="356"/>
    </row>
    <row r="134" spans="1:256" s="122" customFormat="1" x14ac:dyDescent="0.3">
      <c r="A134" s="131"/>
      <c r="B134" s="284"/>
      <c r="C134" s="286" t="s">
        <v>35</v>
      </c>
      <c r="D134" s="287"/>
      <c r="E134" s="281"/>
      <c r="F134" s="282"/>
      <c r="G134" s="282"/>
      <c r="H134" s="282"/>
      <c r="I134" s="282"/>
      <c r="J134" s="282"/>
      <c r="K134" s="282"/>
      <c r="L134" s="282"/>
      <c r="M134" s="282"/>
      <c r="N134" s="356"/>
    </row>
    <row r="135" spans="1:256" s="122" customFormat="1" ht="17.25" x14ac:dyDescent="0.3">
      <c r="A135" s="131"/>
      <c r="B135" s="288"/>
      <c r="C135" s="289" t="s">
        <v>170</v>
      </c>
      <c r="D135" s="286" t="s">
        <v>171</v>
      </c>
      <c r="E135" s="281" t="s">
        <v>119</v>
      </c>
      <c r="F135" s="282">
        <f>F130*1</f>
        <v>4.4000000000000004</v>
      </c>
      <c r="G135" s="282"/>
      <c r="H135" s="282"/>
      <c r="I135" s="282"/>
      <c r="J135" s="282"/>
      <c r="K135" s="282"/>
      <c r="L135" s="282"/>
      <c r="M135" s="282"/>
      <c r="N135" s="356"/>
    </row>
    <row r="136" spans="1:256" ht="17.25" x14ac:dyDescent="0.25">
      <c r="A136" s="139"/>
      <c r="B136" s="290"/>
      <c r="C136" s="291" t="s">
        <v>125</v>
      </c>
      <c r="D136" s="286" t="s">
        <v>171</v>
      </c>
      <c r="E136" s="292">
        <f>1.07*0.01</f>
        <v>1.0700000000000001E-2</v>
      </c>
      <c r="F136" s="293">
        <f>E136*F130</f>
        <v>4.7080000000000011E-2</v>
      </c>
      <c r="G136" s="293"/>
      <c r="H136" s="293"/>
      <c r="I136" s="293"/>
      <c r="J136" s="293"/>
      <c r="K136" s="293"/>
      <c r="L136" s="293"/>
      <c r="M136" s="293"/>
      <c r="N136" s="355"/>
      <c r="O136" s="11"/>
      <c r="P136" s="11"/>
      <c r="Q136" s="11"/>
      <c r="R136" s="11"/>
      <c r="S136" s="11"/>
      <c r="T136" s="11"/>
      <c r="U136" s="11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</row>
    <row r="137" spans="1:256" s="122" customFormat="1" ht="17.25" x14ac:dyDescent="0.3">
      <c r="A137" s="131"/>
      <c r="B137" s="288"/>
      <c r="C137" s="289" t="s">
        <v>139</v>
      </c>
      <c r="D137" s="286" t="s">
        <v>171</v>
      </c>
      <c r="E137" s="281">
        <v>0.13</v>
      </c>
      <c r="F137" s="282">
        <f>F130*E137</f>
        <v>0.57200000000000006</v>
      </c>
      <c r="G137" s="282"/>
      <c r="H137" s="282"/>
      <c r="I137" s="282"/>
      <c r="J137" s="282"/>
      <c r="K137" s="282"/>
      <c r="L137" s="282"/>
      <c r="M137" s="282"/>
      <c r="N137" s="356"/>
    </row>
    <row r="138" spans="1:256" s="122" customFormat="1" x14ac:dyDescent="0.3">
      <c r="A138" s="131"/>
      <c r="B138" s="284"/>
      <c r="C138" s="289" t="s">
        <v>140</v>
      </c>
      <c r="D138" s="287" t="s">
        <v>131</v>
      </c>
      <c r="E138" s="281">
        <v>2.94</v>
      </c>
      <c r="F138" s="282">
        <f>F130*E138</f>
        <v>12.936</v>
      </c>
      <c r="G138" s="282"/>
      <c r="H138" s="282"/>
      <c r="I138" s="282"/>
      <c r="J138" s="282"/>
      <c r="K138" s="282"/>
      <c r="L138" s="282"/>
      <c r="M138" s="282"/>
      <c r="N138" s="356"/>
    </row>
    <row r="139" spans="1:256" s="122" customFormat="1" ht="49.5" x14ac:dyDescent="0.3">
      <c r="A139" s="74">
        <v>11</v>
      </c>
      <c r="B139" s="130" t="s">
        <v>107</v>
      </c>
      <c r="C139" s="178" t="s">
        <v>181</v>
      </c>
      <c r="D139" s="48" t="s">
        <v>59</v>
      </c>
      <c r="E139" s="153"/>
      <c r="F139" s="3">
        <f>1.98/1.1</f>
        <v>1.7999999999999998</v>
      </c>
      <c r="G139" s="72"/>
      <c r="H139" s="72"/>
      <c r="I139" s="72"/>
      <c r="J139" s="72"/>
      <c r="K139" s="72"/>
      <c r="L139" s="72"/>
      <c r="M139" s="72"/>
      <c r="N139" s="356"/>
    </row>
    <row r="140" spans="1:256" s="122" customFormat="1" ht="18" x14ac:dyDescent="0.35">
      <c r="A140" s="131"/>
      <c r="B140" s="75"/>
      <c r="C140" s="82" t="s">
        <v>18</v>
      </c>
      <c r="D140" s="79" t="s">
        <v>130</v>
      </c>
      <c r="E140" s="153">
        <v>2.12</v>
      </c>
      <c r="F140" s="72">
        <f>F139*E140</f>
        <v>3.8159999999999998</v>
      </c>
      <c r="G140" s="72"/>
      <c r="H140" s="72"/>
      <c r="I140" s="72"/>
      <c r="J140" s="72"/>
      <c r="K140" s="72"/>
      <c r="L140" s="72"/>
      <c r="M140" s="72"/>
      <c r="N140" s="356"/>
    </row>
    <row r="141" spans="1:256" s="122" customFormat="1" ht="18" x14ac:dyDescent="0.35">
      <c r="A141" s="131"/>
      <c r="B141" s="75"/>
      <c r="C141" s="82" t="s">
        <v>29</v>
      </c>
      <c r="D141" s="155" t="s">
        <v>131</v>
      </c>
      <c r="E141" s="153">
        <v>0.10100000000000001</v>
      </c>
      <c r="F141" s="72">
        <f>F139*E141</f>
        <v>0.18179999999999999</v>
      </c>
      <c r="G141" s="72"/>
      <c r="H141" s="72"/>
      <c r="I141" s="72"/>
      <c r="J141" s="72"/>
      <c r="K141" s="72"/>
      <c r="L141" s="72"/>
      <c r="M141" s="72"/>
      <c r="N141" s="356"/>
    </row>
    <row r="142" spans="1:256" s="122" customFormat="1" ht="18" x14ac:dyDescent="0.3">
      <c r="A142" s="131"/>
      <c r="B142" s="75"/>
      <c r="C142" s="48" t="s">
        <v>35</v>
      </c>
      <c r="D142" s="79"/>
      <c r="E142" s="153"/>
      <c r="F142" s="72"/>
      <c r="G142" s="72"/>
      <c r="H142" s="72"/>
      <c r="I142" s="72"/>
      <c r="J142" s="72"/>
      <c r="K142" s="72"/>
      <c r="L142" s="72"/>
      <c r="M142" s="72"/>
      <c r="N142" s="356"/>
    </row>
    <row r="143" spans="1:256" s="122" customFormat="1" ht="54" x14ac:dyDescent="0.3">
      <c r="A143" s="116"/>
      <c r="B143" s="132"/>
      <c r="C143" s="146" t="s">
        <v>108</v>
      </c>
      <c r="D143" s="48" t="s">
        <v>59</v>
      </c>
      <c r="E143" s="137">
        <v>1.1000000000000001</v>
      </c>
      <c r="F143" s="72">
        <f>F139*E143</f>
        <v>1.98</v>
      </c>
      <c r="G143" s="72"/>
      <c r="H143" s="72"/>
      <c r="I143" s="72"/>
      <c r="J143" s="72"/>
      <c r="K143" s="72"/>
      <c r="L143" s="72"/>
      <c r="M143" s="72"/>
      <c r="N143" s="356"/>
    </row>
    <row r="144" spans="1:256" s="122" customFormat="1" ht="18" x14ac:dyDescent="0.3">
      <c r="A144" s="74"/>
      <c r="B144" s="132" t="s">
        <v>141</v>
      </c>
      <c r="C144" s="151"/>
      <c r="D144" s="132"/>
      <c r="E144" s="4"/>
      <c r="F144" s="4"/>
      <c r="G144" s="4"/>
      <c r="H144" s="317"/>
      <c r="I144" s="4"/>
      <c r="J144" s="317"/>
      <c r="K144" s="4"/>
      <c r="L144" s="317"/>
      <c r="M144" s="317"/>
      <c r="N144" s="356"/>
    </row>
    <row r="145" spans="1:256" ht="33" x14ac:dyDescent="0.25">
      <c r="A145" s="158"/>
      <c r="B145" s="158"/>
      <c r="C145" s="159" t="s">
        <v>102</v>
      </c>
      <c r="D145" s="145"/>
      <c r="E145" s="160"/>
      <c r="F145" s="161"/>
      <c r="G145" s="162"/>
      <c r="H145" s="162"/>
      <c r="I145" s="162"/>
      <c r="J145" s="162"/>
      <c r="K145" s="162"/>
      <c r="L145" s="162"/>
      <c r="M145" s="163"/>
      <c r="N145" s="355"/>
      <c r="O145" s="11"/>
      <c r="P145" s="11"/>
      <c r="Q145" s="11"/>
      <c r="R145" s="11"/>
      <c r="S145" s="11"/>
      <c r="T145" s="11"/>
      <c r="U145" s="11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1:256" ht="90" x14ac:dyDescent="0.35">
      <c r="A146" s="134">
        <v>1</v>
      </c>
      <c r="B146" s="135" t="s">
        <v>91</v>
      </c>
      <c r="C146" s="164" t="s">
        <v>92</v>
      </c>
      <c r="D146" s="165" t="s">
        <v>103</v>
      </c>
      <c r="E146" s="138"/>
      <c r="F146" s="166">
        <f>0.9*0.7*F175</f>
        <v>4.41</v>
      </c>
      <c r="G146" s="138"/>
      <c r="H146" s="138"/>
      <c r="I146" s="138"/>
      <c r="J146" s="138"/>
      <c r="K146" s="138"/>
      <c r="L146" s="138"/>
      <c r="M146" s="138"/>
      <c r="N146" s="355"/>
      <c r="O146" s="11"/>
      <c r="P146" s="11"/>
      <c r="Q146" s="11"/>
      <c r="R146" s="11"/>
      <c r="S146" s="11"/>
      <c r="T146" s="11"/>
      <c r="U146" s="11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1:256" ht="18" x14ac:dyDescent="0.25">
      <c r="A147" s="167"/>
      <c r="B147" s="140"/>
      <c r="C147" s="141" t="s">
        <v>18</v>
      </c>
      <c r="D147" s="142" t="s">
        <v>19</v>
      </c>
      <c r="E147" s="137">
        <f t="shared" ref="E147:E153" si="8">34/1000</f>
        <v>3.4000000000000002E-2</v>
      </c>
      <c r="F147" s="138">
        <f>F146*E147</f>
        <v>0.14994000000000002</v>
      </c>
      <c r="G147" s="138"/>
      <c r="H147" s="138"/>
      <c r="I147" s="138"/>
      <c r="J147" s="138"/>
      <c r="K147" s="138"/>
      <c r="L147" s="138"/>
      <c r="M147" s="138"/>
      <c r="N147" s="355"/>
      <c r="O147" s="11"/>
      <c r="P147" s="11"/>
      <c r="Q147" s="11"/>
      <c r="R147" s="11"/>
      <c r="S147" s="11"/>
      <c r="T147" s="11"/>
      <c r="U147" s="11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1:256" ht="37.5" x14ac:dyDescent="0.25">
      <c r="A148" s="167"/>
      <c r="B148" s="7" t="s">
        <v>150</v>
      </c>
      <c r="C148" s="168" t="s">
        <v>104</v>
      </c>
      <c r="D148" s="142" t="s">
        <v>26</v>
      </c>
      <c r="E148" s="137">
        <f>80.3/1000</f>
        <v>8.0299999999999996E-2</v>
      </c>
      <c r="F148" s="138">
        <f>F146*E148</f>
        <v>0.35412300000000002</v>
      </c>
      <c r="G148" s="138"/>
      <c r="H148" s="138"/>
      <c r="I148" s="138"/>
      <c r="J148" s="138"/>
      <c r="K148" s="138"/>
      <c r="L148" s="138"/>
      <c r="M148" s="138"/>
      <c r="N148" s="355"/>
      <c r="O148" s="11"/>
      <c r="P148" s="11"/>
      <c r="Q148" s="11"/>
      <c r="R148" s="11"/>
      <c r="S148" s="11"/>
      <c r="T148" s="11"/>
      <c r="U148" s="11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1:256" ht="18" x14ac:dyDescent="0.35">
      <c r="A149" s="167"/>
      <c r="B149" s="140"/>
      <c r="C149" s="144" t="s">
        <v>29</v>
      </c>
      <c r="D149" s="142" t="s">
        <v>22</v>
      </c>
      <c r="E149" s="137">
        <f t="shared" ref="E149:E155" si="9">5.63/1000</f>
        <v>5.6299999999999996E-3</v>
      </c>
      <c r="F149" s="138">
        <f>F146*E149</f>
        <v>2.4828299999999998E-2</v>
      </c>
      <c r="G149" s="138"/>
      <c r="H149" s="138"/>
      <c r="I149" s="138"/>
      <c r="J149" s="138"/>
      <c r="K149" s="138"/>
      <c r="L149" s="138"/>
      <c r="M149" s="138"/>
      <c r="N149" s="355"/>
      <c r="O149" s="11"/>
      <c r="P149" s="11"/>
      <c r="Q149" s="11"/>
      <c r="R149" s="11"/>
      <c r="S149" s="11"/>
      <c r="T149" s="11"/>
      <c r="U149" s="11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1:256" ht="54" x14ac:dyDescent="0.25">
      <c r="A150" s="134">
        <v>2</v>
      </c>
      <c r="B150" s="135" t="s">
        <v>95</v>
      </c>
      <c r="C150" s="169" t="s">
        <v>164</v>
      </c>
      <c r="D150" s="142" t="s">
        <v>105</v>
      </c>
      <c r="E150" s="137"/>
      <c r="F150" s="166">
        <f>F146*10/100</f>
        <v>0.441</v>
      </c>
      <c r="G150" s="138"/>
      <c r="H150" s="138"/>
      <c r="I150" s="138"/>
      <c r="J150" s="138"/>
      <c r="K150" s="138"/>
      <c r="L150" s="138"/>
      <c r="M150" s="138"/>
      <c r="N150" s="355"/>
      <c r="O150" s="11"/>
      <c r="P150" s="11"/>
      <c r="Q150" s="11"/>
      <c r="R150" s="11"/>
      <c r="S150" s="11"/>
      <c r="T150" s="11"/>
      <c r="U150" s="11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1:256" ht="18" x14ac:dyDescent="0.35">
      <c r="A151" s="167"/>
      <c r="B151" s="170"/>
      <c r="C151" s="171" t="s">
        <v>18</v>
      </c>
      <c r="D151" s="172" t="s">
        <v>19</v>
      </c>
      <c r="E151" s="137">
        <f t="shared" ref="E151" si="10">206/100</f>
        <v>2.06</v>
      </c>
      <c r="F151" s="138">
        <f>F150*E151</f>
        <v>0.90846000000000005</v>
      </c>
      <c r="G151" s="138"/>
      <c r="H151" s="138"/>
      <c r="I151" s="138"/>
      <c r="J151" s="138"/>
      <c r="K151" s="138"/>
      <c r="L151" s="138"/>
      <c r="M151" s="138"/>
      <c r="N151" s="355"/>
      <c r="O151" s="11"/>
      <c r="P151" s="11"/>
      <c r="Q151" s="11"/>
      <c r="R151" s="11"/>
      <c r="S151" s="11"/>
      <c r="T151" s="11"/>
      <c r="U151" s="11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1:256" ht="36" x14ac:dyDescent="0.25">
      <c r="A152" s="173">
        <v>3</v>
      </c>
      <c r="B152" s="135" t="s">
        <v>91</v>
      </c>
      <c r="C152" s="169" t="s">
        <v>97</v>
      </c>
      <c r="D152" s="106" t="s">
        <v>59</v>
      </c>
      <c r="E152" s="137"/>
      <c r="F152" s="166">
        <f>F150</f>
        <v>0.441</v>
      </c>
      <c r="G152" s="138"/>
      <c r="H152" s="138"/>
      <c r="I152" s="138"/>
      <c r="J152" s="138"/>
      <c r="K152" s="138"/>
      <c r="L152" s="138"/>
      <c r="M152" s="138"/>
      <c r="N152" s="355"/>
      <c r="O152" s="11"/>
      <c r="P152" s="11"/>
      <c r="Q152" s="11"/>
      <c r="R152" s="11"/>
      <c r="S152" s="11"/>
      <c r="T152" s="11"/>
      <c r="U152" s="11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1:256" ht="18" x14ac:dyDescent="0.25">
      <c r="A153" s="167"/>
      <c r="B153" s="140"/>
      <c r="C153" s="141" t="s">
        <v>18</v>
      </c>
      <c r="D153" s="142" t="s">
        <v>19</v>
      </c>
      <c r="E153" s="137">
        <f t="shared" si="8"/>
        <v>3.4000000000000002E-2</v>
      </c>
      <c r="F153" s="138">
        <f>F152*E153</f>
        <v>1.4994E-2</v>
      </c>
      <c r="G153" s="138"/>
      <c r="H153" s="138"/>
      <c r="I153" s="138"/>
      <c r="J153" s="138"/>
      <c r="K153" s="138"/>
      <c r="L153" s="138"/>
      <c r="M153" s="138"/>
      <c r="N153" s="355"/>
      <c r="O153" s="11"/>
      <c r="P153" s="11"/>
      <c r="Q153" s="11"/>
      <c r="R153" s="11"/>
      <c r="S153" s="11"/>
      <c r="T153" s="11"/>
      <c r="U153" s="11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1:256" ht="37.5" x14ac:dyDescent="0.25">
      <c r="A154" s="167"/>
      <c r="B154" s="7" t="s">
        <v>150</v>
      </c>
      <c r="C154" s="168" t="s">
        <v>104</v>
      </c>
      <c r="D154" s="142" t="s">
        <v>26</v>
      </c>
      <c r="E154" s="137">
        <f>80.3/1000</f>
        <v>8.0299999999999996E-2</v>
      </c>
      <c r="F154" s="138">
        <f>F152*E154</f>
        <v>3.5412300000000001E-2</v>
      </c>
      <c r="G154" s="138"/>
      <c r="H154" s="138"/>
      <c r="I154" s="138"/>
      <c r="J154" s="138"/>
      <c r="K154" s="138"/>
      <c r="L154" s="138"/>
      <c r="M154" s="138"/>
      <c r="N154" s="355"/>
      <c r="O154" s="11"/>
      <c r="P154" s="11"/>
      <c r="Q154" s="11"/>
      <c r="R154" s="11"/>
      <c r="S154" s="11"/>
      <c r="T154" s="11"/>
      <c r="U154" s="11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1:256" ht="18" x14ac:dyDescent="0.35">
      <c r="A155" s="167"/>
      <c r="B155" s="140"/>
      <c r="C155" s="141" t="s">
        <v>29</v>
      </c>
      <c r="D155" s="172" t="s">
        <v>22</v>
      </c>
      <c r="E155" s="137">
        <f t="shared" si="9"/>
        <v>5.6299999999999996E-3</v>
      </c>
      <c r="F155" s="138">
        <f>F152*E155</f>
        <v>2.4828299999999997E-3</v>
      </c>
      <c r="G155" s="138"/>
      <c r="H155" s="138"/>
      <c r="I155" s="138"/>
      <c r="J155" s="138"/>
      <c r="K155" s="138"/>
      <c r="L155" s="138"/>
      <c r="M155" s="138"/>
      <c r="N155" s="355"/>
      <c r="O155" s="11"/>
      <c r="P155" s="11"/>
      <c r="Q155" s="11"/>
      <c r="R155" s="11"/>
      <c r="S155" s="11"/>
      <c r="T155" s="11"/>
      <c r="U155" s="11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1:256" ht="36" x14ac:dyDescent="0.25">
      <c r="A156" s="167"/>
      <c r="B156" s="80" t="s">
        <v>151</v>
      </c>
      <c r="C156" s="169" t="s">
        <v>106</v>
      </c>
      <c r="D156" s="165" t="s">
        <v>36</v>
      </c>
      <c r="E156" s="137"/>
      <c r="F156" s="166">
        <f>(F146+F152)*1.8</f>
        <v>8.7317999999999998</v>
      </c>
      <c r="G156" s="138"/>
      <c r="H156" s="138"/>
      <c r="I156" s="138"/>
      <c r="J156" s="138"/>
      <c r="K156" s="138"/>
      <c r="L156" s="138"/>
      <c r="M156" s="138"/>
      <c r="N156" s="355"/>
      <c r="O156" s="11"/>
      <c r="P156" s="11"/>
      <c r="Q156" s="11"/>
      <c r="R156" s="11"/>
      <c r="S156" s="11"/>
      <c r="T156" s="11"/>
      <c r="U156" s="11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1:256" ht="19.5" x14ac:dyDescent="0.25">
      <c r="A157" s="167"/>
      <c r="B157" s="55" t="s">
        <v>83</v>
      </c>
      <c r="C157" s="295" t="s">
        <v>84</v>
      </c>
      <c r="D157" s="25" t="s">
        <v>68</v>
      </c>
      <c r="E157" s="57"/>
      <c r="F157" s="294">
        <f>F146+F150</f>
        <v>4.851</v>
      </c>
      <c r="G157" s="58"/>
      <c r="H157" s="58"/>
      <c r="I157" s="58"/>
      <c r="J157" s="58"/>
      <c r="K157" s="58"/>
      <c r="L157" s="58"/>
      <c r="M157" s="58"/>
      <c r="N157" s="355"/>
      <c r="O157" s="11"/>
      <c r="P157" s="11"/>
      <c r="Q157" s="11"/>
      <c r="R157" s="11"/>
      <c r="S157" s="11"/>
      <c r="T157" s="11"/>
      <c r="U157" s="11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 ht="18" x14ac:dyDescent="0.25">
      <c r="A158" s="167"/>
      <c r="B158" s="59"/>
      <c r="C158" s="60" t="s">
        <v>18</v>
      </c>
      <c r="D158" s="61" t="s">
        <v>19</v>
      </c>
      <c r="E158" s="62">
        <v>3.2299999999999998E-3</v>
      </c>
      <c r="F158" s="63">
        <f>F157*E158</f>
        <v>1.5668729999999999E-2</v>
      </c>
      <c r="G158" s="58"/>
      <c r="H158" s="58"/>
      <c r="I158" s="58"/>
      <c r="J158" s="58"/>
      <c r="K158" s="58"/>
      <c r="L158" s="58"/>
      <c r="M158" s="58"/>
      <c r="N158" s="355"/>
      <c r="O158" s="11"/>
      <c r="P158" s="11"/>
      <c r="Q158" s="11"/>
      <c r="R158" s="11"/>
      <c r="S158" s="11"/>
      <c r="T158" s="11"/>
      <c r="U158" s="11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1:256" ht="18" x14ac:dyDescent="0.25">
      <c r="A159" s="167"/>
      <c r="B159" s="7" t="s">
        <v>85</v>
      </c>
      <c r="C159" s="60" t="s">
        <v>86</v>
      </c>
      <c r="D159" s="61" t="s">
        <v>87</v>
      </c>
      <c r="E159" s="62">
        <v>3.62E-3</v>
      </c>
      <c r="F159" s="63">
        <f>ROUND(F157*E159,2)</f>
        <v>0.02</v>
      </c>
      <c r="G159" s="58"/>
      <c r="H159" s="58"/>
      <c r="I159" s="58"/>
      <c r="J159" s="58"/>
      <c r="K159" s="58"/>
      <c r="L159" s="58"/>
      <c r="M159" s="58"/>
      <c r="N159" s="355"/>
      <c r="O159" s="11"/>
      <c r="P159" s="11"/>
      <c r="Q159" s="11"/>
      <c r="R159" s="11"/>
      <c r="S159" s="11"/>
      <c r="T159" s="11"/>
      <c r="U159" s="11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 ht="18" x14ac:dyDescent="0.25">
      <c r="A160" s="167"/>
      <c r="B160" s="59"/>
      <c r="C160" s="60" t="s">
        <v>29</v>
      </c>
      <c r="D160" s="61" t="s">
        <v>22</v>
      </c>
      <c r="E160" s="62">
        <v>1.8000000000000001E-4</v>
      </c>
      <c r="F160" s="63">
        <f>ROUND(F157*E160,2)</f>
        <v>0</v>
      </c>
      <c r="G160" s="58"/>
      <c r="H160" s="58"/>
      <c r="I160" s="58"/>
      <c r="J160" s="58"/>
      <c r="K160" s="58"/>
      <c r="L160" s="58"/>
      <c r="M160" s="58"/>
      <c r="N160" s="355"/>
      <c r="O160" s="11"/>
      <c r="P160" s="11"/>
      <c r="Q160" s="11"/>
      <c r="R160" s="11"/>
      <c r="S160" s="11"/>
      <c r="T160" s="11"/>
      <c r="U160" s="11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1:256" ht="18" x14ac:dyDescent="0.35">
      <c r="A161" s="167"/>
      <c r="B161" s="64"/>
      <c r="C161" s="65" t="s">
        <v>88</v>
      </c>
      <c r="D161" s="61" t="s">
        <v>39</v>
      </c>
      <c r="E161" s="62">
        <v>4.0000000000000003E-5</v>
      </c>
      <c r="F161" s="63">
        <f>ROUND(F157*E161,2)</f>
        <v>0</v>
      </c>
      <c r="G161" s="27"/>
      <c r="H161" s="58"/>
      <c r="I161" s="58"/>
      <c r="J161" s="58"/>
      <c r="K161" s="58"/>
      <c r="L161" s="58"/>
      <c r="M161" s="58"/>
      <c r="N161" s="355"/>
      <c r="O161" s="11"/>
      <c r="P161" s="11"/>
      <c r="Q161" s="11"/>
      <c r="R161" s="11"/>
      <c r="S161" s="11"/>
      <c r="T161" s="11"/>
      <c r="U161" s="11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1:256" ht="49.5" x14ac:dyDescent="0.25">
      <c r="A162" s="134">
        <v>4</v>
      </c>
      <c r="B162" s="135" t="s">
        <v>107</v>
      </c>
      <c r="C162" s="328" t="s">
        <v>178</v>
      </c>
      <c r="D162" s="106" t="s">
        <v>59</v>
      </c>
      <c r="E162" s="137"/>
      <c r="F162" s="166">
        <f>0.6*0.1*F175</f>
        <v>0.42</v>
      </c>
      <c r="G162" s="138"/>
      <c r="H162" s="138"/>
      <c r="I162" s="138"/>
      <c r="J162" s="138"/>
      <c r="K162" s="138"/>
      <c r="L162" s="138"/>
      <c r="M162" s="138"/>
      <c r="N162" s="355"/>
      <c r="O162" s="11"/>
      <c r="P162" s="11"/>
      <c r="Q162" s="11"/>
      <c r="R162" s="11"/>
      <c r="S162" s="11"/>
      <c r="T162" s="11"/>
      <c r="U162" s="11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1:256" ht="18" x14ac:dyDescent="0.25">
      <c r="A163" s="139"/>
      <c r="B163" s="140"/>
      <c r="C163" s="141" t="s">
        <v>18</v>
      </c>
      <c r="D163" s="142" t="s">
        <v>19</v>
      </c>
      <c r="E163" s="137">
        <f t="shared" ref="E163" si="11">212/100</f>
        <v>2.12</v>
      </c>
      <c r="F163" s="138">
        <f>F162*E163</f>
        <v>0.89039999999999997</v>
      </c>
      <c r="G163" s="138"/>
      <c r="H163" s="138"/>
      <c r="I163" s="138"/>
      <c r="J163" s="138"/>
      <c r="K163" s="138"/>
      <c r="L163" s="138"/>
      <c r="M163" s="138"/>
      <c r="N163" s="355"/>
      <c r="O163" s="11"/>
      <c r="P163" s="11"/>
      <c r="Q163" s="11"/>
      <c r="R163" s="11"/>
      <c r="S163" s="11"/>
      <c r="T163" s="11"/>
      <c r="U163" s="11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</row>
    <row r="164" spans="1:256" ht="18" x14ac:dyDescent="0.35">
      <c r="A164" s="139"/>
      <c r="B164" s="140"/>
      <c r="C164" s="144" t="s">
        <v>29</v>
      </c>
      <c r="D164" s="142" t="s">
        <v>22</v>
      </c>
      <c r="E164" s="137">
        <f t="shared" ref="E164" si="12">10.1/100</f>
        <v>0.10099999999999999</v>
      </c>
      <c r="F164" s="138">
        <f>F162*E164</f>
        <v>4.2419999999999992E-2</v>
      </c>
      <c r="G164" s="138"/>
      <c r="H164" s="138"/>
      <c r="I164" s="138"/>
      <c r="J164" s="138"/>
      <c r="K164" s="138"/>
      <c r="L164" s="138"/>
      <c r="M164" s="138"/>
      <c r="N164" s="355"/>
      <c r="O164" s="11"/>
      <c r="P164" s="11"/>
      <c r="Q164" s="11"/>
      <c r="R164" s="11"/>
      <c r="S164" s="11"/>
      <c r="T164" s="11"/>
      <c r="U164" s="11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pans="1:256" ht="18" x14ac:dyDescent="0.25">
      <c r="A165" s="139"/>
      <c r="B165" s="140"/>
      <c r="C165" s="142" t="s">
        <v>35</v>
      </c>
      <c r="D165" s="145"/>
      <c r="E165" s="137"/>
      <c r="F165" s="138"/>
      <c r="G165" s="138"/>
      <c r="H165" s="138"/>
      <c r="I165" s="138"/>
      <c r="J165" s="138"/>
      <c r="K165" s="138"/>
      <c r="L165" s="138"/>
      <c r="M165" s="138"/>
      <c r="N165" s="355"/>
      <c r="O165" s="11"/>
      <c r="P165" s="11"/>
      <c r="Q165" s="11"/>
      <c r="R165" s="11"/>
      <c r="S165" s="11"/>
      <c r="T165" s="11"/>
      <c r="U165" s="11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pans="1:256" ht="54" x14ac:dyDescent="0.25">
      <c r="A166" s="139"/>
      <c r="B166" s="80"/>
      <c r="C166" s="146" t="s">
        <v>108</v>
      </c>
      <c r="D166" s="48" t="s">
        <v>59</v>
      </c>
      <c r="E166" s="137">
        <v>1.1000000000000001</v>
      </c>
      <c r="F166" s="138">
        <f>F162*E166</f>
        <v>0.46200000000000002</v>
      </c>
      <c r="G166" s="138"/>
      <c r="H166" s="138"/>
      <c r="I166" s="138"/>
      <c r="J166" s="138"/>
      <c r="K166" s="138"/>
      <c r="L166" s="138"/>
      <c r="M166" s="138"/>
      <c r="N166" s="355"/>
      <c r="O166" s="11"/>
      <c r="P166" s="11"/>
      <c r="Q166" s="11"/>
      <c r="R166" s="11"/>
      <c r="S166" s="11"/>
      <c r="T166" s="11"/>
      <c r="U166" s="11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1:256" ht="47.25" x14ac:dyDescent="0.25">
      <c r="A167" s="134">
        <v>5</v>
      </c>
      <c r="B167" s="135" t="s">
        <v>109</v>
      </c>
      <c r="C167" s="136" t="s">
        <v>110</v>
      </c>
      <c r="D167" s="106" t="s">
        <v>17</v>
      </c>
      <c r="E167" s="137"/>
      <c r="F167" s="174">
        <f>F175/1000</f>
        <v>7.0000000000000001E-3</v>
      </c>
      <c r="G167" s="138"/>
      <c r="H167" s="138"/>
      <c r="I167" s="138"/>
      <c r="J167" s="138"/>
      <c r="K167" s="138"/>
      <c r="L167" s="138"/>
      <c r="M167" s="138"/>
      <c r="N167" s="355"/>
      <c r="O167" s="11"/>
      <c r="P167" s="11"/>
      <c r="Q167" s="11"/>
      <c r="R167" s="11"/>
      <c r="S167" s="11"/>
      <c r="T167" s="11"/>
      <c r="U167" s="11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1:256" ht="18" x14ac:dyDescent="0.25">
      <c r="A168" s="139"/>
      <c r="B168" s="140"/>
      <c r="C168" s="141" t="s">
        <v>18</v>
      </c>
      <c r="D168" s="142" t="s">
        <v>19</v>
      </c>
      <c r="E168" s="143">
        <v>426</v>
      </c>
      <c r="F168" s="138">
        <f>F167*E168</f>
        <v>2.9820000000000002</v>
      </c>
      <c r="G168" s="138"/>
      <c r="H168" s="138"/>
      <c r="I168" s="138"/>
      <c r="J168" s="138"/>
      <c r="K168" s="138"/>
      <c r="L168" s="138"/>
      <c r="M168" s="138"/>
      <c r="N168" s="355"/>
      <c r="O168" s="11"/>
      <c r="P168" s="11"/>
      <c r="Q168" s="11"/>
      <c r="R168" s="11"/>
      <c r="S168" s="11"/>
      <c r="T168" s="11"/>
      <c r="U168" s="11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1:256" ht="18" x14ac:dyDescent="0.35">
      <c r="A169" s="139"/>
      <c r="B169" s="140"/>
      <c r="C169" s="144" t="s">
        <v>29</v>
      </c>
      <c r="D169" s="142" t="s">
        <v>22</v>
      </c>
      <c r="E169" s="143">
        <v>596</v>
      </c>
      <c r="F169" s="138">
        <f>F167*E169</f>
        <v>4.1719999999999997</v>
      </c>
      <c r="G169" s="138"/>
      <c r="H169" s="138"/>
      <c r="I169" s="138"/>
      <c r="J169" s="138"/>
      <c r="K169" s="138"/>
      <c r="L169" s="138"/>
      <c r="M169" s="138"/>
      <c r="N169" s="355"/>
      <c r="O169" s="11"/>
      <c r="P169" s="11"/>
      <c r="Q169" s="11"/>
      <c r="R169" s="11"/>
      <c r="S169" s="11"/>
      <c r="T169" s="11"/>
      <c r="U169" s="11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  <row r="170" spans="1:256" ht="18" x14ac:dyDescent="0.25">
      <c r="A170" s="139"/>
      <c r="B170" s="140"/>
      <c r="C170" s="142" t="s">
        <v>35</v>
      </c>
      <c r="D170" s="145"/>
      <c r="E170" s="137"/>
      <c r="F170" s="138"/>
      <c r="G170" s="138"/>
      <c r="H170" s="138"/>
      <c r="I170" s="138"/>
      <c r="J170" s="138"/>
      <c r="K170" s="138"/>
      <c r="L170" s="138"/>
      <c r="M170" s="138"/>
      <c r="N170" s="355"/>
      <c r="O170" s="11"/>
      <c r="P170" s="11"/>
      <c r="Q170" s="11"/>
      <c r="R170" s="11"/>
      <c r="S170" s="11"/>
      <c r="T170" s="11"/>
      <c r="U170" s="11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</row>
    <row r="171" spans="1:256" ht="30" x14ac:dyDescent="0.25">
      <c r="A171" s="139"/>
      <c r="B171" s="80" t="s">
        <v>153</v>
      </c>
      <c r="C171" s="146" t="s">
        <v>111</v>
      </c>
      <c r="D171" s="48" t="s">
        <v>36</v>
      </c>
      <c r="E171" s="137">
        <v>16.2</v>
      </c>
      <c r="F171" s="138">
        <f>F167*E171</f>
        <v>0.1134</v>
      </c>
      <c r="G171" s="138"/>
      <c r="H171" s="138"/>
      <c r="I171" s="138"/>
      <c r="J171" s="138"/>
      <c r="K171" s="138"/>
      <c r="L171" s="138"/>
      <c r="M171" s="138"/>
      <c r="N171" s="355"/>
      <c r="O171" s="11"/>
      <c r="P171" s="11"/>
      <c r="Q171" s="11"/>
      <c r="R171" s="11"/>
      <c r="S171" s="11"/>
      <c r="T171" s="11"/>
      <c r="U171" s="11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</row>
    <row r="172" spans="1:256" ht="30" x14ac:dyDescent="0.25">
      <c r="A172" s="139"/>
      <c r="B172" s="80" t="s">
        <v>154</v>
      </c>
      <c r="C172" s="146" t="s">
        <v>112</v>
      </c>
      <c r="D172" s="48" t="s">
        <v>113</v>
      </c>
      <c r="E172" s="137">
        <v>405</v>
      </c>
      <c r="F172" s="138">
        <f>F167*E172</f>
        <v>2.835</v>
      </c>
      <c r="G172" s="138"/>
      <c r="H172" s="138"/>
      <c r="I172" s="138"/>
      <c r="J172" s="138"/>
      <c r="K172" s="138"/>
      <c r="L172" s="138"/>
      <c r="M172" s="138"/>
      <c r="N172" s="355"/>
      <c r="O172" s="11"/>
      <c r="P172" s="11"/>
      <c r="Q172" s="11"/>
      <c r="R172" s="11"/>
      <c r="S172" s="11"/>
      <c r="T172" s="11"/>
      <c r="U172" s="11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</row>
    <row r="173" spans="1:256" ht="30" x14ac:dyDescent="0.25">
      <c r="A173" s="139"/>
      <c r="B173" s="80" t="s">
        <v>156</v>
      </c>
      <c r="C173" s="146" t="s">
        <v>114</v>
      </c>
      <c r="D173" s="48" t="s">
        <v>113</v>
      </c>
      <c r="E173" s="137">
        <v>346</v>
      </c>
      <c r="F173" s="138">
        <f>F167*E173</f>
        <v>2.4220000000000002</v>
      </c>
      <c r="G173" s="147"/>
      <c r="H173" s="138"/>
      <c r="I173" s="138"/>
      <c r="J173" s="138"/>
      <c r="K173" s="138"/>
      <c r="L173" s="138"/>
      <c r="M173" s="138"/>
      <c r="N173" s="355"/>
      <c r="O173" s="11"/>
      <c r="P173" s="11"/>
      <c r="Q173" s="11"/>
      <c r="R173" s="11"/>
      <c r="S173" s="11"/>
      <c r="T173" s="11"/>
      <c r="U173" s="11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</row>
    <row r="174" spans="1:256" ht="18" x14ac:dyDescent="0.35">
      <c r="A174" s="28"/>
      <c r="B174" s="29"/>
      <c r="C174" s="30" t="s">
        <v>38</v>
      </c>
      <c r="D174" s="101" t="s">
        <v>22</v>
      </c>
      <c r="E174" s="148">
        <v>34</v>
      </c>
      <c r="F174" s="87">
        <f>F167*E174</f>
        <v>0.23800000000000002</v>
      </c>
      <c r="G174" s="27"/>
      <c r="H174" s="27"/>
      <c r="I174" s="27"/>
      <c r="J174" s="27"/>
      <c r="K174" s="27"/>
      <c r="L174" s="27"/>
      <c r="M174" s="27"/>
      <c r="N174" s="355"/>
      <c r="O174" s="11"/>
      <c r="P174" s="11"/>
      <c r="Q174" s="11"/>
      <c r="R174" s="11"/>
      <c r="S174" s="11"/>
      <c r="T174" s="11"/>
      <c r="U174" s="11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</row>
    <row r="175" spans="1:256" ht="54" x14ac:dyDescent="0.35">
      <c r="A175" s="134">
        <v>6</v>
      </c>
      <c r="B175" s="135" t="s">
        <v>115</v>
      </c>
      <c r="C175" s="164" t="s">
        <v>116</v>
      </c>
      <c r="D175" s="142" t="s">
        <v>117</v>
      </c>
      <c r="E175" s="137"/>
      <c r="F175" s="166">
        <v>7</v>
      </c>
      <c r="G175" s="138"/>
      <c r="H175" s="138"/>
      <c r="I175" s="138"/>
      <c r="J175" s="138"/>
      <c r="K175" s="138"/>
      <c r="L175" s="138"/>
      <c r="M175" s="138"/>
      <c r="N175" s="355"/>
      <c r="O175" s="11"/>
      <c r="P175" s="11"/>
      <c r="Q175" s="11"/>
      <c r="R175" s="11"/>
      <c r="S175" s="11"/>
      <c r="T175" s="11"/>
      <c r="U175" s="11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</row>
    <row r="176" spans="1:256" ht="18" x14ac:dyDescent="0.25">
      <c r="A176" s="139"/>
      <c r="B176" s="140"/>
      <c r="C176" s="141" t="s">
        <v>18</v>
      </c>
      <c r="D176" s="142" t="s">
        <v>19</v>
      </c>
      <c r="E176" s="137">
        <f t="shared" ref="E176" si="13">973/1000</f>
        <v>0.97299999999999998</v>
      </c>
      <c r="F176" s="138">
        <f>F175*E176</f>
        <v>6.8109999999999999</v>
      </c>
      <c r="G176" s="138"/>
      <c r="H176" s="138"/>
      <c r="I176" s="138"/>
      <c r="J176" s="138"/>
      <c r="K176" s="138"/>
      <c r="L176" s="138"/>
      <c r="M176" s="138"/>
      <c r="N176" s="355"/>
      <c r="O176" s="11"/>
      <c r="P176" s="11"/>
      <c r="Q176" s="11"/>
      <c r="R176" s="11"/>
      <c r="S176" s="11"/>
      <c r="T176" s="11"/>
      <c r="U176" s="11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</row>
    <row r="177" spans="1:256" ht="18" x14ac:dyDescent="0.35">
      <c r="A177" s="139"/>
      <c r="B177" s="140"/>
      <c r="C177" s="144" t="s">
        <v>29</v>
      </c>
      <c r="D177" s="142" t="s">
        <v>22</v>
      </c>
      <c r="E177" s="137">
        <f t="shared" ref="E177" si="14">483/1000</f>
        <v>0.48299999999999998</v>
      </c>
      <c r="F177" s="138">
        <f>F175*E177</f>
        <v>3.3809999999999998</v>
      </c>
      <c r="G177" s="138"/>
      <c r="H177" s="138"/>
      <c r="I177" s="138"/>
      <c r="J177" s="138"/>
      <c r="K177" s="138"/>
      <c r="L177" s="138"/>
      <c r="M177" s="138"/>
      <c r="N177" s="355"/>
      <c r="O177" s="11"/>
      <c r="P177" s="11"/>
      <c r="Q177" s="11"/>
      <c r="R177" s="11"/>
      <c r="S177" s="11"/>
      <c r="T177" s="11"/>
      <c r="U177" s="11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</row>
    <row r="178" spans="1:256" ht="18" x14ac:dyDescent="0.25">
      <c r="A178" s="139"/>
      <c r="B178" s="140"/>
      <c r="C178" s="142" t="s">
        <v>35</v>
      </c>
      <c r="D178" s="145"/>
      <c r="E178" s="137"/>
      <c r="F178" s="138"/>
      <c r="G178" s="138"/>
      <c r="H178" s="138"/>
      <c r="I178" s="138"/>
      <c r="J178" s="138"/>
      <c r="K178" s="138"/>
      <c r="L178" s="138"/>
      <c r="M178" s="138"/>
      <c r="N178" s="355"/>
      <c r="O178" s="11"/>
      <c r="P178" s="11"/>
      <c r="Q178" s="11"/>
      <c r="R178" s="11"/>
      <c r="S178" s="11"/>
      <c r="T178" s="11"/>
      <c r="U178" s="11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</row>
    <row r="179" spans="1:256" ht="30" x14ac:dyDescent="0.25">
      <c r="A179" s="139"/>
      <c r="B179" s="175" t="s">
        <v>157</v>
      </c>
      <c r="C179" s="157" t="s">
        <v>118</v>
      </c>
      <c r="D179" s="142" t="s">
        <v>117</v>
      </c>
      <c r="E179" s="137" t="s">
        <v>119</v>
      </c>
      <c r="F179" s="138">
        <f>F175</f>
        <v>7</v>
      </c>
      <c r="G179" s="138"/>
      <c r="H179" s="138"/>
      <c r="I179" s="138"/>
      <c r="J179" s="138"/>
      <c r="K179" s="138"/>
      <c r="L179" s="138"/>
      <c r="M179" s="138"/>
      <c r="N179" s="355"/>
      <c r="O179" s="11"/>
      <c r="P179" s="11"/>
      <c r="Q179" s="11"/>
      <c r="R179" s="11"/>
      <c r="S179" s="11"/>
      <c r="T179" s="11"/>
      <c r="U179" s="11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</row>
    <row r="180" spans="1:256" ht="18" x14ac:dyDescent="0.35">
      <c r="A180" s="139"/>
      <c r="B180" s="140"/>
      <c r="C180" s="144" t="s">
        <v>38</v>
      </c>
      <c r="D180" s="176" t="s">
        <v>22</v>
      </c>
      <c r="E180" s="137">
        <v>0.22</v>
      </c>
      <c r="F180" s="138">
        <f>F175*E180</f>
        <v>1.54</v>
      </c>
      <c r="G180" s="138"/>
      <c r="H180" s="138"/>
      <c r="I180" s="138"/>
      <c r="J180" s="138"/>
      <c r="K180" s="138"/>
      <c r="L180" s="138"/>
      <c r="M180" s="138"/>
      <c r="N180" s="355"/>
      <c r="O180" s="11"/>
      <c r="P180" s="11"/>
      <c r="Q180" s="11"/>
      <c r="R180" s="11"/>
      <c r="S180" s="11"/>
      <c r="T180" s="11"/>
      <c r="U180" s="11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pans="1:256" ht="36" x14ac:dyDescent="0.35">
      <c r="A181" s="134">
        <v>7</v>
      </c>
      <c r="B181" s="135" t="s">
        <v>107</v>
      </c>
      <c r="C181" s="164" t="s">
        <v>179</v>
      </c>
      <c r="D181" s="106" t="s">
        <v>59</v>
      </c>
      <c r="E181" s="137"/>
      <c r="F181" s="166">
        <f>F175*0.4*0.6</f>
        <v>1.6800000000000002</v>
      </c>
      <c r="G181" s="138"/>
      <c r="H181" s="138"/>
      <c r="I181" s="138"/>
      <c r="J181" s="138"/>
      <c r="K181" s="138"/>
      <c r="L181" s="138"/>
      <c r="M181" s="138"/>
      <c r="N181" s="355"/>
      <c r="O181" s="11"/>
      <c r="P181" s="11"/>
      <c r="Q181" s="11"/>
      <c r="R181" s="11"/>
      <c r="S181" s="11"/>
      <c r="T181" s="11"/>
      <c r="U181" s="11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  <row r="182" spans="1:256" ht="18" x14ac:dyDescent="0.25">
      <c r="A182" s="139"/>
      <c r="B182" s="140"/>
      <c r="C182" s="141" t="s">
        <v>18</v>
      </c>
      <c r="D182" s="142" t="s">
        <v>19</v>
      </c>
      <c r="E182" s="137">
        <v>2.12</v>
      </c>
      <c r="F182" s="138">
        <f>F181*E182</f>
        <v>3.5616000000000003</v>
      </c>
      <c r="G182" s="138"/>
      <c r="H182" s="138"/>
      <c r="I182" s="138"/>
      <c r="J182" s="138"/>
      <c r="K182" s="138"/>
      <c r="L182" s="138"/>
      <c r="M182" s="138"/>
      <c r="N182" s="355"/>
      <c r="O182" s="11"/>
      <c r="P182" s="11"/>
      <c r="Q182" s="11"/>
      <c r="R182" s="11"/>
      <c r="S182" s="11"/>
      <c r="T182" s="11"/>
      <c r="U182" s="11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</row>
    <row r="183" spans="1:256" ht="18" x14ac:dyDescent="0.35">
      <c r="A183" s="139"/>
      <c r="B183" s="140"/>
      <c r="C183" s="144" t="s">
        <v>29</v>
      </c>
      <c r="D183" s="142" t="s">
        <v>22</v>
      </c>
      <c r="E183" s="137">
        <v>0.10100000000000001</v>
      </c>
      <c r="F183" s="138">
        <f>F181*E183</f>
        <v>0.16968000000000003</v>
      </c>
      <c r="G183" s="138"/>
      <c r="H183" s="138"/>
      <c r="I183" s="138"/>
      <c r="J183" s="138"/>
      <c r="K183" s="138"/>
      <c r="L183" s="138"/>
      <c r="M183" s="138"/>
      <c r="N183" s="355"/>
      <c r="O183" s="11"/>
      <c r="P183" s="11"/>
      <c r="Q183" s="11"/>
      <c r="R183" s="11"/>
      <c r="S183" s="11"/>
      <c r="T183" s="11"/>
      <c r="U183" s="11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</row>
    <row r="184" spans="1:256" ht="18" x14ac:dyDescent="0.25">
      <c r="A184" s="139"/>
      <c r="B184" s="140"/>
      <c r="C184" s="142" t="s">
        <v>35</v>
      </c>
      <c r="D184" s="145"/>
      <c r="E184" s="137"/>
      <c r="F184" s="138"/>
      <c r="G184" s="138"/>
      <c r="H184" s="138"/>
      <c r="I184" s="138"/>
      <c r="J184" s="138"/>
      <c r="K184" s="138"/>
      <c r="L184" s="138"/>
      <c r="M184" s="138"/>
      <c r="N184" s="355"/>
      <c r="O184" s="11"/>
      <c r="P184" s="11"/>
      <c r="Q184" s="11"/>
      <c r="R184" s="11"/>
      <c r="S184" s="11"/>
      <c r="T184" s="11"/>
      <c r="U184" s="11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</row>
    <row r="185" spans="1:256" ht="33" x14ac:dyDescent="0.25">
      <c r="A185" s="139"/>
      <c r="B185" s="80"/>
      <c r="C185" s="177" t="s">
        <v>176</v>
      </c>
      <c r="D185" s="48" t="s">
        <v>59</v>
      </c>
      <c r="E185" s="137">
        <v>1.1000000000000001</v>
      </c>
      <c r="F185" s="138">
        <f>F181*E185</f>
        <v>1.8480000000000003</v>
      </c>
      <c r="G185" s="138"/>
      <c r="H185" s="138"/>
      <c r="I185" s="138"/>
      <c r="J185" s="138"/>
      <c r="K185" s="138"/>
      <c r="L185" s="138"/>
      <c r="M185" s="138"/>
      <c r="N185" s="355"/>
      <c r="O185" s="11"/>
      <c r="P185" s="11"/>
      <c r="Q185" s="11"/>
      <c r="R185" s="11"/>
      <c r="S185" s="11"/>
      <c r="T185" s="11"/>
      <c r="U185" s="11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</row>
    <row r="186" spans="1:256" ht="82.5" x14ac:dyDescent="0.25">
      <c r="A186" s="134">
        <v>8</v>
      </c>
      <c r="B186" s="135" t="s">
        <v>91</v>
      </c>
      <c r="C186" s="178" t="s">
        <v>120</v>
      </c>
      <c r="D186" s="106" t="s">
        <v>59</v>
      </c>
      <c r="E186" s="137"/>
      <c r="F186" s="166">
        <f>0.72*2*1</f>
        <v>1.44</v>
      </c>
      <c r="G186" s="138"/>
      <c r="H186" s="138"/>
      <c r="I186" s="138"/>
      <c r="J186" s="138"/>
      <c r="K186" s="138"/>
      <c r="L186" s="138"/>
      <c r="M186" s="138"/>
      <c r="N186" s="355"/>
      <c r="O186" s="11"/>
      <c r="P186" s="11"/>
      <c r="Q186" s="11"/>
      <c r="R186" s="11"/>
      <c r="S186" s="11"/>
      <c r="T186" s="11"/>
      <c r="U186" s="11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</row>
    <row r="187" spans="1:256" ht="18" x14ac:dyDescent="0.25">
      <c r="A187" s="167"/>
      <c r="B187" s="140"/>
      <c r="C187" s="141" t="s">
        <v>18</v>
      </c>
      <c r="D187" s="142" t="s">
        <v>19</v>
      </c>
      <c r="E187" s="137">
        <f t="shared" ref="E187" si="15">34/1000</f>
        <v>3.4000000000000002E-2</v>
      </c>
      <c r="F187" s="138">
        <f>F186*E187</f>
        <v>4.8960000000000004E-2</v>
      </c>
      <c r="G187" s="138"/>
      <c r="H187" s="138"/>
      <c r="I187" s="138"/>
      <c r="J187" s="138"/>
      <c r="K187" s="138"/>
      <c r="L187" s="138"/>
      <c r="M187" s="138"/>
      <c r="N187" s="355"/>
      <c r="O187" s="11"/>
      <c r="P187" s="11"/>
      <c r="Q187" s="11"/>
      <c r="R187" s="11"/>
      <c r="S187" s="11"/>
      <c r="T187" s="11"/>
      <c r="U187" s="11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</row>
    <row r="188" spans="1:256" ht="37.5" x14ac:dyDescent="0.25">
      <c r="A188" s="167"/>
      <c r="B188" s="7" t="s">
        <v>150</v>
      </c>
      <c r="C188" s="168" t="s">
        <v>104</v>
      </c>
      <c r="D188" s="142" t="s">
        <v>26</v>
      </c>
      <c r="E188" s="137">
        <f>80.3/1000</f>
        <v>8.0299999999999996E-2</v>
      </c>
      <c r="F188" s="138">
        <f>F186*E188</f>
        <v>0.11563199999999998</v>
      </c>
      <c r="G188" s="138"/>
      <c r="H188" s="138"/>
      <c r="I188" s="138"/>
      <c r="J188" s="138"/>
      <c r="K188" s="138"/>
      <c r="L188" s="138"/>
      <c r="M188" s="138"/>
      <c r="N188" s="355"/>
      <c r="O188" s="11"/>
      <c r="P188" s="11"/>
      <c r="Q188" s="11"/>
      <c r="R188" s="11"/>
      <c r="S188" s="11"/>
      <c r="T188" s="11"/>
      <c r="U188" s="11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</row>
    <row r="189" spans="1:256" ht="18" x14ac:dyDescent="0.35">
      <c r="A189" s="167"/>
      <c r="B189" s="140"/>
      <c r="C189" s="144" t="s">
        <v>29</v>
      </c>
      <c r="D189" s="142" t="s">
        <v>22</v>
      </c>
      <c r="E189" s="137">
        <f t="shared" ref="E189" si="16">5.63/1000</f>
        <v>5.6299999999999996E-3</v>
      </c>
      <c r="F189" s="138">
        <f>F186*E189</f>
        <v>8.1071999999999984E-3</v>
      </c>
      <c r="G189" s="138"/>
      <c r="H189" s="138"/>
      <c r="I189" s="138"/>
      <c r="J189" s="138"/>
      <c r="K189" s="138"/>
      <c r="L189" s="138"/>
      <c r="M189" s="138"/>
      <c r="N189" s="355"/>
      <c r="O189" s="11"/>
      <c r="P189" s="11"/>
      <c r="Q189" s="11"/>
      <c r="R189" s="11"/>
      <c r="S189" s="11"/>
      <c r="T189" s="11"/>
      <c r="U189" s="11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</row>
    <row r="190" spans="1:256" ht="33" x14ac:dyDescent="0.25">
      <c r="A190" s="167"/>
      <c r="B190" s="80" t="s">
        <v>151</v>
      </c>
      <c r="C190" s="178" t="s">
        <v>106</v>
      </c>
      <c r="D190" s="48" t="s">
        <v>59</v>
      </c>
      <c r="E190" s="137"/>
      <c r="F190" s="138">
        <f>F186*1.8</f>
        <v>2.5920000000000001</v>
      </c>
      <c r="G190" s="138"/>
      <c r="H190" s="138"/>
      <c r="I190" s="138"/>
      <c r="J190" s="138"/>
      <c r="K190" s="138"/>
      <c r="L190" s="138"/>
      <c r="M190" s="138"/>
      <c r="N190" s="355"/>
      <c r="O190" s="11"/>
      <c r="P190" s="11"/>
      <c r="Q190" s="11"/>
      <c r="R190" s="11"/>
      <c r="S190" s="11"/>
      <c r="T190" s="11"/>
      <c r="U190" s="11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</row>
    <row r="191" spans="1:256" ht="19.5" x14ac:dyDescent="0.25">
      <c r="A191" s="167"/>
      <c r="B191" s="55" t="s">
        <v>83</v>
      </c>
      <c r="C191" s="295" t="s">
        <v>84</v>
      </c>
      <c r="D191" s="25" t="s">
        <v>68</v>
      </c>
      <c r="E191" s="57"/>
      <c r="F191" s="294">
        <v>1.44</v>
      </c>
      <c r="G191" s="58"/>
      <c r="H191" s="58"/>
      <c r="I191" s="58"/>
      <c r="J191" s="58"/>
      <c r="K191" s="58"/>
      <c r="L191" s="58"/>
      <c r="M191" s="58"/>
      <c r="N191" s="355"/>
      <c r="O191" s="11"/>
      <c r="P191" s="11"/>
      <c r="Q191" s="11"/>
      <c r="R191" s="11"/>
      <c r="S191" s="11"/>
      <c r="T191" s="11"/>
      <c r="U191" s="11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</row>
    <row r="192" spans="1:256" ht="18" x14ac:dyDescent="0.25">
      <c r="A192" s="167"/>
      <c r="B192" s="59"/>
      <c r="C192" s="60" t="s">
        <v>18</v>
      </c>
      <c r="D192" s="61" t="s">
        <v>19</v>
      </c>
      <c r="E192" s="62">
        <v>3.2299999999999998E-3</v>
      </c>
      <c r="F192" s="63">
        <f>F191*E192</f>
        <v>4.6511999999999994E-3</v>
      </c>
      <c r="G192" s="58"/>
      <c r="H192" s="58"/>
      <c r="I192" s="58"/>
      <c r="J192" s="58"/>
      <c r="K192" s="58"/>
      <c r="L192" s="58"/>
      <c r="M192" s="58"/>
      <c r="N192" s="355"/>
      <c r="O192" s="11"/>
      <c r="P192" s="11"/>
      <c r="Q192" s="11"/>
      <c r="R192" s="11"/>
      <c r="S192" s="11"/>
      <c r="T192" s="11"/>
      <c r="U192" s="11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</row>
    <row r="193" spans="1:256" ht="18" x14ac:dyDescent="0.25">
      <c r="A193" s="167"/>
      <c r="B193" s="7" t="s">
        <v>85</v>
      </c>
      <c r="C193" s="60" t="s">
        <v>86</v>
      </c>
      <c r="D193" s="61" t="s">
        <v>87</v>
      </c>
      <c r="E193" s="62">
        <v>3.62E-3</v>
      </c>
      <c r="F193" s="63">
        <f>ROUND(F191*E193,2)</f>
        <v>0.01</v>
      </c>
      <c r="G193" s="58"/>
      <c r="H193" s="58"/>
      <c r="I193" s="58"/>
      <c r="J193" s="58"/>
      <c r="K193" s="58"/>
      <c r="L193" s="58"/>
      <c r="M193" s="58"/>
      <c r="N193" s="355"/>
      <c r="O193" s="11"/>
      <c r="P193" s="11"/>
      <c r="Q193" s="11"/>
      <c r="R193" s="11"/>
      <c r="S193" s="11"/>
      <c r="T193" s="11"/>
      <c r="U193" s="11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</row>
    <row r="194" spans="1:256" ht="18" x14ac:dyDescent="0.25">
      <c r="A194" s="167"/>
      <c r="B194" s="59"/>
      <c r="C194" s="60" t="s">
        <v>29</v>
      </c>
      <c r="D194" s="61" t="s">
        <v>22</v>
      </c>
      <c r="E194" s="62">
        <v>1.8000000000000001E-4</v>
      </c>
      <c r="F194" s="63">
        <f>ROUND(F191*E194,2)</f>
        <v>0</v>
      </c>
      <c r="G194" s="58"/>
      <c r="H194" s="58"/>
      <c r="I194" s="58"/>
      <c r="J194" s="58"/>
      <c r="K194" s="58"/>
      <c r="L194" s="58"/>
      <c r="M194" s="58"/>
      <c r="N194" s="355"/>
      <c r="O194" s="11"/>
      <c r="P194" s="11"/>
      <c r="Q194" s="11"/>
      <c r="R194" s="11"/>
      <c r="S194" s="11"/>
      <c r="T194" s="11"/>
      <c r="U194" s="11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</row>
    <row r="195" spans="1:256" ht="18" x14ac:dyDescent="0.35">
      <c r="A195" s="167"/>
      <c r="B195" s="64"/>
      <c r="C195" s="65" t="s">
        <v>88</v>
      </c>
      <c r="D195" s="61" t="s">
        <v>39</v>
      </c>
      <c r="E195" s="62">
        <v>4.0000000000000003E-5</v>
      </c>
      <c r="F195" s="63">
        <f>ROUND(F191*E195,2)</f>
        <v>0</v>
      </c>
      <c r="G195" s="27"/>
      <c r="H195" s="58"/>
      <c r="I195" s="58"/>
      <c r="J195" s="58"/>
      <c r="K195" s="58"/>
      <c r="L195" s="58"/>
      <c r="M195" s="58"/>
      <c r="N195" s="355"/>
      <c r="O195" s="11"/>
      <c r="P195" s="11"/>
      <c r="Q195" s="11"/>
      <c r="R195" s="11"/>
      <c r="S195" s="11"/>
      <c r="T195" s="11"/>
      <c r="U195" s="11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</row>
    <row r="196" spans="1:256" ht="49.5" x14ac:dyDescent="0.25">
      <c r="A196" s="134">
        <v>9</v>
      </c>
      <c r="B196" s="135" t="s">
        <v>107</v>
      </c>
      <c r="C196" s="328" t="s">
        <v>182</v>
      </c>
      <c r="D196" s="48" t="s">
        <v>59</v>
      </c>
      <c r="E196" s="137"/>
      <c r="F196" s="166">
        <f>0.6*0.1*2*1</f>
        <v>0.12</v>
      </c>
      <c r="G196" s="138"/>
      <c r="H196" s="138"/>
      <c r="I196" s="138"/>
      <c r="J196" s="138"/>
      <c r="K196" s="138"/>
      <c r="L196" s="138"/>
      <c r="M196" s="138"/>
      <c r="N196" s="355"/>
      <c r="O196" s="11"/>
      <c r="P196" s="11"/>
      <c r="Q196" s="11"/>
      <c r="R196" s="11"/>
      <c r="S196" s="11"/>
      <c r="T196" s="11"/>
      <c r="U196" s="11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</row>
    <row r="197" spans="1:256" ht="18" x14ac:dyDescent="0.35">
      <c r="A197" s="139"/>
      <c r="B197" s="140"/>
      <c r="C197" s="144" t="s">
        <v>18</v>
      </c>
      <c r="D197" s="142" t="s">
        <v>19</v>
      </c>
      <c r="E197" s="137">
        <v>2.12</v>
      </c>
      <c r="F197" s="138">
        <f>F196*E197</f>
        <v>0.25440000000000002</v>
      </c>
      <c r="G197" s="138"/>
      <c r="H197" s="138"/>
      <c r="I197" s="138"/>
      <c r="J197" s="138"/>
      <c r="K197" s="138"/>
      <c r="L197" s="138"/>
      <c r="M197" s="138"/>
      <c r="N197" s="355"/>
      <c r="O197" s="11"/>
      <c r="P197" s="11"/>
      <c r="Q197" s="11"/>
      <c r="R197" s="11"/>
      <c r="S197" s="11"/>
      <c r="T197" s="11"/>
      <c r="U197" s="11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</row>
    <row r="198" spans="1:256" ht="18" x14ac:dyDescent="0.35">
      <c r="A198" s="139"/>
      <c r="B198" s="140"/>
      <c r="C198" s="144" t="s">
        <v>29</v>
      </c>
      <c r="D198" s="142" t="s">
        <v>22</v>
      </c>
      <c r="E198" s="137">
        <v>0.10100000000000001</v>
      </c>
      <c r="F198" s="138">
        <f>F196*E198</f>
        <v>1.2120000000000001E-2</v>
      </c>
      <c r="G198" s="138"/>
      <c r="H198" s="138"/>
      <c r="I198" s="138"/>
      <c r="J198" s="138"/>
      <c r="K198" s="138"/>
      <c r="L198" s="138"/>
      <c r="M198" s="138"/>
      <c r="N198" s="355"/>
      <c r="O198" s="11"/>
      <c r="P198" s="11"/>
      <c r="Q198" s="11"/>
      <c r="R198" s="11"/>
      <c r="S198" s="11"/>
      <c r="T198" s="11"/>
      <c r="U198" s="11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</row>
    <row r="199" spans="1:256" ht="18" x14ac:dyDescent="0.25">
      <c r="A199" s="139"/>
      <c r="B199" s="140"/>
      <c r="C199" s="142" t="s">
        <v>35</v>
      </c>
      <c r="D199" s="179"/>
      <c r="E199" s="137"/>
      <c r="F199" s="138"/>
      <c r="G199" s="138"/>
      <c r="H199" s="138"/>
      <c r="I199" s="138"/>
      <c r="J199" s="138"/>
      <c r="K199" s="138"/>
      <c r="L199" s="138"/>
      <c r="M199" s="138"/>
      <c r="N199" s="355"/>
      <c r="O199" s="11"/>
      <c r="P199" s="11"/>
      <c r="Q199" s="11"/>
      <c r="R199" s="11"/>
      <c r="S199" s="11"/>
      <c r="T199" s="11"/>
      <c r="U199" s="11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</row>
    <row r="200" spans="1:256" ht="48" x14ac:dyDescent="0.25">
      <c r="A200" s="158"/>
      <c r="B200" s="80"/>
      <c r="C200" s="177" t="s">
        <v>121</v>
      </c>
      <c r="D200" s="48" t="s">
        <v>59</v>
      </c>
      <c r="E200" s="137">
        <v>1.1000000000000001</v>
      </c>
      <c r="F200" s="138">
        <f>F196*E200</f>
        <v>0.13200000000000001</v>
      </c>
      <c r="G200" s="138"/>
      <c r="H200" s="138"/>
      <c r="I200" s="138"/>
      <c r="J200" s="138"/>
      <c r="K200" s="138"/>
      <c r="L200" s="138"/>
      <c r="M200" s="138"/>
      <c r="N200" s="355"/>
      <c r="O200" s="11"/>
      <c r="P200" s="11"/>
      <c r="Q200" s="11"/>
      <c r="R200" s="11"/>
      <c r="S200" s="11"/>
      <c r="T200" s="11"/>
      <c r="U200" s="11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</row>
    <row r="201" spans="1:256" ht="66" x14ac:dyDescent="0.25">
      <c r="A201" s="134">
        <v>10</v>
      </c>
      <c r="B201" s="135" t="s">
        <v>122</v>
      </c>
      <c r="C201" s="178" t="s">
        <v>145</v>
      </c>
      <c r="D201" s="106" t="s">
        <v>59</v>
      </c>
      <c r="E201" s="137"/>
      <c r="F201" s="166">
        <v>5.92</v>
      </c>
      <c r="G201" s="138"/>
      <c r="H201" s="138"/>
      <c r="I201" s="138"/>
      <c r="J201" s="138"/>
      <c r="K201" s="138"/>
      <c r="L201" s="138"/>
      <c r="M201" s="138"/>
      <c r="N201" s="355"/>
      <c r="O201" s="11"/>
      <c r="P201" s="11"/>
      <c r="Q201" s="11"/>
      <c r="R201" s="11"/>
      <c r="S201" s="11"/>
      <c r="T201" s="11"/>
      <c r="U201" s="11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</row>
    <row r="202" spans="1:256" ht="18" x14ac:dyDescent="0.35">
      <c r="A202" s="139"/>
      <c r="B202" s="140"/>
      <c r="C202" s="144" t="s">
        <v>18</v>
      </c>
      <c r="D202" s="142" t="s">
        <v>19</v>
      </c>
      <c r="E202" s="143">
        <f>9.52</f>
        <v>9.52</v>
      </c>
      <c r="F202" s="138">
        <f>F201*E202</f>
        <v>56.358399999999996</v>
      </c>
      <c r="G202" s="138"/>
      <c r="H202" s="138"/>
      <c r="I202" s="138"/>
      <c r="J202" s="138"/>
      <c r="K202" s="138"/>
      <c r="L202" s="138"/>
      <c r="M202" s="138"/>
      <c r="N202" s="355"/>
      <c r="O202" s="11"/>
      <c r="P202" s="11"/>
      <c r="Q202" s="11"/>
      <c r="R202" s="11"/>
      <c r="S202" s="11"/>
      <c r="T202" s="11"/>
      <c r="U202" s="11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</row>
    <row r="203" spans="1:256" ht="18" x14ac:dyDescent="0.35">
      <c r="A203" s="139"/>
      <c r="B203" s="7" t="s">
        <v>152</v>
      </c>
      <c r="C203" s="144" t="s">
        <v>123</v>
      </c>
      <c r="D203" s="142" t="s">
        <v>26</v>
      </c>
      <c r="E203" s="143">
        <v>0.74</v>
      </c>
      <c r="F203" s="138">
        <f>F201*E203</f>
        <v>4.3807999999999998</v>
      </c>
      <c r="G203" s="138"/>
      <c r="H203" s="138"/>
      <c r="I203" s="138"/>
      <c r="J203" s="138"/>
      <c r="K203" s="138"/>
      <c r="L203" s="138"/>
      <c r="M203" s="138"/>
      <c r="N203" s="355"/>
      <c r="O203" s="11"/>
      <c r="P203" s="11"/>
      <c r="Q203" s="11"/>
      <c r="R203" s="11"/>
      <c r="S203" s="11"/>
      <c r="T203" s="11"/>
      <c r="U203" s="11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</row>
    <row r="204" spans="1:256" ht="18" x14ac:dyDescent="0.35">
      <c r="A204" s="139"/>
      <c r="B204" s="140"/>
      <c r="C204" s="144" t="s">
        <v>29</v>
      </c>
      <c r="D204" s="142" t="s">
        <v>22</v>
      </c>
      <c r="E204" s="330">
        <v>1.22</v>
      </c>
      <c r="F204" s="138">
        <f>F201*E204</f>
        <v>7.2223999999999995</v>
      </c>
      <c r="G204" s="138"/>
      <c r="H204" s="138"/>
      <c r="I204" s="138"/>
      <c r="J204" s="138"/>
      <c r="K204" s="138"/>
      <c r="L204" s="138"/>
      <c r="M204" s="138"/>
      <c r="N204" s="355"/>
      <c r="O204" s="11"/>
      <c r="P204" s="11"/>
      <c r="Q204" s="11"/>
      <c r="R204" s="11"/>
      <c r="S204" s="11"/>
      <c r="T204" s="11"/>
      <c r="U204" s="11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</row>
    <row r="205" spans="1:256" ht="18" x14ac:dyDescent="0.25">
      <c r="A205" s="139"/>
      <c r="B205" s="140"/>
      <c r="C205" s="142" t="s">
        <v>35</v>
      </c>
      <c r="D205" s="145"/>
      <c r="E205" s="137"/>
      <c r="F205" s="138"/>
      <c r="G205" s="138"/>
      <c r="H205" s="138"/>
      <c r="I205" s="138"/>
      <c r="J205" s="138"/>
      <c r="K205" s="138"/>
      <c r="L205" s="138"/>
      <c r="M205" s="138"/>
      <c r="N205" s="355"/>
      <c r="O205" s="11"/>
      <c r="P205" s="11"/>
      <c r="Q205" s="11"/>
      <c r="R205" s="11"/>
      <c r="S205" s="11"/>
      <c r="T205" s="11"/>
      <c r="U205" s="11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</row>
    <row r="206" spans="1:256" ht="19.5" x14ac:dyDescent="0.25">
      <c r="A206" s="139"/>
      <c r="B206" s="150"/>
      <c r="C206" s="157" t="s">
        <v>124</v>
      </c>
      <c r="D206" s="48" t="s">
        <v>59</v>
      </c>
      <c r="E206" s="330">
        <v>1.02</v>
      </c>
      <c r="F206" s="138">
        <f>F201*E206</f>
        <v>6.0384000000000002</v>
      </c>
      <c r="G206" s="138"/>
      <c r="H206" s="138"/>
      <c r="I206" s="138"/>
      <c r="J206" s="138"/>
      <c r="K206" s="138"/>
      <c r="L206" s="138"/>
      <c r="M206" s="138"/>
      <c r="N206" s="355"/>
      <c r="O206" s="11"/>
      <c r="P206" s="11"/>
      <c r="Q206" s="11"/>
      <c r="R206" s="11"/>
      <c r="S206" s="11"/>
      <c r="T206" s="11"/>
      <c r="U206" s="11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</row>
    <row r="207" spans="1:256" ht="19.5" x14ac:dyDescent="0.25">
      <c r="A207" s="139"/>
      <c r="B207" s="80"/>
      <c r="C207" s="157" t="s">
        <v>125</v>
      </c>
      <c r="D207" s="48" t="s">
        <v>59</v>
      </c>
      <c r="E207" s="137">
        <f>1.07*0.01</f>
        <v>1.0700000000000001E-2</v>
      </c>
      <c r="F207" s="138">
        <f>E207*F201</f>
        <v>6.3344000000000011E-2</v>
      </c>
      <c r="G207" s="138"/>
      <c r="H207" s="138"/>
      <c r="I207" s="138"/>
      <c r="J207" s="138"/>
      <c r="K207" s="138"/>
      <c r="L207" s="138"/>
      <c r="M207" s="138"/>
      <c r="N207" s="355"/>
      <c r="O207" s="11"/>
      <c r="P207" s="11"/>
      <c r="Q207" s="11"/>
      <c r="R207" s="11"/>
      <c r="S207" s="11"/>
      <c r="T207" s="11"/>
      <c r="U207" s="11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</row>
    <row r="208" spans="1:256" ht="19.5" x14ac:dyDescent="0.25">
      <c r="A208" s="139"/>
      <c r="B208" s="150"/>
      <c r="C208" s="157" t="s">
        <v>126</v>
      </c>
      <c r="D208" s="48" t="s">
        <v>59</v>
      </c>
      <c r="E208" s="143">
        <f>(10.5+2.1+0.4)*0.01</f>
        <v>0.13</v>
      </c>
      <c r="F208" s="138">
        <f>E208*F201</f>
        <v>0.76960000000000006</v>
      </c>
      <c r="G208" s="72"/>
      <c r="H208" s="138"/>
      <c r="I208" s="138"/>
      <c r="J208" s="138"/>
      <c r="K208" s="138"/>
      <c r="L208" s="138"/>
      <c r="M208" s="138"/>
      <c r="N208" s="355"/>
      <c r="O208" s="11"/>
      <c r="P208" s="11"/>
      <c r="Q208" s="11"/>
      <c r="R208" s="11"/>
      <c r="S208" s="11"/>
      <c r="T208" s="11"/>
      <c r="U208" s="11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</row>
    <row r="209" spans="1:256" ht="18" x14ac:dyDescent="0.35">
      <c r="A209" s="139"/>
      <c r="B209" s="140"/>
      <c r="C209" s="144" t="s">
        <v>38</v>
      </c>
      <c r="D209" s="176" t="s">
        <v>22</v>
      </c>
      <c r="E209" s="143">
        <v>1.69</v>
      </c>
      <c r="F209" s="138">
        <f>E209*F201</f>
        <v>10.004799999999999</v>
      </c>
      <c r="G209" s="138"/>
      <c r="H209" s="138"/>
      <c r="I209" s="138"/>
      <c r="J209" s="138"/>
      <c r="K209" s="138"/>
      <c r="L209" s="138"/>
      <c r="M209" s="138"/>
      <c r="N209" s="355"/>
      <c r="O209" s="11"/>
      <c r="P209" s="11"/>
      <c r="Q209" s="11"/>
      <c r="R209" s="11"/>
      <c r="S209" s="11"/>
      <c r="T209" s="11"/>
      <c r="U209" s="11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</row>
    <row r="210" spans="1:256" ht="49.5" x14ac:dyDescent="0.25">
      <c r="A210" s="134">
        <v>11</v>
      </c>
      <c r="B210" s="135" t="s">
        <v>107</v>
      </c>
      <c r="C210" s="178" t="s">
        <v>183</v>
      </c>
      <c r="D210" s="106" t="s">
        <v>59</v>
      </c>
      <c r="E210" s="137"/>
      <c r="F210" s="166">
        <f>1.3*1</f>
        <v>1.3</v>
      </c>
      <c r="G210" s="138"/>
      <c r="H210" s="138"/>
      <c r="I210" s="138"/>
      <c r="J210" s="138"/>
      <c r="K210" s="138"/>
      <c r="L210" s="138"/>
      <c r="M210" s="138"/>
      <c r="N210" s="355"/>
      <c r="O210" s="11"/>
      <c r="P210" s="11"/>
      <c r="Q210" s="11"/>
      <c r="R210" s="11"/>
      <c r="S210" s="11"/>
      <c r="T210" s="11"/>
      <c r="U210" s="11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</row>
    <row r="211" spans="1:256" ht="18" x14ac:dyDescent="0.35">
      <c r="A211" s="139"/>
      <c r="B211" s="140"/>
      <c r="C211" s="144" t="s">
        <v>18</v>
      </c>
      <c r="D211" s="176" t="s">
        <v>19</v>
      </c>
      <c r="E211" s="137">
        <v>2.12</v>
      </c>
      <c r="F211" s="138">
        <f>F210*E211</f>
        <v>2.7560000000000002</v>
      </c>
      <c r="G211" s="138"/>
      <c r="H211" s="138"/>
      <c r="I211" s="138"/>
      <c r="J211" s="138"/>
      <c r="K211" s="138"/>
      <c r="L211" s="138"/>
      <c r="M211" s="138"/>
      <c r="N211" s="355"/>
      <c r="O211" s="11"/>
      <c r="P211" s="11"/>
      <c r="Q211" s="11"/>
      <c r="R211" s="11"/>
      <c r="S211" s="11"/>
      <c r="T211" s="11"/>
      <c r="U211" s="11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</row>
    <row r="212" spans="1:256" ht="18" x14ac:dyDescent="0.35">
      <c r="A212" s="139"/>
      <c r="B212" s="140"/>
      <c r="C212" s="144" t="s">
        <v>29</v>
      </c>
      <c r="D212" s="176" t="s">
        <v>22</v>
      </c>
      <c r="E212" s="137">
        <v>0.10100000000000001</v>
      </c>
      <c r="F212" s="138">
        <f>F210*E212</f>
        <v>0.1313</v>
      </c>
      <c r="G212" s="138"/>
      <c r="H212" s="138"/>
      <c r="I212" s="138"/>
      <c r="J212" s="138"/>
      <c r="K212" s="138"/>
      <c r="L212" s="138"/>
      <c r="M212" s="138"/>
      <c r="N212" s="355"/>
      <c r="O212" s="11"/>
      <c r="P212" s="11"/>
      <c r="Q212" s="11"/>
      <c r="R212" s="11"/>
      <c r="S212" s="11"/>
      <c r="T212" s="11"/>
      <c r="U212" s="11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</row>
    <row r="213" spans="1:256" ht="18" x14ac:dyDescent="0.25">
      <c r="A213" s="139"/>
      <c r="B213" s="140"/>
      <c r="C213" s="142" t="s">
        <v>35</v>
      </c>
      <c r="D213" s="145"/>
      <c r="E213" s="137"/>
      <c r="F213" s="138"/>
      <c r="G213" s="138"/>
      <c r="H213" s="138"/>
      <c r="I213" s="138"/>
      <c r="J213" s="138"/>
      <c r="K213" s="138"/>
      <c r="L213" s="138"/>
      <c r="M213" s="138"/>
      <c r="N213" s="355"/>
      <c r="O213" s="11"/>
      <c r="P213" s="11"/>
      <c r="Q213" s="11"/>
      <c r="R213" s="11"/>
      <c r="S213" s="11"/>
      <c r="T213" s="11"/>
      <c r="U213" s="11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</row>
    <row r="214" spans="1:256" ht="48" x14ac:dyDescent="0.25">
      <c r="A214" s="158"/>
      <c r="B214" s="80"/>
      <c r="C214" s="177" t="s">
        <v>121</v>
      </c>
      <c r="D214" s="106" t="s">
        <v>59</v>
      </c>
      <c r="E214" s="137">
        <v>1.1000000000000001</v>
      </c>
      <c r="F214" s="138">
        <f>F210*E214</f>
        <v>1.4300000000000002</v>
      </c>
      <c r="G214" s="138"/>
      <c r="H214" s="138"/>
      <c r="I214" s="138"/>
      <c r="J214" s="138"/>
      <c r="K214" s="138"/>
      <c r="L214" s="138"/>
      <c r="M214" s="138"/>
      <c r="N214" s="355"/>
      <c r="O214" s="11"/>
      <c r="P214" s="11"/>
      <c r="Q214" s="11"/>
      <c r="R214" s="11"/>
      <c r="S214" s="11"/>
      <c r="T214" s="11"/>
      <c r="U214" s="11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</row>
    <row r="215" spans="1:256" ht="18" x14ac:dyDescent="0.25">
      <c r="A215" s="167"/>
      <c r="B215" s="180" t="s">
        <v>20</v>
      </c>
      <c r="C215" s="181"/>
      <c r="D215" s="182"/>
      <c r="E215" s="138"/>
      <c r="F215" s="138"/>
      <c r="G215" s="138"/>
      <c r="H215" s="318"/>
      <c r="I215" s="183"/>
      <c r="J215" s="318"/>
      <c r="K215" s="183"/>
      <c r="L215" s="318"/>
      <c r="M215" s="318"/>
      <c r="N215" s="355"/>
      <c r="O215" s="11"/>
      <c r="P215" s="11"/>
      <c r="Q215" s="11"/>
      <c r="R215" s="11"/>
      <c r="S215" s="11"/>
      <c r="T215" s="11"/>
      <c r="U215" s="11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</row>
    <row r="216" spans="1:256" ht="18" customHeight="1" x14ac:dyDescent="0.25">
      <c r="A216" s="184"/>
      <c r="B216" s="184"/>
      <c r="C216" s="185" t="s">
        <v>41</v>
      </c>
      <c r="D216" s="36" t="s">
        <v>22</v>
      </c>
      <c r="E216" s="50"/>
      <c r="F216" s="27"/>
      <c r="G216" s="5"/>
      <c r="H216" s="322"/>
      <c r="I216" s="5"/>
      <c r="J216" s="322"/>
      <c r="K216" s="5"/>
      <c r="L216" s="322"/>
      <c r="M216" s="322"/>
      <c r="N216" s="354"/>
      <c r="O216" s="324"/>
      <c r="P216" s="319"/>
      <c r="Q216" s="319"/>
      <c r="R216" s="11"/>
      <c r="S216" s="11"/>
      <c r="T216" s="11"/>
      <c r="U216" s="11"/>
    </row>
    <row r="217" spans="1:256" ht="18" customHeight="1" x14ac:dyDescent="0.25">
      <c r="A217" s="187"/>
      <c r="B217" s="188"/>
      <c r="C217" s="189" t="s">
        <v>146</v>
      </c>
      <c r="D217" s="190"/>
      <c r="E217" s="191"/>
      <c r="F217" s="192"/>
      <c r="G217" s="192"/>
      <c r="H217" s="192"/>
      <c r="I217" s="192"/>
      <c r="J217" s="192"/>
      <c r="K217" s="192"/>
      <c r="L217" s="192"/>
      <c r="M217" s="192"/>
      <c r="N217" s="354"/>
      <c r="O217" s="11"/>
      <c r="P217" s="11"/>
      <c r="Q217" s="11"/>
      <c r="R217" s="11"/>
      <c r="S217" s="11"/>
      <c r="T217" s="11"/>
      <c r="U217" s="11"/>
    </row>
    <row r="218" spans="1:256" ht="54" x14ac:dyDescent="0.25">
      <c r="A218" s="70">
        <v>1</v>
      </c>
      <c r="B218" s="70" t="s">
        <v>66</v>
      </c>
      <c r="C218" s="71" t="s">
        <v>184</v>
      </c>
      <c r="D218" s="53" t="s">
        <v>70</v>
      </c>
      <c r="E218" s="53"/>
      <c r="F218" s="3">
        <f>1479.45/1.22</f>
        <v>1212.6639344262296</v>
      </c>
      <c r="G218" s="72"/>
      <c r="H218" s="72"/>
      <c r="I218" s="72"/>
      <c r="J218" s="72"/>
      <c r="K218" s="72"/>
      <c r="L218" s="72"/>
      <c r="M218" s="72"/>
      <c r="N218" s="355"/>
      <c r="O218" s="11"/>
      <c r="P218" s="11"/>
      <c r="Q218" s="11"/>
      <c r="R218" s="11"/>
      <c r="S218" s="11"/>
      <c r="T218" s="11"/>
      <c r="U218" s="11"/>
    </row>
    <row r="219" spans="1:256" ht="18" customHeight="1" x14ac:dyDescent="0.25">
      <c r="A219" s="74"/>
      <c r="B219" s="75"/>
      <c r="C219" s="76" t="s">
        <v>18</v>
      </c>
      <c r="D219" s="48" t="s">
        <v>19</v>
      </c>
      <c r="E219" s="77">
        <f>15/100</f>
        <v>0.15</v>
      </c>
      <c r="F219" s="72">
        <f>F218*E219</f>
        <v>181.89959016393445</v>
      </c>
      <c r="G219" s="72"/>
      <c r="H219" s="72"/>
      <c r="I219" s="72"/>
      <c r="J219" s="27"/>
      <c r="K219" s="72"/>
      <c r="L219" s="72"/>
      <c r="M219" s="27"/>
      <c r="N219" s="355"/>
      <c r="O219" s="326"/>
      <c r="P219" s="11"/>
      <c r="Q219" s="11"/>
      <c r="R219" s="11"/>
      <c r="S219" s="11"/>
      <c r="T219" s="11"/>
      <c r="U219" s="11"/>
    </row>
    <row r="220" spans="1:256" ht="18" x14ac:dyDescent="0.25">
      <c r="A220" s="74"/>
      <c r="B220" s="78"/>
      <c r="C220" s="76" t="s">
        <v>42</v>
      </c>
      <c r="D220" s="48" t="s">
        <v>26</v>
      </c>
      <c r="E220" s="77">
        <f>2.16/100</f>
        <v>2.1600000000000001E-2</v>
      </c>
      <c r="F220" s="72">
        <f>F218*E220</f>
        <v>26.19354098360656</v>
      </c>
      <c r="G220" s="72"/>
      <c r="H220" s="72"/>
      <c r="I220" s="72"/>
      <c r="J220" s="72"/>
      <c r="K220" s="72"/>
      <c r="L220" s="27"/>
      <c r="M220" s="27"/>
      <c r="N220" s="355"/>
      <c r="O220" s="11"/>
      <c r="P220" s="11"/>
      <c r="Q220" s="11"/>
      <c r="R220" s="11"/>
      <c r="S220" s="11"/>
      <c r="T220" s="11"/>
      <c r="U220" s="11"/>
    </row>
    <row r="221" spans="1:256" ht="18" x14ac:dyDescent="0.25">
      <c r="A221" s="74"/>
      <c r="B221" s="78"/>
      <c r="C221" s="45" t="s">
        <v>76</v>
      </c>
      <c r="D221" s="48" t="s">
        <v>26</v>
      </c>
      <c r="E221" s="77">
        <f>2.73/100</f>
        <v>2.7300000000000001E-2</v>
      </c>
      <c r="F221" s="72">
        <f>E221*F218</f>
        <v>33.105725409836069</v>
      </c>
      <c r="G221" s="72"/>
      <c r="H221" s="72"/>
      <c r="I221" s="72"/>
      <c r="J221" s="72"/>
      <c r="K221" s="72"/>
      <c r="L221" s="27"/>
      <c r="M221" s="27"/>
      <c r="N221" s="355"/>
      <c r="O221" s="11"/>
      <c r="P221" s="11"/>
      <c r="Q221" s="11"/>
      <c r="R221" s="11"/>
      <c r="S221" s="11"/>
      <c r="T221" s="11"/>
      <c r="U221" s="11"/>
    </row>
    <row r="222" spans="1:256" ht="18" x14ac:dyDescent="0.25">
      <c r="A222" s="74"/>
      <c r="B222" s="78"/>
      <c r="C222" s="76" t="s">
        <v>43</v>
      </c>
      <c r="D222" s="48" t="s">
        <v>26</v>
      </c>
      <c r="E222" s="77">
        <f>0.97/100</f>
        <v>9.7000000000000003E-3</v>
      </c>
      <c r="F222" s="72">
        <f>F218*E222</f>
        <v>11.762840163934428</v>
      </c>
      <c r="G222" s="72"/>
      <c r="H222" s="72"/>
      <c r="I222" s="72"/>
      <c r="J222" s="72"/>
      <c r="K222" s="72"/>
      <c r="L222" s="27"/>
      <c r="M222" s="27"/>
      <c r="N222" s="355"/>
      <c r="O222" s="11"/>
      <c r="P222" s="11"/>
      <c r="Q222" s="11"/>
      <c r="R222" s="11"/>
      <c r="S222" s="11"/>
      <c r="T222" s="11"/>
      <c r="U222" s="11"/>
    </row>
    <row r="223" spans="1:256" ht="18" x14ac:dyDescent="0.25">
      <c r="A223" s="74"/>
      <c r="B223" s="75"/>
      <c r="C223" s="48" t="s">
        <v>35</v>
      </c>
      <c r="D223" s="79"/>
      <c r="E223" s="48"/>
      <c r="F223" s="72"/>
      <c r="G223" s="72"/>
      <c r="H223" s="72"/>
      <c r="I223" s="72"/>
      <c r="J223" s="72"/>
      <c r="K223" s="72"/>
      <c r="L223" s="72"/>
      <c r="M223" s="72"/>
      <c r="N223" s="355"/>
      <c r="O223" s="11"/>
      <c r="P223" s="11"/>
      <c r="Q223" s="11"/>
      <c r="R223" s="11"/>
      <c r="S223" s="11"/>
      <c r="T223" s="11"/>
      <c r="U223" s="11"/>
    </row>
    <row r="224" spans="1:256" ht="54" x14ac:dyDescent="0.25">
      <c r="A224" s="70"/>
      <c r="B224" s="80"/>
      <c r="C224" s="81" t="s">
        <v>63</v>
      </c>
      <c r="D224" s="48" t="s">
        <v>59</v>
      </c>
      <c r="E224" s="48">
        <v>1.22</v>
      </c>
      <c r="F224" s="72">
        <f>F218*E224</f>
        <v>1479.45</v>
      </c>
      <c r="G224" s="72"/>
      <c r="H224" s="72"/>
      <c r="I224" s="72"/>
      <c r="J224" s="72"/>
      <c r="K224" s="72"/>
      <c r="L224" s="72"/>
      <c r="M224" s="27"/>
      <c r="N224" s="355"/>
      <c r="O224" s="11"/>
      <c r="P224" s="11"/>
      <c r="Q224" s="11"/>
      <c r="R224" s="11"/>
      <c r="S224" s="11"/>
      <c r="T224" s="11"/>
      <c r="U224" s="11"/>
    </row>
    <row r="225" spans="1:21" ht="18" customHeight="1" x14ac:dyDescent="0.35">
      <c r="A225" s="74"/>
      <c r="B225" s="75"/>
      <c r="C225" s="82" t="s">
        <v>44</v>
      </c>
      <c r="D225" s="48" t="s">
        <v>59</v>
      </c>
      <c r="E225" s="83">
        <v>7.0000000000000007E-2</v>
      </c>
      <c r="F225" s="72">
        <f>F218*E225</f>
        <v>84.886475409836081</v>
      </c>
      <c r="G225" s="27"/>
      <c r="H225" s="72"/>
      <c r="I225" s="72"/>
      <c r="J225" s="72"/>
      <c r="K225" s="72"/>
      <c r="L225" s="72"/>
      <c r="M225" s="27"/>
      <c r="N225" s="355"/>
      <c r="O225" s="11"/>
      <c r="P225" s="11"/>
      <c r="Q225" s="11"/>
      <c r="R225" s="11"/>
      <c r="S225" s="11"/>
      <c r="T225" s="11"/>
      <c r="U225" s="11"/>
    </row>
    <row r="226" spans="1:21" ht="49.5" x14ac:dyDescent="0.25">
      <c r="A226" s="74">
        <v>2</v>
      </c>
      <c r="B226" s="123" t="s">
        <v>45</v>
      </c>
      <c r="C226" s="193" t="s">
        <v>65</v>
      </c>
      <c r="D226" s="194" t="s">
        <v>71</v>
      </c>
      <c r="E226" s="70"/>
      <c r="F226" s="4">
        <v>9907.3700000000008</v>
      </c>
      <c r="G226" s="72"/>
      <c r="H226" s="72"/>
      <c r="I226" s="72"/>
      <c r="J226" s="72"/>
      <c r="K226" s="72"/>
      <c r="L226" s="72"/>
      <c r="M226" s="72"/>
      <c r="N226" s="354"/>
      <c r="O226" s="11"/>
      <c r="P226" s="11"/>
      <c r="Q226" s="11"/>
      <c r="R226" s="11"/>
      <c r="S226" s="11"/>
      <c r="T226" s="11"/>
      <c r="U226" s="11"/>
    </row>
    <row r="227" spans="1:21" ht="18" x14ac:dyDescent="0.25">
      <c r="A227" s="74"/>
      <c r="B227" s="75"/>
      <c r="C227" s="76" t="s">
        <v>18</v>
      </c>
      <c r="D227" s="48" t="s">
        <v>19</v>
      </c>
      <c r="E227" s="48">
        <f>33/1000</f>
        <v>3.3000000000000002E-2</v>
      </c>
      <c r="F227" s="72">
        <f>F226*E227</f>
        <v>326.94321000000002</v>
      </c>
      <c r="G227" s="72"/>
      <c r="H227" s="72"/>
      <c r="I227" s="72"/>
      <c r="J227" s="27"/>
      <c r="K227" s="72"/>
      <c r="L227" s="72"/>
      <c r="M227" s="27"/>
      <c r="N227" s="354"/>
      <c r="O227" s="11"/>
      <c r="P227" s="11"/>
      <c r="Q227" s="11"/>
      <c r="R227" s="11"/>
      <c r="S227" s="11"/>
      <c r="T227" s="11"/>
      <c r="U227" s="11"/>
    </row>
    <row r="228" spans="1:21" ht="18" x14ac:dyDescent="0.35">
      <c r="A228" s="74"/>
      <c r="B228" s="75"/>
      <c r="C228" s="82" t="s">
        <v>46</v>
      </c>
      <c r="D228" s="48" t="s">
        <v>26</v>
      </c>
      <c r="E228" s="48">
        <f>2.58/1000</f>
        <v>2.5800000000000003E-3</v>
      </c>
      <c r="F228" s="72">
        <f>F226*E228</f>
        <v>25.561014600000004</v>
      </c>
      <c r="G228" s="72"/>
      <c r="H228" s="72"/>
      <c r="I228" s="72"/>
      <c r="J228" s="72"/>
      <c r="K228" s="72"/>
      <c r="L228" s="27"/>
      <c r="M228" s="27"/>
      <c r="N228" s="354"/>
      <c r="O228" s="11"/>
      <c r="P228" s="11"/>
      <c r="Q228" s="11"/>
      <c r="R228" s="11"/>
      <c r="S228" s="11"/>
      <c r="T228" s="11"/>
      <c r="U228" s="11"/>
    </row>
    <row r="229" spans="1:21" ht="18" x14ac:dyDescent="0.25">
      <c r="A229" s="74"/>
      <c r="B229" s="78"/>
      <c r="C229" s="76" t="s">
        <v>42</v>
      </c>
      <c r="D229" s="48" t="s">
        <v>26</v>
      </c>
      <c r="E229" s="48">
        <f>0.42/1000</f>
        <v>4.1999999999999996E-4</v>
      </c>
      <c r="F229" s="72">
        <f>F226*E229</f>
        <v>4.1610953999999998</v>
      </c>
      <c r="G229" s="72"/>
      <c r="H229" s="72"/>
      <c r="I229" s="72"/>
      <c r="J229" s="72"/>
      <c r="K229" s="72"/>
      <c r="L229" s="27"/>
      <c r="M229" s="27"/>
      <c r="N229" s="354"/>
      <c r="O229" s="11"/>
      <c r="P229" s="11"/>
      <c r="Q229" s="11"/>
      <c r="R229" s="11"/>
      <c r="S229" s="11"/>
      <c r="T229" s="11"/>
      <c r="U229" s="11"/>
    </row>
    <row r="230" spans="1:21" ht="18" x14ac:dyDescent="0.35">
      <c r="A230" s="74"/>
      <c r="B230" s="78"/>
      <c r="C230" s="82" t="s">
        <v>47</v>
      </c>
      <c r="D230" s="48" t="s">
        <v>26</v>
      </c>
      <c r="E230" s="48">
        <f>11.2/1000</f>
        <v>1.12E-2</v>
      </c>
      <c r="F230" s="72">
        <f>E230*F226</f>
        <v>110.96254400000001</v>
      </c>
      <c r="G230" s="72"/>
      <c r="H230" s="72"/>
      <c r="I230" s="72"/>
      <c r="J230" s="72"/>
      <c r="K230" s="72"/>
      <c r="L230" s="27"/>
      <c r="M230" s="27"/>
      <c r="N230" s="354"/>
      <c r="O230" s="11"/>
      <c r="P230" s="11"/>
      <c r="Q230" s="11"/>
      <c r="R230" s="11"/>
      <c r="S230" s="11"/>
      <c r="T230" s="11"/>
      <c r="U230" s="11"/>
    </row>
    <row r="231" spans="1:21" ht="18" x14ac:dyDescent="0.35">
      <c r="A231" s="74"/>
      <c r="B231" s="78"/>
      <c r="C231" s="82" t="s">
        <v>48</v>
      </c>
      <c r="D231" s="48" t="s">
        <v>26</v>
      </c>
      <c r="E231" s="48">
        <f>24.8/1000</f>
        <v>2.4799999999999999E-2</v>
      </c>
      <c r="F231" s="72">
        <f>E231*F226</f>
        <v>245.702776</v>
      </c>
      <c r="G231" s="72"/>
      <c r="H231" s="72"/>
      <c r="I231" s="72"/>
      <c r="J231" s="72"/>
      <c r="K231" s="72"/>
      <c r="L231" s="27"/>
      <c r="M231" s="27"/>
      <c r="N231" s="354"/>
      <c r="O231" s="11"/>
      <c r="P231" s="11"/>
      <c r="Q231" s="11"/>
      <c r="R231" s="11"/>
      <c r="S231" s="11"/>
      <c r="T231" s="11"/>
      <c r="U231" s="11"/>
    </row>
    <row r="232" spans="1:21" ht="18" x14ac:dyDescent="0.35">
      <c r="A232" s="74"/>
      <c r="B232" s="78"/>
      <c r="C232" s="82" t="s">
        <v>43</v>
      </c>
      <c r="D232" s="48" t="s">
        <v>26</v>
      </c>
      <c r="E232" s="48">
        <f>4.14/1000</f>
        <v>4.1399999999999996E-3</v>
      </c>
      <c r="F232" s="72">
        <f>F226*E232</f>
        <v>41.016511799999996</v>
      </c>
      <c r="G232" s="72"/>
      <c r="H232" s="72"/>
      <c r="I232" s="72"/>
      <c r="J232" s="72"/>
      <c r="K232" s="72"/>
      <c r="L232" s="27"/>
      <c r="M232" s="27"/>
      <c r="N232" s="354"/>
      <c r="O232" s="11"/>
      <c r="P232" s="11"/>
      <c r="Q232" s="11"/>
      <c r="R232" s="11"/>
      <c r="S232" s="11"/>
      <c r="T232" s="11"/>
      <c r="U232" s="11"/>
    </row>
    <row r="233" spans="1:21" ht="36" x14ac:dyDescent="0.35">
      <c r="A233" s="74"/>
      <c r="B233" s="78"/>
      <c r="C233" s="195" t="s">
        <v>49</v>
      </c>
      <c r="D233" s="48" t="s">
        <v>26</v>
      </c>
      <c r="E233" s="48">
        <f>0.53/1000</f>
        <v>5.2999999999999998E-4</v>
      </c>
      <c r="F233" s="72">
        <f>F226*E233</f>
        <v>5.2509060999999999</v>
      </c>
      <c r="G233" s="72"/>
      <c r="H233" s="72"/>
      <c r="I233" s="72"/>
      <c r="J233" s="72"/>
      <c r="K233" s="72"/>
      <c r="L233" s="27"/>
      <c r="M233" s="27"/>
      <c r="N233" s="354"/>
      <c r="O233" s="11"/>
      <c r="P233" s="11"/>
      <c r="Q233" s="11"/>
      <c r="R233" s="11"/>
      <c r="S233" s="11"/>
      <c r="T233" s="11"/>
      <c r="U233" s="11"/>
    </row>
    <row r="234" spans="1:21" ht="18" x14ac:dyDescent="0.25">
      <c r="A234" s="74"/>
      <c r="B234" s="75"/>
      <c r="C234" s="48" t="s">
        <v>35</v>
      </c>
      <c r="D234" s="79"/>
      <c r="E234" s="48"/>
      <c r="F234" s="72"/>
      <c r="G234" s="72"/>
      <c r="H234" s="72"/>
      <c r="I234" s="72"/>
      <c r="J234" s="72"/>
      <c r="K234" s="72"/>
      <c r="L234" s="72"/>
      <c r="M234" s="72"/>
      <c r="N234" s="354"/>
      <c r="O234" s="11"/>
      <c r="P234" s="11"/>
      <c r="Q234" s="11"/>
      <c r="R234" s="11"/>
      <c r="S234" s="11"/>
      <c r="T234" s="11"/>
      <c r="U234" s="11"/>
    </row>
    <row r="235" spans="1:21" ht="36" x14ac:dyDescent="0.25">
      <c r="A235" s="74"/>
      <c r="B235" s="80"/>
      <c r="C235" s="81" t="s">
        <v>50</v>
      </c>
      <c r="D235" s="48" t="s">
        <v>59</v>
      </c>
      <c r="E235" s="176">
        <v>0.126</v>
      </c>
      <c r="F235" s="72">
        <f>F226*E235</f>
        <v>1248.32862</v>
      </c>
      <c r="G235" s="72"/>
      <c r="H235" s="72"/>
      <c r="I235" s="72"/>
      <c r="J235" s="72"/>
      <c r="K235" s="72"/>
      <c r="L235" s="72"/>
      <c r="M235" s="27"/>
      <c r="N235" s="354"/>
      <c r="O235" s="11"/>
      <c r="P235" s="11"/>
      <c r="Q235" s="11"/>
      <c r="R235" s="11"/>
      <c r="S235" s="11"/>
      <c r="T235" s="11"/>
      <c r="U235" s="11"/>
    </row>
    <row r="236" spans="1:21" ht="20.25" x14ac:dyDescent="0.35">
      <c r="A236" s="74"/>
      <c r="B236" s="75"/>
      <c r="C236" s="82" t="s">
        <v>44</v>
      </c>
      <c r="D236" s="79" t="s">
        <v>61</v>
      </c>
      <c r="E236" s="48">
        <f>30/1000</f>
        <v>0.03</v>
      </c>
      <c r="F236" s="72">
        <f>F226*E236</f>
        <v>297.22110000000004</v>
      </c>
      <c r="G236" s="72"/>
      <c r="H236" s="72"/>
      <c r="I236" s="72"/>
      <c r="J236" s="72"/>
      <c r="K236" s="72"/>
      <c r="L236" s="72"/>
      <c r="M236" s="27"/>
      <c r="N236" s="354"/>
      <c r="O236" s="11"/>
      <c r="P236" s="11"/>
      <c r="Q236" s="11"/>
      <c r="R236" s="11"/>
      <c r="S236" s="11"/>
      <c r="T236" s="11"/>
      <c r="U236" s="11"/>
    </row>
    <row r="237" spans="1:21" ht="36" x14ac:dyDescent="0.25">
      <c r="A237" s="95">
        <v>3</v>
      </c>
      <c r="B237" s="53" t="s">
        <v>51</v>
      </c>
      <c r="C237" s="196" t="s">
        <v>79</v>
      </c>
      <c r="D237" s="70" t="s">
        <v>36</v>
      </c>
      <c r="E237" s="50"/>
      <c r="F237" s="5">
        <f>F241*0.0006</f>
        <v>5.5019999999999998</v>
      </c>
      <c r="G237" s="27"/>
      <c r="H237" s="27"/>
      <c r="I237" s="27"/>
      <c r="J237" s="27"/>
      <c r="K237" s="27"/>
      <c r="L237" s="27"/>
      <c r="M237" s="27"/>
      <c r="N237" s="354"/>
      <c r="O237" s="11"/>
      <c r="P237" s="11"/>
      <c r="Q237" s="11"/>
      <c r="R237" s="11"/>
      <c r="S237" s="11"/>
      <c r="T237" s="11"/>
      <c r="U237" s="11"/>
    </row>
    <row r="238" spans="1:21" ht="18" x14ac:dyDescent="0.35">
      <c r="A238" s="28"/>
      <c r="B238" s="197"/>
      <c r="C238" s="30" t="s">
        <v>52</v>
      </c>
      <c r="D238" s="14" t="s">
        <v>26</v>
      </c>
      <c r="E238" s="198">
        <v>0.3</v>
      </c>
      <c r="F238" s="27">
        <f>F237*E238</f>
        <v>1.6505999999999998</v>
      </c>
      <c r="G238" s="27"/>
      <c r="H238" s="27"/>
      <c r="I238" s="27"/>
      <c r="J238" s="27"/>
      <c r="K238" s="27"/>
      <c r="L238" s="27"/>
      <c r="M238" s="27"/>
      <c r="N238" s="354"/>
      <c r="O238" s="11"/>
      <c r="P238" s="11"/>
      <c r="Q238" s="11"/>
      <c r="R238" s="11"/>
      <c r="S238" s="11"/>
      <c r="T238" s="11"/>
      <c r="U238" s="11"/>
    </row>
    <row r="239" spans="1:21" ht="18" x14ac:dyDescent="0.25">
      <c r="A239" s="28"/>
      <c r="B239" s="29"/>
      <c r="C239" s="14" t="s">
        <v>35</v>
      </c>
      <c r="D239" s="199"/>
      <c r="E239" s="21"/>
      <c r="F239" s="27"/>
      <c r="G239" s="27"/>
      <c r="H239" s="27"/>
      <c r="I239" s="27"/>
      <c r="J239" s="27"/>
      <c r="K239" s="27"/>
      <c r="L239" s="27"/>
      <c r="M239" s="27"/>
      <c r="N239" s="354"/>
      <c r="O239" s="11"/>
      <c r="P239" s="11"/>
      <c r="Q239" s="11"/>
      <c r="R239" s="11"/>
      <c r="S239" s="11"/>
      <c r="T239" s="11"/>
      <c r="U239" s="11"/>
    </row>
    <row r="240" spans="1:21" ht="18" x14ac:dyDescent="0.25">
      <c r="A240" s="28"/>
      <c r="B240" s="51"/>
      <c r="C240" s="200" t="s">
        <v>40</v>
      </c>
      <c r="D240" s="48" t="s">
        <v>36</v>
      </c>
      <c r="E240" s="111" t="s">
        <v>72</v>
      </c>
      <c r="F240" s="27">
        <f>F237*E240</f>
        <v>5.6670600000000002</v>
      </c>
      <c r="G240" s="27"/>
      <c r="H240" s="72"/>
      <c r="I240" s="27"/>
      <c r="J240" s="27"/>
      <c r="K240" s="27"/>
      <c r="L240" s="27"/>
      <c r="M240" s="27"/>
      <c r="N240" s="354"/>
      <c r="O240" s="11"/>
      <c r="P240" s="11"/>
      <c r="Q240" s="11"/>
      <c r="R240" s="11"/>
      <c r="S240" s="11"/>
      <c r="T240" s="11"/>
      <c r="U240" s="11"/>
    </row>
    <row r="241" spans="1:21" ht="66" x14ac:dyDescent="0.25">
      <c r="A241" s="201">
        <v>4</v>
      </c>
      <c r="B241" s="202" t="s">
        <v>77</v>
      </c>
      <c r="C241" s="203" t="s">
        <v>82</v>
      </c>
      <c r="D241" s="204" t="s">
        <v>73</v>
      </c>
      <c r="E241" s="50"/>
      <c r="F241" s="5">
        <v>9170</v>
      </c>
      <c r="G241" s="27"/>
      <c r="H241" s="27"/>
      <c r="I241" s="27"/>
      <c r="J241" s="27"/>
      <c r="K241" s="27"/>
      <c r="L241" s="27"/>
      <c r="M241" s="27"/>
      <c r="N241" s="354"/>
      <c r="O241" s="11"/>
      <c r="P241" s="11"/>
      <c r="Q241" s="11"/>
      <c r="R241" s="11"/>
      <c r="S241" s="11"/>
      <c r="T241" s="11"/>
      <c r="U241" s="11"/>
    </row>
    <row r="242" spans="1:21" ht="18" x14ac:dyDescent="0.25">
      <c r="A242" s="17"/>
      <c r="B242" s="29"/>
      <c r="C242" s="205" t="s">
        <v>18</v>
      </c>
      <c r="D242" s="14" t="s">
        <v>19</v>
      </c>
      <c r="E242" s="198">
        <f>37.5/1000+2*0.07/1000</f>
        <v>3.764E-2</v>
      </c>
      <c r="F242" s="27">
        <f>F241*E242</f>
        <v>345.15879999999999</v>
      </c>
      <c r="G242" s="27"/>
      <c r="H242" s="27"/>
      <c r="I242" s="27"/>
      <c r="J242" s="27"/>
      <c r="K242" s="27"/>
      <c r="L242" s="27"/>
      <c r="M242" s="27"/>
      <c r="N242" s="354"/>
      <c r="O242" s="11"/>
      <c r="P242" s="11"/>
      <c r="Q242" s="11"/>
      <c r="R242" s="11"/>
      <c r="S242" s="11"/>
      <c r="T242" s="11"/>
      <c r="U242" s="11"/>
    </row>
    <row r="243" spans="1:21" ht="18" x14ac:dyDescent="0.35">
      <c r="A243" s="17"/>
      <c r="B243" s="7"/>
      <c r="C243" s="30" t="s">
        <v>47</v>
      </c>
      <c r="D243" s="14" t="s">
        <v>26</v>
      </c>
      <c r="E243" s="198">
        <f t="shared" ref="E243" si="17">3.02/1000</f>
        <v>3.0200000000000001E-3</v>
      </c>
      <c r="F243" s="27">
        <f>E243*F241</f>
        <v>27.6934</v>
      </c>
      <c r="G243" s="27"/>
      <c r="H243" s="27"/>
      <c r="I243" s="27"/>
      <c r="J243" s="27"/>
      <c r="K243" s="27"/>
      <c r="L243" s="27"/>
      <c r="M243" s="27"/>
      <c r="N243" s="354"/>
      <c r="O243" s="11"/>
      <c r="P243" s="11"/>
      <c r="Q243" s="11"/>
      <c r="R243" s="11"/>
      <c r="S243" s="11"/>
      <c r="T243" s="11"/>
      <c r="U243" s="11"/>
    </row>
    <row r="244" spans="1:21" ht="18" x14ac:dyDescent="0.35">
      <c r="A244" s="17"/>
      <c r="B244" s="7"/>
      <c r="C244" s="82" t="s">
        <v>48</v>
      </c>
      <c r="D244" s="14" t="s">
        <v>26</v>
      </c>
      <c r="E244" s="198">
        <f t="shared" ref="E244" si="18">3.7/1000</f>
        <v>3.7000000000000002E-3</v>
      </c>
      <c r="F244" s="27">
        <f>E244*F241</f>
        <v>33.929000000000002</v>
      </c>
      <c r="G244" s="27"/>
      <c r="H244" s="27"/>
      <c r="I244" s="27"/>
      <c r="J244" s="27"/>
      <c r="K244" s="27"/>
      <c r="L244" s="27"/>
      <c r="M244" s="27"/>
      <c r="N244" s="354"/>
      <c r="O244" s="11"/>
      <c r="P244" s="11"/>
      <c r="Q244" s="11"/>
      <c r="R244" s="11"/>
      <c r="S244" s="11"/>
      <c r="T244" s="11"/>
      <c r="U244" s="11"/>
    </row>
    <row r="245" spans="1:21" ht="18" x14ac:dyDescent="0.35">
      <c r="A245" s="17"/>
      <c r="B245" s="7"/>
      <c r="C245" s="30" t="s">
        <v>53</v>
      </c>
      <c r="D245" s="14" t="s">
        <v>26</v>
      </c>
      <c r="E245" s="198">
        <f t="shared" ref="E245" si="19">11.1/1000</f>
        <v>1.11E-2</v>
      </c>
      <c r="F245" s="27">
        <f>E245*F241</f>
        <v>101.78700000000001</v>
      </c>
      <c r="G245" s="27"/>
      <c r="H245" s="27"/>
      <c r="I245" s="27"/>
      <c r="J245" s="27"/>
      <c r="K245" s="27"/>
      <c r="L245" s="27"/>
      <c r="M245" s="27"/>
      <c r="N245" s="354"/>
      <c r="O245" s="11"/>
      <c r="P245" s="11"/>
      <c r="Q245" s="11"/>
      <c r="R245" s="11"/>
      <c r="S245" s="11"/>
      <c r="T245" s="11"/>
      <c r="U245" s="11"/>
    </row>
    <row r="246" spans="1:21" ht="18" x14ac:dyDescent="0.35">
      <c r="A246" s="17"/>
      <c r="B246" s="29"/>
      <c r="C246" s="30" t="s">
        <v>29</v>
      </c>
      <c r="D246" s="14" t="s">
        <v>22</v>
      </c>
      <c r="E246" s="198">
        <v>2.3E-3</v>
      </c>
      <c r="F246" s="27">
        <f>E246*F241</f>
        <v>21.091000000000001</v>
      </c>
      <c r="G246" s="27"/>
      <c r="H246" s="27"/>
      <c r="I246" s="27"/>
      <c r="J246" s="27"/>
      <c r="K246" s="27"/>
      <c r="L246" s="27"/>
      <c r="M246" s="27"/>
      <c r="N246" s="354"/>
      <c r="O246" s="11"/>
      <c r="P246" s="11"/>
      <c r="Q246" s="11"/>
      <c r="R246" s="11"/>
      <c r="S246" s="11"/>
      <c r="T246" s="11"/>
      <c r="U246" s="11"/>
    </row>
    <row r="247" spans="1:21" ht="18" x14ac:dyDescent="0.25">
      <c r="A247" s="17"/>
      <c r="B247" s="29"/>
      <c r="C247" s="14" t="s">
        <v>35</v>
      </c>
      <c r="D247" s="37"/>
      <c r="E247" s="21"/>
      <c r="F247" s="27"/>
      <c r="G247" s="27"/>
      <c r="H247" s="27"/>
      <c r="I247" s="27"/>
      <c r="J247" s="27"/>
      <c r="K247" s="27"/>
      <c r="L247" s="27"/>
      <c r="M247" s="27"/>
      <c r="N247" s="354"/>
      <c r="O247" s="11"/>
      <c r="P247" s="11"/>
      <c r="Q247" s="11"/>
      <c r="R247" s="11"/>
      <c r="S247" s="11"/>
      <c r="T247" s="11"/>
      <c r="U247" s="11"/>
    </row>
    <row r="248" spans="1:21" ht="18" x14ac:dyDescent="0.35">
      <c r="A248" s="17"/>
      <c r="B248" s="51"/>
      <c r="C248" s="30" t="s">
        <v>158</v>
      </c>
      <c r="D248" s="48" t="s">
        <v>36</v>
      </c>
      <c r="E248" s="198">
        <f>(97.4+12.1*2)/1000</f>
        <v>0.12160000000000001</v>
      </c>
      <c r="F248" s="27">
        <f>F241*E248</f>
        <v>1115.0720000000001</v>
      </c>
      <c r="G248" s="27"/>
      <c r="H248" s="72"/>
      <c r="I248" s="27"/>
      <c r="J248" s="27"/>
      <c r="K248" s="27"/>
      <c r="L248" s="27"/>
      <c r="M248" s="27"/>
      <c r="N248" s="354"/>
      <c r="O248" s="11"/>
      <c r="P248" s="11"/>
      <c r="Q248" s="11"/>
      <c r="R248" s="11"/>
      <c r="S248" s="11"/>
      <c r="T248" s="11"/>
      <c r="U248" s="11"/>
    </row>
    <row r="249" spans="1:21" ht="18" x14ac:dyDescent="0.35">
      <c r="A249" s="17"/>
      <c r="B249" s="29"/>
      <c r="C249" s="30" t="s">
        <v>38</v>
      </c>
      <c r="D249" s="14" t="s">
        <v>22</v>
      </c>
      <c r="E249" s="198">
        <f>0.0145+0.2*2/1000</f>
        <v>1.49E-2</v>
      </c>
      <c r="F249" s="27">
        <f>F241*E249</f>
        <v>136.63300000000001</v>
      </c>
      <c r="G249" s="27"/>
      <c r="H249" s="72"/>
      <c r="I249" s="27"/>
      <c r="J249" s="27"/>
      <c r="K249" s="27"/>
      <c r="L249" s="27"/>
      <c r="M249" s="27"/>
      <c r="N249" s="354"/>
      <c r="O249" s="11"/>
      <c r="P249" s="11"/>
      <c r="Q249" s="11"/>
      <c r="R249" s="11"/>
      <c r="S249" s="11"/>
      <c r="T249" s="11"/>
      <c r="U249" s="11"/>
    </row>
    <row r="250" spans="1:21" ht="55.9" customHeight="1" x14ac:dyDescent="0.25">
      <c r="A250" s="95">
        <v>5</v>
      </c>
      <c r="B250" s="70" t="s">
        <v>54</v>
      </c>
      <c r="C250" s="332" t="s">
        <v>185</v>
      </c>
      <c r="D250" s="207" t="s">
        <v>75</v>
      </c>
      <c r="E250" s="50"/>
      <c r="F250" s="5">
        <f>306.24/1.22</f>
        <v>251.01639344262296</v>
      </c>
      <c r="G250" s="27"/>
      <c r="H250" s="27"/>
      <c r="I250" s="27"/>
      <c r="J250" s="27"/>
      <c r="K250" s="27"/>
      <c r="L250" s="27"/>
      <c r="M250" s="27"/>
      <c r="N250" s="354"/>
      <c r="O250" s="11"/>
      <c r="P250" s="11"/>
      <c r="Q250" s="11"/>
      <c r="R250" s="11"/>
      <c r="S250" s="11"/>
      <c r="T250" s="11"/>
      <c r="U250" s="11"/>
    </row>
    <row r="251" spans="1:21" ht="18" customHeight="1" x14ac:dyDescent="0.35">
      <c r="A251" s="17"/>
      <c r="B251" s="208"/>
      <c r="C251" s="209" t="s">
        <v>18</v>
      </c>
      <c r="D251" s="14" t="s">
        <v>19</v>
      </c>
      <c r="E251" s="42">
        <v>0.15</v>
      </c>
      <c r="F251" s="27">
        <f>F250*E251</f>
        <v>37.652459016393443</v>
      </c>
      <c r="G251" s="27"/>
      <c r="H251" s="27"/>
      <c r="I251" s="27"/>
      <c r="J251" s="27"/>
      <c r="K251" s="27"/>
      <c r="L251" s="27"/>
      <c r="M251" s="27"/>
      <c r="N251" s="354"/>
      <c r="O251" s="11"/>
      <c r="P251" s="11"/>
      <c r="Q251" s="11"/>
      <c r="R251" s="11"/>
      <c r="S251" s="11"/>
      <c r="T251" s="11"/>
      <c r="U251" s="11"/>
    </row>
    <row r="252" spans="1:21" ht="23.25" customHeight="1" x14ac:dyDescent="0.25">
      <c r="A252" s="17"/>
      <c r="B252" s="7"/>
      <c r="C252" s="45" t="s">
        <v>42</v>
      </c>
      <c r="D252" s="14" t="s">
        <v>26</v>
      </c>
      <c r="E252" s="42">
        <v>2.1600000000000001E-2</v>
      </c>
      <c r="F252" s="27">
        <f>F250*E252</f>
        <v>5.421954098360656</v>
      </c>
      <c r="G252" s="27"/>
      <c r="H252" s="27"/>
      <c r="I252" s="27"/>
      <c r="J252" s="27"/>
      <c r="K252" s="27"/>
      <c r="L252" s="27"/>
      <c r="M252" s="27"/>
      <c r="N252" s="354"/>
      <c r="O252" s="11"/>
      <c r="P252" s="11"/>
      <c r="Q252" s="11"/>
      <c r="R252" s="11"/>
      <c r="S252" s="11"/>
      <c r="T252" s="11"/>
      <c r="U252" s="11"/>
    </row>
    <row r="253" spans="1:21" ht="18" x14ac:dyDescent="0.25">
      <c r="A253" s="17"/>
      <c r="B253" s="7"/>
      <c r="C253" s="45" t="s">
        <v>76</v>
      </c>
      <c r="D253" s="14" t="s">
        <v>26</v>
      </c>
      <c r="E253" s="42">
        <v>2.7300000000000001E-2</v>
      </c>
      <c r="F253" s="27">
        <f>F250*E253</f>
        <v>6.8527475409836072</v>
      </c>
      <c r="G253" s="27"/>
      <c r="H253" s="27"/>
      <c r="I253" s="27"/>
      <c r="J253" s="27"/>
      <c r="K253" s="27"/>
      <c r="L253" s="27"/>
      <c r="M253" s="27"/>
      <c r="N253" s="354"/>
      <c r="O253" s="11"/>
      <c r="P253" s="11"/>
      <c r="Q253" s="11"/>
      <c r="R253" s="11"/>
      <c r="S253" s="11"/>
      <c r="T253" s="11"/>
      <c r="U253" s="11"/>
    </row>
    <row r="254" spans="1:21" ht="21" customHeight="1" x14ac:dyDescent="0.25">
      <c r="A254" s="17"/>
      <c r="B254" s="7"/>
      <c r="C254" s="45" t="s">
        <v>43</v>
      </c>
      <c r="D254" s="14" t="s">
        <v>26</v>
      </c>
      <c r="E254" s="42">
        <v>9.7000000000000003E-3</v>
      </c>
      <c r="F254" s="27">
        <f>F250*E254</f>
        <v>2.4348590163934429</v>
      </c>
      <c r="G254" s="27"/>
      <c r="H254" s="27"/>
      <c r="I254" s="27"/>
      <c r="J254" s="27"/>
      <c r="K254" s="27"/>
      <c r="L254" s="27"/>
      <c r="M254" s="27"/>
      <c r="N254" s="354"/>
      <c r="O254" s="11"/>
      <c r="P254" s="11"/>
      <c r="Q254" s="11"/>
      <c r="R254" s="11"/>
      <c r="S254" s="11"/>
      <c r="T254" s="11"/>
      <c r="U254" s="11"/>
    </row>
    <row r="255" spans="1:21" ht="18" customHeight="1" x14ac:dyDescent="0.35">
      <c r="A255" s="17"/>
      <c r="B255" s="210"/>
      <c r="C255" s="209" t="s">
        <v>35</v>
      </c>
      <c r="D255" s="211"/>
      <c r="E255" s="21"/>
      <c r="F255" s="27"/>
      <c r="G255" s="27"/>
      <c r="H255" s="27"/>
      <c r="I255" s="27"/>
      <c r="J255" s="27"/>
      <c r="K255" s="27"/>
      <c r="L255" s="27"/>
      <c r="M255" s="27"/>
      <c r="N255" s="354"/>
      <c r="O255" s="11"/>
      <c r="P255" s="11"/>
      <c r="Q255" s="11"/>
      <c r="R255" s="11"/>
      <c r="S255" s="11"/>
      <c r="T255" s="11"/>
      <c r="U255" s="11"/>
    </row>
    <row r="256" spans="1:21" ht="54" customHeight="1" x14ac:dyDescent="0.25">
      <c r="A256" s="17"/>
      <c r="B256" s="80"/>
      <c r="C256" s="45" t="s">
        <v>63</v>
      </c>
      <c r="D256" s="48" t="s">
        <v>59</v>
      </c>
      <c r="E256" s="198">
        <v>1.22</v>
      </c>
      <c r="F256" s="27">
        <f>F250*E256</f>
        <v>306.24</v>
      </c>
      <c r="G256" s="27"/>
      <c r="H256" s="72"/>
      <c r="I256" s="27"/>
      <c r="J256" s="27"/>
      <c r="K256" s="27"/>
      <c r="L256" s="27"/>
      <c r="M256" s="27"/>
      <c r="N256" s="354"/>
      <c r="O256" s="11"/>
      <c r="P256" s="11"/>
      <c r="Q256" s="11"/>
      <c r="R256" s="11"/>
      <c r="S256" s="11"/>
      <c r="T256" s="11"/>
      <c r="U256" s="11"/>
    </row>
    <row r="257" spans="1:21" ht="18" customHeight="1" x14ac:dyDescent="0.35">
      <c r="A257" s="17"/>
      <c r="B257" s="210"/>
      <c r="C257" s="209" t="s">
        <v>44</v>
      </c>
      <c r="D257" s="48" t="s">
        <v>59</v>
      </c>
      <c r="E257" s="198">
        <v>7.0000000000000007E-2</v>
      </c>
      <c r="F257" s="27">
        <f>F250*E257</f>
        <v>17.57114754098361</v>
      </c>
      <c r="G257" s="27"/>
      <c r="H257" s="72"/>
      <c r="I257" s="27"/>
      <c r="J257" s="27"/>
      <c r="K257" s="27"/>
      <c r="L257" s="27"/>
      <c r="M257" s="27"/>
      <c r="N257" s="354"/>
      <c r="O257" s="11"/>
      <c r="P257" s="11"/>
      <c r="Q257" s="11"/>
      <c r="R257" s="11"/>
      <c r="S257" s="11"/>
      <c r="T257" s="11"/>
      <c r="U257" s="11"/>
    </row>
    <row r="258" spans="1:21" ht="18" customHeight="1" x14ac:dyDescent="0.25">
      <c r="A258" s="99"/>
      <c r="C258" s="212" t="s">
        <v>20</v>
      </c>
      <c r="D258" s="29"/>
      <c r="E258" s="21"/>
      <c r="F258" s="27"/>
      <c r="G258" s="27"/>
      <c r="H258" s="316"/>
      <c r="I258" s="5"/>
      <c r="J258" s="316"/>
      <c r="K258" s="5"/>
      <c r="L258" s="316"/>
      <c r="M258" s="316"/>
      <c r="N258" s="357"/>
      <c r="O258" s="213"/>
      <c r="P258" s="73"/>
      <c r="Q258" s="11"/>
      <c r="R258" s="11"/>
      <c r="S258" s="11"/>
      <c r="T258" s="11"/>
      <c r="U258" s="11"/>
    </row>
    <row r="259" spans="1:21" ht="36" customHeight="1" x14ac:dyDescent="0.25">
      <c r="A259" s="40"/>
      <c r="B259" s="29"/>
      <c r="C259" s="19" t="s">
        <v>55</v>
      </c>
      <c r="D259" s="37"/>
      <c r="E259" s="21"/>
      <c r="F259" s="27"/>
      <c r="G259" s="27"/>
      <c r="H259" s="27"/>
      <c r="I259" s="27"/>
      <c r="J259" s="27"/>
      <c r="K259" s="27"/>
      <c r="L259" s="27"/>
      <c r="M259" s="27"/>
      <c r="N259" s="354"/>
      <c r="O259" s="214"/>
      <c r="P259" s="11"/>
      <c r="Q259" s="11"/>
      <c r="R259" s="11"/>
      <c r="S259" s="11"/>
      <c r="T259" s="11"/>
      <c r="U259" s="11"/>
    </row>
    <row r="260" spans="1:21" ht="36" x14ac:dyDescent="0.35">
      <c r="A260" s="70">
        <v>1</v>
      </c>
      <c r="B260" s="70" t="s">
        <v>66</v>
      </c>
      <c r="C260" s="206" t="s">
        <v>186</v>
      </c>
      <c r="D260" s="48" t="s">
        <v>59</v>
      </c>
      <c r="E260" s="48"/>
      <c r="F260" s="3">
        <f>39.01/1.22</f>
        <v>31.975409836065573</v>
      </c>
      <c r="G260" s="72"/>
      <c r="H260" s="72"/>
      <c r="I260" s="72"/>
      <c r="J260" s="72"/>
      <c r="K260" s="72"/>
      <c r="L260" s="72"/>
      <c r="M260" s="72"/>
      <c r="N260" s="354"/>
      <c r="O260" s="214"/>
      <c r="P260" s="11"/>
      <c r="Q260" s="11"/>
      <c r="R260" s="11"/>
      <c r="S260" s="11"/>
      <c r="T260" s="11"/>
      <c r="U260" s="11"/>
    </row>
    <row r="261" spans="1:21" ht="18" x14ac:dyDescent="0.25">
      <c r="A261" s="74"/>
      <c r="B261" s="75"/>
      <c r="C261" s="76" t="s">
        <v>18</v>
      </c>
      <c r="D261" s="48" t="s">
        <v>19</v>
      </c>
      <c r="E261" s="42">
        <v>0.15</v>
      </c>
      <c r="F261" s="72">
        <f>F260*E261</f>
        <v>4.7963114754098362</v>
      </c>
      <c r="G261" s="72"/>
      <c r="H261" s="72"/>
      <c r="I261" s="72"/>
      <c r="J261" s="27"/>
      <c r="K261" s="72"/>
      <c r="L261" s="72"/>
      <c r="M261" s="27"/>
      <c r="N261" s="354"/>
      <c r="O261" s="214"/>
      <c r="P261" s="11"/>
      <c r="Q261" s="11"/>
      <c r="R261" s="11"/>
      <c r="S261" s="11"/>
      <c r="T261" s="11"/>
      <c r="U261" s="11"/>
    </row>
    <row r="262" spans="1:21" ht="18" x14ac:dyDescent="0.25">
      <c r="A262" s="74"/>
      <c r="B262" s="78"/>
      <c r="C262" s="76" t="s">
        <v>42</v>
      </c>
      <c r="D262" s="48" t="s">
        <v>26</v>
      </c>
      <c r="E262" s="42">
        <v>2.1600000000000001E-2</v>
      </c>
      <c r="F262" s="72">
        <f>F260*E262</f>
        <v>0.69066885245901644</v>
      </c>
      <c r="G262" s="72"/>
      <c r="H262" s="72"/>
      <c r="I262" s="72"/>
      <c r="J262" s="72"/>
      <c r="K262" s="72"/>
      <c r="L262" s="27"/>
      <c r="M262" s="27"/>
      <c r="N262" s="354"/>
      <c r="O262" s="214"/>
      <c r="P262" s="11"/>
      <c r="Q262" s="11"/>
      <c r="R262" s="11"/>
      <c r="S262" s="11"/>
      <c r="T262" s="11"/>
      <c r="U262" s="11"/>
    </row>
    <row r="263" spans="1:21" ht="18" x14ac:dyDescent="0.25">
      <c r="A263" s="74"/>
      <c r="B263" s="78"/>
      <c r="C263" s="45" t="s">
        <v>76</v>
      </c>
      <c r="D263" s="48" t="s">
        <v>26</v>
      </c>
      <c r="E263" s="42">
        <v>2.7300000000000001E-2</v>
      </c>
      <c r="F263" s="72">
        <f>E263*F260</f>
        <v>0.87292868852459016</v>
      </c>
      <c r="G263" s="72"/>
      <c r="H263" s="72"/>
      <c r="I263" s="72"/>
      <c r="J263" s="72"/>
      <c r="K263" s="72"/>
      <c r="L263" s="27"/>
      <c r="M263" s="27"/>
      <c r="N263" s="354"/>
      <c r="O263" s="214"/>
      <c r="P263" s="11"/>
      <c r="Q263" s="11"/>
      <c r="R263" s="11"/>
      <c r="S263" s="11"/>
      <c r="T263" s="11"/>
      <c r="U263" s="11"/>
    </row>
    <row r="264" spans="1:21" ht="18" x14ac:dyDescent="0.25">
      <c r="A264" s="74"/>
      <c r="B264" s="78"/>
      <c r="C264" s="76" t="s">
        <v>43</v>
      </c>
      <c r="D264" s="48" t="s">
        <v>26</v>
      </c>
      <c r="E264" s="42">
        <v>9.7000000000000003E-3</v>
      </c>
      <c r="F264" s="72">
        <f>F260*E264</f>
        <v>0.31016147540983607</v>
      </c>
      <c r="G264" s="72"/>
      <c r="H264" s="72"/>
      <c r="I264" s="72"/>
      <c r="J264" s="72"/>
      <c r="K264" s="72"/>
      <c r="L264" s="27"/>
      <c r="M264" s="27"/>
      <c r="N264" s="354"/>
      <c r="O264" s="214"/>
      <c r="P264" s="11"/>
      <c r="Q264" s="11"/>
      <c r="R264" s="11"/>
      <c r="S264" s="11"/>
      <c r="T264" s="11"/>
      <c r="U264" s="11"/>
    </row>
    <row r="265" spans="1:21" ht="18" x14ac:dyDescent="0.25">
      <c r="A265" s="74"/>
      <c r="B265" s="75"/>
      <c r="C265" s="48" t="s">
        <v>35</v>
      </c>
      <c r="D265" s="79"/>
      <c r="E265" s="48"/>
      <c r="F265" s="72"/>
      <c r="G265" s="72"/>
      <c r="H265" s="72"/>
      <c r="I265" s="72"/>
      <c r="J265" s="72"/>
      <c r="K265" s="72"/>
      <c r="L265" s="72"/>
      <c r="M265" s="72"/>
      <c r="N265" s="354"/>
      <c r="O265" s="214"/>
      <c r="P265" s="11"/>
      <c r="Q265" s="11"/>
      <c r="R265" s="11"/>
      <c r="S265" s="11"/>
      <c r="T265" s="11"/>
      <c r="U265" s="11"/>
    </row>
    <row r="266" spans="1:21" ht="54" x14ac:dyDescent="0.25">
      <c r="A266" s="70"/>
      <c r="B266" s="80"/>
      <c r="C266" s="81" t="s">
        <v>63</v>
      </c>
      <c r="D266" s="48" t="s">
        <v>59</v>
      </c>
      <c r="E266" s="48">
        <v>1.22</v>
      </c>
      <c r="F266" s="72">
        <f>F260*E266</f>
        <v>39.01</v>
      </c>
      <c r="G266" s="27"/>
      <c r="H266" s="72"/>
      <c r="I266" s="72"/>
      <c r="J266" s="72"/>
      <c r="K266" s="72"/>
      <c r="L266" s="72"/>
      <c r="M266" s="27"/>
      <c r="N266" s="354"/>
      <c r="O266" s="214"/>
      <c r="P266" s="11"/>
      <c r="Q266" s="11"/>
      <c r="R266" s="11"/>
      <c r="S266" s="11"/>
      <c r="T266" s="11"/>
      <c r="U266" s="11"/>
    </row>
    <row r="267" spans="1:21" ht="19.5" x14ac:dyDescent="0.35">
      <c r="A267" s="74"/>
      <c r="B267" s="75"/>
      <c r="C267" s="82" t="s">
        <v>44</v>
      </c>
      <c r="D267" s="48" t="s">
        <v>59</v>
      </c>
      <c r="E267" s="83">
        <v>7.0000000000000007E-2</v>
      </c>
      <c r="F267" s="72">
        <f>F260*E267</f>
        <v>2.2382786885245904</v>
      </c>
      <c r="G267" s="27"/>
      <c r="H267" s="72"/>
      <c r="I267" s="72"/>
      <c r="J267" s="72"/>
      <c r="K267" s="72"/>
      <c r="L267" s="72"/>
      <c r="M267" s="27"/>
      <c r="N267" s="354"/>
      <c r="O267" s="214"/>
      <c r="P267" s="11"/>
      <c r="Q267" s="11"/>
      <c r="R267" s="11"/>
      <c r="S267" s="11"/>
      <c r="T267" s="11"/>
      <c r="U267" s="11"/>
    </row>
    <row r="268" spans="1:21" ht="54" x14ac:dyDescent="0.35">
      <c r="A268" s="74">
        <v>2</v>
      </c>
      <c r="B268" s="123" t="s">
        <v>45</v>
      </c>
      <c r="C268" s="206" t="s">
        <v>65</v>
      </c>
      <c r="D268" s="79" t="s">
        <v>60</v>
      </c>
      <c r="E268" s="48"/>
      <c r="F268" s="3">
        <v>266.49</v>
      </c>
      <c r="G268" s="72"/>
      <c r="H268" s="72"/>
      <c r="I268" s="72"/>
      <c r="J268" s="72"/>
      <c r="K268" s="72"/>
      <c r="L268" s="72"/>
      <c r="M268" s="72"/>
      <c r="N268" s="354"/>
      <c r="O268" s="215"/>
      <c r="P268" s="11"/>
      <c r="Q268" s="11"/>
      <c r="R268" s="11"/>
      <c r="S268" s="11"/>
      <c r="T268" s="11"/>
      <c r="U268" s="11"/>
    </row>
    <row r="269" spans="1:21" ht="18" customHeight="1" x14ac:dyDescent="0.25">
      <c r="A269" s="74"/>
      <c r="B269" s="75"/>
      <c r="C269" s="76" t="s">
        <v>18</v>
      </c>
      <c r="D269" s="48" t="s">
        <v>19</v>
      </c>
      <c r="E269" s="48">
        <f>33/1000</f>
        <v>3.3000000000000002E-2</v>
      </c>
      <c r="F269" s="72">
        <f>F268*E269</f>
        <v>8.7941700000000012</v>
      </c>
      <c r="G269" s="72"/>
      <c r="H269" s="72"/>
      <c r="I269" s="72"/>
      <c r="J269" s="27"/>
      <c r="K269" s="72"/>
      <c r="L269" s="72"/>
      <c r="M269" s="27"/>
      <c r="N269" s="354"/>
      <c r="O269" s="215"/>
      <c r="P269" s="11"/>
      <c r="Q269" s="11"/>
      <c r="R269" s="11"/>
      <c r="S269" s="11"/>
      <c r="T269" s="11"/>
      <c r="U269" s="11"/>
    </row>
    <row r="270" spans="1:21" ht="18" customHeight="1" x14ac:dyDescent="0.35">
      <c r="A270" s="74"/>
      <c r="B270" s="75"/>
      <c r="C270" s="82" t="s">
        <v>46</v>
      </c>
      <c r="D270" s="48" t="s">
        <v>26</v>
      </c>
      <c r="E270" s="48">
        <f>2.58/1000</f>
        <v>2.5800000000000003E-3</v>
      </c>
      <c r="F270" s="72">
        <f>F268*E270</f>
        <v>0.68754420000000005</v>
      </c>
      <c r="G270" s="72"/>
      <c r="H270" s="72"/>
      <c r="I270" s="72"/>
      <c r="J270" s="72"/>
      <c r="K270" s="72"/>
      <c r="L270" s="27"/>
      <c r="M270" s="27"/>
      <c r="N270" s="354"/>
      <c r="O270" s="215"/>
      <c r="P270" s="11"/>
      <c r="Q270" s="11"/>
      <c r="R270" s="11"/>
      <c r="S270" s="11"/>
      <c r="T270" s="11"/>
      <c r="U270" s="11"/>
    </row>
    <row r="271" spans="1:21" ht="18" customHeight="1" x14ac:dyDescent="0.25">
      <c r="A271" s="74"/>
      <c r="B271" s="78"/>
      <c r="C271" s="76" t="s">
        <v>42</v>
      </c>
      <c r="D271" s="48" t="s">
        <v>26</v>
      </c>
      <c r="E271" s="48">
        <f>0.42/1000</f>
        <v>4.1999999999999996E-4</v>
      </c>
      <c r="F271" s="72">
        <f>F268*E271</f>
        <v>0.11192579999999999</v>
      </c>
      <c r="G271" s="72"/>
      <c r="H271" s="72"/>
      <c r="I271" s="72"/>
      <c r="J271" s="72"/>
      <c r="K271" s="72"/>
      <c r="L271" s="27"/>
      <c r="M271" s="27"/>
      <c r="N271" s="354"/>
      <c r="O271" s="215"/>
      <c r="P271" s="11"/>
      <c r="Q271" s="11"/>
      <c r="R271" s="11"/>
      <c r="S271" s="11"/>
      <c r="T271" s="11"/>
      <c r="U271" s="11"/>
    </row>
    <row r="272" spans="1:21" ht="18" customHeight="1" x14ac:dyDescent="0.35">
      <c r="A272" s="74"/>
      <c r="B272" s="78"/>
      <c r="C272" s="82" t="s">
        <v>47</v>
      </c>
      <c r="D272" s="48" t="s">
        <v>26</v>
      </c>
      <c r="E272" s="48">
        <f>11.2/1000</f>
        <v>1.12E-2</v>
      </c>
      <c r="F272" s="72">
        <f>E272*F268</f>
        <v>2.9846880000000002</v>
      </c>
      <c r="G272" s="72"/>
      <c r="H272" s="72"/>
      <c r="I272" s="72"/>
      <c r="J272" s="72"/>
      <c r="K272" s="72"/>
      <c r="L272" s="27"/>
      <c r="M272" s="27"/>
      <c r="N272" s="354"/>
      <c r="O272" s="215"/>
      <c r="P272" s="11"/>
      <c r="Q272" s="11"/>
      <c r="R272" s="11"/>
      <c r="S272" s="11"/>
      <c r="T272" s="11"/>
      <c r="U272" s="11"/>
    </row>
    <row r="273" spans="1:21" ht="18" customHeight="1" x14ac:dyDescent="0.35">
      <c r="A273" s="74"/>
      <c r="B273" s="78"/>
      <c r="C273" s="82" t="s">
        <v>48</v>
      </c>
      <c r="D273" s="48" t="s">
        <v>26</v>
      </c>
      <c r="E273" s="48">
        <f>24.8/1000</f>
        <v>2.4799999999999999E-2</v>
      </c>
      <c r="F273" s="72">
        <f>E273*F268</f>
        <v>6.6089520000000004</v>
      </c>
      <c r="G273" s="72"/>
      <c r="H273" s="72"/>
      <c r="I273" s="72"/>
      <c r="J273" s="72"/>
      <c r="K273" s="72"/>
      <c r="L273" s="27"/>
      <c r="M273" s="27"/>
      <c r="N273" s="354"/>
      <c r="O273" s="215"/>
      <c r="P273" s="11"/>
      <c r="Q273" s="11"/>
      <c r="R273" s="11"/>
      <c r="S273" s="11"/>
      <c r="T273" s="11"/>
      <c r="U273" s="11"/>
    </row>
    <row r="274" spans="1:21" ht="18" customHeight="1" x14ac:dyDescent="0.35">
      <c r="A274" s="74"/>
      <c r="B274" s="78"/>
      <c r="C274" s="82" t="s">
        <v>43</v>
      </c>
      <c r="D274" s="48" t="s">
        <v>26</v>
      </c>
      <c r="E274" s="48">
        <f>4.14/1000</f>
        <v>4.1399999999999996E-3</v>
      </c>
      <c r="F274" s="72">
        <f>F268*E274</f>
        <v>1.1032685999999998</v>
      </c>
      <c r="G274" s="72"/>
      <c r="H274" s="72"/>
      <c r="I274" s="72"/>
      <c r="J274" s="72"/>
      <c r="K274" s="72"/>
      <c r="L274" s="27"/>
      <c r="M274" s="27"/>
      <c r="N274" s="354"/>
      <c r="O274" s="215"/>
      <c r="P274" s="11"/>
      <c r="Q274" s="11"/>
      <c r="R274" s="11"/>
      <c r="S274" s="11"/>
      <c r="T274" s="11"/>
      <c r="U274" s="11"/>
    </row>
    <row r="275" spans="1:21" ht="36" customHeight="1" x14ac:dyDescent="0.35">
      <c r="A275" s="74"/>
      <c r="B275" s="78"/>
      <c r="C275" s="195" t="s">
        <v>49</v>
      </c>
      <c r="D275" s="48" t="s">
        <v>26</v>
      </c>
      <c r="E275" s="48">
        <f>0.53/1000</f>
        <v>5.2999999999999998E-4</v>
      </c>
      <c r="F275" s="72">
        <f>F268*E275</f>
        <v>0.1412397</v>
      </c>
      <c r="G275" s="72"/>
      <c r="H275" s="72"/>
      <c r="I275" s="72"/>
      <c r="J275" s="72"/>
      <c r="K275" s="72"/>
      <c r="L275" s="27"/>
      <c r="M275" s="27"/>
      <c r="N275" s="354"/>
      <c r="O275" s="215"/>
      <c r="P275" s="11"/>
      <c r="Q275" s="11"/>
      <c r="R275" s="11"/>
      <c r="S275" s="11"/>
      <c r="T275" s="11"/>
      <c r="U275" s="11"/>
    </row>
    <row r="276" spans="1:21" ht="18" customHeight="1" x14ac:dyDescent="0.25">
      <c r="A276" s="74"/>
      <c r="B276" s="75"/>
      <c r="C276" s="48" t="s">
        <v>35</v>
      </c>
      <c r="D276" s="79"/>
      <c r="E276" s="48"/>
      <c r="F276" s="72"/>
      <c r="G276" s="72"/>
      <c r="H276" s="72"/>
      <c r="I276" s="72"/>
      <c r="J276" s="72"/>
      <c r="K276" s="72"/>
      <c r="L276" s="72"/>
      <c r="M276" s="72"/>
      <c r="N276" s="354"/>
      <c r="O276" s="215"/>
      <c r="P276" s="11"/>
      <c r="Q276" s="11"/>
      <c r="R276" s="11"/>
      <c r="S276" s="11"/>
      <c r="T276" s="11"/>
      <c r="U276" s="11"/>
    </row>
    <row r="277" spans="1:21" ht="36" x14ac:dyDescent="0.25">
      <c r="A277" s="74"/>
      <c r="B277" s="80"/>
      <c r="C277" s="81" t="s">
        <v>50</v>
      </c>
      <c r="D277" s="48" t="s">
        <v>59</v>
      </c>
      <c r="E277" s="176">
        <f>1.26*0.1</f>
        <v>0.126</v>
      </c>
      <c r="F277" s="72">
        <f>F268*0.1*1.26</f>
        <v>33.577739999999999</v>
      </c>
      <c r="G277" s="27"/>
      <c r="H277" s="72"/>
      <c r="I277" s="72"/>
      <c r="J277" s="72"/>
      <c r="K277" s="72"/>
      <c r="L277" s="72"/>
      <c r="M277" s="27"/>
      <c r="N277" s="354"/>
      <c r="O277" s="215"/>
      <c r="P277" s="11"/>
      <c r="Q277" s="11"/>
      <c r="R277" s="11"/>
      <c r="S277" s="11"/>
      <c r="T277" s="11"/>
      <c r="U277" s="11"/>
    </row>
    <row r="278" spans="1:21" ht="20.25" customHeight="1" x14ac:dyDescent="0.35">
      <c r="A278" s="74"/>
      <c r="B278" s="75"/>
      <c r="C278" s="82" t="s">
        <v>44</v>
      </c>
      <c r="D278" s="79" t="s">
        <v>61</v>
      </c>
      <c r="E278" s="48">
        <f>30/1000</f>
        <v>0.03</v>
      </c>
      <c r="F278" s="72">
        <f>F268*E278</f>
        <v>7.9946999999999999</v>
      </c>
      <c r="G278" s="27"/>
      <c r="H278" s="72"/>
      <c r="I278" s="72"/>
      <c r="J278" s="72"/>
      <c r="K278" s="72"/>
      <c r="L278" s="72"/>
      <c r="M278" s="27"/>
      <c r="N278" s="354"/>
      <c r="O278" s="215"/>
      <c r="P278" s="11"/>
      <c r="Q278" s="11"/>
      <c r="R278" s="11"/>
      <c r="S278" s="11"/>
      <c r="T278" s="11"/>
      <c r="U278" s="11"/>
    </row>
    <row r="279" spans="1:21" ht="51" customHeight="1" x14ac:dyDescent="0.25">
      <c r="A279" s="95">
        <v>3</v>
      </c>
      <c r="B279" s="53" t="s">
        <v>51</v>
      </c>
      <c r="C279" s="196" t="s">
        <v>80</v>
      </c>
      <c r="D279" s="70" t="s">
        <v>36</v>
      </c>
      <c r="E279" s="50"/>
      <c r="F279" s="5">
        <f>F283*0.0006</f>
        <v>0.14804999999999999</v>
      </c>
      <c r="G279" s="27"/>
      <c r="H279" s="27"/>
      <c r="I279" s="27"/>
      <c r="J279" s="27"/>
      <c r="K279" s="27"/>
      <c r="L279" s="27"/>
      <c r="M279" s="27"/>
      <c r="N279" s="354"/>
      <c r="O279" s="215"/>
      <c r="P279" s="11"/>
      <c r="Q279" s="11"/>
      <c r="R279" s="11"/>
      <c r="S279" s="11"/>
      <c r="T279" s="11"/>
      <c r="U279" s="11"/>
    </row>
    <row r="280" spans="1:21" ht="18" x14ac:dyDescent="0.25">
      <c r="A280" s="28"/>
      <c r="B280" s="197"/>
      <c r="C280" s="41" t="s">
        <v>52</v>
      </c>
      <c r="D280" s="14" t="s">
        <v>26</v>
      </c>
      <c r="E280" s="198">
        <v>0.3</v>
      </c>
      <c r="F280" s="27">
        <f>F279*E280</f>
        <v>4.4414999999999996E-2</v>
      </c>
      <c r="G280" s="27"/>
      <c r="H280" s="27"/>
      <c r="I280" s="27"/>
      <c r="J280" s="27"/>
      <c r="K280" s="27"/>
      <c r="L280" s="27"/>
      <c r="M280" s="27"/>
      <c r="N280" s="354"/>
      <c r="O280" s="215"/>
      <c r="P280" s="11"/>
      <c r="Q280" s="11"/>
      <c r="R280" s="11"/>
      <c r="S280" s="11"/>
      <c r="T280" s="11"/>
      <c r="U280" s="11"/>
    </row>
    <row r="281" spans="1:21" ht="18" x14ac:dyDescent="0.25">
      <c r="A281" s="28"/>
      <c r="B281" s="29"/>
      <c r="C281" s="14" t="s">
        <v>35</v>
      </c>
      <c r="D281" s="199"/>
      <c r="E281" s="21"/>
      <c r="F281" s="27"/>
      <c r="G281" s="27"/>
      <c r="H281" s="27"/>
      <c r="I281" s="27"/>
      <c r="J281" s="27"/>
      <c r="K281" s="27"/>
      <c r="L281" s="27"/>
      <c r="M281" s="27"/>
      <c r="N281" s="354"/>
      <c r="O281" s="215"/>
      <c r="P281" s="11"/>
      <c r="Q281" s="11"/>
      <c r="R281" s="11"/>
      <c r="S281" s="11"/>
      <c r="T281" s="11"/>
      <c r="U281" s="11"/>
    </row>
    <row r="282" spans="1:21" ht="18" x14ac:dyDescent="0.25">
      <c r="A282" s="28"/>
      <c r="B282" s="51"/>
      <c r="C282" s="200" t="s">
        <v>40</v>
      </c>
      <c r="D282" s="48" t="s">
        <v>36</v>
      </c>
      <c r="E282" s="111" t="s">
        <v>72</v>
      </c>
      <c r="F282" s="27">
        <f>F279*E282</f>
        <v>0.1524915</v>
      </c>
      <c r="G282" s="27"/>
      <c r="H282" s="72"/>
      <c r="I282" s="27"/>
      <c r="J282" s="27"/>
      <c r="K282" s="27"/>
      <c r="L282" s="27"/>
      <c r="M282" s="27"/>
      <c r="N282" s="354"/>
      <c r="O282" s="215"/>
      <c r="P282" s="11"/>
      <c r="Q282" s="11"/>
      <c r="R282" s="11"/>
      <c r="S282" s="11"/>
      <c r="T282" s="11"/>
      <c r="U282" s="11"/>
    </row>
    <row r="283" spans="1:21" ht="66" x14ac:dyDescent="0.25">
      <c r="A283" s="201">
        <v>4</v>
      </c>
      <c r="B283" s="202" t="s">
        <v>78</v>
      </c>
      <c r="C283" s="203" t="s">
        <v>82</v>
      </c>
      <c r="D283" s="216" t="s">
        <v>33</v>
      </c>
      <c r="E283" s="21"/>
      <c r="F283" s="5">
        <v>246.75</v>
      </c>
      <c r="G283" s="27"/>
      <c r="H283" s="27"/>
      <c r="I283" s="27"/>
      <c r="J283" s="27"/>
      <c r="K283" s="27"/>
      <c r="L283" s="27"/>
      <c r="M283" s="27"/>
      <c r="N283" s="354"/>
      <c r="O283" s="215"/>
      <c r="P283" s="11"/>
      <c r="Q283" s="11"/>
      <c r="R283" s="11"/>
      <c r="S283" s="11"/>
      <c r="T283" s="11"/>
      <c r="U283" s="11"/>
    </row>
    <row r="284" spans="1:21" ht="18" customHeight="1" x14ac:dyDescent="0.25">
      <c r="A284" s="17"/>
      <c r="B284" s="29"/>
      <c r="C284" s="217" t="s">
        <v>18</v>
      </c>
      <c r="D284" s="14" t="s">
        <v>19</v>
      </c>
      <c r="E284" s="198">
        <f>37.5/1000+2*0.07/1000</f>
        <v>3.764E-2</v>
      </c>
      <c r="F284" s="27">
        <f>F283*E284</f>
        <v>9.2876700000000003</v>
      </c>
      <c r="G284" s="27"/>
      <c r="H284" s="27"/>
      <c r="I284" s="27"/>
      <c r="J284" s="27"/>
      <c r="K284" s="27"/>
      <c r="L284" s="27"/>
      <c r="M284" s="27"/>
      <c r="N284" s="354"/>
      <c r="O284" s="215"/>
      <c r="P284" s="11"/>
      <c r="Q284" s="11"/>
      <c r="R284" s="11"/>
      <c r="S284" s="11"/>
      <c r="T284" s="11"/>
      <c r="U284" s="11"/>
    </row>
    <row r="285" spans="1:21" ht="18" customHeight="1" x14ac:dyDescent="0.35">
      <c r="A285" s="17"/>
      <c r="B285" s="7"/>
      <c r="C285" s="30" t="s">
        <v>53</v>
      </c>
      <c r="D285" s="14" t="s">
        <v>26</v>
      </c>
      <c r="E285" s="198">
        <f t="shared" ref="E285" si="20">3.02/1000</f>
        <v>3.0200000000000001E-3</v>
      </c>
      <c r="F285" s="27">
        <f>E285*F283</f>
        <v>0.74518499999999999</v>
      </c>
      <c r="G285" s="27"/>
      <c r="H285" s="27"/>
      <c r="I285" s="27"/>
      <c r="J285" s="27"/>
      <c r="K285" s="27"/>
      <c r="L285" s="27"/>
      <c r="M285" s="27"/>
      <c r="N285" s="354"/>
      <c r="O285" s="215"/>
      <c r="P285" s="11"/>
      <c r="Q285" s="11"/>
      <c r="R285" s="11"/>
      <c r="S285" s="11"/>
      <c r="T285" s="11"/>
      <c r="U285" s="11"/>
    </row>
    <row r="286" spans="1:21" ht="18" customHeight="1" x14ac:dyDescent="0.35">
      <c r="A286" s="17"/>
      <c r="B286" s="7"/>
      <c r="C286" s="30" t="s">
        <v>47</v>
      </c>
      <c r="D286" s="14" t="s">
        <v>26</v>
      </c>
      <c r="E286" s="198">
        <f t="shared" ref="E286" si="21">3.7/1000</f>
        <v>3.7000000000000002E-3</v>
      </c>
      <c r="F286" s="27">
        <f>E286*F283</f>
        <v>0.91297500000000009</v>
      </c>
      <c r="G286" s="27"/>
      <c r="H286" s="27"/>
      <c r="I286" s="27"/>
      <c r="J286" s="27"/>
      <c r="K286" s="27"/>
      <c r="L286" s="27"/>
      <c r="M286" s="27"/>
      <c r="N286" s="354"/>
      <c r="O286" s="215"/>
      <c r="P286" s="11"/>
      <c r="Q286" s="11"/>
      <c r="R286" s="11"/>
      <c r="S286" s="11"/>
      <c r="T286" s="11"/>
      <c r="U286" s="11"/>
    </row>
    <row r="287" spans="1:21" ht="18" customHeight="1" x14ac:dyDescent="0.35">
      <c r="A287" s="17"/>
      <c r="B287" s="7"/>
      <c r="C287" s="82" t="s">
        <v>48</v>
      </c>
      <c r="D287" s="14" t="s">
        <v>26</v>
      </c>
      <c r="E287" s="198">
        <f t="shared" ref="E287" si="22">11.1/1000</f>
        <v>1.11E-2</v>
      </c>
      <c r="F287" s="27">
        <f>E287*F283</f>
        <v>2.7389250000000001</v>
      </c>
      <c r="G287" s="27"/>
      <c r="H287" s="27"/>
      <c r="I287" s="27"/>
      <c r="J287" s="27"/>
      <c r="K287" s="27"/>
      <c r="L287" s="27"/>
      <c r="M287" s="27"/>
      <c r="N287" s="354"/>
      <c r="O287" s="215"/>
      <c r="P287" s="11"/>
      <c r="Q287" s="11"/>
      <c r="R287" s="11"/>
      <c r="S287" s="11"/>
      <c r="T287" s="11"/>
      <c r="U287" s="11"/>
    </row>
    <row r="288" spans="1:21" ht="18" customHeight="1" x14ac:dyDescent="0.35">
      <c r="A288" s="17"/>
      <c r="B288" s="29"/>
      <c r="C288" s="30" t="s">
        <v>29</v>
      </c>
      <c r="D288" s="14" t="s">
        <v>22</v>
      </c>
      <c r="E288" s="198">
        <v>2.3E-3</v>
      </c>
      <c r="F288" s="27">
        <f>E288*F283</f>
        <v>0.56752499999999995</v>
      </c>
      <c r="G288" s="27"/>
      <c r="H288" s="27"/>
      <c r="I288" s="27"/>
      <c r="J288" s="27"/>
      <c r="K288" s="27"/>
      <c r="L288" s="27"/>
      <c r="M288" s="27"/>
      <c r="N288" s="354"/>
      <c r="O288" s="215"/>
      <c r="P288" s="11"/>
      <c r="Q288" s="11"/>
      <c r="R288" s="11"/>
      <c r="S288" s="11"/>
      <c r="T288" s="11"/>
      <c r="U288" s="11"/>
    </row>
    <row r="289" spans="1:21" ht="18" customHeight="1" x14ac:dyDescent="0.25">
      <c r="A289" s="17"/>
      <c r="B289" s="29"/>
      <c r="C289" s="14" t="s">
        <v>35</v>
      </c>
      <c r="D289" s="37"/>
      <c r="E289" s="21"/>
      <c r="F289" s="27"/>
      <c r="G289" s="27"/>
      <c r="H289" s="27"/>
      <c r="I289" s="27"/>
      <c r="J289" s="27"/>
      <c r="K289" s="27"/>
      <c r="L289" s="27"/>
      <c r="M289" s="27"/>
      <c r="N289" s="354"/>
      <c r="O289" s="215"/>
      <c r="P289" s="11"/>
      <c r="Q289" s="11"/>
      <c r="R289" s="11"/>
      <c r="S289" s="11"/>
      <c r="T289" s="11"/>
      <c r="U289" s="11"/>
    </row>
    <row r="290" spans="1:21" ht="18" x14ac:dyDescent="0.35">
      <c r="A290" s="17"/>
      <c r="B290" s="51"/>
      <c r="C290" s="30" t="s">
        <v>74</v>
      </c>
      <c r="D290" s="48" t="s">
        <v>36</v>
      </c>
      <c r="E290" s="198">
        <f>(97.4+12.1*2)/1000</f>
        <v>0.12160000000000001</v>
      </c>
      <c r="F290" s="27">
        <f>F283*E290</f>
        <v>30.004800000000003</v>
      </c>
      <c r="G290" s="27"/>
      <c r="H290" s="72"/>
      <c r="I290" s="27"/>
      <c r="J290" s="27"/>
      <c r="K290" s="27"/>
      <c r="L290" s="27"/>
      <c r="M290" s="27"/>
      <c r="N290" s="354"/>
      <c r="O290" s="215"/>
      <c r="P290" s="11"/>
      <c r="Q290" s="11"/>
      <c r="R290" s="11"/>
      <c r="S290" s="11"/>
      <c r="T290" s="11"/>
      <c r="U290" s="11"/>
    </row>
    <row r="291" spans="1:21" ht="18" customHeight="1" x14ac:dyDescent="0.35">
      <c r="A291" s="17"/>
      <c r="B291" s="29"/>
      <c r="C291" s="30" t="s">
        <v>38</v>
      </c>
      <c r="D291" s="14" t="s">
        <v>22</v>
      </c>
      <c r="E291" s="198">
        <f>0.0145+0.2*2/1000</f>
        <v>1.49E-2</v>
      </c>
      <c r="F291" s="27">
        <f>F283*E291</f>
        <v>3.6765750000000001</v>
      </c>
      <c r="G291" s="27"/>
      <c r="H291" s="72"/>
      <c r="I291" s="27"/>
      <c r="J291" s="27"/>
      <c r="K291" s="27"/>
      <c r="L291" s="27"/>
      <c r="M291" s="27"/>
      <c r="N291" s="354"/>
      <c r="O291" s="215"/>
      <c r="P291" s="11"/>
      <c r="Q291" s="11"/>
      <c r="R291" s="11"/>
      <c r="S291" s="11"/>
      <c r="T291" s="11"/>
      <c r="U291" s="11"/>
    </row>
    <row r="292" spans="1:21" ht="72" customHeight="1" x14ac:dyDescent="0.35">
      <c r="A292" s="95">
        <v>5</v>
      </c>
      <c r="B292" s="70" t="s">
        <v>54</v>
      </c>
      <c r="C292" s="206" t="s">
        <v>185</v>
      </c>
      <c r="D292" s="207" t="s">
        <v>75</v>
      </c>
      <c r="E292" s="50"/>
      <c r="F292" s="5">
        <f>2.15/1.22</f>
        <v>1.7622950819672132</v>
      </c>
      <c r="G292" s="27"/>
      <c r="H292" s="27"/>
      <c r="I292" s="27"/>
      <c r="J292" s="27"/>
      <c r="K292" s="27"/>
      <c r="L292" s="27"/>
      <c r="M292" s="27"/>
      <c r="N292" s="354"/>
      <c r="O292" s="11"/>
      <c r="P292" s="11"/>
      <c r="Q292" s="11"/>
      <c r="R292" s="11"/>
      <c r="S292" s="11"/>
      <c r="T292" s="11"/>
      <c r="U292" s="11"/>
    </row>
    <row r="293" spans="1:21" ht="18" customHeight="1" x14ac:dyDescent="0.35">
      <c r="A293" s="17"/>
      <c r="B293" s="208"/>
      <c r="C293" s="209" t="s">
        <v>18</v>
      </c>
      <c r="D293" s="14" t="s">
        <v>19</v>
      </c>
      <c r="E293" s="42">
        <v>0.15</v>
      </c>
      <c r="F293" s="27">
        <f>F292*E293</f>
        <v>0.26434426229508196</v>
      </c>
      <c r="G293" s="27"/>
      <c r="H293" s="27"/>
      <c r="I293" s="27"/>
      <c r="J293" s="27"/>
      <c r="K293" s="27"/>
      <c r="L293" s="27"/>
      <c r="M293" s="27"/>
      <c r="N293" s="354"/>
      <c r="O293" s="11"/>
      <c r="P293" s="11"/>
      <c r="Q293" s="11"/>
      <c r="R293" s="11"/>
      <c r="S293" s="11"/>
      <c r="T293" s="11"/>
      <c r="U293" s="11"/>
    </row>
    <row r="294" spans="1:21" ht="23.25" customHeight="1" x14ac:dyDescent="0.25">
      <c r="A294" s="17"/>
      <c r="B294" s="7"/>
      <c r="C294" s="45" t="s">
        <v>42</v>
      </c>
      <c r="D294" s="14" t="s">
        <v>26</v>
      </c>
      <c r="E294" s="42">
        <v>2.1600000000000001E-2</v>
      </c>
      <c r="F294" s="27">
        <f>F292*E294</f>
        <v>3.8065573770491808E-2</v>
      </c>
      <c r="G294" s="27"/>
      <c r="H294" s="27"/>
      <c r="I294" s="27"/>
      <c r="J294" s="27"/>
      <c r="K294" s="27"/>
      <c r="L294" s="27"/>
      <c r="M294" s="27"/>
      <c r="N294" s="354"/>
      <c r="O294" s="11"/>
      <c r="P294" s="11"/>
      <c r="Q294" s="11"/>
      <c r="R294" s="11"/>
      <c r="S294" s="11"/>
      <c r="T294" s="11"/>
      <c r="U294" s="11"/>
    </row>
    <row r="295" spans="1:21" ht="18" x14ac:dyDescent="0.25">
      <c r="A295" s="17"/>
      <c r="B295" s="7"/>
      <c r="C295" s="45" t="s">
        <v>76</v>
      </c>
      <c r="D295" s="14" t="s">
        <v>26</v>
      </c>
      <c r="E295" s="42">
        <v>2.7300000000000001E-2</v>
      </c>
      <c r="F295" s="27">
        <f>F292*E295</f>
        <v>4.811065573770492E-2</v>
      </c>
      <c r="G295" s="27"/>
      <c r="H295" s="27"/>
      <c r="I295" s="27"/>
      <c r="J295" s="27"/>
      <c r="K295" s="27"/>
      <c r="L295" s="27"/>
      <c r="M295" s="27"/>
      <c r="N295" s="354"/>
      <c r="O295" s="11"/>
      <c r="P295" s="11"/>
      <c r="Q295" s="11"/>
      <c r="R295" s="11"/>
      <c r="S295" s="11"/>
      <c r="T295" s="11"/>
      <c r="U295" s="11"/>
    </row>
    <row r="296" spans="1:21" ht="21" customHeight="1" x14ac:dyDescent="0.25">
      <c r="A296" s="17"/>
      <c r="B296" s="7"/>
      <c r="C296" s="45" t="s">
        <v>43</v>
      </c>
      <c r="D296" s="14" t="s">
        <v>26</v>
      </c>
      <c r="E296" s="42">
        <v>9.7000000000000003E-3</v>
      </c>
      <c r="F296" s="27">
        <f>F292*E296</f>
        <v>1.7094262295081968E-2</v>
      </c>
      <c r="G296" s="27"/>
      <c r="H296" s="27"/>
      <c r="I296" s="27"/>
      <c r="J296" s="27"/>
      <c r="K296" s="27"/>
      <c r="L296" s="27"/>
      <c r="M296" s="27"/>
      <c r="N296" s="354"/>
      <c r="O296" s="11"/>
      <c r="P296" s="11"/>
      <c r="Q296" s="11"/>
      <c r="R296" s="11"/>
      <c r="S296" s="11"/>
      <c r="T296" s="11"/>
      <c r="U296" s="11"/>
    </row>
    <row r="297" spans="1:21" ht="18" customHeight="1" x14ac:dyDescent="0.35">
      <c r="A297" s="17"/>
      <c r="B297" s="210"/>
      <c r="C297" s="209" t="s">
        <v>35</v>
      </c>
      <c r="D297" s="211"/>
      <c r="E297" s="21"/>
      <c r="F297" s="27"/>
      <c r="G297" s="27"/>
      <c r="H297" s="27"/>
      <c r="I297" s="27"/>
      <c r="J297" s="27"/>
      <c r="K297" s="27"/>
      <c r="L297" s="27"/>
      <c r="M297" s="27"/>
      <c r="N297" s="354"/>
      <c r="O297" s="321"/>
      <c r="P297" s="11"/>
      <c r="Q297" s="11"/>
      <c r="R297" s="11"/>
      <c r="S297" s="11"/>
      <c r="T297" s="11"/>
      <c r="U297" s="11"/>
    </row>
    <row r="298" spans="1:21" ht="54" customHeight="1" x14ac:dyDescent="0.25">
      <c r="A298" s="218"/>
      <c r="B298" s="219"/>
      <c r="C298" s="220" t="s">
        <v>63</v>
      </c>
      <c r="D298" s="48" t="s">
        <v>59</v>
      </c>
      <c r="E298" s="198">
        <v>1.22</v>
      </c>
      <c r="F298" s="27">
        <f>F292*E298</f>
        <v>2.15</v>
      </c>
      <c r="G298" s="27"/>
      <c r="H298" s="72"/>
      <c r="I298" s="27"/>
      <c r="J298" s="27"/>
      <c r="K298" s="27"/>
      <c r="L298" s="27"/>
      <c r="M298" s="27"/>
      <c r="N298" s="354"/>
      <c r="O298" s="11"/>
      <c r="P298" s="11"/>
      <c r="Q298" s="11"/>
      <c r="R298" s="11"/>
      <c r="S298" s="11"/>
      <c r="T298" s="11"/>
      <c r="U298" s="11"/>
    </row>
    <row r="299" spans="1:21" ht="18" customHeight="1" x14ac:dyDescent="0.35">
      <c r="A299" s="221"/>
      <c r="B299" s="222"/>
      <c r="C299" s="223" t="s">
        <v>44</v>
      </c>
      <c r="D299" s="224" t="s">
        <v>59</v>
      </c>
      <c r="E299" s="198">
        <v>7.0000000000000007E-2</v>
      </c>
      <c r="F299" s="27">
        <f>F292*E299</f>
        <v>0.12336065573770494</v>
      </c>
      <c r="G299" s="27"/>
      <c r="H299" s="72"/>
      <c r="I299" s="27"/>
      <c r="J299" s="27"/>
      <c r="K299" s="27"/>
      <c r="L299" s="27"/>
      <c r="M299" s="27"/>
      <c r="N299" s="354"/>
      <c r="O299" s="11"/>
      <c r="P299" s="11"/>
      <c r="Q299" s="11"/>
      <c r="R299" s="11"/>
      <c r="S299" s="11"/>
      <c r="T299" s="11"/>
      <c r="U299" s="11"/>
    </row>
    <row r="300" spans="1:21" ht="18" customHeight="1" x14ac:dyDescent="0.25">
      <c r="A300" s="221"/>
      <c r="B300" s="225"/>
      <c r="C300" s="212" t="s">
        <v>20</v>
      </c>
      <c r="D300" s="226"/>
      <c r="E300" s="21"/>
      <c r="F300" s="27"/>
      <c r="G300" s="27"/>
      <c r="H300" s="316"/>
      <c r="I300" s="5"/>
      <c r="J300" s="316"/>
      <c r="K300" s="5"/>
      <c r="L300" s="316"/>
      <c r="M300" s="316"/>
      <c r="N300" s="354"/>
      <c r="O300" s="215"/>
      <c r="P300" s="11"/>
      <c r="Q300" s="11"/>
      <c r="R300" s="11"/>
      <c r="S300" s="11"/>
      <c r="T300" s="11"/>
      <c r="U300" s="11"/>
    </row>
    <row r="301" spans="1:21" ht="18" customHeight="1" x14ac:dyDescent="0.25">
      <c r="A301" s="184"/>
      <c r="B301" s="184"/>
      <c r="C301" s="185" t="s">
        <v>169</v>
      </c>
      <c r="D301" s="36" t="s">
        <v>22</v>
      </c>
      <c r="E301" s="50"/>
      <c r="F301" s="27"/>
      <c r="G301" s="5"/>
      <c r="H301" s="322"/>
      <c r="I301" s="5"/>
      <c r="J301" s="322"/>
      <c r="K301" s="5"/>
      <c r="L301" s="322"/>
      <c r="M301" s="322"/>
      <c r="N301" s="354"/>
      <c r="O301" s="325"/>
      <c r="P301" s="11"/>
      <c r="Q301" s="11"/>
      <c r="R301" s="11"/>
      <c r="S301" s="11"/>
      <c r="T301" s="11"/>
      <c r="U301" s="11"/>
    </row>
    <row r="302" spans="1:21" ht="18" customHeight="1" x14ac:dyDescent="0.25">
      <c r="A302" s="184"/>
      <c r="B302" s="349" t="s">
        <v>147</v>
      </c>
      <c r="C302" s="350"/>
      <c r="D302" s="36" t="s">
        <v>22</v>
      </c>
      <c r="E302" s="50"/>
      <c r="F302" s="27"/>
      <c r="G302" s="5"/>
      <c r="H302" s="322"/>
      <c r="I302" s="5"/>
      <c r="J302" s="322"/>
      <c r="K302" s="5"/>
      <c r="L302" s="322"/>
      <c r="M302" s="322"/>
      <c r="N302" s="354"/>
      <c r="O302" s="186"/>
      <c r="P302" s="11"/>
      <c r="Q302" s="11"/>
      <c r="R302" s="11"/>
      <c r="S302" s="11"/>
      <c r="T302" s="11"/>
      <c r="U302" s="11"/>
    </row>
    <row r="303" spans="1:21" ht="18" customHeight="1" x14ac:dyDescent="0.25">
      <c r="A303" s="227"/>
      <c r="B303" s="228"/>
      <c r="C303" s="229" t="s">
        <v>187</v>
      </c>
      <c r="D303" s="230" t="s">
        <v>56</v>
      </c>
      <c r="E303" s="198">
        <v>5</v>
      </c>
      <c r="F303" s="27"/>
      <c r="G303" s="27"/>
      <c r="H303" s="5"/>
      <c r="I303" s="5"/>
      <c r="J303" s="5"/>
      <c r="K303" s="5"/>
      <c r="L303" s="5"/>
      <c r="M303" s="5"/>
      <c r="N303" s="357"/>
      <c r="O303" s="231"/>
      <c r="P303" s="73"/>
      <c r="Q303" s="11"/>
      <c r="R303" s="11"/>
      <c r="S303" s="11"/>
      <c r="T303" s="11"/>
      <c r="U303" s="11"/>
    </row>
    <row r="304" spans="1:21" ht="18" customHeight="1" x14ac:dyDescent="0.25">
      <c r="A304" s="227"/>
      <c r="B304" s="228"/>
      <c r="C304" s="232" t="s">
        <v>20</v>
      </c>
      <c r="D304" s="36" t="s">
        <v>22</v>
      </c>
      <c r="E304" s="21"/>
      <c r="F304" s="27"/>
      <c r="G304" s="27"/>
      <c r="H304" s="5"/>
      <c r="I304" s="5"/>
      <c r="J304" s="5"/>
      <c r="K304" s="5"/>
      <c r="L304" s="5"/>
      <c r="M304" s="5"/>
      <c r="N304" s="357"/>
      <c r="O304" s="231"/>
      <c r="P304" s="73"/>
      <c r="Q304" s="11"/>
      <c r="R304" s="11"/>
      <c r="S304" s="11"/>
      <c r="T304" s="11"/>
      <c r="U304" s="11"/>
    </row>
    <row r="305" spans="1:256" ht="18" customHeight="1" x14ac:dyDescent="0.25">
      <c r="A305" s="227"/>
      <c r="B305" s="228"/>
      <c r="C305" s="229" t="s">
        <v>188</v>
      </c>
      <c r="D305" s="230" t="s">
        <v>56</v>
      </c>
      <c r="E305" s="198">
        <v>10</v>
      </c>
      <c r="F305" s="27"/>
      <c r="G305" s="27"/>
      <c r="H305" s="5"/>
      <c r="I305" s="5"/>
      <c r="J305" s="5"/>
      <c r="K305" s="5"/>
      <c r="L305" s="5"/>
      <c r="M305" s="5"/>
      <c r="N305" s="354"/>
      <c r="O305" s="11"/>
      <c r="P305" s="11"/>
      <c r="Q305" s="11"/>
      <c r="R305" s="11"/>
      <c r="S305" s="11"/>
      <c r="T305" s="11"/>
      <c r="U305" s="11"/>
    </row>
    <row r="306" spans="1:256" ht="18" customHeight="1" x14ac:dyDescent="0.25">
      <c r="A306" s="227"/>
      <c r="B306" s="228"/>
      <c r="C306" s="232" t="s">
        <v>20</v>
      </c>
      <c r="D306" s="36" t="s">
        <v>22</v>
      </c>
      <c r="E306" s="21"/>
      <c r="F306" s="27"/>
      <c r="G306" s="27"/>
      <c r="H306" s="5"/>
      <c r="I306" s="5"/>
      <c r="J306" s="5"/>
      <c r="K306" s="5"/>
      <c r="L306" s="5"/>
      <c r="M306" s="5"/>
      <c r="N306" s="354"/>
      <c r="O306" s="11"/>
      <c r="P306" s="11"/>
      <c r="Q306" s="11"/>
      <c r="R306" s="11"/>
      <c r="S306" s="11"/>
      <c r="T306" s="11"/>
      <c r="U306" s="11"/>
    </row>
    <row r="307" spans="1:256" ht="18" customHeight="1" x14ac:dyDescent="0.25">
      <c r="A307" s="227"/>
      <c r="B307" s="228"/>
      <c r="C307" s="229" t="s">
        <v>189</v>
      </c>
      <c r="D307" s="230" t="s">
        <v>56</v>
      </c>
      <c r="E307" s="198">
        <v>8</v>
      </c>
      <c r="F307" s="27"/>
      <c r="G307" s="27"/>
      <c r="H307" s="5"/>
      <c r="I307" s="5"/>
      <c r="J307" s="5"/>
      <c r="K307" s="5"/>
      <c r="L307" s="5"/>
      <c r="M307" s="5"/>
      <c r="N307" s="354"/>
      <c r="O307" s="320"/>
      <c r="P307" s="11"/>
      <c r="Q307" s="11"/>
      <c r="R307" s="11"/>
      <c r="S307" s="11"/>
      <c r="T307" s="11"/>
      <c r="U307" s="11"/>
    </row>
    <row r="308" spans="1:256" ht="18" customHeight="1" x14ac:dyDescent="0.25">
      <c r="A308" s="227"/>
      <c r="B308" s="228"/>
      <c r="C308" s="232" t="s">
        <v>20</v>
      </c>
      <c r="D308" s="36" t="s">
        <v>22</v>
      </c>
      <c r="E308" s="21"/>
      <c r="F308" s="27"/>
      <c r="G308" s="27"/>
      <c r="H308" s="5"/>
      <c r="I308" s="5"/>
      <c r="J308" s="5"/>
      <c r="K308" s="5"/>
      <c r="L308" s="5"/>
      <c r="M308" s="5"/>
      <c r="N308" s="354"/>
      <c r="O308" s="11"/>
      <c r="P308" s="11"/>
      <c r="Q308" s="11"/>
      <c r="R308" s="11"/>
      <c r="S308" s="11"/>
      <c r="T308" s="11"/>
      <c r="U308" s="11"/>
    </row>
    <row r="309" spans="1:256" ht="18" customHeight="1" x14ac:dyDescent="0.25">
      <c r="A309" s="227"/>
      <c r="B309" s="228"/>
      <c r="C309" s="229" t="s">
        <v>190</v>
      </c>
      <c r="D309" s="230" t="s">
        <v>56</v>
      </c>
      <c r="E309" s="198">
        <v>3</v>
      </c>
      <c r="F309" s="27"/>
      <c r="G309" s="27"/>
      <c r="H309" s="5"/>
      <c r="I309" s="5"/>
      <c r="J309" s="5"/>
      <c r="K309" s="5"/>
      <c r="L309" s="5"/>
      <c r="M309" s="5"/>
      <c r="N309" s="354"/>
      <c r="O309" s="11"/>
      <c r="P309" s="11"/>
      <c r="Q309" s="11"/>
      <c r="R309" s="11"/>
      <c r="S309" s="11"/>
      <c r="T309" s="11"/>
      <c r="U309" s="11"/>
    </row>
    <row r="310" spans="1:256" ht="18" customHeight="1" x14ac:dyDescent="0.25">
      <c r="A310" s="233"/>
      <c r="B310" s="234"/>
      <c r="C310" s="235" t="s">
        <v>20</v>
      </c>
      <c r="D310" s="189" t="s">
        <v>22</v>
      </c>
      <c r="E310" s="191"/>
      <c r="F310" s="192"/>
      <c r="G310" s="192"/>
      <c r="H310" s="236"/>
      <c r="I310" s="236"/>
      <c r="J310" s="236"/>
      <c r="K310" s="236"/>
      <c r="L310" s="236"/>
      <c r="M310" s="236"/>
      <c r="N310" s="354"/>
      <c r="O310" s="11"/>
      <c r="P310" s="11"/>
      <c r="Q310" s="11"/>
      <c r="R310" s="11"/>
      <c r="S310" s="11"/>
      <c r="T310" s="11"/>
      <c r="U310" s="11"/>
    </row>
    <row r="311" spans="1:256" ht="18" customHeight="1" x14ac:dyDescent="0.25">
      <c r="A311" s="237"/>
      <c r="B311" s="238"/>
      <c r="C311" s="239" t="s">
        <v>57</v>
      </c>
      <c r="D311" s="240" t="s">
        <v>56</v>
      </c>
      <c r="E311" s="241">
        <v>18</v>
      </c>
      <c r="F311" s="242"/>
      <c r="G311" s="242"/>
      <c r="H311" s="243"/>
      <c r="I311" s="243"/>
      <c r="J311" s="243"/>
      <c r="K311" s="243"/>
      <c r="L311" s="243"/>
      <c r="M311" s="243"/>
      <c r="N311" s="355"/>
      <c r="O311" s="11"/>
      <c r="P311" s="11"/>
      <c r="Q311" s="11"/>
      <c r="R311" s="11"/>
      <c r="S311" s="11"/>
      <c r="T311" s="11"/>
      <c r="U311" s="11"/>
    </row>
    <row r="312" spans="1:256" ht="18" customHeight="1" x14ac:dyDescent="0.25">
      <c r="A312" s="237"/>
      <c r="B312" s="238"/>
      <c r="C312" s="244" t="s">
        <v>58</v>
      </c>
      <c r="D312" s="245" t="s">
        <v>22</v>
      </c>
      <c r="E312" s="246"/>
      <c r="F312" s="242"/>
      <c r="G312" s="242"/>
      <c r="H312" s="243"/>
      <c r="I312" s="243"/>
      <c r="J312" s="243"/>
      <c r="K312" s="243"/>
      <c r="L312" s="243"/>
      <c r="M312" s="243"/>
      <c r="N312" s="355"/>
      <c r="O312" s="11"/>
      <c r="P312" s="11"/>
      <c r="Q312" s="11"/>
      <c r="R312" s="11"/>
      <c r="S312" s="11"/>
      <c r="T312" s="11"/>
      <c r="U312" s="11"/>
    </row>
    <row r="313" spans="1:256" ht="16.5" customHeight="1" x14ac:dyDescent="0.25">
      <c r="A313" s="247"/>
      <c r="B313" s="248"/>
      <c r="C313" s="249"/>
      <c r="D313" s="250"/>
      <c r="E313" s="250"/>
      <c r="F313" s="250"/>
      <c r="G313" s="250"/>
      <c r="H313" s="250"/>
      <c r="I313" s="250"/>
      <c r="J313" s="250"/>
      <c r="K313" s="250"/>
      <c r="L313" s="251"/>
      <c r="M313" s="251"/>
      <c r="N313" s="355"/>
      <c r="O313" s="11"/>
      <c r="P313" s="11"/>
      <c r="Q313" s="11"/>
      <c r="R313" s="11"/>
      <c r="S313" s="11"/>
      <c r="T313" s="11"/>
      <c r="U313" s="11"/>
    </row>
    <row r="314" spans="1:256" s="231" customFormat="1" ht="18" customHeight="1" x14ac:dyDescent="0.25">
      <c r="A314" s="347"/>
      <c r="B314" s="348"/>
      <c r="C314" s="348"/>
      <c r="D314" s="348"/>
      <c r="E314" s="348"/>
      <c r="F314" s="348"/>
      <c r="G314" s="348"/>
      <c r="H314" s="348"/>
      <c r="I314" s="348"/>
      <c r="J314" s="348"/>
      <c r="K314" s="348"/>
      <c r="L314" s="348"/>
      <c r="M314" s="348"/>
      <c r="N314" s="355"/>
      <c r="O314" s="11"/>
      <c r="P314" s="11"/>
      <c r="Q314" s="11"/>
      <c r="R314" s="11"/>
      <c r="S314" s="11"/>
      <c r="T314" s="11"/>
      <c r="U314" s="11"/>
      <c r="V314" s="252"/>
      <c r="W314" s="252"/>
      <c r="X314" s="252"/>
      <c r="Y314" s="252"/>
      <c r="Z314" s="252"/>
      <c r="AA314" s="252"/>
      <c r="AB314" s="252"/>
      <c r="AC314" s="252"/>
      <c r="AD314" s="252"/>
      <c r="AE314" s="252"/>
      <c r="AF314" s="252"/>
      <c r="AG314" s="252"/>
      <c r="AH314" s="252"/>
      <c r="AI314" s="252"/>
      <c r="AJ314" s="252"/>
      <c r="AK314" s="252"/>
      <c r="AL314" s="252"/>
      <c r="AM314" s="252"/>
      <c r="AN314" s="252"/>
      <c r="AO314" s="252"/>
      <c r="AP314" s="252"/>
      <c r="AQ314" s="252"/>
      <c r="AR314" s="252"/>
      <c r="AS314" s="252"/>
      <c r="AT314" s="252"/>
      <c r="AU314" s="252"/>
      <c r="AV314" s="252"/>
      <c r="AW314" s="252"/>
      <c r="AX314" s="252"/>
      <c r="AY314" s="252"/>
      <c r="AZ314" s="252"/>
      <c r="BA314" s="252"/>
      <c r="BB314" s="252"/>
      <c r="BC314" s="252"/>
      <c r="BD314" s="252"/>
      <c r="BE314" s="252"/>
      <c r="BF314" s="252"/>
      <c r="BG314" s="252"/>
      <c r="BH314" s="252"/>
      <c r="BI314" s="252"/>
      <c r="BJ314" s="252"/>
      <c r="BK314" s="252"/>
      <c r="BL314" s="252"/>
      <c r="BM314" s="252"/>
      <c r="BN314" s="252"/>
      <c r="BO314" s="252"/>
      <c r="BP314" s="252"/>
      <c r="BQ314" s="252"/>
      <c r="BR314" s="252"/>
      <c r="BS314" s="252"/>
      <c r="BT314" s="252"/>
      <c r="BU314" s="252"/>
      <c r="BV314" s="252"/>
      <c r="BW314" s="252"/>
      <c r="BX314" s="252"/>
      <c r="BY314" s="252"/>
      <c r="BZ314" s="252"/>
      <c r="CA314" s="252"/>
      <c r="CB314" s="252"/>
      <c r="CC314" s="252"/>
      <c r="CD314" s="252"/>
      <c r="CE314" s="252"/>
      <c r="CF314" s="252"/>
      <c r="CG314" s="252"/>
      <c r="CH314" s="252"/>
      <c r="CI314" s="252"/>
      <c r="CJ314" s="252"/>
      <c r="CK314" s="252"/>
      <c r="CL314" s="252"/>
      <c r="CM314" s="252"/>
      <c r="CN314" s="252"/>
      <c r="CO314" s="252"/>
      <c r="CP314" s="252"/>
      <c r="CQ314" s="252"/>
      <c r="CR314" s="252"/>
      <c r="CS314" s="252"/>
      <c r="CT314" s="252"/>
      <c r="CU314" s="252"/>
      <c r="CV314" s="252"/>
      <c r="CW314" s="252"/>
      <c r="CX314" s="252"/>
      <c r="CY314" s="252"/>
      <c r="CZ314" s="252"/>
      <c r="DA314" s="252"/>
      <c r="DB314" s="252"/>
      <c r="DC314" s="252"/>
      <c r="DD314" s="252"/>
      <c r="DE314" s="252"/>
      <c r="DF314" s="252"/>
      <c r="DG314" s="252"/>
      <c r="DH314" s="252"/>
      <c r="DI314" s="252"/>
      <c r="DJ314" s="252"/>
      <c r="DK314" s="252"/>
      <c r="DL314" s="252"/>
      <c r="DM314" s="252"/>
      <c r="DN314" s="252"/>
      <c r="DO314" s="252"/>
      <c r="DP314" s="252"/>
      <c r="DQ314" s="252"/>
      <c r="DR314" s="252"/>
      <c r="DS314" s="252"/>
      <c r="DT314" s="252"/>
      <c r="DU314" s="252"/>
      <c r="DV314" s="252"/>
      <c r="DW314" s="252"/>
      <c r="DX314" s="252"/>
      <c r="DY314" s="252"/>
      <c r="DZ314" s="252"/>
      <c r="EA314" s="252"/>
      <c r="EB314" s="252"/>
      <c r="EC314" s="252"/>
      <c r="ED314" s="252"/>
      <c r="EE314" s="252"/>
      <c r="EF314" s="252"/>
      <c r="EG314" s="252"/>
      <c r="EH314" s="252"/>
      <c r="EI314" s="252"/>
      <c r="EJ314" s="252"/>
      <c r="EK314" s="252"/>
      <c r="EL314" s="252"/>
      <c r="EM314" s="252"/>
      <c r="EN314" s="252"/>
      <c r="EO314" s="252"/>
      <c r="EP314" s="252"/>
      <c r="EQ314" s="252"/>
      <c r="ER314" s="252"/>
      <c r="ES314" s="252"/>
      <c r="ET314" s="252"/>
      <c r="EU314" s="252"/>
      <c r="EV314" s="252"/>
      <c r="EW314" s="252"/>
      <c r="EX314" s="252"/>
      <c r="EY314" s="252"/>
      <c r="EZ314" s="252"/>
      <c r="FA314" s="252"/>
      <c r="FB314" s="252"/>
      <c r="FC314" s="252"/>
      <c r="FD314" s="252"/>
      <c r="FE314" s="252"/>
      <c r="FF314" s="252"/>
      <c r="FG314" s="252"/>
      <c r="FH314" s="252"/>
      <c r="FI314" s="252"/>
      <c r="FJ314" s="252"/>
      <c r="FK314" s="252"/>
      <c r="FL314" s="252"/>
      <c r="FM314" s="252"/>
      <c r="FN314" s="252"/>
      <c r="FO314" s="252"/>
      <c r="FP314" s="252"/>
      <c r="FQ314" s="252"/>
      <c r="FR314" s="252"/>
      <c r="FS314" s="252"/>
      <c r="FT314" s="252"/>
      <c r="FU314" s="252"/>
      <c r="FV314" s="252"/>
      <c r="FW314" s="252"/>
      <c r="FX314" s="252"/>
      <c r="FY314" s="252"/>
      <c r="FZ314" s="252"/>
      <c r="GA314" s="252"/>
      <c r="GB314" s="252"/>
      <c r="GC314" s="252"/>
      <c r="GD314" s="252"/>
      <c r="GE314" s="252"/>
      <c r="GF314" s="252"/>
      <c r="GG314" s="252"/>
      <c r="GH314" s="252"/>
      <c r="GI314" s="252"/>
      <c r="GJ314" s="252"/>
      <c r="GK314" s="252"/>
      <c r="GL314" s="252"/>
      <c r="GM314" s="252"/>
      <c r="GN314" s="252"/>
      <c r="GO314" s="252"/>
      <c r="GP314" s="252"/>
      <c r="GQ314" s="252"/>
      <c r="GR314" s="252"/>
      <c r="GS314" s="252"/>
      <c r="GT314" s="252"/>
      <c r="GU314" s="252"/>
      <c r="GV314" s="252"/>
      <c r="GW314" s="252"/>
      <c r="GX314" s="252"/>
      <c r="GY314" s="252"/>
      <c r="GZ314" s="252"/>
      <c r="HA314" s="252"/>
      <c r="HB314" s="252"/>
      <c r="HC314" s="252"/>
      <c r="HD314" s="252"/>
      <c r="HE314" s="252"/>
      <c r="HF314" s="252"/>
      <c r="HG314" s="252"/>
      <c r="HH314" s="252"/>
      <c r="HI314" s="252"/>
      <c r="HJ314" s="252"/>
      <c r="HK314" s="252"/>
      <c r="HL314" s="252"/>
      <c r="HM314" s="252"/>
      <c r="HN314" s="252"/>
      <c r="HO314" s="252"/>
      <c r="HP314" s="252"/>
      <c r="HQ314" s="252"/>
      <c r="HR314" s="252"/>
      <c r="HS314" s="252"/>
      <c r="HT314" s="252"/>
      <c r="HU314" s="252"/>
      <c r="HV314" s="252"/>
      <c r="HW314" s="252"/>
      <c r="HX314" s="252"/>
      <c r="HY314" s="252"/>
      <c r="HZ314" s="252"/>
      <c r="IA314" s="252"/>
      <c r="IB314" s="252"/>
      <c r="IC314" s="252"/>
      <c r="ID314" s="252"/>
      <c r="IE314" s="252"/>
      <c r="IF314" s="252"/>
      <c r="IG314" s="252"/>
      <c r="IH314" s="252"/>
      <c r="II314" s="252"/>
      <c r="IJ314" s="252"/>
      <c r="IK314" s="252"/>
      <c r="IL314" s="252"/>
      <c r="IM314" s="252"/>
      <c r="IN314" s="252"/>
      <c r="IO314" s="252"/>
      <c r="IP314" s="252"/>
      <c r="IQ314" s="252"/>
      <c r="IR314" s="252"/>
      <c r="IS314" s="252"/>
      <c r="IT314" s="252"/>
      <c r="IU314" s="252"/>
      <c r="IV314" s="252"/>
    </row>
    <row r="315" spans="1:256" ht="16.5" customHeight="1" x14ac:dyDescent="0.25">
      <c r="A315" s="276"/>
      <c r="B315" s="248"/>
      <c r="C315" s="13"/>
      <c r="D315" s="257"/>
      <c r="E315" s="257"/>
      <c r="F315" s="257"/>
      <c r="G315" s="257"/>
      <c r="H315" s="257"/>
      <c r="I315" s="257"/>
      <c r="J315" s="257"/>
      <c r="K315" s="257"/>
      <c r="L315" s="257"/>
      <c r="M315" s="231"/>
      <c r="N315" s="355"/>
      <c r="O315" s="11"/>
      <c r="P315" s="11"/>
      <c r="Q315" s="11"/>
      <c r="R315" s="11"/>
      <c r="S315" s="11"/>
      <c r="T315" s="11"/>
      <c r="U315" s="11"/>
    </row>
    <row r="316" spans="1:256" ht="16.5" customHeight="1" x14ac:dyDescent="0.25">
      <c r="A316" s="253"/>
      <c r="B316" s="248"/>
      <c r="C316" s="271"/>
      <c r="D316" s="272"/>
      <c r="E316" s="272"/>
      <c r="F316" s="273"/>
      <c r="G316" s="257"/>
      <c r="H316" s="274"/>
      <c r="I316" s="272"/>
      <c r="J316" s="272"/>
      <c r="K316" s="272"/>
      <c r="L316" s="272"/>
      <c r="M316" s="275"/>
      <c r="N316" s="352"/>
      <c r="O316" s="11"/>
      <c r="P316" s="11"/>
      <c r="Q316" s="11"/>
      <c r="R316" s="11"/>
      <c r="S316" s="11"/>
      <c r="T316" s="11"/>
      <c r="U316" s="11"/>
    </row>
    <row r="317" spans="1:256" ht="16.5" customHeight="1" x14ac:dyDescent="0.25">
      <c r="A317" s="253"/>
      <c r="B317" s="248"/>
      <c r="C317" s="334"/>
      <c r="D317" s="334"/>
      <c r="E317" s="334"/>
      <c r="F317" s="334"/>
      <c r="G317" s="334"/>
      <c r="H317" s="334"/>
      <c r="I317" s="334"/>
      <c r="J317" s="334"/>
      <c r="K317" s="334"/>
      <c r="L317" s="335"/>
      <c r="M317" s="11"/>
      <c r="N317" s="352"/>
      <c r="O317" s="11"/>
      <c r="P317" s="11"/>
      <c r="Q317" s="11"/>
      <c r="R317" s="11"/>
      <c r="S317" s="11"/>
      <c r="T317" s="11"/>
      <c r="U317" s="11"/>
    </row>
    <row r="318" spans="1:256" ht="16.5" customHeight="1" x14ac:dyDescent="0.25">
      <c r="A318" s="253"/>
      <c r="B318" s="248"/>
      <c r="C318" s="312"/>
      <c r="D318" s="313"/>
      <c r="E318" s="313"/>
      <c r="F318" s="314"/>
      <c r="G318" s="250"/>
      <c r="H318" s="315"/>
      <c r="I318" s="313"/>
      <c r="J318" s="313"/>
      <c r="K318" s="313"/>
      <c r="L318" s="313"/>
      <c r="M318" s="11"/>
      <c r="N318" s="352"/>
      <c r="O318" s="11"/>
      <c r="P318" s="11"/>
      <c r="Q318" s="11"/>
      <c r="R318" s="11"/>
      <c r="S318" s="11"/>
      <c r="T318" s="11"/>
      <c r="U318" s="11"/>
    </row>
    <row r="319" spans="1:256" ht="16.5" customHeight="1" x14ac:dyDescent="0.25">
      <c r="A319" s="253"/>
      <c r="B319" s="248"/>
      <c r="C319" s="312"/>
      <c r="D319" s="313"/>
      <c r="E319" s="313"/>
      <c r="F319" s="314"/>
      <c r="G319" s="250"/>
      <c r="H319" s="315"/>
      <c r="I319" s="313"/>
      <c r="J319" s="313"/>
      <c r="K319" s="313"/>
      <c r="L319" s="313"/>
      <c r="M319" s="11"/>
      <c r="N319" s="352"/>
      <c r="O319" s="11"/>
      <c r="P319" s="11"/>
      <c r="Q319" s="11"/>
      <c r="R319" s="11"/>
      <c r="S319" s="11"/>
      <c r="T319" s="11"/>
      <c r="U319" s="11"/>
    </row>
    <row r="320" spans="1:256" ht="16.5" customHeight="1" x14ac:dyDescent="0.25">
      <c r="A320" s="253"/>
      <c r="B320" s="248"/>
      <c r="C320" s="312"/>
      <c r="D320" s="313"/>
      <c r="E320" s="313"/>
      <c r="F320" s="314"/>
      <c r="G320" s="250"/>
      <c r="H320" s="315"/>
      <c r="I320" s="313"/>
      <c r="J320" s="313"/>
      <c r="K320" s="313"/>
      <c r="L320" s="313"/>
      <c r="M320" s="11"/>
      <c r="N320" s="352"/>
      <c r="O320" s="11"/>
      <c r="P320" s="11"/>
      <c r="Q320" s="11"/>
      <c r="R320" s="11"/>
      <c r="S320" s="11"/>
      <c r="T320" s="11"/>
      <c r="U320" s="11"/>
    </row>
    <row r="321" spans="1:21" ht="16.5" customHeight="1" x14ac:dyDescent="0.25">
      <c r="A321" s="253"/>
      <c r="B321" s="248"/>
      <c r="C321" s="334"/>
      <c r="D321" s="334"/>
      <c r="E321" s="334"/>
      <c r="F321" s="334"/>
      <c r="G321" s="334"/>
      <c r="H321" s="334"/>
      <c r="I321" s="334"/>
      <c r="J321" s="334"/>
      <c r="K321" s="334"/>
      <c r="L321" s="335"/>
      <c r="M321" s="11"/>
      <c r="N321" s="352"/>
      <c r="O321" s="11"/>
      <c r="P321" s="11"/>
      <c r="Q321" s="11"/>
      <c r="R321" s="11"/>
      <c r="S321" s="11"/>
      <c r="T321" s="11"/>
      <c r="U321" s="11"/>
    </row>
    <row r="322" spans="1:21" ht="16.5" customHeight="1" x14ac:dyDescent="0.25">
      <c r="A322" s="253"/>
      <c r="B322" s="248"/>
      <c r="C322" s="312"/>
      <c r="D322" s="313"/>
      <c r="E322" s="313"/>
      <c r="F322" s="314"/>
      <c r="G322" s="250"/>
      <c r="H322" s="315"/>
      <c r="I322" s="313"/>
      <c r="J322" s="313"/>
      <c r="K322" s="313"/>
      <c r="L322" s="313"/>
      <c r="M322" s="11"/>
      <c r="N322" s="352"/>
      <c r="O322" s="11"/>
      <c r="P322" s="11"/>
      <c r="Q322" s="11"/>
      <c r="R322" s="11"/>
      <c r="S322" s="11"/>
      <c r="T322" s="11"/>
      <c r="U322" s="11"/>
    </row>
    <row r="323" spans="1:21" ht="16.5" customHeight="1" x14ac:dyDescent="0.25">
      <c r="A323" s="253"/>
      <c r="B323" s="248"/>
      <c r="C323" s="254"/>
      <c r="D323" s="255"/>
      <c r="E323" s="255"/>
      <c r="F323" s="256"/>
      <c r="G323" s="257"/>
      <c r="H323" s="258"/>
      <c r="I323" s="255"/>
      <c r="J323" s="255"/>
      <c r="K323" s="255"/>
      <c r="L323" s="255"/>
      <c r="M323" s="11"/>
      <c r="N323" s="352"/>
      <c r="O323" s="11"/>
      <c r="P323" s="11"/>
      <c r="Q323" s="11"/>
      <c r="R323" s="11"/>
      <c r="S323" s="11"/>
      <c r="T323" s="11"/>
      <c r="U323" s="11"/>
    </row>
    <row r="324" spans="1:21" ht="16.5" customHeight="1" x14ac:dyDescent="0.25">
      <c r="A324" s="253"/>
      <c r="B324" s="248"/>
      <c r="C324" s="254"/>
      <c r="D324" s="255"/>
      <c r="E324" s="255"/>
      <c r="F324" s="256"/>
      <c r="G324" s="257"/>
      <c r="H324" s="258"/>
      <c r="I324" s="255"/>
      <c r="J324" s="255"/>
      <c r="K324" s="255"/>
      <c r="L324" s="255"/>
      <c r="M324" s="11"/>
      <c r="N324" s="352"/>
      <c r="O324" s="11"/>
      <c r="P324" s="11"/>
      <c r="Q324" s="11"/>
      <c r="R324" s="11"/>
      <c r="S324" s="11"/>
      <c r="T324" s="11"/>
      <c r="U324" s="11"/>
    </row>
    <row r="325" spans="1:21" ht="16.5" customHeight="1" x14ac:dyDescent="0.25">
      <c r="A325" s="253"/>
      <c r="B325" s="248"/>
      <c r="C325" s="254"/>
      <c r="D325" s="255"/>
      <c r="E325" s="255"/>
      <c r="F325" s="256"/>
      <c r="G325" s="257"/>
      <c r="H325" s="258"/>
      <c r="I325" s="255"/>
      <c r="J325" s="255"/>
      <c r="K325" s="255"/>
      <c r="L325" s="255"/>
      <c r="M325" s="11"/>
      <c r="N325" s="352"/>
      <c r="O325" s="11"/>
      <c r="P325" s="11"/>
      <c r="Q325" s="11"/>
      <c r="R325" s="11"/>
      <c r="S325" s="11"/>
      <c r="T325" s="11"/>
      <c r="U325" s="11"/>
    </row>
    <row r="326" spans="1:21" ht="16.5" customHeight="1" x14ac:dyDescent="0.25">
      <c r="A326" s="253"/>
      <c r="B326" s="248"/>
      <c r="C326" s="254"/>
      <c r="D326" s="255"/>
      <c r="E326" s="255"/>
      <c r="F326" s="256"/>
      <c r="G326" s="257"/>
      <c r="H326" s="258"/>
      <c r="I326" s="255"/>
      <c r="J326" s="255"/>
      <c r="K326" s="255"/>
      <c r="L326" s="255"/>
      <c r="M326" s="11"/>
      <c r="N326" s="352"/>
      <c r="O326" s="11"/>
      <c r="P326" s="11"/>
      <c r="Q326" s="11"/>
      <c r="R326" s="11"/>
      <c r="S326" s="11"/>
      <c r="T326" s="11"/>
      <c r="U326" s="11"/>
    </row>
    <row r="327" spans="1:21" ht="16.5" customHeight="1" x14ac:dyDescent="0.25">
      <c r="A327" s="253"/>
      <c r="B327" s="248"/>
      <c r="C327" s="254"/>
      <c r="D327" s="255"/>
      <c r="E327" s="255"/>
      <c r="F327" s="256"/>
      <c r="G327" s="257"/>
      <c r="H327" s="258"/>
      <c r="I327" s="255"/>
      <c r="J327" s="255"/>
      <c r="K327" s="255"/>
      <c r="L327" s="255"/>
      <c r="M327" s="11"/>
      <c r="N327" s="352"/>
      <c r="O327" s="11"/>
      <c r="P327" s="11"/>
      <c r="Q327" s="11"/>
      <c r="R327" s="11"/>
      <c r="S327" s="11"/>
      <c r="T327" s="11"/>
      <c r="U327" s="11"/>
    </row>
    <row r="328" spans="1:21" ht="16.5" customHeight="1" x14ac:dyDescent="0.25">
      <c r="A328" s="253"/>
      <c r="B328" s="248"/>
      <c r="C328" s="254"/>
      <c r="D328" s="255"/>
      <c r="E328" s="255"/>
      <c r="F328" s="256"/>
      <c r="G328" s="257"/>
      <c r="H328" s="258"/>
      <c r="I328" s="255"/>
      <c r="J328" s="255"/>
      <c r="K328" s="255"/>
      <c r="L328" s="255"/>
      <c r="M328" s="11"/>
      <c r="N328" s="352"/>
      <c r="O328" s="11"/>
      <c r="P328" s="11"/>
      <c r="Q328" s="11"/>
      <c r="R328" s="11"/>
      <c r="S328" s="11"/>
      <c r="T328" s="11"/>
      <c r="U328" s="11"/>
    </row>
    <row r="329" spans="1:21" ht="16.5" customHeight="1" x14ac:dyDescent="0.25">
      <c r="A329" s="253"/>
      <c r="B329" s="248"/>
      <c r="C329" s="254"/>
      <c r="D329" s="255"/>
      <c r="E329" s="255"/>
      <c r="F329" s="256"/>
      <c r="G329" s="257"/>
      <c r="H329" s="258"/>
      <c r="I329" s="255"/>
      <c r="J329" s="255"/>
      <c r="K329" s="255"/>
      <c r="L329" s="255"/>
      <c r="M329" s="11"/>
      <c r="N329" s="352"/>
      <c r="O329" s="11"/>
      <c r="P329" s="11"/>
      <c r="Q329" s="11"/>
      <c r="R329" s="11"/>
      <c r="S329" s="11"/>
      <c r="T329" s="11"/>
      <c r="U329" s="11"/>
    </row>
    <row r="330" spans="1:21" ht="16.5" customHeight="1" x14ac:dyDescent="0.25">
      <c r="A330" s="253"/>
      <c r="B330" s="248"/>
      <c r="C330" s="254"/>
      <c r="D330" s="255"/>
      <c r="E330" s="255"/>
      <c r="F330" s="256"/>
      <c r="G330" s="257"/>
      <c r="H330" s="258"/>
      <c r="I330" s="255"/>
      <c r="J330" s="255"/>
      <c r="K330" s="255"/>
      <c r="L330" s="255"/>
      <c r="M330" s="11"/>
      <c r="N330" s="352"/>
      <c r="O330" s="11"/>
      <c r="P330" s="11"/>
      <c r="Q330" s="11"/>
      <c r="R330" s="11"/>
      <c r="S330" s="11"/>
      <c r="T330" s="11"/>
      <c r="U330" s="11"/>
    </row>
    <row r="331" spans="1:21" ht="16.5" customHeight="1" x14ac:dyDescent="0.25">
      <c r="A331" s="253"/>
      <c r="B331" s="248"/>
      <c r="C331" s="254"/>
      <c r="D331" s="255"/>
      <c r="E331" s="255"/>
      <c r="F331" s="256"/>
      <c r="G331" s="257"/>
      <c r="H331" s="258"/>
      <c r="I331" s="255"/>
      <c r="J331" s="255"/>
      <c r="K331" s="255"/>
      <c r="L331" s="255"/>
      <c r="M331" s="11"/>
      <c r="N331" s="352"/>
      <c r="O331" s="11"/>
      <c r="P331" s="11"/>
      <c r="Q331" s="11"/>
      <c r="R331" s="11"/>
      <c r="S331" s="11"/>
      <c r="T331" s="11"/>
      <c r="U331" s="11"/>
    </row>
    <row r="332" spans="1:21" ht="16.5" customHeight="1" x14ac:dyDescent="0.25">
      <c r="A332" s="253"/>
      <c r="B332" s="248"/>
      <c r="C332" s="254"/>
      <c r="D332" s="255"/>
      <c r="E332" s="255"/>
      <c r="F332" s="256"/>
      <c r="G332" s="257"/>
      <c r="H332" s="258"/>
      <c r="I332" s="255"/>
      <c r="J332" s="255"/>
      <c r="K332" s="255"/>
      <c r="L332" s="255"/>
      <c r="M332" s="11"/>
      <c r="N332" s="352"/>
      <c r="O332" s="11"/>
      <c r="P332" s="11"/>
      <c r="Q332" s="11"/>
      <c r="R332" s="11"/>
      <c r="S332" s="11"/>
      <c r="T332" s="11"/>
      <c r="U332" s="11"/>
    </row>
    <row r="333" spans="1:21" ht="16.5" customHeight="1" x14ac:dyDescent="0.25">
      <c r="A333" s="253"/>
      <c r="B333" s="248"/>
      <c r="C333" s="254"/>
      <c r="D333" s="255"/>
      <c r="E333" s="255"/>
      <c r="F333" s="256"/>
      <c r="G333" s="257"/>
      <c r="H333" s="258"/>
      <c r="I333" s="255"/>
      <c r="J333" s="255"/>
      <c r="K333" s="255"/>
      <c r="L333" s="255"/>
      <c r="M333" s="11"/>
      <c r="N333" s="352"/>
      <c r="O333" s="11"/>
      <c r="P333" s="11"/>
      <c r="Q333" s="11"/>
      <c r="R333" s="11"/>
      <c r="S333" s="11"/>
      <c r="T333" s="11"/>
      <c r="U333" s="11"/>
    </row>
    <row r="334" spans="1:21" ht="16.5" customHeight="1" x14ac:dyDescent="0.25">
      <c r="A334" s="253"/>
      <c r="B334" s="248"/>
      <c r="C334" s="254"/>
      <c r="D334" s="255"/>
      <c r="E334" s="255"/>
      <c r="F334" s="256"/>
      <c r="G334" s="257"/>
      <c r="H334" s="258"/>
      <c r="I334" s="255"/>
      <c r="J334" s="255"/>
      <c r="K334" s="255"/>
      <c r="L334" s="255"/>
      <c r="M334" s="11"/>
      <c r="N334" s="352"/>
      <c r="O334" s="11"/>
      <c r="P334" s="11"/>
      <c r="Q334" s="11"/>
      <c r="R334" s="11"/>
      <c r="S334" s="11"/>
      <c r="T334" s="11"/>
      <c r="U334" s="11"/>
    </row>
    <row r="335" spans="1:21" ht="16.5" customHeight="1" x14ac:dyDescent="0.25">
      <c r="A335" s="253"/>
      <c r="B335" s="248"/>
      <c r="C335" s="254"/>
      <c r="D335" s="255"/>
      <c r="E335" s="255"/>
      <c r="F335" s="256"/>
      <c r="G335" s="257"/>
      <c r="H335" s="258"/>
      <c r="I335" s="255"/>
      <c r="J335" s="255"/>
      <c r="K335" s="255"/>
      <c r="L335" s="255"/>
      <c r="M335" s="11"/>
      <c r="N335" s="352"/>
      <c r="O335" s="11"/>
      <c r="P335" s="11"/>
      <c r="Q335" s="11"/>
      <c r="R335" s="11"/>
      <c r="S335" s="11"/>
      <c r="T335" s="11"/>
      <c r="U335" s="11"/>
    </row>
    <row r="336" spans="1:21" ht="16.5" customHeight="1" x14ac:dyDescent="0.25">
      <c r="A336" s="253"/>
      <c r="B336" s="248"/>
      <c r="C336" s="254"/>
      <c r="D336" s="255"/>
      <c r="E336" s="255"/>
      <c r="F336" s="256"/>
      <c r="G336" s="257"/>
      <c r="H336" s="258"/>
      <c r="I336" s="255"/>
      <c r="J336" s="255"/>
      <c r="K336" s="255"/>
      <c r="L336" s="255"/>
      <c r="M336" s="11"/>
      <c r="N336" s="352"/>
      <c r="O336" s="11"/>
      <c r="P336" s="11"/>
      <c r="Q336" s="11"/>
      <c r="R336" s="11"/>
      <c r="S336" s="11"/>
      <c r="T336" s="11"/>
      <c r="U336" s="11"/>
    </row>
    <row r="337" spans="1:21" ht="16.5" customHeight="1" x14ac:dyDescent="0.25">
      <c r="A337" s="253"/>
      <c r="B337" s="248"/>
      <c r="C337" s="254"/>
      <c r="D337" s="255"/>
      <c r="E337" s="255"/>
      <c r="F337" s="256"/>
      <c r="G337" s="257"/>
      <c r="H337" s="258"/>
      <c r="I337" s="255"/>
      <c r="J337" s="255"/>
      <c r="K337" s="255"/>
      <c r="L337" s="255"/>
      <c r="M337" s="11"/>
      <c r="N337" s="352"/>
      <c r="O337" s="11"/>
      <c r="P337" s="11"/>
      <c r="Q337" s="11"/>
      <c r="R337" s="11"/>
      <c r="S337" s="11"/>
      <c r="T337" s="11"/>
      <c r="U337" s="11"/>
    </row>
    <row r="338" spans="1:21" ht="16.5" customHeight="1" x14ac:dyDescent="0.25">
      <c r="A338" s="253"/>
      <c r="B338" s="248"/>
      <c r="C338" s="254"/>
      <c r="D338" s="255"/>
      <c r="E338" s="255"/>
      <c r="F338" s="256"/>
      <c r="G338" s="257"/>
      <c r="H338" s="258"/>
      <c r="I338" s="255"/>
      <c r="J338" s="255"/>
      <c r="K338" s="255"/>
      <c r="L338" s="255"/>
      <c r="M338" s="11"/>
      <c r="N338" s="352"/>
      <c r="O338" s="11"/>
      <c r="P338" s="11"/>
      <c r="Q338" s="11"/>
      <c r="R338" s="11"/>
      <c r="S338" s="11"/>
      <c r="T338" s="11"/>
      <c r="U338" s="11"/>
    </row>
    <row r="339" spans="1:21" ht="16.5" customHeight="1" x14ac:dyDescent="0.25">
      <c r="A339" s="253"/>
      <c r="B339" s="248"/>
      <c r="C339" s="254"/>
      <c r="D339" s="255"/>
      <c r="E339" s="255"/>
      <c r="F339" s="256"/>
      <c r="G339" s="257"/>
      <c r="H339" s="258"/>
      <c r="I339" s="255"/>
      <c r="J339" s="255"/>
      <c r="K339" s="255"/>
      <c r="L339" s="255"/>
      <c r="M339" s="11"/>
      <c r="N339" s="352"/>
      <c r="O339" s="11"/>
      <c r="P339" s="11"/>
      <c r="Q339" s="11"/>
      <c r="R339" s="11"/>
      <c r="S339" s="11"/>
      <c r="T339" s="11"/>
      <c r="U339" s="11"/>
    </row>
    <row r="340" spans="1:21" ht="16.5" customHeight="1" x14ac:dyDescent="0.25">
      <c r="A340" s="253"/>
      <c r="B340" s="248"/>
      <c r="C340" s="254"/>
      <c r="D340" s="255"/>
      <c r="E340" s="255"/>
      <c r="F340" s="256"/>
      <c r="G340" s="257"/>
      <c r="H340" s="258"/>
      <c r="I340" s="255"/>
      <c r="J340" s="255"/>
      <c r="K340" s="255"/>
      <c r="L340" s="255"/>
      <c r="M340" s="11"/>
      <c r="N340" s="352"/>
      <c r="O340" s="11"/>
      <c r="P340" s="11"/>
      <c r="Q340" s="11"/>
      <c r="R340" s="11"/>
      <c r="S340" s="11"/>
      <c r="T340" s="11"/>
      <c r="U340" s="11"/>
    </row>
    <row r="341" spans="1:21" ht="16.5" customHeight="1" x14ac:dyDescent="0.25">
      <c r="A341" s="253"/>
      <c r="B341" s="248"/>
      <c r="C341" s="254"/>
      <c r="D341" s="255"/>
      <c r="E341" s="255"/>
      <c r="F341" s="256"/>
      <c r="G341" s="257"/>
      <c r="H341" s="258"/>
      <c r="I341" s="255"/>
      <c r="J341" s="255"/>
      <c r="K341" s="255"/>
      <c r="L341" s="255"/>
      <c r="M341" s="11"/>
      <c r="N341" s="352"/>
      <c r="O341" s="11"/>
      <c r="P341" s="11"/>
      <c r="Q341" s="11"/>
      <c r="R341" s="11"/>
      <c r="S341" s="11"/>
      <c r="T341" s="11"/>
      <c r="U341" s="11"/>
    </row>
    <row r="342" spans="1:21" ht="16.5" customHeight="1" x14ac:dyDescent="0.25">
      <c r="A342" s="253"/>
      <c r="B342" s="248"/>
      <c r="C342" s="254"/>
      <c r="D342" s="255"/>
      <c r="E342" s="255"/>
      <c r="F342" s="256"/>
      <c r="G342" s="257"/>
      <c r="H342" s="258"/>
      <c r="I342" s="255"/>
      <c r="J342" s="255"/>
      <c r="K342" s="255"/>
      <c r="L342" s="255"/>
      <c r="M342" s="11"/>
      <c r="N342" s="352"/>
      <c r="O342" s="11"/>
      <c r="P342" s="11"/>
      <c r="Q342" s="11"/>
      <c r="R342" s="11"/>
      <c r="S342" s="11"/>
      <c r="T342" s="11"/>
      <c r="U342" s="11"/>
    </row>
    <row r="343" spans="1:21" ht="16.5" customHeight="1" x14ac:dyDescent="0.25">
      <c r="A343" s="253"/>
      <c r="B343" s="248"/>
      <c r="C343" s="254"/>
      <c r="D343" s="255"/>
      <c r="E343" s="255"/>
      <c r="F343" s="256"/>
      <c r="G343" s="257"/>
      <c r="H343" s="258"/>
      <c r="I343" s="255"/>
      <c r="J343" s="255"/>
      <c r="K343" s="255"/>
      <c r="L343" s="255"/>
      <c r="M343" s="11"/>
      <c r="N343" s="352"/>
      <c r="O343" s="11"/>
      <c r="P343" s="11"/>
      <c r="Q343" s="11"/>
      <c r="R343" s="11"/>
      <c r="S343" s="11"/>
      <c r="T343" s="11"/>
      <c r="U343" s="11"/>
    </row>
    <row r="344" spans="1:21" ht="16.5" customHeight="1" x14ac:dyDescent="0.25">
      <c r="A344" s="253"/>
      <c r="B344" s="248"/>
      <c r="C344" s="254"/>
      <c r="D344" s="255"/>
      <c r="E344" s="255"/>
      <c r="F344" s="256"/>
      <c r="G344" s="257"/>
      <c r="H344" s="258"/>
      <c r="I344" s="255"/>
      <c r="J344" s="255"/>
      <c r="K344" s="255"/>
      <c r="L344" s="255"/>
      <c r="M344" s="11"/>
      <c r="N344" s="352"/>
      <c r="O344" s="11"/>
      <c r="P344" s="11"/>
      <c r="Q344" s="11"/>
      <c r="R344" s="11"/>
      <c r="S344" s="11"/>
      <c r="T344" s="11"/>
      <c r="U344" s="11"/>
    </row>
    <row r="345" spans="1:21" ht="16.5" customHeight="1" x14ac:dyDescent="0.25">
      <c r="A345" s="253"/>
      <c r="B345" s="248"/>
      <c r="C345" s="254"/>
      <c r="D345" s="255"/>
      <c r="E345" s="255"/>
      <c r="F345" s="256"/>
      <c r="G345" s="257"/>
      <c r="H345" s="258"/>
      <c r="I345" s="255"/>
      <c r="J345" s="255"/>
      <c r="K345" s="255"/>
      <c r="L345" s="255"/>
      <c r="M345" s="11"/>
      <c r="N345" s="352"/>
      <c r="O345" s="11"/>
      <c r="P345" s="11"/>
      <c r="Q345" s="11"/>
      <c r="R345" s="11"/>
      <c r="S345" s="11"/>
      <c r="T345" s="11"/>
      <c r="U345" s="11"/>
    </row>
    <row r="346" spans="1:21" ht="16.5" customHeight="1" x14ac:dyDescent="0.25">
      <c r="A346" s="253"/>
      <c r="B346" s="248"/>
      <c r="C346" s="254"/>
      <c r="D346" s="255"/>
      <c r="E346" s="255"/>
      <c r="F346" s="256"/>
      <c r="G346" s="257"/>
      <c r="H346" s="258"/>
      <c r="I346" s="255"/>
      <c r="J346" s="255"/>
      <c r="K346" s="255"/>
      <c r="L346" s="255"/>
      <c r="M346" s="11"/>
      <c r="N346" s="352"/>
      <c r="O346" s="11"/>
      <c r="P346" s="11"/>
      <c r="Q346" s="11"/>
      <c r="R346" s="11"/>
      <c r="S346" s="11"/>
      <c r="T346" s="11"/>
      <c r="U346" s="11"/>
    </row>
    <row r="347" spans="1:21" ht="16.5" customHeight="1" x14ac:dyDescent="0.25">
      <c r="A347" s="253"/>
      <c r="B347" s="248"/>
      <c r="C347" s="254"/>
      <c r="D347" s="255"/>
      <c r="E347" s="255"/>
      <c r="F347" s="256"/>
      <c r="G347" s="257"/>
      <c r="H347" s="258"/>
      <c r="I347" s="255"/>
      <c r="J347" s="255"/>
      <c r="K347" s="255"/>
      <c r="L347" s="255"/>
      <c r="M347" s="11"/>
      <c r="N347" s="352"/>
      <c r="O347" s="11"/>
      <c r="P347" s="11"/>
      <c r="Q347" s="11"/>
      <c r="R347" s="11"/>
      <c r="S347" s="11"/>
      <c r="T347" s="11"/>
      <c r="U347" s="11"/>
    </row>
    <row r="348" spans="1:21" ht="16.5" customHeight="1" x14ac:dyDescent="0.25">
      <c r="A348" s="253"/>
      <c r="B348" s="248"/>
      <c r="C348" s="254"/>
      <c r="D348" s="255"/>
      <c r="E348" s="255"/>
      <c r="F348" s="256"/>
      <c r="G348" s="257"/>
      <c r="H348" s="258"/>
      <c r="I348" s="255"/>
      <c r="J348" s="255"/>
      <c r="K348" s="255"/>
      <c r="L348" s="255"/>
      <c r="M348" s="11"/>
      <c r="N348" s="352"/>
      <c r="O348" s="11"/>
      <c r="P348" s="11"/>
      <c r="Q348" s="11"/>
      <c r="R348" s="11"/>
      <c r="S348" s="11"/>
      <c r="T348" s="11"/>
      <c r="U348" s="11"/>
    </row>
    <row r="349" spans="1:21" ht="16.5" customHeight="1" x14ac:dyDescent="0.25">
      <c r="A349" s="253"/>
      <c r="B349" s="248"/>
      <c r="C349" s="254"/>
      <c r="D349" s="255"/>
      <c r="E349" s="255"/>
      <c r="F349" s="256"/>
      <c r="G349" s="257"/>
      <c r="H349" s="258"/>
      <c r="I349" s="255"/>
      <c r="J349" s="255"/>
      <c r="K349" s="255"/>
      <c r="L349" s="255"/>
      <c r="M349" s="11"/>
      <c r="N349" s="352"/>
      <c r="O349" s="11"/>
      <c r="P349" s="11"/>
      <c r="Q349" s="11"/>
      <c r="R349" s="11"/>
      <c r="S349" s="11"/>
      <c r="T349" s="11"/>
      <c r="U349" s="11"/>
    </row>
    <row r="350" spans="1:21" ht="16.5" customHeight="1" x14ac:dyDescent="0.25">
      <c r="A350" s="253"/>
      <c r="B350" s="248"/>
      <c r="C350" s="254"/>
      <c r="D350" s="255"/>
      <c r="E350" s="255"/>
      <c r="F350" s="256"/>
      <c r="G350" s="257"/>
      <c r="H350" s="258"/>
      <c r="I350" s="255"/>
      <c r="J350" s="255"/>
      <c r="K350" s="255"/>
      <c r="L350" s="255"/>
      <c r="M350" s="11"/>
      <c r="N350" s="352"/>
      <c r="O350" s="11"/>
      <c r="P350" s="11"/>
      <c r="Q350" s="11"/>
      <c r="R350" s="11"/>
      <c r="S350" s="11"/>
      <c r="T350" s="11"/>
      <c r="U350" s="11"/>
    </row>
    <row r="351" spans="1:21" ht="16.5" customHeight="1" x14ac:dyDescent="0.25">
      <c r="A351" s="253"/>
      <c r="B351" s="248"/>
      <c r="C351" s="254"/>
      <c r="D351" s="255"/>
      <c r="E351" s="255"/>
      <c r="F351" s="256"/>
      <c r="G351" s="257"/>
      <c r="H351" s="258"/>
      <c r="I351" s="255"/>
      <c r="J351" s="255"/>
      <c r="K351" s="255"/>
      <c r="L351" s="255"/>
      <c r="M351" s="11"/>
      <c r="N351" s="352"/>
      <c r="O351" s="11"/>
      <c r="P351" s="11"/>
      <c r="Q351" s="11"/>
      <c r="R351" s="11"/>
      <c r="S351" s="11"/>
      <c r="T351" s="11"/>
      <c r="U351" s="11"/>
    </row>
    <row r="352" spans="1:21" ht="16.5" customHeight="1" x14ac:dyDescent="0.25">
      <c r="A352" s="253"/>
      <c r="B352" s="248"/>
      <c r="C352" s="254"/>
      <c r="D352" s="255"/>
      <c r="E352" s="255"/>
      <c r="F352" s="256"/>
      <c r="G352" s="257"/>
      <c r="H352" s="258"/>
      <c r="I352" s="255"/>
      <c r="J352" s="255"/>
      <c r="K352" s="255"/>
      <c r="L352" s="255"/>
      <c r="M352" s="11"/>
      <c r="N352" s="352"/>
      <c r="O352" s="11"/>
      <c r="P352" s="11"/>
      <c r="Q352" s="11"/>
      <c r="R352" s="11"/>
      <c r="S352" s="11"/>
      <c r="T352" s="11"/>
      <c r="U352" s="11"/>
    </row>
    <row r="353" spans="1:21" ht="16.5" customHeight="1" x14ac:dyDescent="0.25">
      <c r="A353" s="253"/>
      <c r="B353" s="248"/>
      <c r="C353" s="254"/>
      <c r="D353" s="255"/>
      <c r="E353" s="255"/>
      <c r="F353" s="256"/>
      <c r="G353" s="257"/>
      <c r="H353" s="258"/>
      <c r="I353" s="255"/>
      <c r="J353" s="255"/>
      <c r="K353" s="255"/>
      <c r="L353" s="255"/>
      <c r="M353" s="11"/>
      <c r="N353" s="352"/>
      <c r="O353" s="11"/>
      <c r="P353" s="11"/>
      <c r="Q353" s="11"/>
      <c r="R353" s="11"/>
      <c r="S353" s="11"/>
      <c r="T353" s="11"/>
      <c r="U353" s="11"/>
    </row>
    <row r="354" spans="1:21" ht="16.5" customHeight="1" x14ac:dyDescent="0.25">
      <c r="A354" s="253"/>
      <c r="B354" s="248"/>
      <c r="C354" s="254"/>
      <c r="D354" s="255"/>
      <c r="E354" s="255"/>
      <c r="F354" s="256"/>
      <c r="G354" s="257"/>
      <c r="H354" s="258"/>
      <c r="I354" s="255"/>
      <c r="J354" s="255"/>
      <c r="K354" s="255"/>
      <c r="L354" s="255"/>
      <c r="M354" s="11"/>
      <c r="N354" s="352"/>
      <c r="O354" s="11"/>
      <c r="P354" s="11"/>
      <c r="Q354" s="11"/>
      <c r="R354" s="11"/>
      <c r="S354" s="11"/>
      <c r="T354" s="11"/>
      <c r="U354" s="11"/>
    </row>
    <row r="355" spans="1:21" ht="16.5" customHeight="1" x14ac:dyDescent="0.25">
      <c r="A355" s="253"/>
      <c r="B355" s="248"/>
      <c r="C355" s="254"/>
      <c r="D355" s="255"/>
      <c r="E355" s="255"/>
      <c r="F355" s="256"/>
      <c r="G355" s="257"/>
      <c r="H355" s="258"/>
      <c r="I355" s="255"/>
      <c r="J355" s="255"/>
      <c r="K355" s="255"/>
      <c r="L355" s="255"/>
      <c r="M355" s="11"/>
      <c r="N355" s="352"/>
      <c r="O355" s="11"/>
      <c r="P355" s="11"/>
      <c r="Q355" s="11"/>
      <c r="R355" s="11"/>
      <c r="S355" s="11"/>
      <c r="T355" s="11"/>
      <c r="U355" s="11"/>
    </row>
    <row r="356" spans="1:21" ht="16.5" customHeight="1" x14ac:dyDescent="0.25">
      <c r="A356" s="253"/>
      <c r="B356" s="248"/>
      <c r="C356" s="254"/>
      <c r="D356" s="255"/>
      <c r="E356" s="255"/>
      <c r="F356" s="256"/>
      <c r="G356" s="257"/>
      <c r="H356" s="258"/>
      <c r="I356" s="255"/>
      <c r="J356" s="255"/>
      <c r="K356" s="255"/>
      <c r="L356" s="255"/>
      <c r="M356" s="11"/>
      <c r="N356" s="352"/>
      <c r="O356" s="11"/>
      <c r="P356" s="11"/>
      <c r="Q356" s="11"/>
      <c r="R356" s="11"/>
      <c r="S356" s="11"/>
      <c r="T356" s="11"/>
      <c r="U356" s="11"/>
    </row>
    <row r="357" spans="1:21" ht="16.5" customHeight="1" x14ac:dyDescent="0.25">
      <c r="A357" s="253"/>
      <c r="B357" s="248"/>
      <c r="C357" s="254"/>
      <c r="D357" s="255"/>
      <c r="E357" s="255"/>
      <c r="F357" s="256"/>
      <c r="G357" s="257"/>
      <c r="H357" s="258"/>
      <c r="I357" s="255"/>
      <c r="J357" s="255"/>
      <c r="K357" s="255"/>
      <c r="L357" s="255"/>
      <c r="M357" s="11"/>
      <c r="N357" s="352"/>
      <c r="O357" s="11"/>
      <c r="P357" s="11"/>
      <c r="Q357" s="11"/>
      <c r="R357" s="11"/>
      <c r="S357" s="11"/>
      <c r="T357" s="11"/>
      <c r="U357" s="11"/>
    </row>
    <row r="358" spans="1:21" ht="16.5" customHeight="1" x14ac:dyDescent="0.25">
      <c r="A358" s="253"/>
      <c r="B358" s="248"/>
      <c r="C358" s="254"/>
      <c r="D358" s="255"/>
      <c r="E358" s="255"/>
      <c r="F358" s="256"/>
      <c r="G358" s="257"/>
      <c r="H358" s="258"/>
      <c r="I358" s="255"/>
      <c r="J358" s="255"/>
      <c r="K358" s="255"/>
      <c r="L358" s="255"/>
      <c r="M358" s="11"/>
      <c r="N358" s="352"/>
      <c r="O358" s="11"/>
      <c r="P358" s="11"/>
      <c r="Q358" s="11"/>
      <c r="R358" s="11"/>
      <c r="S358" s="11"/>
      <c r="T358" s="11"/>
      <c r="U358" s="11"/>
    </row>
    <row r="359" spans="1:21" ht="16.5" customHeight="1" x14ac:dyDescent="0.25">
      <c r="A359" s="253"/>
      <c r="B359" s="248"/>
      <c r="C359" s="254"/>
      <c r="D359" s="255"/>
      <c r="E359" s="255"/>
      <c r="F359" s="256"/>
      <c r="G359" s="257"/>
      <c r="H359" s="258"/>
      <c r="I359" s="255"/>
      <c r="J359" s="255"/>
      <c r="K359" s="255"/>
      <c r="L359" s="255"/>
      <c r="M359" s="11"/>
      <c r="N359" s="352"/>
      <c r="O359" s="11"/>
      <c r="P359" s="11"/>
      <c r="Q359" s="11"/>
      <c r="R359" s="11"/>
      <c r="S359" s="11"/>
      <c r="T359" s="11"/>
      <c r="U359" s="11"/>
    </row>
    <row r="360" spans="1:21" ht="16.5" customHeight="1" x14ac:dyDescent="0.25">
      <c r="A360" s="253"/>
      <c r="B360" s="248"/>
      <c r="C360" s="254"/>
      <c r="D360" s="255"/>
      <c r="E360" s="255"/>
      <c r="F360" s="256"/>
      <c r="G360" s="257"/>
      <c r="H360" s="258"/>
      <c r="I360" s="255"/>
      <c r="J360" s="255"/>
      <c r="K360" s="255"/>
      <c r="L360" s="255"/>
      <c r="M360" s="11"/>
      <c r="N360" s="352"/>
      <c r="O360" s="11"/>
      <c r="P360" s="11"/>
      <c r="Q360" s="11"/>
      <c r="R360" s="11"/>
      <c r="S360" s="11"/>
      <c r="T360" s="11"/>
      <c r="U360" s="11"/>
    </row>
    <row r="361" spans="1:21" ht="16.5" customHeight="1" x14ac:dyDescent="0.25">
      <c r="A361" s="253"/>
      <c r="B361" s="248"/>
      <c r="C361" s="254"/>
      <c r="D361" s="255"/>
      <c r="E361" s="255"/>
      <c r="F361" s="256"/>
      <c r="G361" s="257"/>
      <c r="H361" s="258"/>
      <c r="I361" s="255"/>
      <c r="J361" s="255"/>
      <c r="K361" s="255"/>
      <c r="L361" s="255"/>
      <c r="M361" s="11"/>
      <c r="N361" s="352"/>
      <c r="O361" s="11"/>
      <c r="P361" s="11"/>
      <c r="Q361" s="11"/>
      <c r="R361" s="11"/>
      <c r="S361" s="11"/>
      <c r="T361" s="11"/>
      <c r="U361" s="11"/>
    </row>
    <row r="362" spans="1:21" ht="16.5" customHeight="1" x14ac:dyDescent="0.25">
      <c r="A362" s="253"/>
      <c r="B362" s="248"/>
      <c r="C362" s="254"/>
      <c r="D362" s="255"/>
      <c r="E362" s="255"/>
      <c r="F362" s="256"/>
      <c r="G362" s="257"/>
      <c r="H362" s="258"/>
      <c r="I362" s="255"/>
      <c r="J362" s="255"/>
      <c r="K362" s="255"/>
      <c r="L362" s="255"/>
      <c r="M362" s="11"/>
      <c r="N362" s="352"/>
      <c r="O362" s="11"/>
      <c r="P362" s="11"/>
      <c r="Q362" s="11"/>
      <c r="R362" s="11"/>
      <c r="S362" s="11"/>
      <c r="T362" s="11"/>
      <c r="U362" s="11"/>
    </row>
    <row r="363" spans="1:21" ht="16.5" customHeight="1" x14ac:dyDescent="0.25">
      <c r="A363" s="253"/>
      <c r="B363" s="248"/>
      <c r="C363" s="254"/>
      <c r="D363" s="255"/>
      <c r="E363" s="255"/>
      <c r="F363" s="256"/>
      <c r="G363" s="257"/>
      <c r="H363" s="258"/>
      <c r="I363" s="255"/>
      <c r="J363" s="255"/>
      <c r="K363" s="255"/>
      <c r="L363" s="255"/>
      <c r="M363" s="11"/>
      <c r="N363" s="352"/>
      <c r="O363" s="11"/>
      <c r="P363" s="11"/>
      <c r="Q363" s="11"/>
      <c r="R363" s="11"/>
      <c r="S363" s="11"/>
      <c r="T363" s="11"/>
      <c r="U363" s="11"/>
    </row>
    <row r="364" spans="1:21" ht="16.5" customHeight="1" x14ac:dyDescent="0.25">
      <c r="A364" s="253"/>
      <c r="B364" s="248"/>
      <c r="C364" s="254"/>
      <c r="D364" s="255"/>
      <c r="E364" s="255"/>
      <c r="F364" s="256"/>
      <c r="G364" s="257"/>
      <c r="H364" s="258"/>
      <c r="I364" s="255"/>
      <c r="J364" s="255"/>
      <c r="K364" s="255"/>
      <c r="L364" s="255"/>
      <c r="M364" s="11"/>
      <c r="N364" s="352"/>
      <c r="O364" s="11"/>
      <c r="P364" s="11"/>
      <c r="Q364" s="11"/>
      <c r="R364" s="11"/>
      <c r="S364" s="11"/>
      <c r="T364" s="11"/>
      <c r="U364" s="11"/>
    </row>
    <row r="365" spans="1:21" ht="16.5" customHeight="1" x14ac:dyDescent="0.25">
      <c r="A365" s="253"/>
      <c r="B365" s="248"/>
      <c r="C365" s="254"/>
      <c r="D365" s="255"/>
      <c r="E365" s="255"/>
      <c r="F365" s="256"/>
      <c r="G365" s="257"/>
      <c r="H365" s="258"/>
      <c r="I365" s="255"/>
      <c r="J365" s="255"/>
      <c r="K365" s="255"/>
      <c r="L365" s="255"/>
      <c r="M365" s="11"/>
      <c r="N365" s="352"/>
      <c r="O365" s="11"/>
      <c r="P365" s="11"/>
      <c r="Q365" s="11"/>
      <c r="R365" s="11"/>
      <c r="S365" s="11"/>
      <c r="T365" s="11"/>
      <c r="U365" s="11"/>
    </row>
    <row r="366" spans="1:21" ht="16.5" customHeight="1" x14ac:dyDescent="0.25">
      <c r="A366" s="253"/>
      <c r="B366" s="248"/>
      <c r="C366" s="254"/>
      <c r="D366" s="255"/>
      <c r="E366" s="255"/>
      <c r="F366" s="256"/>
      <c r="G366" s="257"/>
      <c r="H366" s="258"/>
      <c r="I366" s="255"/>
      <c r="J366" s="255"/>
      <c r="K366" s="255"/>
      <c r="L366" s="255"/>
      <c r="M366" s="11"/>
      <c r="N366" s="352"/>
      <c r="O366" s="11"/>
      <c r="P366" s="11"/>
      <c r="Q366" s="11"/>
      <c r="R366" s="11"/>
      <c r="S366" s="11"/>
      <c r="T366" s="11"/>
      <c r="U366" s="11"/>
    </row>
    <row r="367" spans="1:21" ht="16.5" customHeight="1" x14ac:dyDescent="0.25">
      <c r="A367" s="253"/>
      <c r="B367" s="248"/>
      <c r="C367" s="254"/>
      <c r="D367" s="255"/>
      <c r="E367" s="255"/>
      <c r="F367" s="256"/>
      <c r="G367" s="257"/>
      <c r="H367" s="258"/>
      <c r="I367" s="255"/>
      <c r="J367" s="255"/>
      <c r="K367" s="255"/>
      <c r="L367" s="255"/>
      <c r="M367" s="11"/>
      <c r="N367" s="352"/>
      <c r="O367" s="11"/>
      <c r="P367" s="11"/>
      <c r="Q367" s="11"/>
      <c r="R367" s="11"/>
      <c r="S367" s="11"/>
      <c r="T367" s="11"/>
      <c r="U367" s="11"/>
    </row>
    <row r="368" spans="1:21" ht="16.5" customHeight="1" x14ac:dyDescent="0.25">
      <c r="A368" s="253"/>
      <c r="B368" s="248"/>
      <c r="C368" s="254"/>
      <c r="D368" s="255"/>
      <c r="E368" s="255"/>
      <c r="F368" s="256"/>
      <c r="G368" s="257"/>
      <c r="H368" s="258"/>
      <c r="I368" s="255"/>
      <c r="J368" s="255"/>
      <c r="K368" s="255"/>
      <c r="L368" s="255"/>
      <c r="M368" s="11"/>
      <c r="N368" s="352"/>
      <c r="O368" s="11"/>
      <c r="P368" s="11"/>
      <c r="Q368" s="11"/>
      <c r="R368" s="11"/>
      <c r="S368" s="11"/>
      <c r="T368" s="11"/>
      <c r="U368" s="11"/>
    </row>
    <row r="369" spans="1:21" ht="16.5" customHeight="1" x14ac:dyDescent="0.25">
      <c r="A369" s="253"/>
      <c r="B369" s="248"/>
      <c r="C369" s="254"/>
      <c r="D369" s="255"/>
      <c r="E369" s="255"/>
      <c r="F369" s="256"/>
      <c r="G369" s="257"/>
      <c r="H369" s="258"/>
      <c r="I369" s="255"/>
      <c r="J369" s="255"/>
      <c r="K369" s="255"/>
      <c r="L369" s="255"/>
      <c r="M369" s="11"/>
      <c r="N369" s="352"/>
      <c r="O369" s="11"/>
      <c r="P369" s="11"/>
      <c r="Q369" s="11"/>
      <c r="R369" s="11"/>
      <c r="S369" s="11"/>
      <c r="T369" s="11"/>
      <c r="U369" s="11"/>
    </row>
    <row r="370" spans="1:21" ht="16.5" customHeight="1" x14ac:dyDescent="0.25">
      <c r="A370" s="253"/>
      <c r="B370" s="248"/>
      <c r="C370" s="254"/>
      <c r="D370" s="255"/>
      <c r="E370" s="255"/>
      <c r="F370" s="256"/>
      <c r="G370" s="257"/>
      <c r="H370" s="258"/>
      <c r="I370" s="255"/>
      <c r="J370" s="255"/>
      <c r="K370" s="255"/>
      <c r="L370" s="255"/>
      <c r="M370" s="11"/>
      <c r="N370" s="352"/>
      <c r="O370" s="11"/>
      <c r="P370" s="11"/>
      <c r="Q370" s="11"/>
      <c r="R370" s="11"/>
      <c r="S370" s="11"/>
      <c r="T370" s="11"/>
      <c r="U370" s="11"/>
    </row>
    <row r="371" spans="1:21" ht="16.5" customHeight="1" x14ac:dyDescent="0.25">
      <c r="A371" s="253"/>
      <c r="B371" s="248"/>
      <c r="C371" s="254"/>
      <c r="D371" s="255"/>
      <c r="E371" s="255"/>
      <c r="F371" s="256"/>
      <c r="G371" s="257"/>
      <c r="H371" s="258"/>
      <c r="I371" s="255"/>
      <c r="J371" s="255"/>
      <c r="K371" s="255"/>
      <c r="L371" s="255"/>
      <c r="M371" s="11"/>
      <c r="N371" s="352"/>
      <c r="O371" s="11"/>
      <c r="P371" s="11"/>
      <c r="Q371" s="11"/>
      <c r="R371" s="11"/>
      <c r="S371" s="11"/>
      <c r="T371" s="11"/>
      <c r="U371" s="11"/>
    </row>
    <row r="372" spans="1:21" ht="16.5" customHeight="1" x14ac:dyDescent="0.25">
      <c r="A372" s="253"/>
      <c r="B372" s="248"/>
      <c r="C372" s="254"/>
      <c r="D372" s="255"/>
      <c r="E372" s="255"/>
      <c r="F372" s="256"/>
      <c r="G372" s="257"/>
      <c r="H372" s="258"/>
      <c r="I372" s="255"/>
      <c r="J372" s="255"/>
      <c r="K372" s="255"/>
      <c r="L372" s="255"/>
      <c r="M372" s="11"/>
      <c r="N372" s="352"/>
      <c r="O372" s="11"/>
      <c r="P372" s="11"/>
      <c r="Q372" s="11"/>
      <c r="R372" s="11"/>
      <c r="S372" s="11"/>
      <c r="T372" s="11"/>
      <c r="U372" s="11"/>
    </row>
    <row r="373" spans="1:21" ht="16.5" customHeight="1" x14ac:dyDescent="0.25">
      <c r="A373" s="253"/>
      <c r="B373" s="248"/>
      <c r="C373" s="254"/>
      <c r="D373" s="255"/>
      <c r="E373" s="255"/>
      <c r="F373" s="256"/>
      <c r="G373" s="257"/>
      <c r="H373" s="258"/>
      <c r="I373" s="255"/>
      <c r="J373" s="255"/>
      <c r="K373" s="255"/>
      <c r="L373" s="255"/>
      <c r="M373" s="11"/>
      <c r="N373" s="352"/>
      <c r="O373" s="11"/>
      <c r="P373" s="11"/>
      <c r="Q373" s="11"/>
      <c r="R373" s="11"/>
      <c r="S373" s="11"/>
      <c r="T373" s="11"/>
      <c r="U373" s="11"/>
    </row>
    <row r="374" spans="1:21" ht="16.5" customHeight="1" x14ac:dyDescent="0.25">
      <c r="A374" s="253"/>
      <c r="B374" s="248"/>
      <c r="C374" s="254"/>
      <c r="D374" s="255"/>
      <c r="E374" s="255"/>
      <c r="F374" s="256"/>
      <c r="G374" s="257"/>
      <c r="H374" s="258"/>
      <c r="I374" s="255"/>
      <c r="J374" s="255"/>
      <c r="K374" s="255"/>
      <c r="L374" s="255"/>
      <c r="M374" s="11"/>
      <c r="N374" s="352"/>
      <c r="O374" s="11"/>
      <c r="P374" s="11"/>
      <c r="Q374" s="11"/>
      <c r="R374" s="11"/>
      <c r="S374" s="11"/>
      <c r="T374" s="11"/>
      <c r="U374" s="11"/>
    </row>
    <row r="375" spans="1:21" ht="16.5" customHeight="1" x14ac:dyDescent="0.25">
      <c r="A375" s="253"/>
      <c r="B375" s="248"/>
      <c r="C375" s="254"/>
      <c r="D375" s="255"/>
      <c r="E375" s="255"/>
      <c r="F375" s="256"/>
      <c r="G375" s="257"/>
      <c r="H375" s="258"/>
      <c r="I375" s="255"/>
      <c r="J375" s="255"/>
      <c r="K375" s="255"/>
      <c r="L375" s="255"/>
      <c r="M375" s="11"/>
      <c r="N375" s="352"/>
      <c r="O375" s="11"/>
      <c r="P375" s="11"/>
      <c r="Q375" s="11"/>
      <c r="R375" s="11"/>
      <c r="S375" s="11"/>
      <c r="T375" s="11"/>
      <c r="U375" s="11"/>
    </row>
    <row r="376" spans="1:21" ht="16.5" customHeight="1" x14ac:dyDescent="0.25">
      <c r="A376" s="253"/>
      <c r="B376" s="248"/>
      <c r="C376" s="254"/>
      <c r="D376" s="255"/>
      <c r="E376" s="255"/>
      <c r="F376" s="256"/>
      <c r="G376" s="257"/>
      <c r="H376" s="258"/>
      <c r="I376" s="255"/>
      <c r="J376" s="255"/>
      <c r="K376" s="255"/>
      <c r="L376" s="255"/>
      <c r="M376" s="11"/>
      <c r="N376" s="352"/>
      <c r="O376" s="11"/>
      <c r="P376" s="11"/>
      <c r="Q376" s="11"/>
      <c r="R376" s="11"/>
      <c r="S376" s="11"/>
      <c r="T376" s="11"/>
      <c r="U376" s="11"/>
    </row>
    <row r="377" spans="1:21" ht="16.5" customHeight="1" x14ac:dyDescent="0.25">
      <c r="A377" s="253"/>
      <c r="B377" s="248"/>
      <c r="C377" s="254"/>
      <c r="D377" s="255"/>
      <c r="E377" s="255"/>
      <c r="F377" s="256"/>
      <c r="G377" s="257"/>
      <c r="H377" s="258"/>
      <c r="I377" s="255"/>
      <c r="J377" s="255"/>
      <c r="K377" s="255"/>
      <c r="L377" s="255"/>
      <c r="M377" s="11"/>
      <c r="N377" s="352"/>
      <c r="O377" s="11"/>
      <c r="P377" s="11"/>
      <c r="Q377" s="11"/>
      <c r="R377" s="11"/>
      <c r="S377" s="11"/>
      <c r="T377" s="11"/>
      <c r="U377" s="11"/>
    </row>
    <row r="378" spans="1:21" ht="16.5" customHeight="1" x14ac:dyDescent="0.25">
      <c r="A378" s="253"/>
      <c r="B378" s="248"/>
      <c r="C378" s="254"/>
      <c r="D378" s="255"/>
      <c r="E378" s="255"/>
      <c r="F378" s="256"/>
      <c r="G378" s="257"/>
      <c r="H378" s="258"/>
      <c r="I378" s="255"/>
      <c r="J378" s="255"/>
      <c r="K378" s="255"/>
      <c r="L378" s="255"/>
      <c r="M378" s="11"/>
      <c r="N378" s="352"/>
      <c r="O378" s="11"/>
      <c r="P378" s="11"/>
      <c r="Q378" s="11"/>
      <c r="R378" s="11"/>
      <c r="S378" s="11"/>
      <c r="T378" s="11"/>
      <c r="U378" s="11"/>
    </row>
    <row r="379" spans="1:21" ht="16.5" customHeight="1" x14ac:dyDescent="0.25">
      <c r="A379" s="253"/>
      <c r="B379" s="248"/>
      <c r="C379" s="254"/>
      <c r="D379" s="255"/>
      <c r="E379" s="255"/>
      <c r="F379" s="256"/>
      <c r="G379" s="257"/>
      <c r="H379" s="258"/>
      <c r="I379" s="255"/>
      <c r="J379" s="255"/>
      <c r="K379" s="255"/>
      <c r="L379" s="255"/>
      <c r="M379" s="11"/>
      <c r="N379" s="352"/>
      <c r="O379" s="11"/>
      <c r="P379" s="11"/>
      <c r="Q379" s="11"/>
      <c r="R379" s="11"/>
      <c r="S379" s="11"/>
      <c r="T379" s="11"/>
      <c r="U379" s="11"/>
    </row>
    <row r="380" spans="1:21" ht="16.5" customHeight="1" x14ac:dyDescent="0.25">
      <c r="A380" s="253"/>
      <c r="B380" s="248"/>
      <c r="C380" s="254"/>
      <c r="D380" s="255"/>
      <c r="E380" s="255"/>
      <c r="F380" s="256"/>
      <c r="G380" s="257"/>
      <c r="H380" s="258"/>
      <c r="I380" s="255"/>
      <c r="J380" s="255"/>
      <c r="K380" s="255"/>
      <c r="L380" s="255"/>
      <c r="M380" s="11"/>
      <c r="N380" s="352"/>
      <c r="O380" s="11"/>
      <c r="P380" s="11"/>
      <c r="Q380" s="11"/>
      <c r="R380" s="11"/>
      <c r="S380" s="11"/>
      <c r="T380" s="11"/>
      <c r="U380" s="11"/>
    </row>
    <row r="381" spans="1:21" ht="16.5" customHeight="1" x14ac:dyDescent="0.25">
      <c r="A381" s="253"/>
      <c r="B381" s="248"/>
      <c r="C381" s="254"/>
      <c r="D381" s="255"/>
      <c r="E381" s="255"/>
      <c r="F381" s="256"/>
      <c r="G381" s="257"/>
      <c r="H381" s="258"/>
      <c r="I381" s="255"/>
      <c r="J381" s="255"/>
      <c r="K381" s="255"/>
      <c r="L381" s="255"/>
      <c r="M381" s="11"/>
      <c r="N381" s="352"/>
      <c r="O381" s="11"/>
      <c r="P381" s="11"/>
      <c r="Q381" s="11"/>
      <c r="R381" s="11"/>
      <c r="S381" s="11"/>
      <c r="T381" s="11"/>
      <c r="U381" s="11"/>
    </row>
    <row r="382" spans="1:21" ht="16.5" customHeight="1" x14ac:dyDescent="0.25">
      <c r="A382" s="253"/>
      <c r="B382" s="248"/>
      <c r="C382" s="254"/>
      <c r="D382" s="255"/>
      <c r="E382" s="255"/>
      <c r="F382" s="256"/>
      <c r="G382" s="257"/>
      <c r="H382" s="258"/>
      <c r="I382" s="255"/>
      <c r="J382" s="255"/>
      <c r="K382" s="255"/>
      <c r="L382" s="255"/>
      <c r="M382" s="11"/>
      <c r="N382" s="352"/>
      <c r="O382" s="11"/>
      <c r="P382" s="11"/>
      <c r="Q382" s="11"/>
      <c r="R382" s="11"/>
      <c r="S382" s="11"/>
      <c r="T382" s="11"/>
      <c r="U382" s="11"/>
    </row>
    <row r="383" spans="1:21" ht="16.5" customHeight="1" x14ac:dyDescent="0.25">
      <c r="A383" s="253"/>
      <c r="B383" s="248"/>
      <c r="C383" s="254"/>
      <c r="D383" s="255"/>
      <c r="E383" s="255"/>
      <c r="F383" s="256"/>
      <c r="G383" s="257"/>
      <c r="H383" s="258"/>
      <c r="I383" s="255"/>
      <c r="J383" s="255"/>
      <c r="K383" s="255"/>
      <c r="L383" s="255"/>
      <c r="M383" s="11"/>
      <c r="N383" s="352"/>
      <c r="O383" s="11"/>
      <c r="P383" s="11"/>
      <c r="Q383" s="11"/>
      <c r="R383" s="11"/>
      <c r="S383" s="11"/>
      <c r="T383" s="11"/>
      <c r="U383" s="11"/>
    </row>
    <row r="384" spans="1:21" ht="16.5" customHeight="1" x14ac:dyDescent="0.25">
      <c r="A384" s="253"/>
      <c r="B384" s="248"/>
      <c r="C384" s="254"/>
      <c r="D384" s="255"/>
      <c r="E384" s="255"/>
      <c r="F384" s="256"/>
      <c r="G384" s="257"/>
      <c r="H384" s="258"/>
      <c r="I384" s="255"/>
      <c r="J384" s="255"/>
      <c r="K384" s="255"/>
      <c r="L384" s="255"/>
      <c r="M384" s="11"/>
      <c r="N384" s="352"/>
      <c r="O384" s="11"/>
      <c r="P384" s="11"/>
      <c r="Q384" s="11"/>
      <c r="R384" s="11"/>
      <c r="S384" s="11"/>
      <c r="T384" s="11"/>
      <c r="U384" s="11"/>
    </row>
    <row r="385" spans="1:21" ht="16.5" customHeight="1" x14ac:dyDescent="0.25">
      <c r="A385" s="253"/>
      <c r="B385" s="248"/>
      <c r="C385" s="254"/>
      <c r="D385" s="255"/>
      <c r="E385" s="255"/>
      <c r="F385" s="256"/>
      <c r="G385" s="257"/>
      <c r="H385" s="258"/>
      <c r="I385" s="255"/>
      <c r="J385" s="255"/>
      <c r="K385" s="255"/>
      <c r="L385" s="255"/>
      <c r="M385" s="11"/>
      <c r="N385" s="352"/>
      <c r="O385" s="11"/>
      <c r="P385" s="11"/>
      <c r="Q385" s="11"/>
      <c r="R385" s="11"/>
      <c r="S385" s="11"/>
      <c r="T385" s="11"/>
      <c r="U385" s="11"/>
    </row>
    <row r="386" spans="1:21" ht="16.5" customHeight="1" x14ac:dyDescent="0.25">
      <c r="A386" s="253"/>
      <c r="B386" s="248"/>
      <c r="C386" s="254"/>
      <c r="D386" s="255"/>
      <c r="E386" s="255"/>
      <c r="F386" s="256"/>
      <c r="G386" s="257"/>
      <c r="H386" s="258"/>
      <c r="I386" s="255"/>
      <c r="J386" s="255"/>
      <c r="K386" s="255"/>
      <c r="L386" s="255"/>
      <c r="M386" s="11"/>
      <c r="N386" s="352"/>
      <c r="O386" s="11"/>
      <c r="P386" s="11"/>
      <c r="Q386" s="11"/>
      <c r="R386" s="11"/>
      <c r="S386" s="11"/>
      <c r="T386" s="11"/>
      <c r="U386" s="11"/>
    </row>
    <row r="387" spans="1:21" ht="16.5" customHeight="1" x14ac:dyDescent="0.25">
      <c r="A387" s="253"/>
      <c r="B387" s="248"/>
      <c r="C387" s="254"/>
      <c r="D387" s="255"/>
      <c r="E387" s="255"/>
      <c r="F387" s="256"/>
      <c r="G387" s="257"/>
      <c r="H387" s="258"/>
      <c r="I387" s="255"/>
      <c r="J387" s="255"/>
      <c r="K387" s="255"/>
      <c r="L387" s="255"/>
      <c r="M387" s="11"/>
      <c r="N387" s="352"/>
      <c r="O387" s="11"/>
      <c r="P387" s="11"/>
      <c r="Q387" s="11"/>
      <c r="R387" s="11"/>
      <c r="S387" s="11"/>
      <c r="T387" s="11"/>
      <c r="U387" s="11"/>
    </row>
    <row r="388" spans="1:21" ht="16.5" customHeight="1" x14ac:dyDescent="0.25">
      <c r="A388" s="253"/>
      <c r="B388" s="248"/>
      <c r="C388" s="254"/>
      <c r="D388" s="255"/>
      <c r="E388" s="255"/>
      <c r="F388" s="256"/>
      <c r="G388" s="257"/>
      <c r="H388" s="258"/>
      <c r="I388" s="255"/>
      <c r="J388" s="255"/>
      <c r="K388" s="255"/>
      <c r="L388" s="255"/>
      <c r="M388" s="11"/>
      <c r="N388" s="352"/>
      <c r="O388" s="11"/>
      <c r="P388" s="11"/>
      <c r="Q388" s="11"/>
      <c r="R388" s="11"/>
      <c r="S388" s="11"/>
      <c r="T388" s="11"/>
      <c r="U388" s="11"/>
    </row>
    <row r="389" spans="1:21" ht="16.5" customHeight="1" x14ac:dyDescent="0.25">
      <c r="A389" s="253"/>
      <c r="B389" s="248"/>
      <c r="C389" s="254"/>
      <c r="D389" s="255"/>
      <c r="E389" s="255"/>
      <c r="F389" s="256"/>
      <c r="G389" s="257"/>
      <c r="H389" s="258"/>
      <c r="I389" s="255"/>
      <c r="J389" s="255"/>
      <c r="K389" s="255"/>
      <c r="L389" s="255"/>
      <c r="M389" s="11"/>
      <c r="N389" s="352"/>
      <c r="O389" s="11"/>
      <c r="P389" s="11"/>
      <c r="Q389" s="11"/>
      <c r="R389" s="11"/>
      <c r="S389" s="11"/>
      <c r="T389" s="11"/>
      <c r="U389" s="11"/>
    </row>
    <row r="390" spans="1:21" ht="16.5" customHeight="1" x14ac:dyDescent="0.25">
      <c r="A390" s="253"/>
      <c r="B390" s="248"/>
      <c r="C390" s="254"/>
      <c r="D390" s="255"/>
      <c r="E390" s="255"/>
      <c r="F390" s="256"/>
      <c r="G390" s="257"/>
      <c r="H390" s="258"/>
      <c r="I390" s="255"/>
      <c r="J390" s="255"/>
      <c r="K390" s="255"/>
      <c r="L390" s="255"/>
      <c r="M390" s="11"/>
      <c r="N390" s="352"/>
      <c r="O390" s="11"/>
      <c r="P390" s="11"/>
      <c r="Q390" s="11"/>
      <c r="R390" s="11"/>
      <c r="S390" s="11"/>
      <c r="T390" s="11"/>
      <c r="U390" s="11"/>
    </row>
    <row r="391" spans="1:21" ht="16.5" customHeight="1" x14ac:dyDescent="0.25">
      <c r="A391" s="253"/>
      <c r="B391" s="248"/>
      <c r="C391" s="254"/>
      <c r="D391" s="255"/>
      <c r="E391" s="255"/>
      <c r="F391" s="256"/>
      <c r="G391" s="257"/>
      <c r="H391" s="258"/>
      <c r="I391" s="255"/>
      <c r="J391" s="255"/>
      <c r="K391" s="255"/>
      <c r="L391" s="255"/>
      <c r="M391" s="11"/>
      <c r="N391" s="352"/>
      <c r="O391" s="11"/>
      <c r="P391" s="11"/>
      <c r="Q391" s="11"/>
      <c r="R391" s="11"/>
      <c r="S391" s="11"/>
      <c r="T391" s="11"/>
      <c r="U391" s="11"/>
    </row>
    <row r="392" spans="1:21" ht="16.5" customHeight="1" x14ac:dyDescent="0.25">
      <c r="A392" s="253"/>
      <c r="B392" s="248"/>
      <c r="C392" s="254"/>
      <c r="D392" s="255"/>
      <c r="E392" s="255"/>
      <c r="F392" s="256"/>
      <c r="G392" s="257"/>
      <c r="H392" s="258"/>
      <c r="I392" s="255"/>
      <c r="J392" s="255"/>
      <c r="K392" s="255"/>
      <c r="L392" s="255"/>
      <c r="M392" s="11"/>
      <c r="N392" s="352"/>
      <c r="O392" s="11"/>
      <c r="P392" s="11"/>
      <c r="Q392" s="11"/>
      <c r="R392" s="11"/>
      <c r="S392" s="11"/>
      <c r="T392" s="11"/>
      <c r="U392" s="11"/>
    </row>
    <row r="393" spans="1:21" ht="16.5" customHeight="1" x14ac:dyDescent="0.25">
      <c r="A393" s="253"/>
      <c r="B393" s="248"/>
      <c r="C393" s="254"/>
      <c r="D393" s="255"/>
      <c r="E393" s="255"/>
      <c r="F393" s="256"/>
      <c r="G393" s="257"/>
      <c r="H393" s="258"/>
      <c r="I393" s="255"/>
      <c r="J393" s="255"/>
      <c r="K393" s="255"/>
      <c r="L393" s="255"/>
      <c r="M393" s="11"/>
      <c r="N393" s="352"/>
      <c r="O393" s="11"/>
      <c r="P393" s="11"/>
      <c r="Q393" s="11"/>
      <c r="R393" s="11"/>
      <c r="S393" s="11"/>
      <c r="T393" s="11"/>
      <c r="U393" s="11"/>
    </row>
    <row r="394" spans="1:21" ht="16.5" customHeight="1" x14ac:dyDescent="0.25">
      <c r="A394" s="253"/>
      <c r="B394" s="248"/>
      <c r="C394" s="254"/>
      <c r="D394" s="255"/>
      <c r="E394" s="255"/>
      <c r="F394" s="256"/>
      <c r="G394" s="257"/>
      <c r="H394" s="258"/>
      <c r="I394" s="255"/>
      <c r="J394" s="255"/>
      <c r="K394" s="255"/>
      <c r="L394" s="255"/>
      <c r="M394" s="11"/>
      <c r="N394" s="352"/>
      <c r="O394" s="11"/>
      <c r="P394" s="11"/>
      <c r="Q394" s="11"/>
      <c r="R394" s="11"/>
      <c r="S394" s="11"/>
      <c r="T394" s="11"/>
      <c r="U394" s="11"/>
    </row>
    <row r="395" spans="1:21" ht="16.5" customHeight="1" x14ac:dyDescent="0.25">
      <c r="A395" s="253"/>
      <c r="B395" s="248"/>
      <c r="C395" s="254"/>
      <c r="D395" s="255"/>
      <c r="E395" s="255"/>
      <c r="F395" s="256"/>
      <c r="G395" s="257"/>
      <c r="H395" s="258"/>
      <c r="I395" s="255"/>
      <c r="J395" s="255"/>
      <c r="K395" s="255"/>
      <c r="L395" s="255"/>
      <c r="M395" s="11"/>
      <c r="N395" s="352"/>
      <c r="O395" s="11"/>
      <c r="P395" s="11"/>
      <c r="Q395" s="11"/>
      <c r="R395" s="11"/>
      <c r="S395" s="11"/>
      <c r="T395" s="11"/>
      <c r="U395" s="11"/>
    </row>
    <row r="396" spans="1:21" ht="16.5" customHeight="1" x14ac:dyDescent="0.25">
      <c r="A396" s="253"/>
      <c r="B396" s="248"/>
      <c r="C396" s="254"/>
      <c r="D396" s="255"/>
      <c r="E396" s="255"/>
      <c r="F396" s="256"/>
      <c r="G396" s="257"/>
      <c r="H396" s="258"/>
      <c r="I396" s="255"/>
      <c r="J396" s="255"/>
      <c r="K396" s="255"/>
      <c r="L396" s="255"/>
      <c r="M396" s="11"/>
      <c r="N396" s="352"/>
      <c r="O396" s="11"/>
      <c r="P396" s="11"/>
      <c r="Q396" s="11"/>
      <c r="R396" s="11"/>
      <c r="S396" s="11"/>
      <c r="T396" s="11"/>
      <c r="U396" s="11"/>
    </row>
    <row r="397" spans="1:21" ht="16.5" customHeight="1" x14ac:dyDescent="0.25">
      <c r="A397" s="253"/>
      <c r="B397" s="248"/>
      <c r="C397" s="254"/>
      <c r="D397" s="255"/>
      <c r="E397" s="255"/>
      <c r="F397" s="256"/>
      <c r="G397" s="257"/>
      <c r="H397" s="258"/>
      <c r="I397" s="255"/>
      <c r="J397" s="255"/>
      <c r="K397" s="255"/>
      <c r="L397" s="255"/>
      <c r="M397" s="11"/>
      <c r="N397" s="352"/>
      <c r="O397" s="11"/>
      <c r="P397" s="11"/>
      <c r="Q397" s="11"/>
      <c r="R397" s="11"/>
      <c r="S397" s="11"/>
      <c r="T397" s="11"/>
      <c r="U397" s="11"/>
    </row>
    <row r="398" spans="1:21" ht="16.5" customHeight="1" x14ac:dyDescent="0.25">
      <c r="A398" s="253"/>
      <c r="B398" s="248"/>
      <c r="C398" s="254"/>
      <c r="D398" s="255"/>
      <c r="E398" s="255"/>
      <c r="F398" s="256"/>
      <c r="G398" s="257"/>
      <c r="H398" s="258"/>
      <c r="I398" s="255"/>
      <c r="J398" s="255"/>
      <c r="K398" s="255"/>
      <c r="L398" s="255"/>
      <c r="M398" s="11"/>
      <c r="N398" s="352"/>
      <c r="O398" s="11"/>
      <c r="P398" s="11"/>
      <c r="Q398" s="11"/>
      <c r="R398" s="11"/>
      <c r="S398" s="11"/>
      <c r="T398" s="11"/>
      <c r="U398" s="11"/>
    </row>
    <row r="399" spans="1:21" ht="16.5" customHeight="1" x14ac:dyDescent="0.25">
      <c r="A399" s="253"/>
      <c r="B399" s="248"/>
      <c r="C399" s="254"/>
      <c r="D399" s="255"/>
      <c r="E399" s="255"/>
      <c r="F399" s="256"/>
      <c r="G399" s="257"/>
      <c r="H399" s="258"/>
      <c r="I399" s="255"/>
      <c r="J399" s="255"/>
      <c r="K399" s="255"/>
      <c r="L399" s="255"/>
      <c r="M399" s="11"/>
      <c r="N399" s="352"/>
      <c r="O399" s="11"/>
      <c r="P399" s="11"/>
      <c r="Q399" s="11"/>
      <c r="R399" s="11"/>
      <c r="S399" s="11"/>
      <c r="T399" s="11"/>
      <c r="U399" s="11"/>
    </row>
    <row r="400" spans="1:21" ht="16.5" customHeight="1" x14ac:dyDescent="0.25">
      <c r="A400" s="253"/>
      <c r="B400" s="248"/>
      <c r="C400" s="254"/>
      <c r="D400" s="255"/>
      <c r="E400" s="255"/>
      <c r="F400" s="256"/>
      <c r="G400" s="257"/>
      <c r="H400" s="258"/>
      <c r="I400" s="255"/>
      <c r="J400" s="255"/>
      <c r="K400" s="255"/>
      <c r="L400" s="255"/>
      <c r="M400" s="11"/>
      <c r="N400" s="352"/>
      <c r="O400" s="11"/>
      <c r="P400" s="11"/>
      <c r="Q400" s="11"/>
      <c r="R400" s="11"/>
      <c r="S400" s="11"/>
      <c r="T400" s="11"/>
      <c r="U400" s="11"/>
    </row>
    <row r="401" spans="1:21" ht="16.5" customHeight="1" x14ac:dyDescent="0.25">
      <c r="A401" s="253"/>
      <c r="B401" s="248"/>
      <c r="C401" s="254"/>
      <c r="D401" s="255"/>
      <c r="E401" s="255"/>
      <c r="F401" s="256"/>
      <c r="G401" s="257"/>
      <c r="H401" s="258"/>
      <c r="I401" s="255"/>
      <c r="J401" s="255"/>
      <c r="K401" s="255"/>
      <c r="L401" s="255"/>
      <c r="M401" s="11"/>
      <c r="N401" s="352"/>
      <c r="O401" s="11"/>
      <c r="P401" s="11"/>
      <c r="Q401" s="11"/>
      <c r="R401" s="11"/>
      <c r="S401" s="11"/>
      <c r="T401" s="11"/>
      <c r="U401" s="11"/>
    </row>
    <row r="402" spans="1:21" ht="16.5" customHeight="1" x14ac:dyDescent="0.25">
      <c r="A402" s="253"/>
      <c r="B402" s="248"/>
      <c r="C402" s="254"/>
      <c r="D402" s="255"/>
      <c r="E402" s="255"/>
      <c r="F402" s="256"/>
      <c r="G402" s="257"/>
      <c r="H402" s="258"/>
      <c r="I402" s="255"/>
      <c r="J402" s="255"/>
      <c r="K402" s="255"/>
      <c r="L402" s="255"/>
      <c r="M402" s="11"/>
      <c r="N402" s="352"/>
      <c r="O402" s="11"/>
      <c r="P402" s="11"/>
      <c r="Q402" s="11"/>
      <c r="R402" s="11"/>
      <c r="S402" s="11"/>
      <c r="T402" s="11"/>
      <c r="U402" s="11"/>
    </row>
    <row r="403" spans="1:21" ht="16.5" customHeight="1" x14ac:dyDescent="0.25">
      <c r="A403" s="253"/>
      <c r="B403" s="248"/>
      <c r="C403" s="254"/>
      <c r="D403" s="255"/>
      <c r="E403" s="255"/>
      <c r="F403" s="256"/>
      <c r="G403" s="257"/>
      <c r="H403" s="258"/>
      <c r="I403" s="255"/>
      <c r="J403" s="255"/>
      <c r="K403" s="255"/>
      <c r="L403" s="255"/>
      <c r="M403" s="11"/>
      <c r="N403" s="352"/>
      <c r="O403" s="11"/>
      <c r="P403" s="11"/>
      <c r="Q403" s="11"/>
      <c r="R403" s="11"/>
      <c r="S403" s="11"/>
      <c r="T403" s="11"/>
      <c r="U403" s="11"/>
    </row>
    <row r="404" spans="1:21" ht="16.5" customHeight="1" x14ac:dyDescent="0.25">
      <c r="A404" s="253"/>
      <c r="B404" s="248"/>
      <c r="C404" s="254"/>
      <c r="D404" s="255"/>
      <c r="E404" s="255"/>
      <c r="F404" s="256"/>
      <c r="G404" s="257"/>
      <c r="H404" s="258"/>
      <c r="I404" s="255"/>
      <c r="J404" s="255"/>
      <c r="K404" s="255"/>
      <c r="L404" s="255"/>
      <c r="M404" s="11"/>
      <c r="N404" s="352"/>
      <c r="O404" s="11"/>
      <c r="P404" s="11"/>
      <c r="Q404" s="11"/>
      <c r="R404" s="11"/>
      <c r="S404" s="11"/>
      <c r="T404" s="11"/>
      <c r="U404" s="11"/>
    </row>
    <row r="405" spans="1:21" ht="16.5" customHeight="1" x14ac:dyDescent="0.25">
      <c r="A405" s="253"/>
      <c r="B405" s="248"/>
      <c r="C405" s="254"/>
      <c r="D405" s="255"/>
      <c r="E405" s="255"/>
      <c r="F405" s="256"/>
      <c r="G405" s="257"/>
      <c r="H405" s="258"/>
      <c r="I405" s="255"/>
      <c r="J405" s="255"/>
      <c r="K405" s="255"/>
      <c r="L405" s="255"/>
      <c r="M405" s="11"/>
      <c r="N405" s="352"/>
      <c r="O405" s="11"/>
      <c r="P405" s="11"/>
      <c r="Q405" s="11"/>
      <c r="R405" s="11"/>
      <c r="S405" s="11"/>
      <c r="T405" s="11"/>
      <c r="U405" s="11"/>
    </row>
    <row r="406" spans="1:21" ht="16.5" customHeight="1" x14ac:dyDescent="0.25">
      <c r="A406" s="253"/>
      <c r="B406" s="248"/>
      <c r="C406" s="254"/>
      <c r="D406" s="255"/>
      <c r="E406" s="255"/>
      <c r="F406" s="256"/>
      <c r="G406" s="257"/>
      <c r="H406" s="258"/>
      <c r="I406" s="255"/>
      <c r="J406" s="255"/>
      <c r="K406" s="255"/>
      <c r="L406" s="255"/>
      <c r="M406" s="11"/>
      <c r="N406" s="352"/>
      <c r="O406" s="11"/>
      <c r="P406" s="11"/>
      <c r="Q406" s="11"/>
      <c r="R406" s="11"/>
      <c r="S406" s="11"/>
      <c r="T406" s="11"/>
      <c r="U406" s="11"/>
    </row>
    <row r="407" spans="1:21" ht="16.5" customHeight="1" x14ac:dyDescent="0.25">
      <c r="A407" s="253"/>
      <c r="B407" s="248"/>
      <c r="C407" s="254"/>
      <c r="D407" s="255"/>
      <c r="E407" s="255"/>
      <c r="F407" s="256"/>
      <c r="G407" s="257"/>
      <c r="H407" s="258"/>
      <c r="I407" s="255"/>
      <c r="J407" s="255"/>
      <c r="K407" s="255"/>
      <c r="L407" s="255"/>
      <c r="M407" s="11"/>
      <c r="N407" s="352"/>
      <c r="O407" s="11"/>
      <c r="P407" s="11"/>
      <c r="Q407" s="11"/>
      <c r="R407" s="11"/>
      <c r="S407" s="11"/>
      <c r="T407" s="11"/>
      <c r="U407" s="11"/>
    </row>
    <row r="408" spans="1:21" ht="16.5" customHeight="1" x14ac:dyDescent="0.25">
      <c r="A408" s="253"/>
      <c r="B408" s="248"/>
      <c r="C408" s="254"/>
      <c r="D408" s="255"/>
      <c r="E408" s="255"/>
      <c r="F408" s="256"/>
      <c r="G408" s="257"/>
      <c r="H408" s="258"/>
      <c r="I408" s="255"/>
      <c r="J408" s="255"/>
      <c r="K408" s="255"/>
      <c r="L408" s="255"/>
      <c r="M408" s="11"/>
      <c r="N408" s="352"/>
      <c r="O408" s="11"/>
      <c r="P408" s="11"/>
      <c r="Q408" s="11"/>
      <c r="R408" s="11"/>
      <c r="S408" s="11"/>
      <c r="T408" s="11"/>
      <c r="U408" s="11"/>
    </row>
    <row r="409" spans="1:21" ht="16.5" customHeight="1" x14ac:dyDescent="0.25">
      <c r="A409" s="253"/>
      <c r="B409" s="248"/>
      <c r="C409" s="254"/>
      <c r="D409" s="255"/>
      <c r="E409" s="255"/>
      <c r="F409" s="256"/>
      <c r="G409" s="257"/>
      <c r="H409" s="258"/>
      <c r="I409" s="255"/>
      <c r="J409" s="255"/>
      <c r="K409" s="255"/>
      <c r="L409" s="255"/>
      <c r="M409" s="11"/>
      <c r="N409" s="352"/>
      <c r="O409" s="11"/>
      <c r="P409" s="11"/>
      <c r="Q409" s="11"/>
      <c r="R409" s="11"/>
      <c r="S409" s="11"/>
      <c r="T409" s="11"/>
      <c r="U409" s="11"/>
    </row>
    <row r="410" spans="1:21" ht="16.5" customHeight="1" x14ac:dyDescent="0.25">
      <c r="A410" s="253"/>
      <c r="B410" s="248"/>
      <c r="C410" s="254"/>
      <c r="D410" s="255"/>
      <c r="E410" s="255"/>
      <c r="F410" s="256"/>
      <c r="G410" s="257"/>
      <c r="H410" s="258"/>
      <c r="I410" s="255"/>
      <c r="J410" s="255"/>
      <c r="K410" s="255"/>
      <c r="L410" s="255"/>
      <c r="M410" s="11"/>
      <c r="N410" s="352"/>
      <c r="O410" s="11"/>
      <c r="P410" s="11"/>
      <c r="Q410" s="11"/>
      <c r="R410" s="11"/>
      <c r="S410" s="11"/>
      <c r="T410" s="11"/>
      <c r="U410" s="11"/>
    </row>
    <row r="411" spans="1:21" ht="16.5" customHeight="1" x14ac:dyDescent="0.25">
      <c r="A411" s="253"/>
      <c r="B411" s="248"/>
      <c r="C411" s="254"/>
      <c r="D411" s="255"/>
      <c r="E411" s="255"/>
      <c r="F411" s="256"/>
      <c r="G411" s="257"/>
      <c r="H411" s="258"/>
      <c r="I411" s="255"/>
      <c r="J411" s="255"/>
      <c r="K411" s="255"/>
      <c r="L411" s="255"/>
      <c r="M411" s="11"/>
      <c r="N411" s="352"/>
      <c r="O411" s="11"/>
      <c r="P411" s="11"/>
      <c r="Q411" s="11"/>
      <c r="R411" s="11"/>
      <c r="S411" s="11"/>
      <c r="T411" s="11"/>
      <c r="U411" s="11"/>
    </row>
    <row r="412" spans="1:21" ht="16.5" customHeight="1" x14ac:dyDescent="0.25">
      <c r="A412" s="253"/>
      <c r="B412" s="248"/>
      <c r="C412" s="254"/>
      <c r="D412" s="255"/>
      <c r="E412" s="255"/>
      <c r="F412" s="256"/>
      <c r="G412" s="257"/>
      <c r="H412" s="258"/>
      <c r="I412" s="255"/>
      <c r="J412" s="255"/>
      <c r="K412" s="255"/>
      <c r="L412" s="255"/>
      <c r="M412" s="11"/>
      <c r="N412" s="352"/>
      <c r="O412" s="11"/>
      <c r="P412" s="11"/>
      <c r="Q412" s="11"/>
      <c r="R412" s="11"/>
      <c r="S412" s="11"/>
      <c r="T412" s="11"/>
      <c r="U412" s="11"/>
    </row>
    <row r="413" spans="1:21" ht="16.5" customHeight="1" x14ac:dyDescent="0.25">
      <c r="A413" s="253"/>
      <c r="B413" s="248"/>
      <c r="C413" s="254"/>
      <c r="D413" s="255"/>
      <c r="E413" s="255"/>
      <c r="F413" s="256"/>
      <c r="G413" s="257"/>
      <c r="H413" s="258"/>
      <c r="I413" s="255"/>
      <c r="J413" s="255"/>
      <c r="K413" s="255"/>
      <c r="L413" s="255"/>
      <c r="M413" s="11"/>
      <c r="N413" s="352"/>
      <c r="O413" s="11"/>
      <c r="P413" s="11"/>
      <c r="Q413" s="11"/>
      <c r="R413" s="11"/>
      <c r="S413" s="11"/>
      <c r="T413" s="11"/>
      <c r="U413" s="11"/>
    </row>
    <row r="414" spans="1:21" ht="16.5" customHeight="1" x14ac:dyDescent="0.25">
      <c r="A414" s="253"/>
      <c r="B414" s="248"/>
      <c r="C414" s="254"/>
      <c r="D414" s="255"/>
      <c r="E414" s="255"/>
      <c r="F414" s="256"/>
      <c r="G414" s="257"/>
      <c r="H414" s="258"/>
      <c r="I414" s="255"/>
      <c r="J414" s="255"/>
      <c r="K414" s="255"/>
      <c r="L414" s="255"/>
      <c r="M414" s="11"/>
      <c r="N414" s="352"/>
      <c r="O414" s="11"/>
      <c r="P414" s="11"/>
      <c r="Q414" s="11"/>
      <c r="R414" s="11"/>
      <c r="S414" s="11"/>
      <c r="T414" s="11"/>
      <c r="U414" s="11"/>
    </row>
    <row r="415" spans="1:21" ht="16.5" customHeight="1" x14ac:dyDescent="0.25">
      <c r="A415" s="253"/>
      <c r="B415" s="248"/>
      <c r="C415" s="254"/>
      <c r="D415" s="255"/>
      <c r="E415" s="255"/>
      <c r="F415" s="256"/>
      <c r="G415" s="257"/>
      <c r="H415" s="258"/>
      <c r="I415" s="255"/>
      <c r="J415" s="255"/>
      <c r="K415" s="255"/>
      <c r="L415" s="255"/>
      <c r="M415" s="11"/>
      <c r="N415" s="352"/>
      <c r="O415" s="11"/>
      <c r="P415" s="11"/>
      <c r="Q415" s="11"/>
      <c r="R415" s="11"/>
      <c r="S415" s="11"/>
      <c r="T415" s="11"/>
      <c r="U415" s="11"/>
    </row>
    <row r="416" spans="1:21" ht="16.5" customHeight="1" x14ac:dyDescent="0.25">
      <c r="A416" s="253"/>
      <c r="B416" s="248"/>
      <c r="C416" s="254"/>
      <c r="D416" s="255"/>
      <c r="E416" s="255"/>
      <c r="F416" s="256"/>
      <c r="G416" s="257"/>
      <c r="H416" s="258"/>
      <c r="I416" s="255"/>
      <c r="J416" s="255"/>
      <c r="K416" s="255"/>
      <c r="L416" s="255"/>
      <c r="M416" s="11"/>
      <c r="N416" s="352"/>
      <c r="O416" s="11"/>
      <c r="P416" s="11"/>
      <c r="Q416" s="11"/>
      <c r="R416" s="11"/>
      <c r="S416" s="11"/>
      <c r="T416" s="11"/>
      <c r="U416" s="11"/>
    </row>
    <row r="417" spans="1:21" ht="16.5" customHeight="1" x14ac:dyDescent="0.25">
      <c r="A417" s="253"/>
      <c r="B417" s="248"/>
      <c r="C417" s="254"/>
      <c r="D417" s="255"/>
      <c r="E417" s="255"/>
      <c r="F417" s="256"/>
      <c r="G417" s="257"/>
      <c r="H417" s="258"/>
      <c r="I417" s="255"/>
      <c r="J417" s="255"/>
      <c r="K417" s="255"/>
      <c r="L417" s="255"/>
      <c r="M417" s="11"/>
      <c r="N417" s="352"/>
      <c r="O417" s="11"/>
      <c r="P417" s="11"/>
      <c r="Q417" s="11"/>
      <c r="R417" s="11"/>
      <c r="S417" s="11"/>
      <c r="T417" s="11"/>
      <c r="U417" s="11"/>
    </row>
    <row r="418" spans="1:21" ht="16.5" customHeight="1" x14ac:dyDescent="0.25">
      <c r="A418" s="253"/>
      <c r="B418" s="248"/>
      <c r="C418" s="254"/>
      <c r="D418" s="255"/>
      <c r="E418" s="255"/>
      <c r="F418" s="256"/>
      <c r="G418" s="257"/>
      <c r="H418" s="258"/>
      <c r="I418" s="255"/>
      <c r="J418" s="255"/>
      <c r="K418" s="255"/>
      <c r="L418" s="255"/>
      <c r="M418" s="11"/>
      <c r="N418" s="352"/>
      <c r="O418" s="11"/>
      <c r="P418" s="11"/>
      <c r="Q418" s="11"/>
      <c r="R418" s="11"/>
      <c r="S418" s="11"/>
      <c r="T418" s="11"/>
      <c r="U418" s="11"/>
    </row>
    <row r="419" spans="1:21" ht="16.5" customHeight="1" x14ac:dyDescent="0.25">
      <c r="A419" s="253"/>
      <c r="B419" s="248"/>
      <c r="C419" s="254"/>
      <c r="D419" s="255"/>
      <c r="E419" s="255"/>
      <c r="F419" s="256"/>
      <c r="G419" s="257"/>
      <c r="H419" s="258"/>
      <c r="I419" s="255"/>
      <c r="J419" s="255"/>
      <c r="K419" s="255"/>
      <c r="L419" s="255"/>
      <c r="M419" s="11"/>
      <c r="N419" s="352"/>
      <c r="O419" s="11"/>
      <c r="P419" s="11"/>
      <c r="Q419" s="11"/>
      <c r="R419" s="11"/>
      <c r="S419" s="11"/>
      <c r="T419" s="11"/>
      <c r="U419" s="11"/>
    </row>
    <row r="420" spans="1:21" ht="16.5" customHeight="1" x14ac:dyDescent="0.25">
      <c r="A420" s="253"/>
      <c r="B420" s="248"/>
      <c r="C420" s="254"/>
      <c r="D420" s="255"/>
      <c r="E420" s="255"/>
      <c r="F420" s="256"/>
      <c r="G420" s="257"/>
      <c r="H420" s="258"/>
      <c r="I420" s="255"/>
      <c r="J420" s="255"/>
      <c r="K420" s="255"/>
      <c r="L420" s="255"/>
      <c r="M420" s="11"/>
      <c r="N420" s="352"/>
      <c r="O420" s="11"/>
      <c r="P420" s="11"/>
      <c r="Q420" s="11"/>
      <c r="R420" s="11"/>
      <c r="S420" s="11"/>
      <c r="T420" s="11"/>
      <c r="U420" s="11"/>
    </row>
    <row r="421" spans="1:21" ht="16.5" customHeight="1" x14ac:dyDescent="0.25">
      <c r="A421" s="253"/>
      <c r="B421" s="248"/>
      <c r="C421" s="254"/>
      <c r="D421" s="255"/>
      <c r="E421" s="255"/>
      <c r="F421" s="256"/>
      <c r="G421" s="257"/>
      <c r="H421" s="258"/>
      <c r="I421" s="255"/>
      <c r="J421" s="255"/>
      <c r="K421" s="255"/>
      <c r="L421" s="255"/>
      <c r="M421" s="11"/>
      <c r="N421" s="352"/>
      <c r="O421" s="11"/>
      <c r="P421" s="11"/>
      <c r="Q421" s="11"/>
      <c r="R421" s="11"/>
      <c r="S421" s="11"/>
      <c r="T421" s="11"/>
      <c r="U421" s="11"/>
    </row>
    <row r="422" spans="1:21" ht="16.5" customHeight="1" x14ac:dyDescent="0.25">
      <c r="A422" s="253"/>
      <c r="B422" s="248"/>
      <c r="C422" s="254"/>
      <c r="D422" s="255"/>
      <c r="E422" s="255"/>
      <c r="F422" s="256"/>
      <c r="G422" s="257"/>
      <c r="H422" s="258"/>
      <c r="I422" s="255"/>
      <c r="J422" s="255"/>
      <c r="K422" s="255"/>
      <c r="L422" s="255"/>
      <c r="M422" s="11"/>
      <c r="N422" s="352"/>
      <c r="O422" s="11"/>
      <c r="P422" s="11"/>
      <c r="Q422" s="11"/>
      <c r="R422" s="11"/>
      <c r="S422" s="11"/>
      <c r="T422" s="11"/>
      <c r="U422" s="11"/>
    </row>
    <row r="423" spans="1:21" ht="16.5" customHeight="1" x14ac:dyDescent="0.25">
      <c r="A423" s="253"/>
      <c r="B423" s="248"/>
      <c r="C423" s="254"/>
      <c r="D423" s="255"/>
      <c r="E423" s="255"/>
      <c r="F423" s="256"/>
      <c r="G423" s="257"/>
      <c r="H423" s="258"/>
      <c r="I423" s="255"/>
      <c r="J423" s="255"/>
      <c r="K423" s="255"/>
      <c r="L423" s="255"/>
      <c r="M423" s="11"/>
      <c r="N423" s="352"/>
      <c r="O423" s="11"/>
      <c r="P423" s="11"/>
      <c r="Q423" s="11"/>
      <c r="R423" s="11"/>
      <c r="S423" s="11"/>
      <c r="T423" s="11"/>
      <c r="U423" s="11"/>
    </row>
    <row r="424" spans="1:21" ht="16.5" customHeight="1" x14ac:dyDescent="0.25">
      <c r="A424" s="253"/>
      <c r="B424" s="248"/>
      <c r="C424" s="254"/>
      <c r="D424" s="255"/>
      <c r="E424" s="255"/>
      <c r="F424" s="256"/>
      <c r="G424" s="257"/>
      <c r="H424" s="258"/>
      <c r="I424" s="255"/>
      <c r="J424" s="255"/>
      <c r="K424" s="255"/>
      <c r="L424" s="255"/>
      <c r="M424" s="11"/>
      <c r="N424" s="352"/>
      <c r="O424" s="11"/>
      <c r="P424" s="11"/>
      <c r="Q424" s="11"/>
      <c r="R424" s="11"/>
      <c r="S424" s="11"/>
      <c r="T424" s="11"/>
      <c r="U424" s="11"/>
    </row>
    <row r="425" spans="1:21" ht="16.5" customHeight="1" x14ac:dyDescent="0.25">
      <c r="A425" s="253"/>
      <c r="B425" s="248"/>
      <c r="C425" s="254"/>
      <c r="D425" s="255"/>
      <c r="E425" s="255"/>
      <c r="F425" s="256"/>
      <c r="G425" s="257"/>
      <c r="H425" s="258"/>
      <c r="I425" s="255"/>
      <c r="J425" s="255"/>
      <c r="K425" s="255"/>
      <c r="L425" s="255"/>
      <c r="M425" s="11"/>
      <c r="N425" s="352"/>
      <c r="O425" s="11"/>
      <c r="P425" s="11"/>
      <c r="Q425" s="11"/>
      <c r="R425" s="11"/>
      <c r="S425" s="11"/>
      <c r="T425" s="11"/>
      <c r="U425" s="11"/>
    </row>
    <row r="426" spans="1:21" ht="16.5" customHeight="1" x14ac:dyDescent="0.25">
      <c r="A426" s="253"/>
      <c r="B426" s="248"/>
      <c r="C426" s="254"/>
      <c r="D426" s="255"/>
      <c r="E426" s="255"/>
      <c r="F426" s="256"/>
      <c r="G426" s="257"/>
      <c r="H426" s="258"/>
      <c r="I426" s="255"/>
      <c r="J426" s="255"/>
      <c r="K426" s="255"/>
      <c r="L426" s="255"/>
      <c r="M426" s="11"/>
      <c r="N426" s="352"/>
      <c r="O426" s="11"/>
      <c r="P426" s="11"/>
      <c r="Q426" s="11"/>
      <c r="R426" s="11"/>
      <c r="S426" s="11"/>
      <c r="T426" s="11"/>
      <c r="U426" s="11"/>
    </row>
    <row r="427" spans="1:21" ht="16.5" customHeight="1" x14ac:dyDescent="0.25">
      <c r="A427" s="253"/>
      <c r="B427" s="248"/>
      <c r="C427" s="254"/>
      <c r="D427" s="255"/>
      <c r="E427" s="255"/>
      <c r="F427" s="256"/>
      <c r="G427" s="257"/>
      <c r="H427" s="258"/>
      <c r="I427" s="255"/>
      <c r="J427" s="255"/>
      <c r="K427" s="255"/>
      <c r="L427" s="255"/>
      <c r="M427" s="11"/>
      <c r="N427" s="352"/>
      <c r="O427" s="11"/>
      <c r="P427" s="11"/>
      <c r="Q427" s="11"/>
      <c r="R427" s="11"/>
      <c r="S427" s="11"/>
      <c r="T427" s="11"/>
      <c r="U427" s="11"/>
    </row>
    <row r="428" spans="1:21" ht="16.5" customHeight="1" x14ac:dyDescent="0.25">
      <c r="A428" s="253"/>
      <c r="B428" s="248"/>
      <c r="C428" s="254"/>
      <c r="D428" s="255"/>
      <c r="E428" s="255"/>
      <c r="F428" s="256"/>
      <c r="G428" s="257"/>
      <c r="H428" s="258"/>
      <c r="I428" s="255"/>
      <c r="J428" s="255"/>
      <c r="K428" s="255"/>
      <c r="L428" s="255"/>
      <c r="M428" s="11"/>
      <c r="N428" s="352"/>
      <c r="O428" s="11"/>
      <c r="P428" s="11"/>
      <c r="Q428" s="11"/>
      <c r="R428" s="11"/>
      <c r="S428" s="11"/>
      <c r="T428" s="11"/>
      <c r="U428" s="11"/>
    </row>
    <row r="429" spans="1:21" ht="16.5" customHeight="1" x14ac:dyDescent="0.25">
      <c r="A429" s="253"/>
      <c r="B429" s="248"/>
      <c r="C429" s="254"/>
      <c r="D429" s="255"/>
      <c r="E429" s="255"/>
      <c r="F429" s="256"/>
      <c r="G429" s="257"/>
      <c r="H429" s="258"/>
      <c r="I429" s="255"/>
      <c r="J429" s="255"/>
      <c r="K429" s="255"/>
      <c r="L429" s="255"/>
      <c r="M429" s="11"/>
      <c r="N429" s="352"/>
      <c r="O429" s="11"/>
      <c r="P429" s="11"/>
      <c r="Q429" s="11"/>
      <c r="R429" s="11"/>
      <c r="S429" s="11"/>
      <c r="T429" s="11"/>
      <c r="U429" s="11"/>
    </row>
    <row r="430" spans="1:21" ht="16.5" customHeight="1" x14ac:dyDescent="0.25">
      <c r="A430" s="253"/>
      <c r="B430" s="248"/>
      <c r="C430" s="254"/>
      <c r="D430" s="255"/>
      <c r="E430" s="255"/>
      <c r="F430" s="256"/>
      <c r="G430" s="257"/>
      <c r="H430" s="258"/>
      <c r="I430" s="255"/>
      <c r="J430" s="255"/>
      <c r="K430" s="255"/>
      <c r="L430" s="255"/>
      <c r="M430" s="11"/>
      <c r="N430" s="352"/>
      <c r="O430" s="11"/>
      <c r="P430" s="11"/>
      <c r="Q430" s="11"/>
      <c r="R430" s="11"/>
      <c r="S430" s="11"/>
      <c r="T430" s="11"/>
      <c r="U430" s="11"/>
    </row>
    <row r="431" spans="1:21" ht="16.5" customHeight="1" x14ac:dyDescent="0.25">
      <c r="A431" s="253"/>
      <c r="B431" s="248"/>
      <c r="C431" s="254"/>
      <c r="D431" s="255"/>
      <c r="E431" s="255"/>
      <c r="F431" s="256"/>
      <c r="G431" s="257"/>
      <c r="H431" s="258"/>
      <c r="I431" s="255"/>
      <c r="J431" s="255"/>
      <c r="K431" s="255"/>
      <c r="L431" s="255"/>
      <c r="M431" s="11"/>
      <c r="N431" s="352"/>
      <c r="O431" s="11"/>
      <c r="P431" s="11"/>
      <c r="Q431" s="11"/>
      <c r="R431" s="11"/>
      <c r="S431" s="11"/>
      <c r="T431" s="11"/>
      <c r="U431" s="11"/>
    </row>
    <row r="432" spans="1:21" ht="16.5" customHeight="1" x14ac:dyDescent="0.25">
      <c r="A432" s="253"/>
      <c r="B432" s="248"/>
      <c r="C432" s="254"/>
      <c r="D432" s="255"/>
      <c r="E432" s="255"/>
      <c r="F432" s="256"/>
      <c r="G432" s="257"/>
      <c r="H432" s="258"/>
      <c r="I432" s="255"/>
      <c r="J432" s="255"/>
      <c r="K432" s="255"/>
      <c r="L432" s="255"/>
      <c r="M432" s="11"/>
      <c r="N432" s="352"/>
      <c r="O432" s="11"/>
      <c r="P432" s="11"/>
      <c r="Q432" s="11"/>
      <c r="R432" s="11"/>
      <c r="S432" s="11"/>
      <c r="T432" s="11"/>
      <c r="U432" s="11"/>
    </row>
    <row r="433" spans="1:21" ht="16.5" customHeight="1" x14ac:dyDescent="0.25">
      <c r="A433" s="253"/>
      <c r="B433" s="248"/>
      <c r="C433" s="254"/>
      <c r="D433" s="255"/>
      <c r="E433" s="255"/>
      <c r="F433" s="256"/>
      <c r="G433" s="257"/>
      <c r="H433" s="258"/>
      <c r="I433" s="255"/>
      <c r="J433" s="255"/>
      <c r="K433" s="255"/>
      <c r="L433" s="255"/>
      <c r="M433" s="11"/>
      <c r="N433" s="352"/>
      <c r="O433" s="11"/>
      <c r="P433" s="11"/>
      <c r="Q433" s="11"/>
      <c r="R433" s="11"/>
      <c r="S433" s="11"/>
      <c r="T433" s="11"/>
      <c r="U433" s="11"/>
    </row>
    <row r="434" spans="1:21" ht="16.5" customHeight="1" x14ac:dyDescent="0.25">
      <c r="A434" s="253"/>
      <c r="B434" s="248"/>
      <c r="C434" s="254"/>
      <c r="D434" s="255"/>
      <c r="E434" s="255"/>
      <c r="F434" s="256"/>
      <c r="G434" s="257"/>
      <c r="H434" s="258"/>
      <c r="I434" s="255"/>
      <c r="J434" s="255"/>
      <c r="K434" s="255"/>
      <c r="L434" s="255"/>
      <c r="M434" s="11"/>
      <c r="N434" s="352"/>
      <c r="O434" s="11"/>
      <c r="P434" s="11"/>
      <c r="Q434" s="11"/>
      <c r="R434" s="11"/>
      <c r="S434" s="11"/>
      <c r="T434" s="11"/>
      <c r="U434" s="11"/>
    </row>
    <row r="435" spans="1:21" ht="16.5" customHeight="1" x14ac:dyDescent="0.25">
      <c r="A435" s="253"/>
      <c r="B435" s="248"/>
      <c r="C435" s="254"/>
      <c r="D435" s="255"/>
      <c r="E435" s="255"/>
      <c r="F435" s="256"/>
      <c r="G435" s="257"/>
      <c r="H435" s="258"/>
      <c r="I435" s="255"/>
      <c r="J435" s="255"/>
      <c r="K435" s="255"/>
      <c r="L435" s="255"/>
      <c r="M435" s="11"/>
      <c r="N435" s="352"/>
      <c r="O435" s="11"/>
      <c r="P435" s="11"/>
      <c r="Q435" s="11"/>
      <c r="R435" s="11"/>
      <c r="S435" s="11"/>
      <c r="T435" s="11"/>
      <c r="U435" s="11"/>
    </row>
    <row r="436" spans="1:21" ht="16.5" customHeight="1" x14ac:dyDescent="0.25">
      <c r="A436" s="253"/>
      <c r="B436" s="248"/>
      <c r="C436" s="254"/>
      <c r="D436" s="255"/>
      <c r="E436" s="255"/>
      <c r="F436" s="256"/>
      <c r="G436" s="257"/>
      <c r="H436" s="258"/>
      <c r="I436" s="255"/>
      <c r="J436" s="255"/>
      <c r="K436" s="255"/>
      <c r="L436" s="255"/>
      <c r="M436" s="11"/>
      <c r="N436" s="352"/>
      <c r="O436" s="11"/>
      <c r="P436" s="11"/>
      <c r="Q436" s="11"/>
      <c r="R436" s="11"/>
      <c r="S436" s="11"/>
      <c r="T436" s="11"/>
      <c r="U436" s="11"/>
    </row>
    <row r="437" spans="1:21" ht="16.5" customHeight="1" x14ac:dyDescent="0.25">
      <c r="A437" s="253"/>
      <c r="B437" s="248"/>
      <c r="C437" s="254"/>
      <c r="D437" s="255"/>
      <c r="E437" s="255"/>
      <c r="F437" s="256"/>
      <c r="G437" s="257"/>
      <c r="H437" s="258"/>
      <c r="I437" s="255"/>
      <c r="J437" s="255"/>
      <c r="K437" s="255"/>
      <c r="L437" s="255"/>
      <c r="M437" s="11"/>
      <c r="N437" s="352"/>
      <c r="O437" s="11"/>
      <c r="P437" s="11"/>
      <c r="Q437" s="11"/>
      <c r="R437" s="11"/>
      <c r="S437" s="11"/>
      <c r="T437" s="11"/>
      <c r="U437" s="11"/>
    </row>
    <row r="438" spans="1:21" ht="16.5" customHeight="1" x14ac:dyDescent="0.25">
      <c r="A438" s="253"/>
      <c r="B438" s="248"/>
      <c r="C438" s="254"/>
      <c r="D438" s="255"/>
      <c r="E438" s="255"/>
      <c r="F438" s="256"/>
      <c r="G438" s="257"/>
      <c r="H438" s="258"/>
      <c r="I438" s="255"/>
      <c r="J438" s="255"/>
      <c r="K438" s="255"/>
      <c r="L438" s="255"/>
      <c r="M438" s="11"/>
      <c r="N438" s="352"/>
      <c r="O438" s="11"/>
      <c r="P438" s="11"/>
      <c r="Q438" s="11"/>
      <c r="R438" s="11"/>
      <c r="S438" s="11"/>
      <c r="T438" s="11"/>
      <c r="U438" s="11"/>
    </row>
    <row r="439" spans="1:21" ht="16.5" customHeight="1" x14ac:dyDescent="0.25">
      <c r="A439" s="253"/>
      <c r="B439" s="248"/>
      <c r="C439" s="254"/>
      <c r="D439" s="255"/>
      <c r="E439" s="255"/>
      <c r="F439" s="256"/>
      <c r="G439" s="257"/>
      <c r="H439" s="258"/>
      <c r="I439" s="255"/>
      <c r="J439" s="255"/>
      <c r="K439" s="255"/>
      <c r="L439" s="255"/>
      <c r="M439" s="11"/>
      <c r="N439" s="352"/>
      <c r="O439" s="11"/>
      <c r="P439" s="11"/>
      <c r="Q439" s="11"/>
      <c r="R439" s="11"/>
      <c r="S439" s="11"/>
      <c r="T439" s="11"/>
      <c r="U439" s="11"/>
    </row>
    <row r="440" spans="1:21" ht="16.5" customHeight="1" x14ac:dyDescent="0.25">
      <c r="A440" s="253"/>
      <c r="B440" s="248"/>
      <c r="C440" s="254"/>
      <c r="D440" s="255"/>
      <c r="E440" s="255"/>
      <c r="F440" s="256"/>
      <c r="G440" s="257"/>
      <c r="H440" s="258"/>
      <c r="I440" s="255"/>
      <c r="J440" s="255"/>
      <c r="K440" s="255"/>
      <c r="L440" s="255"/>
      <c r="M440" s="11"/>
      <c r="N440" s="352"/>
      <c r="O440" s="11"/>
      <c r="P440" s="11"/>
      <c r="Q440" s="11"/>
      <c r="R440" s="11"/>
      <c r="S440" s="11"/>
      <c r="T440" s="11"/>
      <c r="U440" s="11"/>
    </row>
    <row r="441" spans="1:21" ht="16.5" customHeight="1" x14ac:dyDescent="0.25">
      <c r="A441" s="253"/>
      <c r="B441" s="248"/>
      <c r="C441" s="254"/>
      <c r="D441" s="255"/>
      <c r="E441" s="255"/>
      <c r="F441" s="256"/>
      <c r="G441" s="257"/>
      <c r="H441" s="258"/>
      <c r="I441" s="255"/>
      <c r="J441" s="255"/>
      <c r="K441" s="255"/>
      <c r="L441" s="255"/>
      <c r="M441" s="11"/>
      <c r="N441" s="352"/>
      <c r="O441" s="11"/>
      <c r="P441" s="11"/>
      <c r="Q441" s="11"/>
      <c r="R441" s="11"/>
      <c r="S441" s="11"/>
      <c r="T441" s="11"/>
      <c r="U441" s="11"/>
    </row>
    <row r="442" spans="1:21" ht="16.5" customHeight="1" x14ac:dyDescent="0.25">
      <c r="A442" s="253"/>
      <c r="B442" s="248"/>
      <c r="C442" s="254"/>
      <c r="D442" s="255"/>
      <c r="E442" s="255"/>
      <c r="F442" s="256"/>
      <c r="G442" s="257"/>
      <c r="H442" s="258"/>
      <c r="I442" s="255"/>
      <c r="J442" s="255"/>
      <c r="K442" s="255"/>
      <c r="L442" s="255"/>
      <c r="M442" s="11"/>
      <c r="N442" s="352"/>
      <c r="O442" s="11"/>
      <c r="P442" s="11"/>
      <c r="Q442" s="11"/>
      <c r="R442" s="11"/>
      <c r="S442" s="11"/>
      <c r="T442" s="11"/>
      <c r="U442" s="11"/>
    </row>
    <row r="443" spans="1:21" ht="16.5" customHeight="1" x14ac:dyDescent="0.25">
      <c r="A443" s="253"/>
      <c r="B443" s="248"/>
      <c r="C443" s="254"/>
      <c r="D443" s="255"/>
      <c r="E443" s="255"/>
      <c r="F443" s="256"/>
      <c r="G443" s="257"/>
      <c r="H443" s="258"/>
      <c r="I443" s="255"/>
      <c r="J443" s="255"/>
      <c r="K443" s="255"/>
      <c r="L443" s="255"/>
      <c r="M443" s="11"/>
      <c r="N443" s="352"/>
      <c r="O443" s="11"/>
      <c r="P443" s="11"/>
      <c r="Q443" s="11"/>
      <c r="R443" s="11"/>
      <c r="S443" s="11"/>
      <c r="T443" s="11"/>
      <c r="U443" s="11"/>
    </row>
    <row r="444" spans="1:21" ht="16.5" customHeight="1" x14ac:dyDescent="0.25">
      <c r="A444" s="253"/>
      <c r="B444" s="248"/>
      <c r="C444" s="254"/>
      <c r="D444" s="255"/>
      <c r="E444" s="255"/>
      <c r="F444" s="256"/>
      <c r="G444" s="257"/>
      <c r="H444" s="258"/>
      <c r="I444" s="255"/>
      <c r="J444" s="255"/>
      <c r="K444" s="255"/>
      <c r="L444" s="255"/>
      <c r="M444" s="11"/>
      <c r="N444" s="352"/>
      <c r="O444" s="11"/>
      <c r="P444" s="11"/>
      <c r="Q444" s="11"/>
      <c r="R444" s="11"/>
      <c r="S444" s="11"/>
      <c r="T444" s="11"/>
      <c r="U444" s="11"/>
    </row>
    <row r="445" spans="1:21" ht="16.5" customHeight="1" x14ac:dyDescent="0.25">
      <c r="A445" s="253"/>
      <c r="B445" s="248"/>
      <c r="C445" s="254"/>
      <c r="D445" s="255"/>
      <c r="E445" s="255"/>
      <c r="F445" s="256"/>
      <c r="G445" s="257"/>
      <c r="H445" s="258"/>
      <c r="I445" s="255"/>
      <c r="J445" s="255"/>
      <c r="K445" s="255"/>
      <c r="L445" s="255"/>
      <c r="M445" s="11"/>
      <c r="N445" s="352"/>
      <c r="O445" s="11"/>
      <c r="P445" s="11"/>
      <c r="Q445" s="11"/>
      <c r="R445" s="11"/>
      <c r="S445" s="11"/>
      <c r="T445" s="11"/>
      <c r="U445" s="11"/>
    </row>
    <row r="446" spans="1:21" ht="16.5" customHeight="1" x14ac:dyDescent="0.25">
      <c r="A446" s="253"/>
      <c r="B446" s="248"/>
      <c r="C446" s="254"/>
      <c r="D446" s="255"/>
      <c r="E446" s="255"/>
      <c r="F446" s="256"/>
      <c r="G446" s="257"/>
      <c r="H446" s="258"/>
      <c r="I446" s="255"/>
      <c r="J446" s="255"/>
      <c r="K446" s="255"/>
      <c r="L446" s="255"/>
      <c r="M446" s="11"/>
      <c r="N446" s="352"/>
      <c r="O446" s="11"/>
      <c r="P446" s="11"/>
      <c r="Q446" s="11"/>
      <c r="R446" s="11"/>
      <c r="S446" s="11"/>
      <c r="T446" s="11"/>
      <c r="U446" s="11"/>
    </row>
    <row r="447" spans="1:21" ht="16.5" customHeight="1" x14ac:dyDescent="0.25">
      <c r="A447" s="253"/>
      <c r="B447" s="248"/>
      <c r="C447" s="254"/>
      <c r="D447" s="255"/>
      <c r="E447" s="255"/>
      <c r="F447" s="256"/>
      <c r="G447" s="257"/>
      <c r="H447" s="258"/>
      <c r="I447" s="255"/>
      <c r="J447" s="255"/>
      <c r="K447" s="255"/>
      <c r="L447" s="255"/>
      <c r="M447" s="11"/>
      <c r="N447" s="352"/>
      <c r="O447" s="11"/>
      <c r="P447" s="11"/>
      <c r="Q447" s="11"/>
      <c r="R447" s="11"/>
      <c r="S447" s="11"/>
      <c r="T447" s="11"/>
      <c r="U447" s="11"/>
    </row>
    <row r="448" spans="1:21" ht="16.5" customHeight="1" x14ac:dyDescent="0.25">
      <c r="A448" s="253"/>
      <c r="B448" s="248"/>
      <c r="C448" s="254"/>
      <c r="D448" s="255"/>
      <c r="E448" s="255"/>
      <c r="F448" s="256"/>
      <c r="G448" s="257"/>
      <c r="H448" s="258"/>
      <c r="I448" s="255"/>
      <c r="J448" s="255"/>
      <c r="K448" s="255"/>
      <c r="L448" s="255"/>
      <c r="M448" s="11"/>
      <c r="N448" s="352"/>
      <c r="O448" s="11"/>
      <c r="P448" s="11"/>
      <c r="Q448" s="11"/>
      <c r="R448" s="11"/>
      <c r="S448" s="11"/>
      <c r="T448" s="11"/>
      <c r="U448" s="11"/>
    </row>
    <row r="449" spans="1:21" ht="16.5" customHeight="1" x14ac:dyDescent="0.25">
      <c r="A449" s="253"/>
      <c r="B449" s="248"/>
      <c r="C449" s="254"/>
      <c r="D449" s="255"/>
      <c r="E449" s="255"/>
      <c r="F449" s="256"/>
      <c r="G449" s="257"/>
      <c r="H449" s="258"/>
      <c r="I449" s="255"/>
      <c r="J449" s="255"/>
      <c r="K449" s="255"/>
      <c r="L449" s="255"/>
      <c r="M449" s="11"/>
      <c r="N449" s="352"/>
      <c r="O449" s="11"/>
      <c r="P449" s="11"/>
      <c r="Q449" s="11"/>
      <c r="R449" s="11"/>
      <c r="S449" s="11"/>
      <c r="T449" s="11"/>
      <c r="U449" s="11"/>
    </row>
    <row r="450" spans="1:21" ht="16.5" customHeight="1" x14ac:dyDescent="0.25">
      <c r="A450" s="253"/>
      <c r="B450" s="248"/>
      <c r="C450" s="254"/>
      <c r="D450" s="255"/>
      <c r="E450" s="255"/>
      <c r="F450" s="256"/>
      <c r="G450" s="257"/>
      <c r="H450" s="258"/>
      <c r="I450" s="255"/>
      <c r="J450" s="255"/>
      <c r="K450" s="255"/>
      <c r="L450" s="255"/>
      <c r="M450" s="11"/>
      <c r="N450" s="352"/>
      <c r="O450" s="11"/>
      <c r="P450" s="11"/>
      <c r="Q450" s="11"/>
      <c r="R450" s="11"/>
      <c r="S450" s="11"/>
      <c r="T450" s="11"/>
      <c r="U450" s="11"/>
    </row>
    <row r="451" spans="1:21" ht="16.5" customHeight="1" x14ac:dyDescent="0.25">
      <c r="A451" s="253"/>
      <c r="B451" s="248"/>
      <c r="C451" s="254"/>
      <c r="D451" s="255"/>
      <c r="E451" s="255"/>
      <c r="F451" s="256"/>
      <c r="G451" s="257"/>
      <c r="H451" s="258"/>
      <c r="I451" s="255"/>
      <c r="J451" s="255"/>
      <c r="K451" s="255"/>
      <c r="L451" s="255"/>
      <c r="M451" s="11"/>
      <c r="N451" s="352"/>
      <c r="O451" s="11"/>
      <c r="P451" s="11"/>
      <c r="Q451" s="11"/>
      <c r="R451" s="11"/>
      <c r="S451" s="11"/>
      <c r="T451" s="11"/>
      <c r="U451" s="11"/>
    </row>
    <row r="452" spans="1:21" ht="16.5" customHeight="1" x14ac:dyDescent="0.25">
      <c r="A452" s="253"/>
      <c r="B452" s="248"/>
      <c r="C452" s="254"/>
      <c r="D452" s="255"/>
      <c r="E452" s="255"/>
      <c r="F452" s="256"/>
      <c r="G452" s="257"/>
      <c r="H452" s="258"/>
      <c r="I452" s="255"/>
      <c r="J452" s="255"/>
      <c r="K452" s="255"/>
      <c r="L452" s="255"/>
      <c r="M452" s="11"/>
      <c r="N452" s="352"/>
      <c r="O452" s="11"/>
      <c r="P452" s="11"/>
      <c r="Q452" s="11"/>
      <c r="R452" s="11"/>
      <c r="S452" s="11"/>
      <c r="T452" s="11"/>
      <c r="U452" s="11"/>
    </row>
    <row r="453" spans="1:21" ht="16.5" customHeight="1" x14ac:dyDescent="0.25">
      <c r="A453" s="253"/>
      <c r="B453" s="248"/>
      <c r="C453" s="254"/>
      <c r="D453" s="255"/>
      <c r="E453" s="255"/>
      <c r="F453" s="256"/>
      <c r="G453" s="257"/>
      <c r="H453" s="258"/>
      <c r="I453" s="255"/>
      <c r="J453" s="255"/>
      <c r="K453" s="255"/>
      <c r="L453" s="255"/>
      <c r="M453" s="11"/>
      <c r="N453" s="352"/>
      <c r="O453" s="11"/>
      <c r="P453" s="11"/>
      <c r="Q453" s="11"/>
      <c r="R453" s="11"/>
      <c r="S453" s="11"/>
      <c r="T453" s="11"/>
      <c r="U453" s="11"/>
    </row>
    <row r="454" spans="1:21" ht="16.5" customHeight="1" x14ac:dyDescent="0.25">
      <c r="A454" s="253"/>
      <c r="B454" s="248"/>
      <c r="C454" s="254"/>
      <c r="D454" s="255"/>
      <c r="E454" s="255"/>
      <c r="F454" s="256"/>
      <c r="G454" s="257"/>
      <c r="H454" s="258"/>
      <c r="I454" s="255"/>
      <c r="J454" s="255"/>
      <c r="K454" s="255"/>
      <c r="L454" s="255"/>
      <c r="M454" s="11"/>
      <c r="N454" s="352"/>
      <c r="O454" s="11"/>
      <c r="P454" s="11"/>
      <c r="Q454" s="11"/>
      <c r="R454" s="11"/>
      <c r="S454" s="11"/>
      <c r="T454" s="11"/>
      <c r="U454" s="11"/>
    </row>
    <row r="455" spans="1:21" ht="16.5" customHeight="1" x14ac:dyDescent="0.25">
      <c r="A455" s="253"/>
      <c r="B455" s="248"/>
      <c r="C455" s="254"/>
      <c r="D455" s="255"/>
      <c r="E455" s="255"/>
      <c r="F455" s="256"/>
      <c r="G455" s="257"/>
      <c r="H455" s="258"/>
      <c r="I455" s="255"/>
      <c r="J455" s="255"/>
      <c r="K455" s="255"/>
      <c r="L455" s="255"/>
      <c r="M455" s="11"/>
      <c r="N455" s="352"/>
      <c r="O455" s="11"/>
      <c r="P455" s="11"/>
      <c r="Q455" s="11"/>
      <c r="R455" s="11"/>
      <c r="S455" s="11"/>
      <c r="T455" s="11"/>
      <c r="U455" s="11"/>
    </row>
    <row r="456" spans="1:21" ht="16.5" customHeight="1" x14ac:dyDescent="0.25">
      <c r="A456" s="253"/>
      <c r="B456" s="248"/>
      <c r="C456" s="254"/>
      <c r="D456" s="255"/>
      <c r="E456" s="255"/>
      <c r="F456" s="256"/>
      <c r="G456" s="257"/>
      <c r="H456" s="258"/>
      <c r="I456" s="255"/>
      <c r="J456" s="255"/>
      <c r="K456" s="255"/>
      <c r="L456" s="255"/>
      <c r="M456" s="11"/>
      <c r="N456" s="352"/>
      <c r="O456" s="11"/>
      <c r="P456" s="11"/>
      <c r="Q456" s="11"/>
      <c r="R456" s="11"/>
      <c r="S456" s="11"/>
      <c r="T456" s="11"/>
      <c r="U456" s="11"/>
    </row>
    <row r="457" spans="1:21" ht="16.5" customHeight="1" x14ac:dyDescent="0.25">
      <c r="A457" s="253"/>
      <c r="B457" s="248"/>
      <c r="C457" s="254"/>
      <c r="D457" s="255"/>
      <c r="E457" s="255"/>
      <c r="F457" s="256"/>
      <c r="G457" s="257"/>
      <c r="H457" s="258"/>
      <c r="I457" s="255"/>
      <c r="J457" s="255"/>
      <c r="K457" s="255"/>
      <c r="L457" s="255"/>
      <c r="M457" s="11"/>
      <c r="N457" s="352"/>
      <c r="O457" s="11"/>
      <c r="P457" s="11"/>
      <c r="Q457" s="11"/>
      <c r="R457" s="11"/>
      <c r="S457" s="11"/>
      <c r="T457" s="11"/>
      <c r="U457" s="11"/>
    </row>
    <row r="458" spans="1:21" ht="16.5" customHeight="1" x14ac:dyDescent="0.25">
      <c r="A458" s="253"/>
      <c r="B458" s="248"/>
      <c r="C458" s="254"/>
      <c r="D458" s="255"/>
      <c r="E458" s="255"/>
      <c r="F458" s="256"/>
      <c r="G458" s="257"/>
      <c r="H458" s="258"/>
      <c r="I458" s="255"/>
      <c r="J458" s="255"/>
      <c r="K458" s="255"/>
      <c r="L458" s="255"/>
      <c r="M458" s="11"/>
      <c r="N458" s="352"/>
      <c r="O458" s="11"/>
      <c r="P458" s="11"/>
      <c r="Q458" s="11"/>
      <c r="R458" s="11"/>
      <c r="S458" s="11"/>
      <c r="T458" s="11"/>
      <c r="U458" s="11"/>
    </row>
    <row r="459" spans="1:21" ht="16.5" customHeight="1" x14ac:dyDescent="0.25">
      <c r="A459" s="253"/>
      <c r="B459" s="248"/>
      <c r="C459" s="254"/>
      <c r="D459" s="255"/>
      <c r="E459" s="255"/>
      <c r="F459" s="256"/>
      <c r="G459" s="257"/>
      <c r="H459" s="258"/>
      <c r="I459" s="255"/>
      <c r="J459" s="255"/>
      <c r="K459" s="255"/>
      <c r="L459" s="255"/>
      <c r="M459" s="11"/>
      <c r="N459" s="352"/>
      <c r="O459" s="11"/>
      <c r="P459" s="11"/>
      <c r="Q459" s="11"/>
      <c r="R459" s="11"/>
      <c r="S459" s="11"/>
      <c r="T459" s="11"/>
      <c r="U459" s="11"/>
    </row>
    <row r="460" spans="1:21" ht="16.5" customHeight="1" x14ac:dyDescent="0.25">
      <c r="A460" s="253"/>
      <c r="B460" s="248"/>
      <c r="C460" s="254"/>
      <c r="D460" s="255"/>
      <c r="E460" s="255"/>
      <c r="F460" s="256"/>
      <c r="G460" s="257"/>
      <c r="H460" s="258"/>
      <c r="I460" s="255"/>
      <c r="J460" s="255"/>
      <c r="K460" s="255"/>
      <c r="L460" s="255"/>
      <c r="M460" s="11"/>
      <c r="N460" s="352"/>
      <c r="O460" s="11"/>
      <c r="P460" s="11"/>
      <c r="Q460" s="11"/>
      <c r="R460" s="11"/>
      <c r="S460" s="11"/>
      <c r="T460" s="11"/>
      <c r="U460" s="11"/>
    </row>
    <row r="461" spans="1:21" ht="16.5" customHeight="1" x14ac:dyDescent="0.25">
      <c r="A461" s="253"/>
      <c r="B461" s="248"/>
      <c r="C461" s="254"/>
      <c r="D461" s="255"/>
      <c r="E461" s="255"/>
      <c r="F461" s="256"/>
      <c r="G461" s="257"/>
      <c r="H461" s="258"/>
      <c r="I461" s="255"/>
      <c r="J461" s="255"/>
      <c r="K461" s="255"/>
      <c r="L461" s="255"/>
      <c r="M461" s="11"/>
      <c r="N461" s="352"/>
      <c r="O461" s="11"/>
      <c r="P461" s="11"/>
      <c r="Q461" s="11"/>
      <c r="R461" s="11"/>
      <c r="S461" s="11"/>
      <c r="T461" s="11"/>
      <c r="U461" s="11"/>
    </row>
    <row r="462" spans="1:21" ht="16.5" customHeight="1" x14ac:dyDescent="0.25">
      <c r="A462" s="253"/>
      <c r="B462" s="248"/>
      <c r="C462" s="254"/>
      <c r="D462" s="255"/>
      <c r="E462" s="255"/>
      <c r="F462" s="256"/>
      <c r="G462" s="257"/>
      <c r="H462" s="258"/>
      <c r="I462" s="255"/>
      <c r="J462" s="255"/>
      <c r="K462" s="255"/>
      <c r="L462" s="255"/>
      <c r="M462" s="11"/>
      <c r="N462" s="352"/>
      <c r="O462" s="11"/>
      <c r="P462" s="11"/>
      <c r="Q462" s="11"/>
      <c r="R462" s="11"/>
      <c r="S462" s="11"/>
      <c r="T462" s="11"/>
      <c r="U462" s="11"/>
    </row>
    <row r="463" spans="1:21" ht="16.5" customHeight="1" x14ac:dyDescent="0.25">
      <c r="A463" s="253"/>
      <c r="B463" s="248"/>
      <c r="C463" s="254"/>
      <c r="D463" s="255"/>
      <c r="E463" s="255"/>
      <c r="F463" s="256"/>
      <c r="G463" s="257"/>
      <c r="H463" s="258"/>
      <c r="I463" s="255"/>
      <c r="J463" s="255"/>
      <c r="K463" s="255"/>
      <c r="L463" s="255"/>
      <c r="M463" s="11"/>
      <c r="N463" s="352"/>
      <c r="O463" s="11"/>
      <c r="P463" s="11"/>
      <c r="Q463" s="11"/>
      <c r="R463" s="11"/>
      <c r="S463" s="11"/>
      <c r="T463" s="11"/>
      <c r="U463" s="11"/>
    </row>
    <row r="464" spans="1:21" ht="16.5" customHeight="1" x14ac:dyDescent="0.25">
      <c r="A464" s="253"/>
      <c r="B464" s="248"/>
      <c r="C464" s="254"/>
      <c r="D464" s="255"/>
      <c r="E464" s="255"/>
      <c r="F464" s="256"/>
      <c r="G464" s="257"/>
      <c r="H464" s="258"/>
      <c r="I464" s="255"/>
      <c r="J464" s="255"/>
      <c r="K464" s="255"/>
      <c r="L464" s="255"/>
      <c r="M464" s="11"/>
      <c r="N464" s="352"/>
      <c r="O464" s="11"/>
      <c r="P464" s="11"/>
      <c r="Q464" s="11"/>
      <c r="R464" s="11"/>
      <c r="S464" s="11"/>
      <c r="T464" s="11"/>
      <c r="U464" s="11"/>
    </row>
    <row r="465" spans="1:21" ht="16.5" customHeight="1" x14ac:dyDescent="0.25">
      <c r="A465" s="253"/>
      <c r="B465" s="248"/>
      <c r="C465" s="254"/>
      <c r="D465" s="255"/>
      <c r="E465" s="255"/>
      <c r="F465" s="256"/>
      <c r="G465" s="257"/>
      <c r="H465" s="258"/>
      <c r="I465" s="255"/>
      <c r="J465" s="255"/>
      <c r="K465" s="255"/>
      <c r="L465" s="255"/>
      <c r="M465" s="11"/>
      <c r="N465" s="352"/>
      <c r="O465" s="11"/>
      <c r="P465" s="11"/>
      <c r="Q465" s="11"/>
      <c r="R465" s="11"/>
      <c r="S465" s="11"/>
      <c r="T465" s="11"/>
      <c r="U465" s="11"/>
    </row>
    <row r="466" spans="1:21" ht="16.5" customHeight="1" x14ac:dyDescent="0.25">
      <c r="A466" s="253"/>
      <c r="B466" s="248"/>
      <c r="C466" s="254"/>
      <c r="D466" s="255"/>
      <c r="E466" s="255"/>
      <c r="F466" s="256"/>
      <c r="G466" s="257"/>
      <c r="H466" s="258"/>
      <c r="I466" s="255"/>
      <c r="J466" s="255"/>
      <c r="K466" s="255"/>
      <c r="L466" s="255"/>
      <c r="M466" s="11"/>
      <c r="N466" s="352"/>
      <c r="O466" s="11"/>
      <c r="P466" s="11"/>
      <c r="Q466" s="11"/>
      <c r="R466" s="11"/>
      <c r="S466" s="11"/>
      <c r="T466" s="11"/>
      <c r="U466" s="11"/>
    </row>
    <row r="467" spans="1:21" ht="16.5" customHeight="1" x14ac:dyDescent="0.25">
      <c r="A467" s="253"/>
      <c r="B467" s="248"/>
      <c r="C467" s="254"/>
      <c r="D467" s="255"/>
      <c r="E467" s="255"/>
      <c r="F467" s="256"/>
      <c r="G467" s="257"/>
      <c r="H467" s="258"/>
      <c r="I467" s="255"/>
      <c r="J467" s="255"/>
      <c r="K467" s="255"/>
      <c r="L467" s="255"/>
      <c r="M467" s="11"/>
      <c r="N467" s="352"/>
      <c r="O467" s="11"/>
      <c r="P467" s="11"/>
      <c r="Q467" s="11"/>
      <c r="R467" s="11"/>
      <c r="S467" s="11"/>
      <c r="T467" s="11"/>
      <c r="U467" s="11"/>
    </row>
    <row r="468" spans="1:21" ht="16.5" customHeight="1" x14ac:dyDescent="0.25">
      <c r="A468" s="253"/>
      <c r="B468" s="248"/>
      <c r="C468" s="254"/>
      <c r="D468" s="255"/>
      <c r="E468" s="255"/>
      <c r="F468" s="256"/>
      <c r="G468" s="257"/>
      <c r="H468" s="258"/>
      <c r="I468" s="255"/>
      <c r="J468" s="255"/>
      <c r="K468" s="255"/>
      <c r="L468" s="255"/>
      <c r="M468" s="11"/>
      <c r="N468" s="352"/>
      <c r="O468" s="11"/>
      <c r="P468" s="11"/>
      <c r="Q468" s="11"/>
      <c r="R468" s="11"/>
      <c r="S468" s="11"/>
      <c r="T468" s="11"/>
      <c r="U468" s="11"/>
    </row>
    <row r="469" spans="1:21" ht="16.5" customHeight="1" x14ac:dyDescent="0.25">
      <c r="A469" s="259"/>
      <c r="B469" s="260"/>
      <c r="C469" s="254"/>
      <c r="D469" s="261"/>
      <c r="E469" s="261"/>
      <c r="F469" s="262"/>
      <c r="G469" s="13"/>
      <c r="H469" s="254"/>
      <c r="I469" s="261"/>
      <c r="J469" s="261"/>
      <c r="K469" s="261"/>
      <c r="L469" s="261"/>
      <c r="M469" s="11"/>
      <c r="N469" s="352"/>
      <c r="O469" s="11"/>
      <c r="P469" s="11"/>
      <c r="Q469" s="11"/>
      <c r="R469" s="11"/>
      <c r="S469" s="11"/>
      <c r="T469" s="11"/>
      <c r="U469" s="11"/>
    </row>
    <row r="470" spans="1:21" ht="16.5" customHeight="1" x14ac:dyDescent="0.25">
      <c r="A470" s="263"/>
      <c r="B470" s="264"/>
      <c r="C470" s="254"/>
      <c r="D470" s="261"/>
      <c r="E470" s="261"/>
      <c r="F470" s="262"/>
      <c r="G470" s="265"/>
      <c r="H470" s="254"/>
      <c r="I470" s="261"/>
      <c r="J470" s="261"/>
      <c r="K470" s="261"/>
      <c r="L470" s="261"/>
      <c r="M470" s="11"/>
      <c r="N470" s="352"/>
      <c r="O470" s="11"/>
      <c r="P470" s="11"/>
      <c r="Q470" s="11"/>
      <c r="R470" s="11"/>
      <c r="S470" s="11"/>
      <c r="T470" s="11"/>
      <c r="U470" s="11"/>
    </row>
  </sheetData>
  <mergeCells count="19">
    <mergeCell ref="C321:L321"/>
    <mergeCell ref="A314:M314"/>
    <mergeCell ref="A5:A6"/>
    <mergeCell ref="B302:C302"/>
    <mergeCell ref="E1:L1"/>
    <mergeCell ref="C317:L317"/>
    <mergeCell ref="D4:E4"/>
    <mergeCell ref="K5:L5"/>
    <mergeCell ref="A4:C4"/>
    <mergeCell ref="B2:M2"/>
    <mergeCell ref="F5:F6"/>
    <mergeCell ref="A3:M3"/>
    <mergeCell ref="H4:L4"/>
    <mergeCell ref="E5:E6"/>
    <mergeCell ref="I5:J5"/>
    <mergeCell ref="G5:H5"/>
    <mergeCell ref="D5:D6"/>
    <mergeCell ref="C5:C6"/>
    <mergeCell ref="B5:B6"/>
  </mergeCells>
  <conditionalFormatting sqref="D8 F9:M9 E10:M10 D4:E4 F305:M312 F226:M226 F277:F278 I277:L278 F268:M268 A11:M11 F279:M279 F237:M237 F235:G236 I235:L236 F241:M241 F240:G240 I240:L240 F250:M250 F248:G249 I248:L249 F258:M259 F256:G257 I256:L257 F282:G282 I282:L282 F290:G291 I290:L291 F234:M234 F227:I227 K227:L227 F247:M247 F242:I242 K242:L242 F255:M255 F251:I251 K251:L251 F276:M276 F269:I269 K269:L269 F289:M289 F284:I284 K284:L284 F228:K233 F239:M239 F238:K238 F243:K246 F252:K254 F281:M281 F12:M20 F283:M283 F26:M28 F217:M217 F104:M119 E180:M187 E189:M190 E210:M215 F37:M38 F300:M301 F270:K275 F280:K280 F285:K288 F137:M144 F75:M82 F91:M95 E196:M201 E57:M57 F85:M85 E162:M166 F125:M135">
    <cfRule type="cellIs" dxfId="93" priority="118" stopIfTrue="1" operator="lessThan">
      <formula>0</formula>
    </cfRule>
  </conditionalFormatting>
  <conditionalFormatting sqref="F303:M304">
    <cfRule type="cellIs" dxfId="92" priority="109" stopIfTrue="1" operator="lessThan">
      <formula>0</formula>
    </cfRule>
  </conditionalFormatting>
  <conditionalFormatting sqref="F218:M218 H235:H236 H240 H248:H249 H256:H257 F223:M223 F219:I219 K219:L219 F220:J222 F224:L224 F225 H225:L225">
    <cfRule type="cellIs" dxfId="91" priority="108" stopIfTrue="1" operator="lessThan">
      <formula>0</formula>
    </cfRule>
  </conditionalFormatting>
  <conditionalFormatting sqref="F260:M260 F266:F267 F265:M265 H266:L267 H277:H278 H282 H290:H291 F261:I261 K261:L261 F262:J264">
    <cfRule type="cellIs" dxfId="90" priority="107" stopIfTrue="1" operator="lessThan">
      <formula>0</formula>
    </cfRule>
  </conditionalFormatting>
  <conditionalFormatting sqref="M261:M264 M266:M267 M269:M275 M277:M278 M280 M282 M284:M288 M290:M291">
    <cfRule type="cellIs" dxfId="89" priority="93" stopIfTrue="1" operator="lessThan">
      <formula>0</formula>
    </cfRule>
  </conditionalFormatting>
  <conditionalFormatting sqref="G266:G267">
    <cfRule type="cellIs" dxfId="88" priority="101" stopIfTrue="1" operator="lessThan">
      <formula>0</formula>
    </cfRule>
  </conditionalFormatting>
  <conditionalFormatting sqref="G277:G278">
    <cfRule type="cellIs" dxfId="87" priority="100" stopIfTrue="1" operator="lessThan">
      <formula>0</formula>
    </cfRule>
  </conditionalFormatting>
  <conditionalFormatting sqref="J219 J227 J242 J251">
    <cfRule type="cellIs" dxfId="86" priority="98" stopIfTrue="1" operator="lessThan">
      <formula>0</formula>
    </cfRule>
  </conditionalFormatting>
  <conditionalFormatting sqref="J261 J269 J284">
    <cfRule type="cellIs" dxfId="85" priority="97" stopIfTrue="1" operator="lessThan">
      <formula>0</formula>
    </cfRule>
  </conditionalFormatting>
  <conditionalFormatting sqref="L220:L222 L228:L233 L238 L243:L246 L252:L254">
    <cfRule type="cellIs" dxfId="84" priority="96" stopIfTrue="1" operator="lessThan">
      <formula>0</formula>
    </cfRule>
  </conditionalFormatting>
  <conditionalFormatting sqref="L262:L264 L270:L275 L280 L285:L288">
    <cfRule type="cellIs" dxfId="83" priority="95" stopIfTrue="1" operator="lessThan">
      <formula>0</formula>
    </cfRule>
  </conditionalFormatting>
  <conditionalFormatting sqref="M219:M222 M224:M225 M227:M233 M235:M236 M238 M240 M242:M246 M248:M249 M251:M254 M256:M257">
    <cfRule type="cellIs" dxfId="82" priority="94" stopIfTrue="1" operator="lessThan">
      <formula>0</formula>
    </cfRule>
  </conditionalFormatting>
  <conditionalFormatting sqref="F292:M292 F298:G299 I298:L299 F297:M297 F293:I293 K293:L293 F294:J296">
    <cfRule type="cellIs" dxfId="81" priority="91" stopIfTrue="1" operator="lessThan">
      <formula>0</formula>
    </cfRule>
  </conditionalFormatting>
  <conditionalFormatting sqref="G225">
    <cfRule type="cellIs" dxfId="80" priority="92" stopIfTrue="1" operator="lessThan">
      <formula>0</formula>
    </cfRule>
  </conditionalFormatting>
  <conditionalFormatting sqref="H298:H299">
    <cfRule type="cellIs" dxfId="79" priority="90" stopIfTrue="1" operator="lessThan">
      <formula>0</formula>
    </cfRule>
  </conditionalFormatting>
  <conditionalFormatting sqref="J293">
    <cfRule type="cellIs" dxfId="78" priority="89" stopIfTrue="1" operator="lessThan">
      <formula>0</formula>
    </cfRule>
  </conditionalFormatting>
  <conditionalFormatting sqref="L294:L296">
    <cfRule type="cellIs" dxfId="77" priority="88" stopIfTrue="1" operator="lessThan">
      <formula>0</formula>
    </cfRule>
  </conditionalFormatting>
  <conditionalFormatting sqref="M293:M296 M298:M299">
    <cfRule type="cellIs" dxfId="76" priority="87" stopIfTrue="1" operator="lessThan">
      <formula>0</formula>
    </cfRule>
  </conditionalFormatting>
  <conditionalFormatting sqref="E145:M147 E149:M153 G148:J148 E155:M156 G188:J188 E205:M205 G202:M204">
    <cfRule type="cellIs" dxfId="75" priority="72" stopIfTrue="1" operator="lessThan">
      <formula>0</formula>
    </cfRule>
  </conditionalFormatting>
  <conditionalFormatting sqref="K148:M148">
    <cfRule type="cellIs" dxfId="74" priority="71" stopIfTrue="1" operator="lessThan">
      <formula>0</formula>
    </cfRule>
  </conditionalFormatting>
  <conditionalFormatting sqref="G154:J154">
    <cfRule type="cellIs" dxfId="73" priority="70" stopIfTrue="1" operator="lessThan">
      <formula>0</formula>
    </cfRule>
  </conditionalFormatting>
  <conditionalFormatting sqref="L154:M154">
    <cfRule type="cellIs" dxfId="72" priority="69" stopIfTrue="1" operator="lessThan">
      <formula>0</formula>
    </cfRule>
  </conditionalFormatting>
  <conditionalFormatting sqref="E179:M179">
    <cfRule type="cellIs" dxfId="71" priority="68" stopIfTrue="1" operator="lessThan">
      <formula>0</formula>
    </cfRule>
  </conditionalFormatting>
  <conditionalFormatting sqref="L188:M188">
    <cfRule type="cellIs" dxfId="70" priority="67" stopIfTrue="1" operator="lessThan">
      <formula>0</formula>
    </cfRule>
  </conditionalFormatting>
  <conditionalFormatting sqref="E188:F188">
    <cfRule type="cellIs" dxfId="69" priority="66" stopIfTrue="1" operator="lessThan">
      <formula>0</formula>
    </cfRule>
  </conditionalFormatting>
  <conditionalFormatting sqref="F302:M302">
    <cfRule type="cellIs" dxfId="68" priority="79" stopIfTrue="1" operator="lessThan">
      <formula>0</formula>
    </cfRule>
  </conditionalFormatting>
  <conditionalFormatting sqref="E154:F154">
    <cfRule type="cellIs" dxfId="67" priority="64" stopIfTrue="1" operator="lessThan">
      <formula>0</formula>
    </cfRule>
  </conditionalFormatting>
  <conditionalFormatting sqref="C25">
    <cfRule type="cellIs" dxfId="66" priority="75" stopIfTrue="1" operator="equal">
      <formula>8223.307275</formula>
    </cfRule>
  </conditionalFormatting>
  <conditionalFormatting sqref="B22:M22 L23:M23 C23:J23 B24:M24 D25:F25 B25 B21:C21 E21:M21 H25:M25">
    <cfRule type="cellIs" dxfId="65" priority="77" stopIfTrue="1" operator="equal">
      <formula>8223.307275</formula>
    </cfRule>
  </conditionalFormatting>
  <conditionalFormatting sqref="K23">
    <cfRule type="cellIs" dxfId="64" priority="76" stopIfTrue="1" operator="equal">
      <formula>8223.307275</formula>
    </cfRule>
  </conditionalFormatting>
  <conditionalFormatting sqref="E49:M52 F53:M55 F39:M39 E69:M74">
    <cfRule type="cellIs" dxfId="63" priority="74" stopIfTrue="1" operator="lessThan">
      <formula>0</formula>
    </cfRule>
  </conditionalFormatting>
  <conditionalFormatting sqref="E207:M207 E175:M178 E209:M209 E208:F208 H208:M208">
    <cfRule type="cellIs" dxfId="62" priority="73" stopIfTrue="1" operator="lessThan">
      <formula>0</formula>
    </cfRule>
  </conditionalFormatting>
  <conditionalFormatting sqref="E148:F148">
    <cfRule type="cellIs" dxfId="61" priority="65" stopIfTrue="1" operator="lessThan">
      <formula>0</formula>
    </cfRule>
  </conditionalFormatting>
  <conditionalFormatting sqref="E202:F204">
    <cfRule type="cellIs" dxfId="60" priority="63" stopIfTrue="1" operator="lessThan">
      <formula>0</formula>
    </cfRule>
  </conditionalFormatting>
  <conditionalFormatting sqref="E206:M206">
    <cfRule type="cellIs" dxfId="59" priority="62" stopIfTrue="1" operator="lessThan">
      <formula>0</formula>
    </cfRule>
  </conditionalFormatting>
  <conditionalFormatting sqref="E167:M170">
    <cfRule type="cellIs" dxfId="58" priority="61" stopIfTrue="1" operator="lessThan">
      <formula>0</formula>
    </cfRule>
  </conditionalFormatting>
  <conditionalFormatting sqref="E171:F171 H171:M171">
    <cfRule type="cellIs" dxfId="57" priority="60" stopIfTrue="1" operator="lessThan">
      <formula>0</formula>
    </cfRule>
  </conditionalFormatting>
  <conditionalFormatting sqref="E172:F172 H172:M172">
    <cfRule type="cellIs" dxfId="56" priority="59" stopIfTrue="1" operator="lessThan">
      <formula>0</formula>
    </cfRule>
  </conditionalFormatting>
  <conditionalFormatting sqref="E173:F173 H173:M173">
    <cfRule type="cellIs" dxfId="55" priority="58" stopIfTrue="1" operator="lessThan">
      <formula>0</formula>
    </cfRule>
  </conditionalFormatting>
  <conditionalFormatting sqref="E174:M174">
    <cfRule type="cellIs" dxfId="54" priority="56" stopIfTrue="1" operator="lessThan">
      <formula>0</formula>
    </cfRule>
  </conditionalFormatting>
  <conditionalFormatting sqref="E102:F102 H102:M102">
    <cfRule type="cellIs" dxfId="53" priority="49" stopIfTrue="1" operator="lessThan">
      <formula>0</formula>
    </cfRule>
  </conditionalFormatting>
  <conditionalFormatting sqref="E64:M68 E63 G63:M63">
    <cfRule type="cellIs" dxfId="52" priority="54" stopIfTrue="1" operator="lessThan">
      <formula>0</formula>
    </cfRule>
  </conditionalFormatting>
  <conditionalFormatting sqref="F63">
    <cfRule type="cellIs" dxfId="51" priority="53" stopIfTrue="1" operator="lessThan">
      <formula>0</formula>
    </cfRule>
  </conditionalFormatting>
  <conditionalFormatting sqref="E96:M99">
    <cfRule type="cellIs" dxfId="50" priority="52" stopIfTrue="1" operator="lessThan">
      <formula>0</formula>
    </cfRule>
  </conditionalFormatting>
  <conditionalFormatting sqref="E100:M100">
    <cfRule type="cellIs" dxfId="49" priority="51" stopIfTrue="1" operator="lessThan">
      <formula>0</formula>
    </cfRule>
  </conditionalFormatting>
  <conditionalFormatting sqref="E101:M101">
    <cfRule type="cellIs" dxfId="48" priority="50" stopIfTrue="1" operator="lessThan">
      <formula>0</formula>
    </cfRule>
  </conditionalFormatting>
  <conditionalFormatting sqref="G102">
    <cfRule type="cellIs" dxfId="47" priority="48" stopIfTrue="1" operator="equal">
      <formula>8223.307275</formula>
    </cfRule>
  </conditionalFormatting>
  <conditionalFormatting sqref="E103:M103">
    <cfRule type="cellIs" dxfId="46" priority="47" stopIfTrue="1" operator="lessThan">
      <formula>0</formula>
    </cfRule>
  </conditionalFormatting>
  <conditionalFormatting sqref="F216:M216">
    <cfRule type="cellIs" dxfId="45" priority="46" stopIfTrue="1" operator="lessThan">
      <formula>0</formula>
    </cfRule>
  </conditionalFormatting>
  <conditionalFormatting sqref="F29:M29 F34:M34 F30:I30 K30:L30 F31:K33 F35:L35 F36 H36:L36">
    <cfRule type="cellIs" dxfId="44" priority="45" stopIfTrue="1" operator="lessThan">
      <formula>0</formula>
    </cfRule>
  </conditionalFormatting>
  <conditionalFormatting sqref="J30">
    <cfRule type="cellIs" dxfId="43" priority="44" stopIfTrue="1" operator="lessThan">
      <formula>0</formula>
    </cfRule>
  </conditionalFormatting>
  <conditionalFormatting sqref="L31:L33">
    <cfRule type="cellIs" dxfId="42" priority="43" stopIfTrue="1" operator="lessThan">
      <formula>0</formula>
    </cfRule>
  </conditionalFormatting>
  <conditionalFormatting sqref="M30:M33 M35:M36">
    <cfRule type="cellIs" dxfId="41" priority="42" stopIfTrue="1" operator="lessThan">
      <formula>0</formula>
    </cfRule>
  </conditionalFormatting>
  <conditionalFormatting sqref="G36">
    <cfRule type="cellIs" dxfId="40" priority="41" stopIfTrue="1" operator="lessThan">
      <formula>0</formula>
    </cfRule>
  </conditionalFormatting>
  <conditionalFormatting sqref="K154">
    <cfRule type="cellIs" dxfId="39" priority="40" stopIfTrue="1" operator="lessThan">
      <formula>0</formula>
    </cfRule>
  </conditionalFormatting>
  <conditionalFormatting sqref="K188">
    <cfRule type="cellIs" dxfId="38" priority="39" stopIfTrue="1" operator="lessThan">
      <formula>0</formula>
    </cfRule>
  </conditionalFormatting>
  <conditionalFormatting sqref="K220:K222">
    <cfRule type="cellIs" dxfId="37" priority="38" stopIfTrue="1" operator="lessThan">
      <formula>0</formula>
    </cfRule>
  </conditionalFormatting>
  <conditionalFormatting sqref="K262:K264">
    <cfRule type="cellIs" dxfId="36" priority="37" stopIfTrue="1" operator="lessThan">
      <formula>0</formula>
    </cfRule>
  </conditionalFormatting>
  <conditionalFormatting sqref="G208">
    <cfRule type="cellIs" dxfId="35" priority="30" stopIfTrue="1" operator="lessThan">
      <formula>0</formula>
    </cfRule>
  </conditionalFormatting>
  <conditionalFormatting sqref="K294:K296">
    <cfRule type="cellIs" dxfId="34" priority="36" stopIfTrue="1" operator="lessThan">
      <formula>0</formula>
    </cfRule>
  </conditionalFormatting>
  <conditionalFormatting sqref="G25">
    <cfRule type="cellIs" dxfId="33" priority="35" stopIfTrue="1" operator="lessThan">
      <formula>0</formula>
    </cfRule>
  </conditionalFormatting>
  <conditionalFormatting sqref="G171">
    <cfRule type="cellIs" dxfId="32" priority="34" stopIfTrue="1" operator="lessThan">
      <formula>0</formula>
    </cfRule>
  </conditionalFormatting>
  <conditionalFormatting sqref="G172">
    <cfRule type="cellIs" dxfId="31" priority="33" stopIfTrue="1" operator="lessThan">
      <formula>0</formula>
    </cfRule>
  </conditionalFormatting>
  <conditionalFormatting sqref="G173">
    <cfRule type="cellIs" dxfId="30" priority="32" stopIfTrue="1" operator="equal">
      <formula>8223.307275</formula>
    </cfRule>
  </conditionalFormatting>
  <conditionalFormatting sqref="E136:M136">
    <cfRule type="cellIs" dxfId="29" priority="31" stopIfTrue="1" operator="lessThan">
      <formula>0</formula>
    </cfRule>
  </conditionalFormatting>
  <conditionalFormatting sqref="F41:M42">
    <cfRule type="cellIs" dxfId="28" priority="29" stopIfTrue="1" operator="lessThan">
      <formula>0</formula>
    </cfRule>
  </conditionalFormatting>
  <conditionalFormatting sqref="F43:M43 E44:M47">
    <cfRule type="cellIs" dxfId="27" priority="28" stopIfTrue="1" operator="lessThan">
      <formula>0</formula>
    </cfRule>
  </conditionalFormatting>
  <conditionalFormatting sqref="E95">
    <cfRule type="cellIs" dxfId="26" priority="27" stopIfTrue="1" operator="lessThan">
      <formula>0</formula>
    </cfRule>
  </conditionalFormatting>
  <conditionalFormatting sqref="E114">
    <cfRule type="cellIs" dxfId="25" priority="26" stopIfTrue="1" operator="lessThan">
      <formula>0</formula>
    </cfRule>
  </conditionalFormatting>
  <conditionalFormatting sqref="E129">
    <cfRule type="cellIs" dxfId="24" priority="25" stopIfTrue="1" operator="lessThan">
      <formula>0</formula>
    </cfRule>
  </conditionalFormatting>
  <conditionalFormatting sqref="E143">
    <cfRule type="cellIs" dxfId="23" priority="24" stopIfTrue="1" operator="lessThan">
      <formula>0</formula>
    </cfRule>
  </conditionalFormatting>
  <conditionalFormatting sqref="C62">
    <cfRule type="cellIs" dxfId="22" priority="21" stopIfTrue="1" operator="equal">
      <formula>8223.307275</formula>
    </cfRule>
  </conditionalFormatting>
  <conditionalFormatting sqref="B59:M59 L60:M60 C60:J60 B61:M61 D62:F62 B62 B58:C58 E58:M58 H62:M62">
    <cfRule type="cellIs" dxfId="21" priority="23" stopIfTrue="1" operator="equal">
      <formula>8223.307275</formula>
    </cfRule>
  </conditionalFormatting>
  <conditionalFormatting sqref="K60">
    <cfRule type="cellIs" dxfId="20" priority="22" stopIfTrue="1" operator="equal">
      <formula>8223.307275</formula>
    </cfRule>
  </conditionalFormatting>
  <conditionalFormatting sqref="G62">
    <cfRule type="cellIs" dxfId="19" priority="20" stopIfTrue="1" operator="lessThan">
      <formula>0</formula>
    </cfRule>
  </conditionalFormatting>
  <conditionalFormatting sqref="G90">
    <cfRule type="cellIs" dxfId="18" priority="16" stopIfTrue="1" operator="lessThan">
      <formula>0</formula>
    </cfRule>
  </conditionalFormatting>
  <conditionalFormatting sqref="C90">
    <cfRule type="cellIs" dxfId="17" priority="17" stopIfTrue="1" operator="equal">
      <formula>8223.307275</formula>
    </cfRule>
  </conditionalFormatting>
  <conditionalFormatting sqref="B87:M87 L88:M88 C88:J88 B89:M89 D90:F90 B90 B86:C86 E86:M86 H90:M90">
    <cfRule type="cellIs" dxfId="16" priority="19" stopIfTrue="1" operator="equal">
      <formula>8223.307275</formula>
    </cfRule>
  </conditionalFormatting>
  <conditionalFormatting sqref="K88">
    <cfRule type="cellIs" dxfId="15" priority="18" stopIfTrue="1" operator="equal">
      <formula>8223.307275</formula>
    </cfRule>
  </conditionalFormatting>
  <conditionalFormatting sqref="G124">
    <cfRule type="cellIs" dxfId="14" priority="12" stopIfTrue="1" operator="lessThan">
      <formula>0</formula>
    </cfRule>
  </conditionalFormatting>
  <conditionalFormatting sqref="G161">
    <cfRule type="cellIs" dxfId="13" priority="8" stopIfTrue="1" operator="lessThan">
      <formula>0</formula>
    </cfRule>
  </conditionalFormatting>
  <conditionalFormatting sqref="C124">
    <cfRule type="cellIs" dxfId="12" priority="13" stopIfTrue="1" operator="equal">
      <formula>8223.307275</formula>
    </cfRule>
  </conditionalFormatting>
  <conditionalFormatting sqref="B121:M121 L122:M122 C122:J122 B123:M123 D124:F124 B124 B120:C120 E120:M120 H124:M124">
    <cfRule type="cellIs" dxfId="11" priority="15" stopIfTrue="1" operator="equal">
      <formula>8223.307275</formula>
    </cfRule>
  </conditionalFormatting>
  <conditionalFormatting sqref="K122">
    <cfRule type="cellIs" dxfId="10" priority="14" stopIfTrue="1" operator="equal">
      <formula>8223.307275</formula>
    </cfRule>
  </conditionalFormatting>
  <conditionalFormatting sqref="G195">
    <cfRule type="cellIs" dxfId="9" priority="4" stopIfTrue="1" operator="lessThan">
      <formula>0</formula>
    </cfRule>
  </conditionalFormatting>
  <conditionalFormatting sqref="C161">
    <cfRule type="cellIs" dxfId="8" priority="9" stopIfTrue="1" operator="equal">
      <formula>8223.307275</formula>
    </cfRule>
  </conditionalFormatting>
  <conditionalFormatting sqref="B158:M158 L159:M159 C159:J159 B160:M160 D161:F161 B161 B157:C157 E157:M157 H161:M161">
    <cfRule type="cellIs" dxfId="7" priority="11" stopIfTrue="1" operator="equal">
      <formula>8223.307275</formula>
    </cfRule>
  </conditionalFormatting>
  <conditionalFormatting sqref="K159">
    <cfRule type="cellIs" dxfId="6" priority="10" stopIfTrue="1" operator="equal">
      <formula>8223.307275</formula>
    </cfRule>
  </conditionalFormatting>
  <conditionalFormatting sqref="C195">
    <cfRule type="cellIs" dxfId="5" priority="5" stopIfTrue="1" operator="equal">
      <formula>8223.307275</formula>
    </cfRule>
  </conditionalFormatting>
  <conditionalFormatting sqref="B192:M192 L193:M193 C193:J193 B194:M194 D195:F195 B195 B191:C191 E191:M191 H195:M195">
    <cfRule type="cellIs" dxfId="4" priority="7" stopIfTrue="1" operator="equal">
      <formula>8223.307275</formula>
    </cfRule>
  </conditionalFormatting>
  <conditionalFormatting sqref="K193">
    <cfRule type="cellIs" dxfId="3" priority="6" stopIfTrue="1" operator="equal">
      <formula>8223.307275</formula>
    </cfRule>
  </conditionalFormatting>
  <conditionalFormatting sqref="D56">
    <cfRule type="cellIs" dxfId="2" priority="3" stopIfTrue="1" operator="equal">
      <formula>8223.307275</formula>
    </cfRule>
  </conditionalFormatting>
  <conditionalFormatting sqref="D84">
    <cfRule type="cellIs" dxfId="1" priority="1" stopIfTrue="1" operator="equal">
      <formula>8223.307275</formula>
    </cfRule>
  </conditionalFormatting>
  <conditionalFormatting sqref="F83:M83">
    <cfRule type="cellIs" dxfId="0" priority="2" stopIfTrue="1" operator="lessThan">
      <formula>0</formula>
    </cfRule>
  </conditionalFormatting>
  <printOptions horizontalCentered="1"/>
  <pageMargins left="0" right="0" top="0.511811023622047" bottom="0" header="0" footer="0"/>
  <pageSetup paperSize="9" scale="70" orientation="landscape" r:id="rId1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სააგურედან–ახალდაგებულ გზამდე</vt:lpstr>
      <vt:lpstr>'სააგურედან–ახალდაგებულ გზამდე'!Print_Area</vt:lpstr>
      <vt:lpstr>'სააგურედან–ახალდაგებულ გზამდე'!Print_Titles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2019-06-12T09:00:57Z</cp:lastPrinted>
  <dcterms:created xsi:type="dcterms:W3CDTF">2019-04-01T07:28:56Z</dcterms:created>
  <dcterms:modified xsi:type="dcterms:W3CDTF">2020-01-10T11:10:30Z</dcterms:modified>
</cp:coreProperties>
</file>