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440" windowHeight="12375" activeTab="5"/>
  </bookViews>
  <sheets>
    <sheet name="nakrebi" sheetId="1" r:id="rId1"/>
    <sheet name="x.a.1" sheetId="2" r:id="rId2"/>
    <sheet name="x.a.2" sheetId="3" r:id="rId3"/>
    <sheet name="x.a.3" sheetId="4" r:id="rId4"/>
    <sheet name="x.a.4" sheetId="5" r:id="rId5"/>
    <sheet name="x.a.5" sheetId="6" r:id="rId6"/>
    <sheet name="x.a.7" sheetId="7" r:id="rId7"/>
    <sheet name="x.a.9" sheetId="8" r:id="rId8"/>
    <sheet name="x.a.10" sheetId="9" r:id="rId9"/>
    <sheet name="x.a.11" sheetId="10" r:id="rId10"/>
    <sheet name="x.a.12" sheetId="11" r:id="rId11"/>
    <sheet name="x.a.13" sheetId="12" r:id="rId12"/>
  </sheets>
  <definedNames>
    <definedName name="_xlnm.Print_Area" localSheetId="0">'nakrebi'!$A$1:$N$71</definedName>
    <definedName name="_xlnm.Print_Area" localSheetId="2">'x.a.2'!$A$1:$M$267</definedName>
    <definedName name="_xlnm.Print_Area" localSheetId="7">'x.a.9'!$A$1:$M$79</definedName>
    <definedName name="_xlnm.Print_Titles" localSheetId="0">'nakrebi'!$34:$34</definedName>
    <definedName name="_xlnm.Print_Titles" localSheetId="1">'x.a.1'!$14:$14</definedName>
    <definedName name="_xlnm.Print_Titles" localSheetId="8">'x.a.10'!$13:$13</definedName>
    <definedName name="_xlnm.Print_Titles" localSheetId="9">'x.a.11'!$14:$14</definedName>
    <definedName name="_xlnm.Print_Titles" localSheetId="10">'x.a.12'!$14:$14</definedName>
    <definedName name="_xlnm.Print_Titles" localSheetId="11">'x.a.13'!$14:$14</definedName>
    <definedName name="_xlnm.Print_Titles" localSheetId="2">'x.a.2'!$14:$14</definedName>
    <definedName name="_xlnm.Print_Titles" localSheetId="3">'x.a.3'!$14:$14</definedName>
    <definedName name="_xlnm.Print_Titles" localSheetId="4">'x.a.4'!$14:$14</definedName>
    <definedName name="_xlnm.Print_Titles" localSheetId="6">'x.a.7'!$14:$14</definedName>
    <definedName name="_xlnm.Print_Titles" localSheetId="7">'x.a.9'!$14:$14</definedName>
  </definedNames>
  <calcPr fullCalcOnLoad="1"/>
</workbook>
</file>

<file path=xl/comments4.xml><?xml version="1.0" encoding="utf-8"?>
<comments xmlns="http://schemas.openxmlformats.org/spreadsheetml/2006/main">
  <authors>
    <author>BLACK</author>
  </authors>
  <commentList>
    <comment ref="A45" authorId="0">
      <text>
        <r>
          <rPr>
            <b/>
            <sz val="8"/>
            <rFont val="Tahoma"/>
            <family val="0"/>
          </rPr>
          <t>BLACK: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BLACK</author>
  </authors>
  <commentList>
    <comment ref="A77" authorId="0">
      <text>
        <r>
          <rPr>
            <b/>
            <sz val="8"/>
            <rFont val="Tahoma"/>
            <family val="0"/>
          </rPr>
          <t>BLACK: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BLACK</author>
  </authors>
  <commentList>
    <comment ref="A70" authorId="0">
      <text>
        <r>
          <rPr>
            <b/>
            <sz val="8"/>
            <rFont val="Tahoma"/>
            <family val="0"/>
          </rPr>
          <t>BLACK: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<sst xmlns="http://schemas.openxmlformats.org/spreadsheetml/2006/main" count="1821" uniqueCount="334">
  <si>
    <t>aT.lari</t>
  </si>
  <si>
    <t>saxarjTaRricxvo Rirebuleba</t>
  </si>
  <si>
    <t>#</t>
  </si>
  <si>
    <t>safuZveli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</si>
  <si>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</si>
  <si>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</si>
  <si>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</si>
  <si>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</si>
  <si>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</si>
  <si>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 xml:space="preserve">   meqanizmebi</t>
  </si>
  <si>
    <t>ganz.</t>
  </si>
  <si>
    <t>erT.</t>
  </si>
  <si>
    <t>sul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</si>
  <si>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</si>
  <si>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</si>
  <si>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</si>
  <si>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</si>
  <si>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</si>
  <si>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</si>
  <si>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</si>
  <si>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</si>
  <si>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</si>
  <si>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</si>
  <si>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</si>
  <si>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</si>
  <si>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</si>
  <si>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</si>
  <si>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samuSaoebis, resursebis   dasaxeleba</t>
  </si>
  <si>
    <r>
      <t>m</t>
    </r>
    <r>
      <rPr>
        <vertAlign val="superscript"/>
        <sz val="11"/>
        <rFont val="Arachveulebrivi Thin"/>
        <family val="2"/>
      </rPr>
      <t>3</t>
    </r>
  </si>
  <si>
    <t>normatiuli Sromatevadoba</t>
  </si>
  <si>
    <t>kac/sT</t>
  </si>
  <si>
    <t>manq/sT</t>
  </si>
  <si>
    <t>meqanizmebze momsaxure personalis xelfasi</t>
  </si>
  <si>
    <t>mosarwyav-mosarecxi manqana 6000l</t>
  </si>
  <si>
    <t>lari</t>
  </si>
  <si>
    <t>t</t>
  </si>
  <si>
    <t xml:space="preserve">zednadebi xarjebi  10% </t>
  </si>
  <si>
    <t xml:space="preserve">gegmiuri mogeba   8% </t>
  </si>
  <si>
    <t>mosamzadebeli samuSaoebi</t>
  </si>
  <si>
    <t>sxva manqanebi</t>
  </si>
  <si>
    <t>sxva masalebi</t>
  </si>
  <si>
    <t xml:space="preserve">mSeneblobis Rirebulebis </t>
  </si>
  <si>
    <t xml:space="preserve">nakrebi saxarjTaRricxvo angariSi </t>
  </si>
  <si>
    <t>##</t>
  </si>
  <si>
    <t>xarjTa-Rricx-vebis angari-Sebis ##</t>
  </si>
  <si>
    <t>Tavebis, obieqtebis, samuSaoebis da danaxarjebis dasaxeleba</t>
  </si>
  <si>
    <t>saxarjTaRricxvo Rirebuleba  aT.lari</t>
  </si>
  <si>
    <t>saerTo   saxajTaR-ricxvo   Rirebuleba,   aT.lari</t>
  </si>
  <si>
    <t>samSeneblo samuSaoe-bis</t>
  </si>
  <si>
    <t>samontaJo samu-Saoebis</t>
  </si>
  <si>
    <t>mowyobilo-bebis, inven-taris</t>
  </si>
  <si>
    <t>sxva dana-xarjebis</t>
  </si>
  <si>
    <t>x.a.#1</t>
  </si>
  <si>
    <t>sul Tavi I</t>
  </si>
  <si>
    <t>x.a.#2</t>
  </si>
  <si>
    <t>gauTvaliswinebeli xarjebi 3%</t>
  </si>
  <si>
    <t>dRg 18%</t>
  </si>
  <si>
    <t>sul mSeneblobis Rirebulebis nakrebi saxarjTaRrivxvo angariSiT</t>
  </si>
  <si>
    <r>
      <t>m</t>
    </r>
    <r>
      <rPr>
        <vertAlign val="superscript"/>
        <sz val="11"/>
        <rFont val="Arachveulebrivi Thin"/>
        <family val="2"/>
      </rPr>
      <t>2</t>
    </r>
  </si>
  <si>
    <t>avtogreideri saSualo tipis 79kvt</t>
  </si>
  <si>
    <t>wyali</t>
  </si>
  <si>
    <t>satkepni sagzao TviTmavali gluvi 5t</t>
  </si>
  <si>
    <t>igive, 10t</t>
  </si>
  <si>
    <t>x.a.#3</t>
  </si>
  <si>
    <t>1</t>
  </si>
  <si>
    <t xml:space="preserve"> lokaluri  xarjTaRricxva # 1</t>
  </si>
  <si>
    <t xml:space="preserve"> lokaluri  xarjTaRricxva # 2</t>
  </si>
  <si>
    <t>Sedgenilia 2018 wlis fasebSi</t>
  </si>
  <si>
    <t>proeqtiT</t>
  </si>
  <si>
    <t>27-46-3</t>
  </si>
  <si>
    <t>c</t>
  </si>
  <si>
    <t xml:space="preserve">avtoamwe saburRi mowyobilobiT </t>
  </si>
  <si>
    <t>amwe saavtomobilo svlaze             3 t</t>
  </si>
  <si>
    <r>
      <t xml:space="preserve">liTonis dgari sigrZiT 3,50 m        </t>
    </r>
    <r>
      <rPr>
        <sz val="11"/>
        <rFont val="Arial Cyr"/>
        <family val="0"/>
      </rPr>
      <t>Ǿ</t>
    </r>
    <r>
      <rPr>
        <sz val="11"/>
        <rFont val="Arachveulebrivi Thin"/>
        <family val="2"/>
      </rPr>
      <t>76 mm</t>
    </r>
  </si>
  <si>
    <t>prioritetis</t>
  </si>
  <si>
    <t>samkuTxa 700X700X700 mm</t>
  </si>
  <si>
    <t>sxva masala</t>
  </si>
  <si>
    <t>buldozeri 79 kvt</t>
  </si>
  <si>
    <t xml:space="preserve">nayarSi muSaoba </t>
  </si>
  <si>
    <t>2</t>
  </si>
  <si>
    <r>
      <t xml:space="preserve">betoni </t>
    </r>
    <r>
      <rPr>
        <sz val="11"/>
        <rFont val="Arial"/>
        <family val="2"/>
      </rPr>
      <t xml:space="preserve">B20  F200  W6  </t>
    </r>
  </si>
  <si>
    <t xml:space="preserve"> sagzao niSnebi</t>
  </si>
  <si>
    <t>sagzao niSnebis mowyoba</t>
  </si>
  <si>
    <t>mimTiTebeli</t>
  </si>
  <si>
    <t>mrgvali 600 mm</t>
  </si>
  <si>
    <t xml:space="preserve"> lokaluri  xarjTaRricxva # 3 </t>
  </si>
  <si>
    <t xml:space="preserve">  sagzao niSnebis dayeneba liTonis dgarebze sigrZiT  3,50 m  dabetonebiT, miwis samuSaoebisa da dgarebis SeRebvis gaTvaliswinebiT</t>
  </si>
  <si>
    <t xml:space="preserve">mosamzadebeli samuSaoebi </t>
  </si>
  <si>
    <t>Tavi I</t>
  </si>
  <si>
    <t>mSeneblobis teritoriis momzadeba</t>
  </si>
  <si>
    <t>sagzao samosi</t>
  </si>
  <si>
    <t>sul Tavi III</t>
  </si>
  <si>
    <t>Tavi III</t>
  </si>
  <si>
    <t>gzis kuTvnileba da keTilmowyoba</t>
  </si>
  <si>
    <t xml:space="preserve"> sagzao niSnebis mowyoba</t>
  </si>
  <si>
    <t>sul Tavi VI</t>
  </si>
  <si>
    <t>sul Tavi I_VI</t>
  </si>
  <si>
    <t>Tavi VI</t>
  </si>
  <si>
    <t>miwis vakisis yrilis mowyoba xreSovani gruntiT</t>
  </si>
  <si>
    <t>1-11-14</t>
  </si>
  <si>
    <t>eqskavatori</t>
  </si>
  <si>
    <t>1-118-5,6</t>
  </si>
  <si>
    <t>gruntis gaSla da datkepna vibraciuli satkepniT fenebad      6-jer gavliT fenis, sisqiT 20 sm</t>
  </si>
  <si>
    <t>vibraciuli satkepni</t>
  </si>
  <si>
    <t>buldozeri 79kvt</t>
  </si>
  <si>
    <t>traqtori 79kvt</t>
  </si>
  <si>
    <t>I. miwis vakisi</t>
  </si>
  <si>
    <t>II. sagzao samosi</t>
  </si>
  <si>
    <t>27-9-2</t>
  </si>
  <si>
    <t>gamfxvierebeli misabmeli (traqtoris gareSe)</t>
  </si>
  <si>
    <t>traqtori muxluxa svlaze 59kvt</t>
  </si>
  <si>
    <t>moxsnili safaris da safuZvlis datvirTva da transportireba 5 km manZilze nayarSi</t>
  </si>
  <si>
    <t>1-80-3  r1-3</t>
  </si>
  <si>
    <t>1-25-2</t>
  </si>
  <si>
    <t xml:space="preserve"> transportireba 5 km manZilze nayarSi</t>
  </si>
  <si>
    <t>cementobetonis safaris mowyoba</t>
  </si>
  <si>
    <t>27-11-1   27-11-4</t>
  </si>
  <si>
    <t>qvis wvrilmanis dakiduli manawilebeli</t>
  </si>
  <si>
    <t>RorRi 40 mm</t>
  </si>
  <si>
    <t xml:space="preserve">saruZvlis mowyoba fraqciuli RorRiT, sisqiT 16 sm </t>
  </si>
  <si>
    <t>27-24-3</t>
  </si>
  <si>
    <t>cementbetonis manawilebeli</t>
  </si>
  <si>
    <t>manqanebi cementbetonis safaris mosapirqeblad</t>
  </si>
  <si>
    <t>amwe saavtomobilo svlaze 5 t</t>
  </si>
  <si>
    <t>traqtori muxluxa svlaze 40 kvt</t>
  </si>
  <si>
    <t>relsi-forma</t>
  </si>
  <si>
    <t>bitumis emulsia</t>
  </si>
  <si>
    <t xml:space="preserve"> lokaluri  xarjTaRricxva # 4 </t>
  </si>
  <si>
    <t>betoni</t>
  </si>
  <si>
    <t>fari ficris, yalibis</t>
  </si>
  <si>
    <t xml:space="preserve">Zeli </t>
  </si>
  <si>
    <t xml:space="preserve">ficari Camoganuli III xarisxis,        40-60 mm </t>
  </si>
  <si>
    <t>WanWiki</t>
  </si>
  <si>
    <t>30-51-3</t>
  </si>
  <si>
    <t>manqanebi</t>
  </si>
  <si>
    <t>asbesti</t>
  </si>
  <si>
    <t>bitumi navTobis</t>
  </si>
  <si>
    <r>
      <t xml:space="preserve">cementis xsnari </t>
    </r>
    <r>
      <rPr>
        <sz val="11"/>
        <rFont val="Arial"/>
        <family val="2"/>
      </rPr>
      <t>M</t>
    </r>
    <r>
      <rPr>
        <sz val="11"/>
        <rFont val="Arachveulebrivi Thin"/>
        <family val="2"/>
      </rPr>
      <t>150</t>
    </r>
  </si>
  <si>
    <t>30-3-2</t>
  </si>
  <si>
    <t>qviSa-xreSis narevi</t>
  </si>
  <si>
    <t>saZiebo sam. kreb. kap. mSeneb. gv. 557, cx. 17</t>
  </si>
  <si>
    <t>trasis aRdgena da damagreba</t>
  </si>
  <si>
    <t>Tavi IV</t>
  </si>
  <si>
    <t>xelovnuri nagebobebi</t>
  </si>
  <si>
    <t>sul Tavi IV</t>
  </si>
  <si>
    <t>x.a.#4</t>
  </si>
  <si>
    <t>arsebuli xreSovani safarisa da safuZvlis moxsna meqanizirebuli meTodiT,  farTis 90%-mde</t>
  </si>
  <si>
    <t>arsebuli xreSovani safarisa da safuZvlis moxsna xeliT avtoTviTmclelebze datvirTviT, farTis 10%</t>
  </si>
  <si>
    <t>6</t>
  </si>
  <si>
    <t>datvirTva avtoTviTmclelebze Dda  transportireba 5 km manZilze nayarSi</t>
  </si>
  <si>
    <t>1-25-3</t>
  </si>
  <si>
    <t>27-7-2</t>
  </si>
  <si>
    <t>satkepni sagzao TviTmavali pnevmosvlaze 18 t</t>
  </si>
  <si>
    <t>qviSa-xreSovani narevi</t>
  </si>
  <si>
    <t xml:space="preserve">safuZvlis mowyoba fraqciuli RorRiT, sisqiT 16 sm </t>
  </si>
  <si>
    <t>III. cementobetonis safaris mowyoba ezoSi Sesasvlelebze</t>
  </si>
  <si>
    <t>qviSa-xreSovani sagebis mowyoba, sisqiT 10 sm</t>
  </si>
  <si>
    <t>g.m.</t>
  </si>
  <si>
    <t xml:space="preserve"> lokaluri  xarjTaRricxva # 5 </t>
  </si>
  <si>
    <t>6-11-3</t>
  </si>
  <si>
    <t>armatura</t>
  </si>
  <si>
    <t>eleqtrodi</t>
  </si>
  <si>
    <t>adgilobrivi gruntis uku Caayra, datkepniT</t>
  </si>
  <si>
    <t>1-81-3</t>
  </si>
  <si>
    <t>x.a.#5</t>
  </si>
  <si>
    <t xml:space="preserve">sof. fersaTisa da sof. Subanis damakavSirebeli saavtomobilo gzis reabilitacia </t>
  </si>
  <si>
    <t>arsebuli betonis mrgvali milis daSla pnevmaturi CaquCebiT avtoTviTmclelebze datvirTviT (3 cali)</t>
  </si>
  <si>
    <t>30-11-2</t>
  </si>
  <si>
    <t>ГЭСН 27-03-009-3</t>
  </si>
  <si>
    <t xml:space="preserve">normatiuli Sromatevadoba   </t>
  </si>
  <si>
    <t>avtoTviTmcvleli 10 t</t>
  </si>
  <si>
    <t>frezi</t>
  </si>
  <si>
    <t>frezirebuli a/betonis transportireba 5 km manZilze da dasawyobeba damkveTis mier miTiTebul adgilas Semdgomi gamoyenebisTvis</t>
  </si>
  <si>
    <t>asfaltbetonis safaris daSla civi frezirebis meTodiT, dolis siganiT 2000mm, saSualo sisqiT 5 sm</t>
  </si>
  <si>
    <t>I. sagzao samosi</t>
  </si>
  <si>
    <t>saval nawilze ganivi temperaturuli nakerebis mowyoba yovel 4,5 m-Si</t>
  </si>
  <si>
    <t>27-28-2</t>
  </si>
  <si>
    <t xml:space="preserve">  axal dagebul  cementobetonSi nakerebis daWra</t>
  </si>
  <si>
    <t>izolis lenta</t>
  </si>
  <si>
    <t>misayreli gverdulebis mowyoba adgilze dasawyobebuli frezirebuli asfaltobetonisa da qviSa-xreSovani narevisagan</t>
  </si>
  <si>
    <t>frezirebuli asfaltobetoni</t>
  </si>
  <si>
    <t>8</t>
  </si>
  <si>
    <t>9</t>
  </si>
  <si>
    <t>arsebuli xreSovani safarisa da safuZvlis moxsna meqanizirebuli meTodiT,  sisqiT 32 sm</t>
  </si>
  <si>
    <t>arsebuli xreSovani safarisa da safuZvlis moxsna xeliT avtoTviTmclelebze datvirTviT</t>
  </si>
  <si>
    <t>1-22-15</t>
  </si>
  <si>
    <t>gruntis transportireba 5 km manZilze nayarSi</t>
  </si>
  <si>
    <t>III kat. gruntis damuSaveba TxrilSi meqanizirebuli wesiT a/TviTmclelebze datvirTviT, farTis 70%-de</t>
  </si>
  <si>
    <t>5</t>
  </si>
  <si>
    <t>zeda sayrdeni kedlis mowyoba sigrZiT 20 g.m., simaRriT 1,5 m (marjvniv)</t>
  </si>
  <si>
    <t xml:space="preserve"> gruntis da naSali kedris damuSaveba  meqanizirebuli wesiT a/TviTmclelebze datvirTviT</t>
  </si>
  <si>
    <t xml:space="preserve"> gruntis da naSali kedris damuSaveba  meqanizirebuli wesiT adgilze dayriT</t>
  </si>
  <si>
    <t>1-11-15</t>
  </si>
  <si>
    <t>RorRis sagebis mowyoba, sisqiT 20 sm</t>
  </si>
  <si>
    <t>mWle betonis mowyoba, sisqiT 15 sm</t>
  </si>
  <si>
    <t>6-1-1</t>
  </si>
  <si>
    <r>
      <t xml:space="preserve">monoliTuri rkina betonis kedlis mowyoba </t>
    </r>
    <r>
      <rPr>
        <sz val="11"/>
        <rFont val="Arial"/>
        <family val="2"/>
      </rPr>
      <t>B30F200W6</t>
    </r>
  </si>
  <si>
    <t xml:space="preserve"> gruntis transportireba                5 km manZilze nayarSi</t>
  </si>
  <si>
    <t xml:space="preserve"> gruntis da naSali kedris damuSaveba  xeliT a/TviTmclelebze datvirTviT</t>
  </si>
  <si>
    <t>6-11-7</t>
  </si>
  <si>
    <t>fari ficris yalibis</t>
  </si>
  <si>
    <t>Zeli</t>
  </si>
  <si>
    <r>
      <t>m</t>
    </r>
    <r>
      <rPr>
        <vertAlign val="superscript"/>
        <sz val="11"/>
        <rFont val="Arachveulebrivi Thin"/>
        <family val="2"/>
      </rPr>
      <t>3</t>
    </r>
  </si>
  <si>
    <t>ficari Camoganuli 40 mm,                      III xarisxis</t>
  </si>
  <si>
    <t>g,k</t>
  </si>
  <si>
    <r>
      <t xml:space="preserve">armatura </t>
    </r>
    <r>
      <rPr>
        <sz val="11"/>
        <rFont val="Arial"/>
        <family val="2"/>
      </rPr>
      <t>A</t>
    </r>
    <r>
      <rPr>
        <sz val="11"/>
        <rFont val="Arachveulebrivi Thin"/>
        <family val="2"/>
      </rPr>
      <t xml:space="preserve"> A-III   </t>
    </r>
    <r>
      <rPr>
        <sz val="11"/>
        <rFont val="Arial Cyr"/>
        <family val="0"/>
      </rPr>
      <t>Ǿ</t>
    </r>
    <r>
      <rPr>
        <sz val="11"/>
        <rFont val="Arachveulebrivi Thin"/>
        <family val="2"/>
      </rPr>
      <t>12 mm</t>
    </r>
  </si>
  <si>
    <r>
      <t xml:space="preserve">armatura </t>
    </r>
    <r>
      <rPr>
        <sz val="11"/>
        <rFont val="Arial"/>
        <family val="2"/>
      </rPr>
      <t>A</t>
    </r>
    <r>
      <rPr>
        <sz val="11"/>
        <rFont val="Arachveulebrivi Thin"/>
        <family val="2"/>
      </rPr>
      <t xml:space="preserve"> A-I   </t>
    </r>
    <r>
      <rPr>
        <sz val="11"/>
        <rFont val="Arial Cyr"/>
        <family val="0"/>
      </rPr>
      <t>Ǿ</t>
    </r>
    <r>
      <rPr>
        <sz val="11"/>
        <rFont val="Arachveulebrivi Thin"/>
        <family val="2"/>
      </rPr>
      <t>8 mm</t>
    </r>
  </si>
  <si>
    <t>kedlis ukan hidroizolaciis da drenaJis mowyoba</t>
  </si>
  <si>
    <t>wasacxebi hidroizolaciis mowyoba 2jer</t>
  </si>
  <si>
    <t>poxieri Tixis ekrani</t>
  </si>
  <si>
    <t>8-4-8</t>
  </si>
  <si>
    <t>msuye Tixa</t>
  </si>
  <si>
    <t>1-123-8</t>
  </si>
  <si>
    <r>
      <t xml:space="preserve">riyis qvis </t>
    </r>
    <r>
      <rPr>
        <sz val="11"/>
        <rFont val="Arial Cyr"/>
        <family val="0"/>
      </rPr>
      <t>Ǿ</t>
    </r>
    <r>
      <rPr>
        <sz val="11"/>
        <rFont val="Arachveulebrivi Thin"/>
        <family val="2"/>
      </rPr>
      <t>20-30 sm</t>
    </r>
  </si>
  <si>
    <t>riyis qva</t>
  </si>
  <si>
    <t xml:space="preserve">plastmasis mili </t>
  </si>
  <si>
    <r>
      <t xml:space="preserve"> plastmasis milebi </t>
    </r>
    <r>
      <rPr>
        <sz val="11"/>
        <rFont val="Arial Cyr"/>
        <family val="0"/>
      </rPr>
      <t>Ǿ</t>
    </r>
    <r>
      <rPr>
        <sz val="11"/>
        <rFont val="Arachveulebrivi Thin"/>
        <family val="2"/>
      </rPr>
      <t>100 sm</t>
    </r>
  </si>
  <si>
    <t>22-8-3</t>
  </si>
  <si>
    <t>III kat. gruntis  damuSaveba   meqanizirebuli wesiT a/TviTmclelebze datvirTviT</t>
  </si>
  <si>
    <t>III kat. gruntis  damuSaveba   xeliT a/TviTmclelebze datvirTviT</t>
  </si>
  <si>
    <t>endag 2002 w               13-1-19</t>
  </si>
  <si>
    <t>fleTili qvebi</t>
  </si>
  <si>
    <t>uJangavi gabionis yuTebis dawyoba, qvebis Cawyoba da nawiburebis Camagreba 1,5X1,0X1,0 m (14 cali)</t>
  </si>
  <si>
    <t>uJangavi gabionis yuTebis dawyoba, qvebis Cawyoba da nawiburebis Camagreba 2,0X1,0X1,0 m  (23 cali)</t>
  </si>
  <si>
    <t>7</t>
  </si>
  <si>
    <t>Sesakravi mavTuli</t>
  </si>
  <si>
    <t>kg</t>
  </si>
  <si>
    <t xml:space="preserve"> gabionis yuTebis Rirebuleba, zomiT 1,5X1,0X1,0 m</t>
  </si>
  <si>
    <t xml:space="preserve"> gabionis yuTebis Rirebuleba, zomiT 2,0X1,0X1,0 m</t>
  </si>
  <si>
    <t>1-11-10</t>
  </si>
  <si>
    <t>gabionis ukana da wina sivrcis Sevseba adgilobrivi xreSovani gruntiT</t>
  </si>
  <si>
    <t>1-22-14</t>
  </si>
  <si>
    <t>amwe muxluxa svlaze 10 t</t>
  </si>
  <si>
    <t xml:space="preserve"> lokaluri  xarjTaRricxva # 7 </t>
  </si>
  <si>
    <t>arsebul milis saTavisis mowyoba pk 40+88</t>
  </si>
  <si>
    <t xml:space="preserve">arsebuli betonis saTavisis daSla  pnevmaturi CaquCebiT avtoTviTmclelebze datvirTviT </t>
  </si>
  <si>
    <t>37-64-4</t>
  </si>
  <si>
    <t>cementis xsnari</t>
  </si>
  <si>
    <t>Casatanebeli detalebi</t>
  </si>
  <si>
    <r>
      <t xml:space="preserve">monoliTuri betonis saTavisis mowyoba (saZirkveli, kedeli, frTebi)                           </t>
    </r>
    <r>
      <rPr>
        <sz val="11"/>
        <rFont val="Arial"/>
        <family val="2"/>
      </rPr>
      <t>B25 F200 W6</t>
    </r>
  </si>
  <si>
    <t>risbermis mowyoba fleTili qviT</t>
  </si>
  <si>
    <t xml:space="preserve"> fleTili qva</t>
  </si>
  <si>
    <t>wasacxebi hidroizolaciis mowyoba</t>
  </si>
  <si>
    <t>6-11-1</t>
  </si>
  <si>
    <t xml:space="preserve">ficari Camoganuli III xarisxis, 40-60 mm </t>
  </si>
  <si>
    <t>III jgufis gruntis damuSaveba meqanizmebiT avtoTviTmclelebze datvirTviT</t>
  </si>
  <si>
    <t xml:space="preserve">1-80-3     </t>
  </si>
  <si>
    <t xml:space="preserve">qviSa-xreSovani sagebis mowyoba </t>
  </si>
  <si>
    <t>Semotana 5 km manZilidan uku CayrisaTvis</t>
  </si>
  <si>
    <t xml:space="preserve"> lokaluri  xarjTaRricxva # 9 </t>
  </si>
  <si>
    <t>1-22-9</t>
  </si>
  <si>
    <t>transportireba 5 km manZilze nayarSi</t>
  </si>
  <si>
    <r>
      <t>eqskavatori CamCis tevadobiT 0,65 m</t>
    </r>
    <r>
      <rPr>
        <vertAlign val="superscript"/>
        <sz val="11"/>
        <rFont val="Arachveulebrivi Thin"/>
        <family val="2"/>
      </rPr>
      <t>3</t>
    </r>
  </si>
  <si>
    <t xml:space="preserve">III jgufis gruntis damuSaveba meqanizmebiT adgilze dayriT </t>
  </si>
  <si>
    <t>1-11-9</t>
  </si>
  <si>
    <t>III jgufis gruntis damuSaveba  xeliT  avtoTviTmclelebze datvirTviT</t>
  </si>
  <si>
    <t>arsebuli liTonis milis         Ǿ530 mm demontaJi da transportireba bazaze</t>
  </si>
  <si>
    <t>22-5-11</t>
  </si>
  <si>
    <t>transportireba bazaze 5 km manZilze</t>
  </si>
  <si>
    <t>6.</t>
  </si>
  <si>
    <t>liTonis mili</t>
  </si>
  <si>
    <r>
      <t xml:space="preserve">liTonis mili </t>
    </r>
    <r>
      <rPr>
        <sz val="11"/>
        <rFont val="Arial Cyr"/>
        <family val="0"/>
      </rPr>
      <t>Ǿ</t>
    </r>
    <r>
      <rPr>
        <sz val="11"/>
        <rFont val="Arachveulebrivi Thin"/>
        <family val="2"/>
      </rPr>
      <t>530 mm, δ12 mm mowyoba</t>
    </r>
  </si>
  <si>
    <t>milis wasacxebi hidroizolaciis mowyoba                2 fena</t>
  </si>
  <si>
    <r>
      <t xml:space="preserve">wyalmimRebi da gamSvebi Wis kedlebis da Ziris mowyoba monoliTuri betoniT                                                          </t>
    </r>
    <r>
      <rPr>
        <sz val="11"/>
        <rFont val="Arial"/>
        <family val="2"/>
      </rPr>
      <t>B22,5 F200 W6</t>
    </r>
  </si>
  <si>
    <t>Webis wasacxebi hidroizolaciis mowyoba                2 fena</t>
  </si>
  <si>
    <t>gruntis uku Cayra datkepniT</t>
  </si>
  <si>
    <t xml:space="preserve"> lokaluri  xarjTaRricxva # 10 </t>
  </si>
  <si>
    <t>mafrTxilebeli</t>
  </si>
  <si>
    <t xml:space="preserve"> lokaluri  xarjTaRricxva # 11 </t>
  </si>
  <si>
    <t>27-50-6</t>
  </si>
  <si>
    <t>liTonis mrudxazovani Zelebiani zRudaris montaJi miwis samuSaoebiT, liTonis   zRudaris dayenebiT, SeRebviT da    Suqdamabrunebeli elementebis mowyobiT</t>
  </si>
  <si>
    <t>normatiuri Sromatevadoba</t>
  </si>
  <si>
    <t>14.p.297</t>
  </si>
  <si>
    <t>avto amwe saburRi mowyobilobiT</t>
  </si>
  <si>
    <t>14.p.43</t>
  </si>
  <si>
    <t>amwe saavtomobilo svlaze         3 t</t>
  </si>
  <si>
    <r>
      <t xml:space="preserve">betoni </t>
    </r>
    <r>
      <rPr>
        <sz val="11"/>
        <rFont val="Arial"/>
        <family val="2"/>
      </rPr>
      <t>B10</t>
    </r>
  </si>
  <si>
    <t>liTonis konstruqciebi</t>
  </si>
  <si>
    <t xml:space="preserve"> lokaluri  xarjTaRricxva # 12 </t>
  </si>
  <si>
    <t>liTonis zRudariT Semofargvis mowyoba</t>
  </si>
  <si>
    <t>mimarTveli bowkintebis mowyoba</t>
  </si>
  <si>
    <t>27-50-11</t>
  </si>
  <si>
    <t>plastmasis mimmarTveli  drekadi bowkintebis mowyoba fosforuli saRebaviT</t>
  </si>
  <si>
    <t>bowkintebi</t>
  </si>
  <si>
    <t>epoqsidis saRebavi</t>
  </si>
  <si>
    <t xml:space="preserve"> lokaluri  xarjTaRricxva # 13 </t>
  </si>
  <si>
    <t>betonis parapetis mowyoba</t>
  </si>
  <si>
    <t>27-50-1</t>
  </si>
  <si>
    <t>avtoamwe saburRi mowyobilobiT</t>
  </si>
  <si>
    <t>4.1.p.168</t>
  </si>
  <si>
    <t xml:space="preserve"> specprofilis parapeti "niu jersi" </t>
  </si>
  <si>
    <t>rkina-betonis specprofilis parapetis mowyoba "niu jersi"   80 X50 sm (sigrZiT 3 g.m.)</t>
  </si>
  <si>
    <t xml:space="preserve">xreSovani gruntis damuSaveba karierSi meqanizirebuli meTodiT,  datvirTva  a/TviTmclelebze </t>
  </si>
  <si>
    <t>3</t>
  </si>
  <si>
    <t>12</t>
  </si>
  <si>
    <t>zeda sayrdeni gabionis kedlis mowyoba sigrZiT    15 g.m., simaRriT 3,0 m (marcxniv)</t>
  </si>
  <si>
    <t>x.a.#7</t>
  </si>
  <si>
    <t>x.a.#9</t>
  </si>
  <si>
    <t>x.a.#10</t>
  </si>
  <si>
    <t>x.a.#11</t>
  </si>
  <si>
    <t>x.a.#12</t>
  </si>
  <si>
    <t>x.a.#13</t>
  </si>
  <si>
    <t>1-81-2</t>
  </si>
  <si>
    <t>qviSa-xreSovani gruntis miyra xeliT, datkepniT</t>
  </si>
  <si>
    <t>II. cementobetonis  safaris da liTonis milebis mowyoba mierTebebze</t>
  </si>
  <si>
    <t>liTomis milebi</t>
  </si>
  <si>
    <t>qviSa-xreSovani sagebis mowyoba saTAvisisa da milis tanis qveS, sisqiT 10 sm</t>
  </si>
  <si>
    <t>qveda sayrdeni gabionis kedlis mowyoba sigrZiT 15 g.m., simaRriT 3,0 m (marcxniv)</t>
  </si>
  <si>
    <t>21</t>
  </si>
  <si>
    <t>22</t>
  </si>
  <si>
    <t>ვაკისისა და სავალი ნაწილის მოწყობა საპროექტო ნიშნულამდე  ქვიშა-ხრეშოვანი ნარევით 0-70მმ საშ.  ფენებად დატკეპნით</t>
  </si>
  <si>
    <t>qviSA-xreSovani safaris mowyoba mewyrul ubanze</t>
  </si>
  <si>
    <t>III kat. gruntis damuSaveba  TxrilSi  xeliT adgilze dasawyobeba</t>
  </si>
  <si>
    <t>monoliTuri rkina-betonis kiuvetis mowyoba                         B30 F200 W6</t>
  </si>
  <si>
    <t>armatura AAI Ǿ8</t>
  </si>
  <si>
    <r>
      <t>m</t>
    </r>
    <r>
      <rPr>
        <vertAlign val="superscript"/>
        <sz val="11"/>
        <rFont val="AcadNusx"/>
        <family val="0"/>
      </rPr>
      <t>3</t>
    </r>
  </si>
  <si>
    <r>
      <t>m</t>
    </r>
    <r>
      <rPr>
        <vertAlign val="superscript"/>
        <sz val="11"/>
        <rFont val="AcadNusx"/>
        <family val="0"/>
      </rPr>
      <t>2</t>
    </r>
  </si>
  <si>
    <r>
      <t>100 m</t>
    </r>
    <r>
      <rPr>
        <vertAlign val="superscript"/>
        <sz val="11"/>
        <color indexed="8"/>
        <rFont val="AcadNusx"/>
        <family val="0"/>
      </rPr>
      <t>2</t>
    </r>
  </si>
  <si>
    <t xml:space="preserve"> armirebuli cementobetonis safaris mowyoba H=16sm</t>
  </si>
  <si>
    <t>betoni B25 F200 W6</t>
  </si>
  <si>
    <t>armaturis bade A-III Ǿ-8 mm</t>
  </si>
  <si>
    <t xml:space="preserve"> armirebuli cementobetonis safaris mowyoba H=16 sm</t>
  </si>
  <si>
    <t>liTonis mili Ǿ530 mm, kedlis sisqiT 9 mm</t>
  </si>
  <si>
    <t>milis orive mxares monoliTuri betonis parapetis mowyoba                B20 F200 W6</t>
  </si>
  <si>
    <t>cementis xsnari M150</t>
  </si>
  <si>
    <t>.</t>
  </si>
  <si>
    <t xml:space="preserve">zednadebi xarjebi  % </t>
  </si>
  <si>
    <t xml:space="preserve">gegmiuri mogeba  % </t>
  </si>
  <si>
    <t xml:space="preserve">gegmiuri mogeba   % </t>
  </si>
  <si>
    <t xml:space="preserve">zednadebi xarjebi  0% </t>
  </si>
  <si>
    <t>rkina-betonis kiuvetis mowyoba</t>
  </si>
  <si>
    <t>liTonis milebis Ǿ530 mm mowyoba</t>
  </si>
  <si>
    <t xml:space="preserve">rkina-betonis kiuvetis mowyoba, </t>
  </si>
  <si>
    <t>liTonis milebis Ǿ530 mm  mowyoba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</si>
</sst>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0.0"/>
    <numFmt numFmtId="197" formatCode="0.000"/>
    <numFmt numFmtId="198" formatCode="0.0000"/>
    <numFmt numFmtId="199" formatCode="0.00000"/>
    <numFmt numFmtId="200" formatCode="[$-FC19]d\ mmmm\ yyyy\ &quot;г.&quot;"/>
    <numFmt numFmtId="201" formatCode="0;[Red]0"/>
    <numFmt numFmtId="202" formatCode="_(* #,##0.00_);_(* \(#,##0.00\);_(* &quot;-&quot;???_);_(@_)"/>
    <numFmt numFmtId="203" formatCode="_(* #,##0.0_);_(* \(#,##0.0\);_(* &quot;-&quot;???_);_(@_)"/>
    <numFmt numFmtId="204" formatCode="_(* #,##0_);_(* \(#,##0\);_(* &quot;-&quot;???_);_(@_)"/>
    <numFmt numFmtId="205" formatCode="_(* #,##0.000_);_(* \(#,##0.000\);_(* &quot;-&quot;???_);_(@_)"/>
    <numFmt numFmtId="206" formatCode="0.000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71">
    <font>
      <sz val="10"/>
      <name val="Arial"/>
      <family val="0"/>
    </font>
    <font>
      <sz val="11"/>
      <name val="Arachveulebrivi Thin"/>
      <family val="2"/>
    </font>
    <font>
      <sz val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vertAlign val="superscript"/>
      <sz val="11"/>
      <name val="Arachveulebrivi Thin"/>
      <family val="2"/>
    </font>
    <font>
      <b/>
      <sz val="11"/>
      <name val="Arachveulebrivi Thin"/>
      <family val="2"/>
    </font>
    <font>
      <u val="single"/>
      <sz val="11"/>
      <name val="Arachveulebrivi Thin"/>
      <family val="2"/>
    </font>
    <font>
      <sz val="11"/>
      <color indexed="10"/>
      <name val="Arachveulebrivi Thin"/>
      <family val="2"/>
    </font>
    <font>
      <sz val="9"/>
      <name val="Arachveulebrivi Thin"/>
      <family val="2"/>
    </font>
    <font>
      <b/>
      <i/>
      <sz val="11"/>
      <name val="Arachveulebrivi Thin"/>
      <family val="2"/>
    </font>
    <font>
      <sz val="11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Arial Cyr"/>
      <family val="0"/>
    </font>
    <font>
      <sz val="10"/>
      <name val="AcadNusx"/>
      <family val="0"/>
    </font>
    <font>
      <b/>
      <sz val="14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vertAlign val="superscript"/>
      <sz val="11"/>
      <name val="AcadNusx"/>
      <family val="0"/>
    </font>
    <font>
      <u val="single"/>
      <sz val="11"/>
      <name val="AcadNusx"/>
      <family val="0"/>
    </font>
    <font>
      <sz val="9"/>
      <name val="AcadNusx"/>
      <family val="0"/>
    </font>
    <font>
      <sz val="14"/>
      <name val="AcadNusx"/>
      <family val="0"/>
    </font>
    <font>
      <sz val="11"/>
      <color indexed="10"/>
      <name val="AcadNusx"/>
      <family val="0"/>
    </font>
    <font>
      <b/>
      <i/>
      <sz val="11"/>
      <name val="AcadNusx"/>
      <family val="0"/>
    </font>
    <font>
      <sz val="11"/>
      <color indexed="8"/>
      <name val="AcadNusx"/>
      <family val="0"/>
    </font>
    <font>
      <vertAlign val="superscript"/>
      <sz val="11"/>
      <color indexed="8"/>
      <name val="AcadNusx"/>
      <family val="0"/>
    </font>
    <font>
      <u val="single"/>
      <sz val="11"/>
      <color indexed="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achveulebrivi Thin"/>
      <family val="2"/>
    </font>
    <font>
      <sz val="11"/>
      <color indexed="50"/>
      <name val="AcadNusx"/>
      <family val="0"/>
    </font>
    <font>
      <b/>
      <sz val="14"/>
      <color indexed="8"/>
      <name val="AcadNusx"/>
      <family val="0"/>
    </font>
    <font>
      <b/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achveulebrivi Thin"/>
      <family val="2"/>
    </font>
    <font>
      <sz val="11"/>
      <color rgb="FF92D050"/>
      <name val="AcadNusx"/>
      <family val="0"/>
    </font>
    <font>
      <sz val="11"/>
      <color theme="1"/>
      <name val="AcadNusx"/>
      <family val="0"/>
    </font>
    <font>
      <b/>
      <sz val="14"/>
      <color theme="1"/>
      <name val="AcadNusx"/>
      <family val="0"/>
    </font>
    <font>
      <b/>
      <sz val="11"/>
      <color theme="1"/>
      <name val="AcadNusx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</cellStyleXfs>
  <cellXfs count="67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0" xfId="64" applyNumberFormat="1" applyFont="1" applyBorder="1" applyAlignment="1">
      <alignment horizontal="center" vertical="center"/>
      <protection/>
    </xf>
    <xf numFmtId="2" fontId="1" fillId="0" borderId="11" xfId="64" applyNumberFormat="1" applyFont="1" applyBorder="1" applyAlignment="1">
      <alignment horizontal="center" vertical="center"/>
      <protection/>
    </xf>
    <xf numFmtId="0" fontId="1" fillId="0" borderId="12" xfId="64" applyFont="1" applyBorder="1" applyAlignment="1">
      <alignment horizontal="center" vertical="center"/>
      <protection/>
    </xf>
    <xf numFmtId="0" fontId="1" fillId="0" borderId="13" xfId="64" applyFont="1" applyBorder="1" applyAlignment="1">
      <alignment horizontal="center" vertical="center" wrapText="1"/>
      <protection/>
    </xf>
    <xf numFmtId="2" fontId="1" fillId="0" borderId="12" xfId="64" applyNumberFormat="1" applyFont="1" applyBorder="1" applyAlignment="1">
      <alignment horizontal="center" vertical="center"/>
      <protection/>
    </xf>
    <xf numFmtId="2" fontId="1" fillId="0" borderId="14" xfId="64" applyNumberFormat="1" applyFont="1" applyBorder="1" applyAlignment="1">
      <alignment horizontal="center" vertical="center"/>
      <protection/>
    </xf>
    <xf numFmtId="2" fontId="1" fillId="0" borderId="13" xfId="64" applyNumberFormat="1" applyFont="1" applyBorder="1" applyAlignment="1">
      <alignment horizontal="center" vertical="center"/>
      <protection/>
    </xf>
    <xf numFmtId="2" fontId="1" fillId="0" borderId="15" xfId="64" applyNumberFormat="1" applyFont="1" applyBorder="1" applyAlignment="1">
      <alignment horizontal="center" vertical="center"/>
      <protection/>
    </xf>
    <xf numFmtId="2" fontId="1" fillId="0" borderId="0" xfId="0" applyNumberFormat="1" applyFont="1" applyBorder="1" applyAlignment="1">
      <alignment horizontal="center" vertical="center"/>
    </xf>
    <xf numFmtId="49" fontId="1" fillId="0" borderId="14" xfId="64" applyNumberFormat="1" applyFont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197" fontId="1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wrapText="1"/>
      <protection/>
    </xf>
    <xf numFmtId="9" fontId="1" fillId="0" borderId="10" xfId="68" applyFont="1" applyBorder="1" applyAlignment="1">
      <alignment horizontal="center" vertical="center"/>
    </xf>
    <xf numFmtId="2" fontId="1" fillId="0" borderId="10" xfId="55" applyNumberFormat="1" applyFont="1" applyBorder="1" applyAlignment="1">
      <alignment horizontal="center" vertical="center" wrapText="1"/>
      <protection/>
    </xf>
    <xf numFmtId="197" fontId="1" fillId="0" borderId="10" xfId="55" applyNumberFormat="1" applyFont="1" applyBorder="1" applyAlignment="1">
      <alignment horizontal="center" wrapText="1"/>
      <protection/>
    </xf>
    <xf numFmtId="2" fontId="1" fillId="0" borderId="10" xfId="55" applyNumberFormat="1" applyFont="1" applyBorder="1" applyAlignment="1">
      <alignment horizontal="center" wrapText="1"/>
      <protection/>
    </xf>
    <xf numFmtId="0" fontId="1" fillId="0" borderId="10" xfId="55" applyFont="1" applyBorder="1" applyAlignment="1">
      <alignment horizontal="center"/>
      <protection/>
    </xf>
    <xf numFmtId="2" fontId="1" fillId="0" borderId="10" xfId="55" applyNumberFormat="1" applyFont="1" applyBorder="1" applyAlignment="1">
      <alignment horizontal="center" vertical="center"/>
      <protection/>
    </xf>
    <xf numFmtId="197" fontId="1" fillId="0" borderId="10" xfId="55" applyNumberFormat="1" applyFont="1" applyBorder="1" applyAlignment="1">
      <alignment horizontal="center" vertical="center" wrapText="1"/>
      <protection/>
    </xf>
    <xf numFmtId="0" fontId="1" fillId="0" borderId="11" xfId="55" applyFont="1" applyBorder="1" applyAlignment="1">
      <alignment horizontal="center"/>
      <protection/>
    </xf>
    <xf numFmtId="9" fontId="1" fillId="0" borderId="11" xfId="68" applyFont="1" applyBorder="1" applyAlignment="1">
      <alignment horizontal="center" vertical="center"/>
    </xf>
    <xf numFmtId="2" fontId="1" fillId="0" borderId="11" xfId="55" applyNumberFormat="1" applyFont="1" applyBorder="1" applyAlignment="1">
      <alignment horizontal="center"/>
      <protection/>
    </xf>
    <xf numFmtId="49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49" fontId="1" fillId="0" borderId="11" xfId="64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/>
    </xf>
    <xf numFmtId="198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11" xfId="55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64" applyFont="1" applyBorder="1" applyAlignment="1">
      <alignment horizontal="center" vertical="center"/>
      <protection/>
    </xf>
    <xf numFmtId="2" fontId="1" fillId="0" borderId="16" xfId="64" applyNumberFormat="1" applyFont="1" applyBorder="1" applyAlignment="1">
      <alignment horizontal="center" vertical="center"/>
      <protection/>
    </xf>
    <xf numFmtId="2" fontId="1" fillId="0" borderId="0" xfId="64" applyNumberFormat="1" applyFont="1" applyBorder="1" applyAlignment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/>
    </xf>
    <xf numFmtId="198" fontId="1" fillId="0" borderId="1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8" xfId="64" applyFont="1" applyBorder="1" applyAlignment="1">
      <alignment horizontal="center" vertical="center"/>
      <protection/>
    </xf>
    <xf numFmtId="2" fontId="1" fillId="0" borderId="18" xfId="64" applyNumberFormat="1" applyFont="1" applyBorder="1" applyAlignment="1">
      <alignment horizontal="center" vertical="center"/>
      <protection/>
    </xf>
    <xf numFmtId="2" fontId="1" fillId="0" borderId="19" xfId="64" applyNumberFormat="1" applyFont="1" applyBorder="1" applyAlignment="1">
      <alignment horizontal="center" vertical="center"/>
      <protection/>
    </xf>
    <xf numFmtId="2" fontId="1" fillId="0" borderId="20" xfId="64" applyNumberFormat="1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  <xf numFmtId="199" fontId="1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21" xfId="64" applyNumberFormat="1" applyFont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64" applyNumberFormat="1" applyFont="1" applyFill="1" applyBorder="1" applyAlignment="1">
      <alignment horizontal="center" vertical="center"/>
      <protection/>
    </xf>
    <xf numFmtId="0" fontId="1" fillId="0" borderId="10" xfId="64" applyFont="1" applyFill="1" applyBorder="1" applyAlignment="1">
      <alignment horizontal="center" vertical="center"/>
      <protection/>
    </xf>
    <xf numFmtId="49" fontId="1" fillId="0" borderId="10" xfId="64" applyNumberFormat="1" applyFont="1" applyFill="1" applyBorder="1" applyAlignment="1">
      <alignment horizontal="center" vertical="center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197" fontId="1" fillId="0" borderId="10" xfId="0" applyNumberFormat="1" applyFont="1" applyFill="1" applyBorder="1" applyAlignment="1">
      <alignment horizontal="center" vertical="center"/>
    </xf>
    <xf numFmtId="0" fontId="1" fillId="0" borderId="16" xfId="64" applyFont="1" applyFill="1" applyBorder="1" applyAlignment="1">
      <alignment horizontal="center" vertical="center"/>
      <protection/>
    </xf>
    <xf numFmtId="2" fontId="1" fillId="0" borderId="0" xfId="64" applyNumberFormat="1" applyFont="1" applyFill="1" applyBorder="1" applyAlignment="1">
      <alignment horizontal="center" vertical="center"/>
      <protection/>
    </xf>
    <xf numFmtId="2" fontId="1" fillId="0" borderId="16" xfId="64" applyNumberFormat="1" applyFont="1" applyFill="1" applyBorder="1" applyAlignment="1">
      <alignment horizontal="center" vertical="center"/>
      <protection/>
    </xf>
    <xf numFmtId="0" fontId="1" fillId="0" borderId="10" xfId="64" applyFont="1" applyBorder="1" applyAlignment="1">
      <alignment horizontal="center" vertical="center"/>
      <protection/>
    </xf>
    <xf numFmtId="49" fontId="1" fillId="0" borderId="10" xfId="64" applyNumberFormat="1" applyFont="1" applyBorder="1" applyAlignment="1">
      <alignment horizontal="center" vertical="center"/>
      <protection/>
    </xf>
    <xf numFmtId="2" fontId="7" fillId="0" borderId="21" xfId="64" applyNumberFormat="1" applyFont="1" applyBorder="1" applyAlignment="1">
      <alignment horizontal="center" vertical="center"/>
      <protection/>
    </xf>
    <xf numFmtId="0" fontId="1" fillId="0" borderId="10" xfId="64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horizontal="center"/>
      <protection/>
    </xf>
    <xf numFmtId="0" fontId="1" fillId="0" borderId="20" xfId="64" applyFont="1" applyBorder="1" applyAlignment="1">
      <alignment horizontal="center" vertical="center" wrapText="1"/>
      <protection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2" fontId="1" fillId="0" borderId="16" xfId="0" applyNumberFormat="1" applyFont="1" applyBorder="1" applyAlignment="1">
      <alignment horizontal="center" vertical="center"/>
    </xf>
    <xf numFmtId="0" fontId="1" fillId="0" borderId="18" xfId="64" applyFont="1" applyFill="1" applyBorder="1" applyAlignment="1">
      <alignment horizontal="center" vertical="center"/>
      <protection/>
    </xf>
    <xf numFmtId="49" fontId="1" fillId="0" borderId="11" xfId="64" applyNumberFormat="1" applyFont="1" applyFill="1" applyBorder="1" applyAlignment="1">
      <alignment horizontal="center" vertical="center"/>
      <protection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1" xfId="64" applyNumberFormat="1" applyFont="1" applyFill="1" applyBorder="1" applyAlignment="1">
      <alignment horizontal="center" vertical="center"/>
      <protection/>
    </xf>
    <xf numFmtId="2" fontId="1" fillId="0" borderId="20" xfId="64" applyNumberFormat="1" applyFont="1" applyFill="1" applyBorder="1" applyAlignment="1">
      <alignment horizontal="center" vertical="center"/>
      <protection/>
    </xf>
    <xf numFmtId="2" fontId="1" fillId="0" borderId="18" xfId="64" applyNumberFormat="1" applyFont="1" applyFill="1" applyBorder="1" applyAlignment="1">
      <alignment horizontal="center" vertical="center"/>
      <protection/>
    </xf>
    <xf numFmtId="197" fontId="1" fillId="0" borderId="11" xfId="0" applyNumberFormat="1" applyFont="1" applyBorder="1" applyAlignment="1">
      <alignment horizontal="center" vertical="center"/>
    </xf>
    <xf numFmtId="49" fontId="1" fillId="0" borderId="10" xfId="55" applyNumberFormat="1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 vertical="center"/>
      <protection/>
    </xf>
    <xf numFmtId="0" fontId="1" fillId="0" borderId="11" xfId="55" applyFont="1" applyBorder="1" applyAlignment="1">
      <alignment horizontal="center" vertical="center"/>
      <protection/>
    </xf>
    <xf numFmtId="49" fontId="1" fillId="0" borderId="11" xfId="55" applyNumberFormat="1" applyFont="1" applyBorder="1" applyAlignment="1">
      <alignment horizontal="center" vertical="center"/>
      <protection/>
    </xf>
    <xf numFmtId="2" fontId="1" fillId="0" borderId="11" xfId="55" applyNumberFormat="1" applyFont="1" applyBorder="1" applyAlignment="1">
      <alignment horizontal="center" vertical="center"/>
      <protection/>
    </xf>
    <xf numFmtId="0" fontId="1" fillId="0" borderId="10" xfId="64" applyFont="1" applyBorder="1" applyAlignment="1">
      <alignment horizontal="center" wrapText="1"/>
      <protection/>
    </xf>
    <xf numFmtId="2" fontId="1" fillId="0" borderId="10" xfId="64" applyNumberFormat="1" applyFont="1" applyBorder="1" applyAlignment="1">
      <alignment horizontal="center"/>
      <protection/>
    </xf>
    <xf numFmtId="0" fontId="1" fillId="0" borderId="0" xfId="64" applyFont="1" applyBorder="1" applyAlignment="1">
      <alignment horizontal="center" wrapText="1"/>
      <protection/>
    </xf>
    <xf numFmtId="0" fontId="1" fillId="0" borderId="11" xfId="64" applyFont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63" applyNumberFormat="1" applyFont="1" applyFill="1" applyBorder="1" applyAlignment="1">
      <alignment horizontal="center"/>
      <protection/>
    </xf>
    <xf numFmtId="197" fontId="1" fillId="0" borderId="21" xfId="0" applyNumberFormat="1" applyFont="1" applyFill="1" applyBorder="1" applyAlignment="1">
      <alignment horizontal="center" vertical="center"/>
    </xf>
    <xf numFmtId="2" fontId="1" fillId="0" borderId="10" xfId="63" applyNumberFormat="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/>
    </xf>
    <xf numFmtId="2" fontId="1" fillId="0" borderId="11" xfId="63" applyNumberFormat="1" applyFont="1" applyFill="1" applyBorder="1" applyAlignment="1">
      <alignment horizontal="center"/>
      <protection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197" fontId="1" fillId="0" borderId="10" xfId="0" applyNumberFormat="1" applyFont="1" applyBorder="1" applyAlignment="1">
      <alignment horizontal="center"/>
    </xf>
    <xf numFmtId="49" fontId="1" fillId="0" borderId="10" xfId="64" applyNumberFormat="1" applyFont="1" applyBorder="1" applyAlignment="1">
      <alignment horizontal="center" vertical="center" wrapText="1"/>
      <protection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2" fontId="7" fillId="0" borderId="10" xfId="55" applyNumberFormat="1" applyFont="1" applyBorder="1" applyAlignment="1">
      <alignment horizontal="center" vertical="center"/>
      <protection/>
    </xf>
    <xf numFmtId="0" fontId="1" fillId="0" borderId="21" xfId="64" applyFont="1" applyBorder="1" applyAlignment="1">
      <alignment horizontal="center" vertical="center" wrapText="1"/>
      <protection/>
    </xf>
    <xf numFmtId="0" fontId="1" fillId="0" borderId="19" xfId="64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center" wrapText="1"/>
      <protection/>
    </xf>
    <xf numFmtId="49" fontId="1" fillId="0" borderId="17" xfId="0" applyNumberFormat="1" applyFont="1" applyBorder="1" applyAlignment="1">
      <alignment horizontal="center" vertical="center"/>
    </xf>
    <xf numFmtId="2" fontId="1" fillId="0" borderId="17" xfId="64" applyNumberFormat="1" applyFont="1" applyBorder="1" applyAlignment="1">
      <alignment horizontal="center" vertical="center"/>
      <protection/>
    </xf>
    <xf numFmtId="0" fontId="1" fillId="0" borderId="0" xfId="64" applyFont="1" applyBorder="1" applyAlignment="1">
      <alignment horizontal="center" vertical="center" wrapText="1"/>
      <protection/>
    </xf>
    <xf numFmtId="0" fontId="1" fillId="0" borderId="16" xfId="64" applyFont="1" applyBorder="1" applyAlignment="1">
      <alignment horizontal="center"/>
      <protection/>
    </xf>
    <xf numFmtId="2" fontId="7" fillId="0" borderId="13" xfId="64" applyNumberFormat="1" applyFont="1" applyBorder="1" applyAlignment="1">
      <alignment horizontal="center" vertical="center"/>
      <protection/>
    </xf>
    <xf numFmtId="2" fontId="1" fillId="0" borderId="21" xfId="0" applyNumberFormat="1" applyFont="1" applyBorder="1" applyAlignment="1">
      <alignment horizontal="center" vertical="center"/>
    </xf>
    <xf numFmtId="197" fontId="1" fillId="0" borderId="10" xfId="64" applyNumberFormat="1" applyFont="1" applyBorder="1" applyAlignment="1">
      <alignment horizontal="center" vertical="center"/>
      <protection/>
    </xf>
    <xf numFmtId="197" fontId="9" fillId="0" borderId="10" xfId="64" applyNumberFormat="1" applyFont="1" applyBorder="1" applyAlignment="1">
      <alignment horizontal="center" vertical="center"/>
      <protection/>
    </xf>
    <xf numFmtId="2" fontId="1" fillId="0" borderId="21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10" fillId="0" borderId="15" xfId="64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center"/>
      <protection/>
    </xf>
    <xf numFmtId="49" fontId="1" fillId="0" borderId="11" xfId="64" applyNumberFormat="1" applyFont="1" applyBorder="1" applyAlignment="1">
      <alignment horizontal="center" vertical="center"/>
      <protection/>
    </xf>
    <xf numFmtId="0" fontId="1" fillId="0" borderId="11" xfId="64" applyFont="1" applyBorder="1" applyAlignment="1">
      <alignment horizontal="center" vertical="center" wrapText="1"/>
      <protection/>
    </xf>
    <xf numFmtId="0" fontId="1" fillId="0" borderId="16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1" fillId="0" borderId="17" xfId="64" applyFont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0" fontId="1" fillId="0" borderId="21" xfId="64" applyFont="1" applyBorder="1" applyAlignment="1">
      <alignment horizontal="center" vertical="center"/>
      <protection/>
    </xf>
    <xf numFmtId="2" fontId="7" fillId="0" borderId="10" xfId="64" applyNumberFormat="1" applyFont="1" applyBorder="1" applyAlignment="1">
      <alignment horizontal="center" vertical="center"/>
      <protection/>
    </xf>
    <xf numFmtId="2" fontId="1" fillId="0" borderId="0" xfId="64" applyNumberFormat="1" applyFont="1" applyBorder="1" applyAlignment="1">
      <alignment horizontal="center"/>
      <protection/>
    </xf>
    <xf numFmtId="2" fontId="1" fillId="0" borderId="16" xfId="64" applyNumberFormat="1" applyFont="1" applyBorder="1" applyAlignment="1">
      <alignment horizontal="center"/>
      <protection/>
    </xf>
    <xf numFmtId="0" fontId="1" fillId="0" borderId="20" xfId="64" applyFont="1" applyBorder="1" applyAlignment="1">
      <alignment horizontal="center" wrapText="1"/>
      <protection/>
    </xf>
    <xf numFmtId="2" fontId="1" fillId="0" borderId="20" xfId="64" applyNumberFormat="1" applyFont="1" applyBorder="1" applyAlignment="1">
      <alignment horizontal="center"/>
      <protection/>
    </xf>
    <xf numFmtId="2" fontId="1" fillId="0" borderId="18" xfId="64" applyNumberFormat="1" applyFont="1" applyBorder="1" applyAlignment="1">
      <alignment horizontal="center"/>
      <protection/>
    </xf>
    <xf numFmtId="2" fontId="1" fillId="32" borderId="17" xfId="0" applyNumberFormat="1" applyFont="1" applyFill="1" applyBorder="1" applyAlignment="1">
      <alignment horizontal="center" vertical="center" wrapText="1"/>
    </xf>
    <xf numFmtId="0" fontId="1" fillId="0" borderId="17" xfId="64" applyFont="1" applyBorder="1" applyAlignment="1">
      <alignment horizontal="center" vertical="center" wrapText="1"/>
      <protection/>
    </xf>
    <xf numFmtId="2" fontId="7" fillId="0" borderId="21" xfId="0" applyNumberFormat="1" applyFont="1" applyBorder="1" applyAlignment="1">
      <alignment horizontal="center" vertical="center"/>
    </xf>
    <xf numFmtId="0" fontId="1" fillId="0" borderId="14" xfId="64" applyFont="1" applyBorder="1" applyAlignment="1">
      <alignment horizontal="center" vertical="center"/>
      <protection/>
    </xf>
    <xf numFmtId="0" fontId="1" fillId="0" borderId="14" xfId="0" applyFont="1" applyBorder="1" applyAlignment="1">
      <alignment/>
    </xf>
    <xf numFmtId="199" fontId="1" fillId="0" borderId="14" xfId="0" applyNumberFormat="1" applyFont="1" applyBorder="1" applyAlignment="1">
      <alignment horizontal="center" vertical="center"/>
    </xf>
    <xf numFmtId="16" fontId="1" fillId="0" borderId="17" xfId="64" applyNumberFormat="1" applyFont="1" applyBorder="1" applyAlignment="1">
      <alignment horizontal="center" vertical="center"/>
      <protection/>
    </xf>
    <xf numFmtId="2" fontId="7" fillId="0" borderId="17" xfId="64" applyNumberFormat="1" applyFont="1" applyBorder="1" applyAlignment="1">
      <alignment horizontal="center" vertical="center"/>
      <protection/>
    </xf>
    <xf numFmtId="199" fontId="1" fillId="0" borderId="10" xfId="0" applyNumberFormat="1" applyFont="1" applyBorder="1" applyAlignment="1">
      <alignment horizontal="center" vertical="center"/>
    </xf>
    <xf numFmtId="199" fontId="1" fillId="0" borderId="10" xfId="55" applyNumberFormat="1" applyFont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6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" fillId="0" borderId="14" xfId="64" applyFont="1" applyBorder="1" applyAlignment="1">
      <alignment horizontal="center" vertical="center" wrapText="1"/>
      <protection/>
    </xf>
    <xf numFmtId="49" fontId="1" fillId="0" borderId="14" xfId="0" applyNumberFormat="1" applyFont="1" applyBorder="1" applyAlignment="1">
      <alignment horizontal="center" vertical="center"/>
    </xf>
    <xf numFmtId="2" fontId="7" fillId="0" borderId="14" xfId="64" applyNumberFormat="1" applyFont="1" applyBorder="1" applyAlignment="1">
      <alignment horizontal="center" vertical="center"/>
      <protection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4" xfId="64" applyNumberFormat="1" applyFont="1" applyFill="1" applyBorder="1" applyAlignment="1">
      <alignment horizontal="center" vertical="center"/>
      <protection/>
    </xf>
    <xf numFmtId="197" fontId="1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198" fontId="1" fillId="0" borderId="14" xfId="0" applyNumberFormat="1" applyFont="1" applyBorder="1" applyAlignment="1">
      <alignment horizontal="center" vertical="center"/>
    </xf>
    <xf numFmtId="0" fontId="1" fillId="0" borderId="14" xfId="64" applyFont="1" applyBorder="1" applyAlignment="1">
      <alignment horizontal="center" wrapText="1"/>
      <protection/>
    </xf>
    <xf numFmtId="0" fontId="1" fillId="0" borderId="14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4" xfId="73" applyNumberFormat="1" applyFont="1" applyFill="1" applyBorder="1" applyAlignment="1">
      <alignment horizontal="center" vertical="center"/>
      <protection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4" xfId="73" applyNumberFormat="1" applyFont="1" applyFill="1" applyBorder="1" applyAlignment="1">
      <alignment horizontal="center" vertical="center"/>
      <protection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4" xfId="64" applyNumberFormat="1" applyFont="1" applyFill="1" applyBorder="1" applyAlignment="1">
      <alignment horizontal="center" vertical="center"/>
      <protection/>
    </xf>
    <xf numFmtId="197" fontId="1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0" fontId="1" fillId="0" borderId="14" xfId="55" applyFont="1" applyBorder="1" applyAlignment="1">
      <alignment horizontal="center"/>
      <protection/>
    </xf>
    <xf numFmtId="9" fontId="1" fillId="0" borderId="14" xfId="68" applyFont="1" applyBorder="1" applyAlignment="1">
      <alignment horizontal="center" vertical="center"/>
    </xf>
    <xf numFmtId="0" fontId="1" fillId="0" borderId="14" xfId="55" applyFont="1" applyBorder="1" applyAlignment="1">
      <alignment horizontal="center" wrapText="1"/>
      <protection/>
    </xf>
    <xf numFmtId="0" fontId="1" fillId="0" borderId="14" xfId="55" applyFont="1" applyBorder="1" applyAlignment="1">
      <alignment horizontal="center" vertical="center" wrapText="1"/>
      <protection/>
    </xf>
    <xf numFmtId="2" fontId="1" fillId="0" borderId="14" xfId="55" applyNumberFormat="1" applyFont="1" applyBorder="1" applyAlignment="1">
      <alignment horizontal="center" vertical="center" wrapText="1"/>
      <protection/>
    </xf>
    <xf numFmtId="197" fontId="1" fillId="0" borderId="14" xfId="55" applyNumberFormat="1" applyFont="1" applyBorder="1" applyAlignment="1">
      <alignment horizontal="center" wrapText="1"/>
      <protection/>
    </xf>
    <xf numFmtId="2" fontId="1" fillId="0" borderId="14" xfId="55" applyNumberFormat="1" applyFont="1" applyBorder="1" applyAlignment="1">
      <alignment horizontal="center" wrapText="1"/>
      <protection/>
    </xf>
    <xf numFmtId="2" fontId="1" fillId="0" borderId="14" xfId="55" applyNumberFormat="1" applyFont="1" applyBorder="1" applyAlignment="1">
      <alignment horizontal="center" vertical="center"/>
      <protection/>
    </xf>
    <xf numFmtId="197" fontId="1" fillId="0" borderId="14" xfId="55" applyNumberFormat="1" applyFont="1" applyBorder="1" applyAlignment="1">
      <alignment horizontal="center" vertical="center" wrapText="1"/>
      <protection/>
    </xf>
    <xf numFmtId="2" fontId="1" fillId="0" borderId="14" xfId="55" applyNumberFormat="1" applyFont="1" applyBorder="1" applyAlignment="1">
      <alignment horizontal="center"/>
      <protection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0" fontId="18" fillId="0" borderId="17" xfId="64" applyFont="1" applyBorder="1" applyAlignment="1">
      <alignment horizontal="center" vertical="center"/>
      <protection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2" fontId="18" fillId="0" borderId="18" xfId="64" applyNumberFormat="1" applyFont="1" applyBorder="1" applyAlignment="1">
      <alignment horizontal="center" vertical="center"/>
      <protection/>
    </xf>
    <xf numFmtId="2" fontId="18" fillId="0" borderId="20" xfId="64" applyNumberFormat="1" applyFont="1" applyBorder="1" applyAlignment="1">
      <alignment horizontal="center" vertical="center"/>
      <protection/>
    </xf>
    <xf numFmtId="2" fontId="18" fillId="0" borderId="19" xfId="64" applyNumberFormat="1" applyFont="1" applyBorder="1" applyAlignment="1">
      <alignment horizontal="center" vertical="center"/>
      <protection/>
    </xf>
    <xf numFmtId="2" fontId="18" fillId="0" borderId="18" xfId="0" applyNumberFormat="1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/>
    </xf>
    <xf numFmtId="2" fontId="18" fillId="0" borderId="20" xfId="0" applyNumberFormat="1" applyFont="1" applyBorder="1" applyAlignment="1">
      <alignment horizontal="center" vertical="center"/>
    </xf>
    <xf numFmtId="2" fontId="18" fillId="0" borderId="10" xfId="64" applyNumberFormat="1" applyFont="1" applyBorder="1" applyAlignment="1">
      <alignment horizontal="center" vertical="center"/>
      <protection/>
    </xf>
    <xf numFmtId="2" fontId="18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2" fontId="18" fillId="0" borderId="11" xfId="64" applyNumberFormat="1" applyFont="1" applyBorder="1" applyAlignment="1">
      <alignment horizontal="center" vertical="center"/>
      <protection/>
    </xf>
    <xf numFmtId="2" fontId="18" fillId="0" borderId="11" xfId="0" applyNumberFormat="1" applyFont="1" applyBorder="1" applyAlignment="1">
      <alignment horizontal="center" vertical="center"/>
    </xf>
    <xf numFmtId="0" fontId="18" fillId="0" borderId="12" xfId="64" applyFont="1" applyBorder="1" applyAlignment="1">
      <alignment horizontal="center" vertical="center"/>
      <protection/>
    </xf>
    <xf numFmtId="49" fontId="18" fillId="0" borderId="14" xfId="64" applyNumberFormat="1" applyFont="1" applyBorder="1" applyAlignment="1">
      <alignment horizontal="center" vertical="center" wrapText="1"/>
      <protection/>
    </xf>
    <xf numFmtId="0" fontId="18" fillId="0" borderId="13" xfId="64" applyFont="1" applyBorder="1" applyAlignment="1">
      <alignment horizontal="center" vertical="center" wrapText="1"/>
      <protection/>
    </xf>
    <xf numFmtId="2" fontId="18" fillId="0" borderId="14" xfId="64" applyNumberFormat="1" applyFont="1" applyBorder="1" applyAlignment="1">
      <alignment horizontal="center" vertical="center"/>
      <protection/>
    </xf>
    <xf numFmtId="2" fontId="18" fillId="0" borderId="13" xfId="64" applyNumberFormat="1" applyFont="1" applyBorder="1" applyAlignment="1">
      <alignment horizontal="center" vertical="center"/>
      <protection/>
    </xf>
    <xf numFmtId="2" fontId="18" fillId="0" borderId="15" xfId="64" applyNumberFormat="1" applyFont="1" applyBorder="1" applyAlignment="1">
      <alignment horizontal="center" vertical="center"/>
      <protection/>
    </xf>
    <xf numFmtId="2" fontId="18" fillId="0" borderId="12" xfId="64" applyNumberFormat="1" applyFont="1" applyBorder="1" applyAlignment="1">
      <alignment horizontal="center" vertical="center"/>
      <protection/>
    </xf>
    <xf numFmtId="0" fontId="18" fillId="0" borderId="16" xfId="64" applyFont="1" applyBorder="1" applyAlignment="1">
      <alignment horizontal="center" vertical="center"/>
      <protection/>
    </xf>
    <xf numFmtId="49" fontId="18" fillId="0" borderId="10" xfId="0" applyNumberFormat="1" applyFont="1" applyBorder="1" applyAlignment="1">
      <alignment horizontal="center" vertical="center"/>
    </xf>
    <xf numFmtId="0" fontId="18" fillId="0" borderId="0" xfId="64" applyFont="1" applyBorder="1" applyAlignment="1">
      <alignment horizontal="center" vertical="center" wrapText="1"/>
      <protection/>
    </xf>
    <xf numFmtId="2" fontId="18" fillId="0" borderId="16" xfId="64" applyNumberFormat="1" applyFont="1" applyBorder="1" applyAlignment="1">
      <alignment horizontal="center" vertical="center"/>
      <protection/>
    </xf>
    <xf numFmtId="2" fontId="20" fillId="0" borderId="21" xfId="64" applyNumberFormat="1" applyFont="1" applyBorder="1" applyAlignment="1">
      <alignment horizontal="center" vertical="center"/>
      <protection/>
    </xf>
    <xf numFmtId="2" fontId="18" fillId="0" borderId="0" xfId="64" applyNumberFormat="1" applyFont="1" applyBorder="1" applyAlignment="1">
      <alignment horizontal="center" vertical="center"/>
      <protection/>
    </xf>
    <xf numFmtId="2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2" fontId="18" fillId="0" borderId="10" xfId="64" applyNumberFormat="1" applyFont="1" applyFill="1" applyBorder="1" applyAlignment="1">
      <alignment horizontal="center" vertical="center"/>
      <protection/>
    </xf>
    <xf numFmtId="2" fontId="18" fillId="0" borderId="0" xfId="64" applyNumberFormat="1" applyFont="1" applyFill="1" applyBorder="1" applyAlignment="1">
      <alignment horizontal="center" vertical="center"/>
      <protection/>
    </xf>
    <xf numFmtId="2" fontId="18" fillId="0" borderId="16" xfId="64" applyNumberFormat="1" applyFont="1" applyFill="1" applyBorder="1" applyAlignment="1">
      <alignment horizontal="center" vertical="center"/>
      <protection/>
    </xf>
    <xf numFmtId="2" fontId="18" fillId="0" borderId="16" xfId="0" applyNumberFormat="1" applyFont="1" applyBorder="1" applyAlignment="1">
      <alignment horizontal="center" vertical="center"/>
    </xf>
    <xf numFmtId="197" fontId="18" fillId="0" borderId="10" xfId="0" applyNumberFormat="1" applyFont="1" applyBorder="1" applyAlignment="1">
      <alignment horizontal="center" vertical="center"/>
    </xf>
    <xf numFmtId="0" fontId="18" fillId="0" borderId="18" xfId="64" applyFont="1" applyBorder="1" applyAlignment="1">
      <alignment horizontal="center" vertical="center"/>
      <protection/>
    </xf>
    <xf numFmtId="49" fontId="18" fillId="0" borderId="11" xfId="64" applyNumberFormat="1" applyFont="1" applyBorder="1" applyAlignment="1">
      <alignment horizontal="center" vertical="center" wrapText="1"/>
      <protection/>
    </xf>
    <xf numFmtId="0" fontId="18" fillId="0" borderId="20" xfId="64" applyFont="1" applyBorder="1" applyAlignment="1">
      <alignment horizontal="center" vertical="center" wrapText="1"/>
      <protection/>
    </xf>
    <xf numFmtId="49" fontId="18" fillId="0" borderId="17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/>
    </xf>
    <xf numFmtId="2" fontId="20" fillId="0" borderId="17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98" fontId="18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199" fontId="18" fillId="0" borderId="11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/>
    </xf>
    <xf numFmtId="0" fontId="18" fillId="0" borderId="0" xfId="64" applyFont="1" applyBorder="1" applyAlignment="1">
      <alignment horizontal="center" wrapText="1"/>
      <protection/>
    </xf>
    <xf numFmtId="0" fontId="18" fillId="0" borderId="10" xfId="64" applyFont="1" applyBorder="1" applyAlignment="1">
      <alignment horizontal="center" vertical="center"/>
      <protection/>
    </xf>
    <xf numFmtId="49" fontId="18" fillId="0" borderId="16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2" fontId="18" fillId="0" borderId="20" xfId="0" applyNumberFormat="1" applyFont="1" applyBorder="1" applyAlignment="1">
      <alignment horizontal="center" vertical="center" wrapText="1"/>
    </xf>
    <xf numFmtId="2" fontId="20" fillId="0" borderId="16" xfId="0" applyNumberFormat="1" applyFont="1" applyBorder="1" applyAlignment="1">
      <alignment horizontal="center" vertical="center"/>
    </xf>
    <xf numFmtId="2" fontId="18" fillId="0" borderId="10" xfId="64" applyNumberFormat="1" applyFont="1" applyBorder="1" applyAlignment="1">
      <alignment horizontal="center"/>
      <protection/>
    </xf>
    <xf numFmtId="49" fontId="18" fillId="0" borderId="10" xfId="64" applyNumberFormat="1" applyFont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/>
    </xf>
    <xf numFmtId="0" fontId="18" fillId="0" borderId="10" xfId="64" applyFont="1" applyBorder="1" applyAlignment="1">
      <alignment horizontal="center" vertical="center" wrapText="1"/>
      <protection/>
    </xf>
    <xf numFmtId="0" fontId="18" fillId="0" borderId="10" xfId="64" applyFont="1" applyBorder="1" applyAlignment="1">
      <alignment horizontal="center" wrapText="1"/>
      <protection/>
    </xf>
    <xf numFmtId="49" fontId="18" fillId="0" borderId="10" xfId="64" applyNumberFormat="1" applyFont="1" applyFill="1" applyBorder="1" applyAlignment="1">
      <alignment horizontal="center" vertical="center"/>
      <protection/>
    </xf>
    <xf numFmtId="197" fontId="18" fillId="0" borderId="10" xfId="0" applyNumberFormat="1" applyFont="1" applyBorder="1" applyAlignment="1">
      <alignment horizontal="center"/>
    </xf>
    <xf numFmtId="0" fontId="18" fillId="0" borderId="11" xfId="64" applyFont="1" applyBorder="1" applyAlignment="1">
      <alignment horizontal="center" wrapText="1"/>
      <protection/>
    </xf>
    <xf numFmtId="0" fontId="18" fillId="0" borderId="11" xfId="64" applyFont="1" applyBorder="1" applyAlignment="1">
      <alignment horizontal="center" vertical="center"/>
      <protection/>
    </xf>
    <xf numFmtId="49" fontId="18" fillId="0" borderId="17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 wrapText="1"/>
    </xf>
    <xf numFmtId="197" fontId="18" fillId="0" borderId="11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/>
    </xf>
    <xf numFmtId="0" fontId="18" fillId="0" borderId="10" xfId="55" applyFont="1" applyBorder="1" applyAlignment="1">
      <alignment horizontal="center"/>
      <protection/>
    </xf>
    <xf numFmtId="9" fontId="18" fillId="0" borderId="10" xfId="68" applyFont="1" applyBorder="1" applyAlignment="1">
      <alignment horizontal="center" vertical="center"/>
    </xf>
    <xf numFmtId="0" fontId="18" fillId="0" borderId="10" xfId="55" applyFont="1" applyBorder="1" applyAlignment="1">
      <alignment horizontal="center" wrapText="1"/>
      <protection/>
    </xf>
    <xf numFmtId="0" fontId="18" fillId="0" borderId="10" xfId="55" applyFont="1" applyBorder="1" applyAlignment="1">
      <alignment horizontal="center" vertical="center" wrapText="1"/>
      <protection/>
    </xf>
    <xf numFmtId="2" fontId="18" fillId="0" borderId="10" xfId="55" applyNumberFormat="1" applyFont="1" applyBorder="1" applyAlignment="1">
      <alignment horizontal="center" vertical="center" wrapText="1"/>
      <protection/>
    </xf>
    <xf numFmtId="197" fontId="18" fillId="0" borderId="10" xfId="55" applyNumberFormat="1" applyFont="1" applyBorder="1" applyAlignment="1">
      <alignment horizontal="center" wrapText="1"/>
      <protection/>
    </xf>
    <xf numFmtId="2" fontId="18" fillId="0" borderId="10" xfId="55" applyNumberFormat="1" applyFont="1" applyBorder="1" applyAlignment="1">
      <alignment horizontal="center" wrapText="1"/>
      <protection/>
    </xf>
    <xf numFmtId="2" fontId="18" fillId="0" borderId="10" xfId="55" applyNumberFormat="1" applyFont="1" applyBorder="1" applyAlignment="1">
      <alignment horizontal="center" vertical="center"/>
      <protection/>
    </xf>
    <xf numFmtId="197" fontId="18" fillId="0" borderId="10" xfId="55" applyNumberFormat="1" applyFont="1" applyBorder="1" applyAlignment="1">
      <alignment horizontal="center" vertical="center" wrapText="1"/>
      <protection/>
    </xf>
    <xf numFmtId="0" fontId="18" fillId="0" borderId="11" xfId="55" applyFont="1" applyBorder="1" applyAlignment="1">
      <alignment horizontal="center"/>
      <protection/>
    </xf>
    <xf numFmtId="0" fontId="18" fillId="0" borderId="11" xfId="55" applyFont="1" applyBorder="1" applyAlignment="1">
      <alignment horizontal="center" vertical="center" wrapText="1"/>
      <protection/>
    </xf>
    <xf numFmtId="9" fontId="18" fillId="0" borderId="11" xfId="68" applyFont="1" applyBorder="1" applyAlignment="1">
      <alignment horizontal="center" vertical="center"/>
    </xf>
    <xf numFmtId="2" fontId="18" fillId="0" borderId="11" xfId="55" applyNumberFormat="1" applyFont="1" applyBorder="1" applyAlignment="1">
      <alignment horizontal="center"/>
      <protection/>
    </xf>
    <xf numFmtId="0" fontId="22" fillId="0" borderId="0" xfId="0" applyFont="1" applyAlignment="1">
      <alignment/>
    </xf>
    <xf numFmtId="0" fontId="18" fillId="0" borderId="0" xfId="61" applyFont="1" applyAlignment="1">
      <alignment horizontal="left" vertical="center" wrapText="1"/>
      <protection/>
    </xf>
    <xf numFmtId="2" fontId="18" fillId="0" borderId="0" xfId="61" applyNumberFormat="1" applyFont="1" applyAlignment="1">
      <alignment horizontal="center" vertical="center" wrapText="1"/>
      <protection/>
    </xf>
    <xf numFmtId="2" fontId="18" fillId="0" borderId="0" xfId="61" applyNumberFormat="1" applyFont="1" applyAlignment="1">
      <alignment horizontal="left" vertical="center" wrapText="1"/>
      <protection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2" fontId="18" fillId="0" borderId="0" xfId="0" applyNumberFormat="1" applyFont="1" applyBorder="1" applyAlignment="1">
      <alignment/>
    </xf>
    <xf numFmtId="0" fontId="18" fillId="0" borderId="20" xfId="0" applyFont="1" applyBorder="1" applyAlignment="1">
      <alignment horizontal="center" vertical="center" wrapText="1"/>
    </xf>
    <xf numFmtId="2" fontId="18" fillId="0" borderId="17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5" xfId="0" applyFont="1" applyBorder="1" applyAlignment="1">
      <alignment horizontal="center"/>
    </xf>
    <xf numFmtId="1" fontId="18" fillId="0" borderId="14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2" fontId="18" fillId="0" borderId="15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1" fontId="17" fillId="0" borderId="14" xfId="0" applyNumberFormat="1" applyFont="1" applyBorder="1" applyAlignment="1">
      <alignment horizontal="center"/>
    </xf>
    <xf numFmtId="2" fontId="17" fillId="0" borderId="15" xfId="0" applyNumberFormat="1" applyFont="1" applyBorder="1" applyAlignment="1">
      <alignment horizontal="center"/>
    </xf>
    <xf numFmtId="2" fontId="22" fillId="0" borderId="0" xfId="0" applyNumberFormat="1" applyFont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2" fontId="17" fillId="0" borderId="14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2" fontId="18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0" fontId="23" fillId="0" borderId="0" xfId="0" applyFont="1" applyBorder="1" applyAlignment="1">
      <alignment/>
    </xf>
    <xf numFmtId="0" fontId="24" fillId="0" borderId="13" xfId="64" applyFont="1" applyBorder="1" applyAlignment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64" applyFont="1" applyFill="1" applyBorder="1" applyAlignment="1">
      <alignment horizontal="center" vertical="center"/>
      <protection/>
    </xf>
    <xf numFmtId="2" fontId="18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Fill="1" applyBorder="1" applyAlignment="1">
      <alignment horizontal="center" vertical="center"/>
    </xf>
    <xf numFmtId="0" fontId="18" fillId="0" borderId="16" xfId="64" applyFont="1" applyFill="1" applyBorder="1" applyAlignment="1">
      <alignment horizontal="center" vertical="center"/>
      <protection/>
    </xf>
    <xf numFmtId="0" fontId="18" fillId="0" borderId="18" xfId="64" applyFont="1" applyFill="1" applyBorder="1" applyAlignment="1">
      <alignment horizontal="center" vertical="center"/>
      <protection/>
    </xf>
    <xf numFmtId="49" fontId="18" fillId="0" borderId="11" xfId="64" applyNumberFormat="1" applyFont="1" applyFill="1" applyBorder="1" applyAlignment="1">
      <alignment horizontal="center" vertical="center"/>
      <protection/>
    </xf>
    <xf numFmtId="2" fontId="18" fillId="0" borderId="11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/>
    </xf>
    <xf numFmtId="2" fontId="18" fillId="0" borderId="11" xfId="64" applyNumberFormat="1" applyFont="1" applyFill="1" applyBorder="1" applyAlignment="1">
      <alignment horizontal="center" vertical="center"/>
      <protection/>
    </xf>
    <xf numFmtId="2" fontId="18" fillId="0" borderId="20" xfId="64" applyNumberFormat="1" applyFont="1" applyFill="1" applyBorder="1" applyAlignment="1">
      <alignment horizontal="center" vertical="center"/>
      <protection/>
    </xf>
    <xf numFmtId="2" fontId="18" fillId="0" borderId="18" xfId="64" applyNumberFormat="1" applyFont="1" applyFill="1" applyBorder="1" applyAlignment="1">
      <alignment horizontal="center" vertical="center"/>
      <protection/>
    </xf>
    <xf numFmtId="0" fontId="18" fillId="0" borderId="21" xfId="64" applyFont="1" applyBorder="1" applyAlignment="1">
      <alignment horizontal="center" vertical="center" wrapText="1"/>
      <protection/>
    </xf>
    <xf numFmtId="197" fontId="25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0" xfId="64" applyNumberFormat="1" applyFont="1" applyFill="1" applyBorder="1" applyAlignment="1">
      <alignment horizontal="center" vertical="center"/>
      <protection/>
    </xf>
    <xf numFmtId="2" fontId="25" fillId="0" borderId="0" xfId="64" applyNumberFormat="1" applyFont="1" applyFill="1" applyBorder="1" applyAlignment="1">
      <alignment horizontal="center" vertical="center"/>
      <protection/>
    </xf>
    <xf numFmtId="2" fontId="25" fillId="0" borderId="16" xfId="64" applyNumberFormat="1" applyFont="1" applyFill="1" applyBorder="1" applyAlignment="1">
      <alignment horizontal="center" vertical="center"/>
      <protection/>
    </xf>
    <xf numFmtId="2" fontId="25" fillId="0" borderId="16" xfId="0" applyNumberFormat="1" applyFont="1" applyBorder="1" applyAlignment="1">
      <alignment horizontal="center" vertical="center"/>
    </xf>
    <xf numFmtId="0" fontId="18" fillId="0" borderId="19" xfId="64" applyFont="1" applyBorder="1" applyAlignment="1">
      <alignment horizontal="center" vertical="center" wrapText="1"/>
      <protection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2" fontId="23" fillId="0" borderId="14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64" applyFont="1" applyBorder="1" applyAlignment="1">
      <alignment horizontal="center"/>
      <protection/>
    </xf>
    <xf numFmtId="2" fontId="18" fillId="0" borderId="21" xfId="64" applyNumberFormat="1" applyFont="1" applyBorder="1" applyAlignment="1">
      <alignment horizontal="center" vertical="center"/>
      <protection/>
    </xf>
    <xf numFmtId="0" fontId="18" fillId="0" borderId="16" xfId="64" applyFont="1" applyBorder="1" applyAlignment="1">
      <alignment horizontal="center"/>
      <protection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/>
    </xf>
    <xf numFmtId="0" fontId="25" fillId="0" borderId="16" xfId="64" applyFont="1" applyBorder="1" applyAlignment="1">
      <alignment horizontal="center" vertical="center"/>
      <protection/>
    </xf>
    <xf numFmtId="0" fontId="25" fillId="0" borderId="22" xfId="0" applyFont="1" applyBorder="1" applyAlignment="1">
      <alignment horizontal="center" vertical="center" wrapText="1"/>
    </xf>
    <xf numFmtId="0" fontId="25" fillId="0" borderId="0" xfId="64" applyFont="1" applyBorder="1" applyAlignment="1">
      <alignment horizontal="center" vertical="center" wrapText="1"/>
      <protection/>
    </xf>
    <xf numFmtId="2" fontId="25" fillId="0" borderId="16" xfId="64" applyNumberFormat="1" applyFont="1" applyBorder="1" applyAlignment="1">
      <alignment horizontal="center" vertical="center"/>
      <protection/>
    </xf>
    <xf numFmtId="2" fontId="25" fillId="0" borderId="10" xfId="64" applyNumberFormat="1" applyFont="1" applyBorder="1" applyAlignment="1">
      <alignment horizontal="center" vertical="center"/>
      <protection/>
    </xf>
    <xf numFmtId="2" fontId="27" fillId="0" borderId="21" xfId="64" applyNumberFormat="1" applyFont="1" applyBorder="1" applyAlignment="1">
      <alignment horizontal="center" vertical="center"/>
      <protection/>
    </xf>
    <xf numFmtId="2" fontId="23" fillId="0" borderId="0" xfId="64" applyNumberFormat="1" applyFont="1" applyBorder="1" applyAlignment="1">
      <alignment horizontal="center" vertical="center"/>
      <protection/>
    </xf>
    <xf numFmtId="2" fontId="23" fillId="0" borderId="16" xfId="64" applyNumberFormat="1" applyFont="1" applyBorder="1" applyAlignment="1">
      <alignment horizontal="center" vertical="center"/>
      <protection/>
    </xf>
    <xf numFmtId="2" fontId="23" fillId="0" borderId="10" xfId="64" applyNumberFormat="1" applyFont="1" applyBorder="1" applyAlignment="1">
      <alignment horizontal="center" vertical="center"/>
      <protection/>
    </xf>
    <xf numFmtId="49" fontId="25" fillId="0" borderId="10" xfId="64" applyNumberFormat="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196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201" fontId="25" fillId="0" borderId="10" xfId="0" applyNumberFormat="1" applyFont="1" applyFill="1" applyBorder="1" applyAlignment="1">
      <alignment horizontal="center" wrapText="1"/>
    </xf>
    <xf numFmtId="201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wrapText="1"/>
    </xf>
    <xf numFmtId="49" fontId="25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197" fontId="25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wrapText="1"/>
    </xf>
    <xf numFmtId="0" fontId="18" fillId="0" borderId="15" xfId="64" applyFont="1" applyBorder="1" applyAlignment="1">
      <alignment horizontal="center" vertical="center" wrapText="1"/>
      <protection/>
    </xf>
    <xf numFmtId="2" fontId="20" fillId="0" borderId="13" xfId="64" applyNumberFormat="1" applyFont="1" applyBorder="1" applyAlignment="1">
      <alignment horizontal="center" vertical="center"/>
      <protection/>
    </xf>
    <xf numFmtId="49" fontId="25" fillId="0" borderId="10" xfId="0" applyNumberFormat="1" applyFont="1" applyBorder="1" applyAlignment="1">
      <alignment horizontal="center"/>
    </xf>
    <xf numFmtId="0" fontId="25" fillId="0" borderId="10" xfId="55" applyFont="1" applyBorder="1" applyAlignment="1">
      <alignment horizontal="center"/>
      <protection/>
    </xf>
    <xf numFmtId="9" fontId="25" fillId="0" borderId="10" xfId="68" applyFont="1" applyBorder="1" applyAlignment="1">
      <alignment horizontal="center" vertical="center"/>
    </xf>
    <xf numFmtId="0" fontId="25" fillId="0" borderId="10" xfId="55" applyFont="1" applyBorder="1" applyAlignment="1">
      <alignment horizontal="center" wrapText="1"/>
      <protection/>
    </xf>
    <xf numFmtId="49" fontId="25" fillId="0" borderId="10" xfId="55" applyNumberFormat="1" applyFont="1" applyBorder="1" applyAlignment="1">
      <alignment horizontal="center" vertical="center" wrapText="1"/>
      <protection/>
    </xf>
    <xf numFmtId="2" fontId="25" fillId="0" borderId="10" xfId="55" applyNumberFormat="1" applyFont="1" applyBorder="1" applyAlignment="1">
      <alignment horizontal="center" vertical="center" wrapText="1"/>
      <protection/>
    </xf>
    <xf numFmtId="197" fontId="25" fillId="0" borderId="10" xfId="55" applyNumberFormat="1" applyFont="1" applyBorder="1" applyAlignment="1">
      <alignment horizontal="center" wrapText="1"/>
      <protection/>
    </xf>
    <xf numFmtId="2" fontId="25" fillId="0" borderId="10" xfId="55" applyNumberFormat="1" applyFont="1" applyBorder="1" applyAlignment="1">
      <alignment horizontal="center" wrapText="1"/>
      <protection/>
    </xf>
    <xf numFmtId="2" fontId="25" fillId="0" borderId="10" xfId="55" applyNumberFormat="1" applyFont="1" applyBorder="1" applyAlignment="1">
      <alignment horizontal="center" vertical="center"/>
      <protection/>
    </xf>
    <xf numFmtId="0" fontId="25" fillId="0" borderId="10" xfId="55" applyFont="1" applyBorder="1" applyAlignment="1">
      <alignment horizontal="center" vertical="center" wrapText="1"/>
      <protection/>
    </xf>
    <xf numFmtId="197" fontId="25" fillId="0" borderId="10" xfId="55" applyNumberFormat="1" applyFont="1" applyBorder="1" applyAlignment="1">
      <alignment horizontal="center" vertical="center" wrapText="1"/>
      <protection/>
    </xf>
    <xf numFmtId="0" fontId="25" fillId="0" borderId="11" xfId="55" applyFont="1" applyBorder="1" applyAlignment="1">
      <alignment horizontal="center"/>
      <protection/>
    </xf>
    <xf numFmtId="49" fontId="25" fillId="0" borderId="11" xfId="55" applyNumberFormat="1" applyFont="1" applyBorder="1" applyAlignment="1">
      <alignment horizontal="center" vertical="center" wrapText="1"/>
      <protection/>
    </xf>
    <xf numFmtId="9" fontId="25" fillId="0" borderId="11" xfId="68" applyFont="1" applyBorder="1" applyAlignment="1">
      <alignment horizontal="center" vertical="center"/>
    </xf>
    <xf numFmtId="2" fontId="25" fillId="0" borderId="11" xfId="55" applyNumberFormat="1" applyFont="1" applyBorder="1" applyAlignment="1">
      <alignment horizontal="center"/>
      <protection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/>
    </xf>
    <xf numFmtId="0" fontId="24" fillId="0" borderId="20" xfId="64" applyFont="1" applyBorder="1" applyAlignment="1">
      <alignment horizontal="center" vertical="center" wrapText="1"/>
      <protection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0" xfId="55" applyNumberFormat="1" applyFont="1" applyBorder="1" applyAlignment="1">
      <alignment horizontal="center" vertical="center"/>
      <protection/>
    </xf>
    <xf numFmtId="0" fontId="18" fillId="0" borderId="10" xfId="55" applyFont="1" applyBorder="1" applyAlignment="1">
      <alignment horizontal="center" vertical="center"/>
      <protection/>
    </xf>
    <xf numFmtId="197" fontId="18" fillId="0" borderId="10" xfId="55" applyNumberFormat="1" applyFont="1" applyBorder="1" applyAlignment="1">
      <alignment horizontal="center"/>
      <protection/>
    </xf>
    <xf numFmtId="198" fontId="18" fillId="0" borderId="10" xfId="55" applyNumberFormat="1" applyFont="1" applyBorder="1" applyAlignment="1">
      <alignment horizontal="center" vertical="center"/>
      <protection/>
    </xf>
    <xf numFmtId="0" fontId="21" fillId="0" borderId="10" xfId="55" applyFont="1" applyBorder="1" applyAlignment="1">
      <alignment horizontal="center" vertical="center"/>
      <protection/>
    </xf>
    <xf numFmtId="0" fontId="21" fillId="0" borderId="10" xfId="55" applyFont="1" applyBorder="1" applyAlignment="1">
      <alignment horizontal="center"/>
      <protection/>
    </xf>
    <xf numFmtId="197" fontId="18" fillId="0" borderId="10" xfId="55" applyNumberFormat="1" applyFont="1" applyBorder="1" applyAlignment="1">
      <alignment horizontal="center" vertical="center"/>
      <protection/>
    </xf>
    <xf numFmtId="0" fontId="18" fillId="0" borderId="11" xfId="55" applyFont="1" applyBorder="1" applyAlignment="1">
      <alignment horizontal="center" vertical="center"/>
      <protection/>
    </xf>
    <xf numFmtId="49" fontId="18" fillId="0" borderId="11" xfId="55" applyNumberFormat="1" applyFont="1" applyBorder="1" applyAlignment="1">
      <alignment horizontal="center" vertical="center"/>
      <protection/>
    </xf>
    <xf numFmtId="2" fontId="18" fillId="0" borderId="11" xfId="55" applyNumberFormat="1" applyFont="1" applyBorder="1" applyAlignment="1">
      <alignment horizontal="center" vertical="center"/>
      <protection/>
    </xf>
    <xf numFmtId="49" fontId="18" fillId="0" borderId="17" xfId="55" applyNumberFormat="1" applyFont="1" applyBorder="1" applyAlignment="1">
      <alignment horizontal="center" vertical="center"/>
      <protection/>
    </xf>
    <xf numFmtId="2" fontId="20" fillId="0" borderId="10" xfId="55" applyNumberFormat="1" applyFont="1" applyBorder="1" applyAlignment="1">
      <alignment horizontal="center" vertical="center"/>
      <protection/>
    </xf>
    <xf numFmtId="49" fontId="18" fillId="0" borderId="21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/>
    </xf>
    <xf numFmtId="0" fontId="23" fillId="0" borderId="11" xfId="55" applyFont="1" applyBorder="1" applyAlignment="1">
      <alignment horizontal="center" vertical="center"/>
      <protection/>
    </xf>
    <xf numFmtId="49" fontId="23" fillId="0" borderId="11" xfId="55" applyNumberFormat="1" applyFont="1" applyBorder="1" applyAlignment="1">
      <alignment horizontal="center" vertical="center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3" fillId="0" borderId="11" xfId="55" applyFont="1" applyBorder="1" applyAlignment="1">
      <alignment horizontal="center"/>
      <protection/>
    </xf>
    <xf numFmtId="2" fontId="23" fillId="0" borderId="11" xfId="55" applyNumberFormat="1" applyFont="1" applyBorder="1" applyAlignment="1">
      <alignment horizontal="center" vertical="center"/>
      <protection/>
    </xf>
    <xf numFmtId="0" fontId="18" fillId="0" borderId="16" xfId="55" applyFont="1" applyBorder="1" applyAlignment="1">
      <alignment horizontal="center" vertical="center"/>
      <protection/>
    </xf>
    <xf numFmtId="0" fontId="17" fillId="0" borderId="0" xfId="55" applyFont="1" applyBorder="1" applyAlignment="1">
      <alignment horizontal="center" vertical="center" wrapText="1"/>
      <protection/>
    </xf>
    <xf numFmtId="0" fontId="18" fillId="0" borderId="16" xfId="55" applyFont="1" applyBorder="1" applyAlignment="1">
      <alignment horizontal="center"/>
      <protection/>
    </xf>
    <xf numFmtId="2" fontId="18" fillId="0" borderId="21" xfId="55" applyNumberFormat="1" applyFont="1" applyBorder="1" applyAlignment="1">
      <alignment horizontal="center" vertical="center"/>
      <protection/>
    </xf>
    <xf numFmtId="2" fontId="18" fillId="0" borderId="0" xfId="55" applyNumberFormat="1" applyFont="1" applyBorder="1" applyAlignment="1">
      <alignment horizontal="center" vertical="center"/>
      <protection/>
    </xf>
    <xf numFmtId="2" fontId="18" fillId="0" borderId="16" xfId="55" applyNumberFormat="1" applyFont="1" applyBorder="1" applyAlignment="1">
      <alignment horizontal="center" vertical="center"/>
      <protection/>
    </xf>
    <xf numFmtId="0" fontId="66" fillId="0" borderId="16" xfId="64" applyFont="1" applyBorder="1" applyAlignment="1">
      <alignment horizontal="center" vertical="center"/>
      <protection/>
    </xf>
    <xf numFmtId="0" fontId="67" fillId="0" borderId="0" xfId="0" applyFont="1" applyBorder="1" applyAlignment="1">
      <alignment/>
    </xf>
    <xf numFmtId="49" fontId="66" fillId="0" borderId="16" xfId="0" applyNumberFormat="1" applyFont="1" applyBorder="1" applyAlignment="1">
      <alignment horizontal="center" vertical="center"/>
    </xf>
    <xf numFmtId="49" fontId="66" fillId="0" borderId="18" xfId="0" applyNumberFormat="1" applyFont="1" applyBorder="1" applyAlignment="1">
      <alignment horizontal="center" vertical="center"/>
    </xf>
    <xf numFmtId="49" fontId="18" fillId="0" borderId="10" xfId="64" applyNumberFormat="1" applyFont="1" applyBorder="1" applyAlignment="1">
      <alignment horizontal="center" vertical="center" wrapText="1"/>
      <protection/>
    </xf>
    <xf numFmtId="0" fontId="66" fillId="0" borderId="18" xfId="64" applyFont="1" applyBorder="1" applyAlignment="1">
      <alignment horizontal="center" vertical="center"/>
      <protection/>
    </xf>
    <xf numFmtId="0" fontId="66" fillId="0" borderId="10" xfId="0" applyFont="1" applyBorder="1" applyAlignment="1">
      <alignment/>
    </xf>
    <xf numFmtId="0" fontId="66" fillId="0" borderId="11" xfId="0" applyFont="1" applyBorder="1" applyAlignment="1">
      <alignment/>
    </xf>
    <xf numFmtId="0" fontId="66" fillId="0" borderId="10" xfId="0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 wrapText="1"/>
    </xf>
    <xf numFmtId="2" fontId="18" fillId="0" borderId="21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/>
    </xf>
    <xf numFmtId="2" fontId="18" fillId="0" borderId="10" xfId="63" applyNumberFormat="1" applyFont="1" applyFill="1" applyBorder="1" applyAlignment="1">
      <alignment horizontal="center"/>
      <protection/>
    </xf>
    <xf numFmtId="49" fontId="66" fillId="0" borderId="10" xfId="0" applyNumberFormat="1" applyFont="1" applyBorder="1" applyAlignment="1">
      <alignment horizontal="center" vertical="center"/>
    </xf>
    <xf numFmtId="197" fontId="18" fillId="0" borderId="21" xfId="0" applyNumberFormat="1" applyFont="1" applyFill="1" applyBorder="1" applyAlignment="1">
      <alignment horizontal="center" vertical="center"/>
    </xf>
    <xf numFmtId="2" fontId="18" fillId="0" borderId="10" xfId="63" applyNumberFormat="1" applyFont="1" applyFill="1" applyBorder="1" applyAlignment="1">
      <alignment horizontal="center" vertical="center"/>
      <protection/>
    </xf>
    <xf numFmtId="0" fontId="66" fillId="0" borderId="11" xfId="0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/>
    </xf>
    <xf numFmtId="2" fontId="18" fillId="0" borderId="11" xfId="63" applyNumberFormat="1" applyFont="1" applyFill="1" applyBorder="1" applyAlignment="1">
      <alignment horizontal="center"/>
      <protection/>
    </xf>
    <xf numFmtId="2" fontId="18" fillId="0" borderId="16" xfId="0" applyNumberFormat="1" applyFont="1" applyFill="1" applyBorder="1" applyAlignment="1">
      <alignment horizontal="center" vertical="center"/>
    </xf>
    <xf numFmtId="49" fontId="66" fillId="0" borderId="11" xfId="0" applyNumberFormat="1" applyFont="1" applyBorder="1" applyAlignment="1">
      <alignment horizontal="center" vertical="center"/>
    </xf>
    <xf numFmtId="2" fontId="18" fillId="0" borderId="18" xfId="0" applyNumberFormat="1" applyFont="1" applyFill="1" applyBorder="1" applyAlignment="1">
      <alignment horizontal="center" vertical="center"/>
    </xf>
    <xf numFmtId="0" fontId="66" fillId="0" borderId="17" xfId="0" applyFont="1" applyBorder="1" applyAlignment="1">
      <alignment horizontal="center"/>
    </xf>
    <xf numFmtId="0" fontId="24" fillId="0" borderId="14" xfId="64" applyFont="1" applyBorder="1" applyAlignment="1">
      <alignment horizontal="center" vertical="center" wrapText="1"/>
      <protection/>
    </xf>
    <xf numFmtId="49" fontId="18" fillId="33" borderId="10" xfId="0" applyNumberFormat="1" applyFont="1" applyFill="1" applyBorder="1" applyAlignment="1">
      <alignment horizontal="center" vertical="center"/>
    </xf>
    <xf numFmtId="0" fontId="18" fillId="33" borderId="0" xfId="64" applyFont="1" applyFill="1" applyBorder="1" applyAlignment="1">
      <alignment horizontal="center" wrapText="1"/>
      <protection/>
    </xf>
    <xf numFmtId="0" fontId="18" fillId="33" borderId="16" xfId="64" applyFont="1" applyFill="1" applyBorder="1" applyAlignment="1">
      <alignment horizontal="center" vertical="center"/>
      <protection/>
    </xf>
    <xf numFmtId="0" fontId="18" fillId="33" borderId="10" xfId="64" applyFont="1" applyFill="1" applyBorder="1" applyAlignment="1">
      <alignment horizontal="center" vertical="center"/>
      <protection/>
    </xf>
    <xf numFmtId="2" fontId="20" fillId="33" borderId="21" xfId="64" applyNumberFormat="1" applyFont="1" applyFill="1" applyBorder="1" applyAlignment="1">
      <alignment horizontal="center" vertical="center"/>
      <protection/>
    </xf>
    <xf numFmtId="2" fontId="18" fillId="33" borderId="0" xfId="64" applyNumberFormat="1" applyFont="1" applyFill="1" applyBorder="1" applyAlignment="1">
      <alignment horizontal="center" vertical="center"/>
      <protection/>
    </xf>
    <xf numFmtId="2" fontId="18" fillId="33" borderId="16" xfId="64" applyNumberFormat="1" applyFont="1" applyFill="1" applyBorder="1" applyAlignment="1">
      <alignment horizontal="center" vertical="center"/>
      <protection/>
    </xf>
    <xf numFmtId="2" fontId="18" fillId="33" borderId="10" xfId="64" applyNumberFormat="1" applyFont="1" applyFill="1" applyBorder="1" applyAlignment="1">
      <alignment horizontal="center" vertical="center"/>
      <protection/>
    </xf>
    <xf numFmtId="2" fontId="18" fillId="33" borderId="10" xfId="0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/>
    </xf>
    <xf numFmtId="2" fontId="18" fillId="33" borderId="0" xfId="0" applyNumberFormat="1" applyFont="1" applyFill="1" applyBorder="1" applyAlignment="1">
      <alignment horizontal="center" vertical="center" wrapText="1"/>
    </xf>
    <xf numFmtId="2" fontId="18" fillId="33" borderId="16" xfId="0" applyNumberFormat="1" applyFont="1" applyFill="1" applyBorder="1" applyAlignment="1">
      <alignment horizontal="center" vertical="center"/>
    </xf>
    <xf numFmtId="197" fontId="18" fillId="33" borderId="10" xfId="0" applyNumberFormat="1" applyFont="1" applyFill="1" applyBorder="1" applyAlignment="1">
      <alignment horizontal="center" vertical="center"/>
    </xf>
    <xf numFmtId="2" fontId="18" fillId="33" borderId="0" xfId="0" applyNumberFormat="1" applyFont="1" applyFill="1" applyBorder="1" applyAlignment="1">
      <alignment horizontal="center" vertical="center"/>
    </xf>
    <xf numFmtId="49" fontId="18" fillId="33" borderId="11" xfId="0" applyNumberFormat="1" applyFont="1" applyFill="1" applyBorder="1" applyAlignment="1">
      <alignment horizontal="center" vertical="center"/>
    </xf>
    <xf numFmtId="2" fontId="18" fillId="33" borderId="20" xfId="0" applyNumberFormat="1" applyFont="1" applyFill="1" applyBorder="1" applyAlignment="1">
      <alignment horizontal="center" vertical="center" wrapText="1"/>
    </xf>
    <xf numFmtId="0" fontId="18" fillId="33" borderId="18" xfId="64" applyFont="1" applyFill="1" applyBorder="1" applyAlignment="1">
      <alignment horizontal="center" vertical="center"/>
      <protection/>
    </xf>
    <xf numFmtId="2" fontId="18" fillId="33" borderId="11" xfId="0" applyNumberFormat="1" applyFont="1" applyFill="1" applyBorder="1" applyAlignment="1">
      <alignment horizontal="center" vertical="center"/>
    </xf>
    <xf numFmtId="2" fontId="18" fillId="33" borderId="18" xfId="0" applyNumberFormat="1" applyFont="1" applyFill="1" applyBorder="1" applyAlignment="1">
      <alignment horizontal="center" vertical="center"/>
    </xf>
    <xf numFmtId="2" fontId="18" fillId="33" borderId="20" xfId="0" applyNumberFormat="1" applyFont="1" applyFill="1" applyBorder="1" applyAlignment="1">
      <alignment horizontal="center" vertical="center"/>
    </xf>
    <xf numFmtId="0" fontId="18" fillId="33" borderId="21" xfId="64" applyFont="1" applyFill="1" applyBorder="1" applyAlignment="1">
      <alignment horizontal="center" vertical="center" wrapText="1"/>
      <protection/>
    </xf>
    <xf numFmtId="49" fontId="18" fillId="33" borderId="10" xfId="64" applyNumberFormat="1" applyFont="1" applyFill="1" applyBorder="1" applyAlignment="1">
      <alignment horizontal="center" vertical="center" wrapText="1"/>
      <protection/>
    </xf>
    <xf numFmtId="2" fontId="18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2" fontId="18" fillId="33" borderId="21" xfId="64" applyNumberFormat="1" applyFont="1" applyFill="1" applyBorder="1" applyAlignment="1">
      <alignment horizontal="center" vertical="center"/>
      <protection/>
    </xf>
    <xf numFmtId="49" fontId="18" fillId="33" borderId="11" xfId="64" applyNumberFormat="1" applyFont="1" applyFill="1" applyBorder="1" applyAlignment="1">
      <alignment horizontal="center" vertical="center" wrapText="1"/>
      <protection/>
    </xf>
    <xf numFmtId="0" fontId="18" fillId="33" borderId="19" xfId="64" applyFont="1" applyFill="1" applyBorder="1" applyAlignment="1">
      <alignment horizontal="center" vertical="center" wrapText="1"/>
      <protection/>
    </xf>
    <xf numFmtId="2" fontId="18" fillId="33" borderId="18" xfId="64" applyNumberFormat="1" applyFont="1" applyFill="1" applyBorder="1" applyAlignment="1">
      <alignment horizontal="center" vertical="center"/>
      <protection/>
    </xf>
    <xf numFmtId="2" fontId="18" fillId="33" borderId="11" xfId="64" applyNumberFormat="1" applyFont="1" applyFill="1" applyBorder="1" applyAlignment="1">
      <alignment horizontal="center" vertical="center"/>
      <protection/>
    </xf>
    <xf numFmtId="2" fontId="18" fillId="33" borderId="19" xfId="64" applyNumberFormat="1" applyFont="1" applyFill="1" applyBorder="1" applyAlignment="1">
      <alignment horizontal="center" vertical="center"/>
      <protection/>
    </xf>
    <xf numFmtId="2" fontId="18" fillId="33" borderId="20" xfId="64" applyNumberFormat="1" applyFont="1" applyFill="1" applyBorder="1" applyAlignment="1">
      <alignment horizontal="center" vertical="center"/>
      <protection/>
    </xf>
    <xf numFmtId="49" fontId="18" fillId="33" borderId="17" xfId="0" applyNumberFormat="1" applyFont="1" applyFill="1" applyBorder="1" applyAlignment="1">
      <alignment horizontal="center" vertical="center"/>
    </xf>
    <xf numFmtId="2" fontId="18" fillId="33" borderId="17" xfId="0" applyNumberFormat="1" applyFont="1" applyFill="1" applyBorder="1" applyAlignment="1">
      <alignment horizontal="center" vertical="center" wrapText="1"/>
    </xf>
    <xf numFmtId="0" fontId="18" fillId="33" borderId="17" xfId="64" applyFont="1" applyFill="1" applyBorder="1" applyAlignment="1">
      <alignment horizontal="center" vertical="center"/>
      <protection/>
    </xf>
    <xf numFmtId="2" fontId="18" fillId="33" borderId="17" xfId="0" applyNumberFormat="1" applyFont="1" applyFill="1" applyBorder="1" applyAlignment="1">
      <alignment horizontal="center" vertical="center"/>
    </xf>
    <xf numFmtId="2" fontId="20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2" fontId="18" fillId="33" borderId="10" xfId="64" applyNumberFormat="1" applyFont="1" applyFill="1" applyBorder="1" applyAlignment="1">
      <alignment horizontal="center"/>
      <protection/>
    </xf>
    <xf numFmtId="0" fontId="18" fillId="33" borderId="10" xfId="0" applyFont="1" applyFill="1" applyBorder="1" applyAlignment="1">
      <alignment horizontal="center" vertical="center"/>
    </xf>
    <xf numFmtId="49" fontId="18" fillId="33" borderId="10" xfId="64" applyNumberFormat="1" applyFont="1" applyFill="1" applyBorder="1" applyAlignment="1">
      <alignment horizontal="center" vertical="center"/>
      <protection/>
    </xf>
    <xf numFmtId="0" fontId="18" fillId="33" borderId="10" xfId="64" applyFont="1" applyFill="1" applyBorder="1" applyAlignment="1">
      <alignment horizontal="center" vertical="center" wrapText="1"/>
      <protection/>
    </xf>
    <xf numFmtId="0" fontId="18" fillId="33" borderId="10" xfId="64" applyFont="1" applyFill="1" applyBorder="1" applyAlignment="1">
      <alignment horizontal="center" wrapText="1"/>
      <protection/>
    </xf>
    <xf numFmtId="198" fontId="18" fillId="33" borderId="10" xfId="0" applyNumberFormat="1" applyFont="1" applyFill="1" applyBorder="1" applyAlignment="1">
      <alignment horizontal="center" vertical="center"/>
    </xf>
    <xf numFmtId="0" fontId="18" fillId="33" borderId="11" xfId="64" applyFont="1" applyFill="1" applyBorder="1" applyAlignment="1">
      <alignment horizontal="center" wrapText="1"/>
      <protection/>
    </xf>
    <xf numFmtId="0" fontId="18" fillId="33" borderId="11" xfId="64" applyFont="1" applyFill="1" applyBorder="1" applyAlignment="1">
      <alignment horizontal="center" vertical="center"/>
      <protection/>
    </xf>
    <xf numFmtId="0" fontId="18" fillId="33" borderId="11" xfId="0" applyFont="1" applyFill="1" applyBorder="1" applyAlignment="1">
      <alignment horizontal="center"/>
    </xf>
    <xf numFmtId="2" fontId="18" fillId="33" borderId="11" xfId="0" applyNumberFormat="1" applyFont="1" applyFill="1" applyBorder="1" applyAlignment="1">
      <alignment horizontal="center"/>
    </xf>
    <xf numFmtId="49" fontId="18" fillId="33" borderId="16" xfId="0" applyNumberFormat="1" applyFont="1" applyFill="1" applyBorder="1" applyAlignment="1">
      <alignment horizontal="center" vertical="center" wrapText="1"/>
    </xf>
    <xf numFmtId="2" fontId="18" fillId="33" borderId="21" xfId="0" applyNumberFormat="1" applyFont="1" applyFill="1" applyBorder="1" applyAlignment="1">
      <alignment horizontal="center" vertical="center"/>
    </xf>
    <xf numFmtId="2" fontId="18" fillId="33" borderId="10" xfId="63" applyNumberFormat="1" applyFont="1" applyFill="1" applyBorder="1" applyAlignment="1">
      <alignment horizontal="center"/>
      <protection/>
    </xf>
    <xf numFmtId="197" fontId="18" fillId="33" borderId="21" xfId="0" applyNumberFormat="1" applyFont="1" applyFill="1" applyBorder="1" applyAlignment="1">
      <alignment horizontal="center" vertical="center"/>
    </xf>
    <xf numFmtId="2" fontId="18" fillId="33" borderId="10" xfId="63" applyNumberFormat="1" applyFont="1" applyFill="1" applyBorder="1" applyAlignment="1">
      <alignment horizontal="center" vertical="center"/>
      <protection/>
    </xf>
    <xf numFmtId="49" fontId="18" fillId="33" borderId="18" xfId="0" applyNumberFormat="1" applyFont="1" applyFill="1" applyBorder="1" applyAlignment="1">
      <alignment horizontal="center" vertical="center" wrapText="1"/>
    </xf>
    <xf numFmtId="2" fontId="18" fillId="33" borderId="11" xfId="0" applyNumberFormat="1" applyFont="1" applyFill="1" applyBorder="1" applyAlignment="1">
      <alignment horizontal="center" vertical="center" wrapText="1"/>
    </xf>
    <xf numFmtId="2" fontId="18" fillId="33" borderId="19" xfId="0" applyNumberFormat="1" applyFont="1" applyFill="1" applyBorder="1" applyAlignment="1">
      <alignment horizontal="center" vertical="center"/>
    </xf>
    <xf numFmtId="2" fontId="18" fillId="33" borderId="11" xfId="63" applyNumberFormat="1" applyFont="1" applyFill="1" applyBorder="1" applyAlignment="1">
      <alignment horizontal="center"/>
      <protection/>
    </xf>
    <xf numFmtId="0" fontId="18" fillId="33" borderId="0" xfId="64" applyFont="1" applyFill="1" applyBorder="1" applyAlignment="1">
      <alignment horizontal="center" vertical="center" wrapText="1"/>
      <protection/>
    </xf>
    <xf numFmtId="0" fontId="18" fillId="33" borderId="20" xfId="64" applyFont="1" applyFill="1" applyBorder="1" applyAlignment="1">
      <alignment horizontal="center" vertical="center" wrapText="1"/>
      <protection/>
    </xf>
    <xf numFmtId="49" fontId="18" fillId="33" borderId="17" xfId="0" applyNumberFormat="1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/>
    </xf>
    <xf numFmtId="2" fontId="20" fillId="33" borderId="17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199" fontId="18" fillId="33" borderId="11" xfId="0" applyNumberFormat="1" applyFont="1" applyFill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/>
    </xf>
    <xf numFmtId="49" fontId="18" fillId="0" borderId="10" xfId="55" applyNumberFormat="1" applyFont="1" applyBorder="1" applyAlignment="1">
      <alignment horizontal="center" vertical="center" wrapText="1"/>
      <protection/>
    </xf>
    <xf numFmtId="49" fontId="18" fillId="0" borderId="11" xfId="55" applyNumberFormat="1" applyFont="1" applyBorder="1" applyAlignment="1">
      <alignment horizontal="center" vertical="center" wrapText="1"/>
      <protection/>
    </xf>
    <xf numFmtId="49" fontId="18" fillId="34" borderId="10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2" fontId="18" fillId="34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/>
    </xf>
    <xf numFmtId="0" fontId="18" fillId="0" borderId="0" xfId="61" applyFont="1" applyAlignment="1">
      <alignment horizontal="left" vertical="center" wrapText="1"/>
      <protection/>
    </xf>
    <xf numFmtId="0" fontId="18" fillId="0" borderId="0" xfId="61" applyFont="1" applyAlignment="1">
      <alignment horizontal="center" vertical="center" wrapText="1"/>
      <protection/>
    </xf>
    <xf numFmtId="0" fontId="6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2" fontId="17" fillId="0" borderId="23" xfId="0" applyNumberFormat="1" applyFont="1" applyBorder="1" applyAlignment="1">
      <alignment horizontal="center" vertical="center" wrapText="1"/>
    </xf>
    <xf numFmtId="2" fontId="17" fillId="0" borderId="18" xfId="0" applyNumberFormat="1" applyFont="1" applyBorder="1" applyAlignment="1">
      <alignment horizontal="center" vertical="center" wrapText="1"/>
    </xf>
    <xf numFmtId="2" fontId="17" fillId="0" borderId="17" xfId="0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2" fontId="17" fillId="0" borderId="17" xfId="0" applyNumberFormat="1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0" fontId="17" fillId="0" borderId="0" xfId="0" applyFont="1" applyAlignment="1">
      <alignment horizontal="center" vertical="top" wrapText="1"/>
    </xf>
    <xf numFmtId="0" fontId="18" fillId="0" borderId="23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2" fontId="18" fillId="0" borderId="17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18" fillId="0" borderId="17" xfId="64" applyFont="1" applyBorder="1" applyAlignment="1">
      <alignment horizontal="center" vertical="center"/>
      <protection/>
    </xf>
    <xf numFmtId="49" fontId="18" fillId="0" borderId="17" xfId="64" applyNumberFormat="1" applyFont="1" applyBorder="1" applyAlignment="1">
      <alignment horizontal="center" vertical="center" textRotation="90" wrapText="1"/>
      <protection/>
    </xf>
    <xf numFmtId="49" fontId="18" fillId="0" borderId="10" xfId="64" applyNumberFormat="1" applyFont="1" applyBorder="1" applyAlignment="1">
      <alignment horizontal="center" vertical="center" textRotation="90" wrapText="1"/>
      <protection/>
    </xf>
    <xf numFmtId="49" fontId="18" fillId="0" borderId="11" xfId="64" applyNumberFormat="1" applyFont="1" applyBorder="1" applyAlignment="1">
      <alignment horizontal="center" vertical="center" textRotation="90" wrapText="1"/>
      <protection/>
    </xf>
    <xf numFmtId="2" fontId="18" fillId="0" borderId="23" xfId="64" applyNumberFormat="1" applyFont="1" applyBorder="1" applyAlignment="1">
      <alignment horizontal="center" vertical="center"/>
      <protection/>
    </xf>
    <xf numFmtId="2" fontId="18" fillId="0" borderId="24" xfId="64" applyNumberFormat="1" applyFont="1" applyBorder="1" applyAlignment="1">
      <alignment horizontal="center" vertical="center"/>
      <protection/>
    </xf>
    <xf numFmtId="2" fontId="18" fillId="0" borderId="25" xfId="64" applyNumberFormat="1" applyFont="1" applyBorder="1" applyAlignment="1">
      <alignment horizontal="center" vertical="center"/>
      <protection/>
    </xf>
    <xf numFmtId="2" fontId="18" fillId="0" borderId="18" xfId="64" applyNumberFormat="1" applyFont="1" applyBorder="1" applyAlignment="1">
      <alignment horizontal="center" vertical="center"/>
      <protection/>
    </xf>
    <xf numFmtId="2" fontId="18" fillId="0" borderId="20" xfId="64" applyNumberFormat="1" applyFont="1" applyBorder="1" applyAlignment="1">
      <alignment horizontal="center" vertical="center"/>
      <protection/>
    </xf>
    <xf numFmtId="2" fontId="18" fillId="0" borderId="19" xfId="64" applyNumberFormat="1" applyFont="1" applyBorder="1" applyAlignment="1">
      <alignment horizontal="center" vertical="center"/>
      <protection/>
    </xf>
    <xf numFmtId="2" fontId="18" fillId="0" borderId="17" xfId="64" applyNumberFormat="1" applyFont="1" applyBorder="1" applyAlignment="1">
      <alignment horizontal="center" vertical="center"/>
      <protection/>
    </xf>
    <xf numFmtId="2" fontId="18" fillId="0" borderId="11" xfId="64" applyNumberFormat="1" applyFont="1" applyBorder="1" applyAlignment="1">
      <alignment horizontal="center" vertical="center"/>
      <protection/>
    </xf>
    <xf numFmtId="2" fontId="18" fillId="0" borderId="25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/>
    </xf>
    <xf numFmtId="2" fontId="18" fillId="0" borderId="24" xfId="0" applyNumberFormat="1" applyFont="1" applyBorder="1" applyAlignment="1">
      <alignment horizontal="center" vertical="center"/>
    </xf>
    <xf numFmtId="2" fontId="18" fillId="0" borderId="20" xfId="0" applyNumberFormat="1" applyFont="1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shrinkToFit="1"/>
    </xf>
    <xf numFmtId="2" fontId="1" fillId="0" borderId="23" xfId="64" applyNumberFormat="1" applyFont="1" applyBorder="1" applyAlignment="1">
      <alignment horizontal="center" vertical="center"/>
      <protection/>
    </xf>
    <xf numFmtId="2" fontId="1" fillId="0" borderId="2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25" xfId="64" applyNumberFormat="1" applyFont="1" applyBorder="1" applyAlignment="1">
      <alignment horizontal="center" vertical="center"/>
      <protection/>
    </xf>
    <xf numFmtId="2" fontId="1" fillId="0" borderId="2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8" xfId="64" applyNumberFormat="1" applyFont="1" applyBorder="1" applyAlignment="1">
      <alignment horizontal="center" vertical="center"/>
      <protection/>
    </xf>
    <xf numFmtId="2" fontId="1" fillId="0" borderId="19" xfId="0" applyNumberFormat="1" applyFont="1" applyBorder="1" applyAlignment="1">
      <alignment horizontal="center" vertical="center"/>
    </xf>
    <xf numFmtId="2" fontId="1" fillId="0" borderId="17" xfId="64" applyNumberFormat="1" applyFont="1" applyBorder="1" applyAlignment="1">
      <alignment horizontal="center" vertical="center"/>
      <protection/>
    </xf>
    <xf numFmtId="2" fontId="1" fillId="0" borderId="11" xfId="64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7" xfId="64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7" xfId="64" applyNumberFormat="1" applyFont="1" applyBorder="1" applyAlignment="1">
      <alignment horizontal="center" vertical="center" textRotation="90" wrapText="1"/>
      <protection/>
    </xf>
    <xf numFmtId="49" fontId="1" fillId="0" borderId="10" xfId="64" applyNumberFormat="1" applyFont="1" applyBorder="1" applyAlignment="1">
      <alignment horizontal="center" vertical="center" textRotation="90" wrapText="1"/>
      <protection/>
    </xf>
    <xf numFmtId="49" fontId="1" fillId="0" borderId="11" xfId="64" applyNumberFormat="1" applyFont="1" applyBorder="1" applyAlignment="1">
      <alignment horizontal="center" vertical="center" textRotation="90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24" xfId="64" applyNumberFormat="1" applyFont="1" applyBorder="1" applyAlignment="1">
      <alignment horizontal="center" vertical="center"/>
      <protection/>
    </xf>
    <xf numFmtId="2" fontId="1" fillId="0" borderId="20" xfId="64" applyNumberFormat="1" applyFont="1" applyBorder="1" applyAlignment="1">
      <alignment horizontal="center" vertical="center"/>
      <protection/>
    </xf>
    <xf numFmtId="2" fontId="1" fillId="0" borderId="19" xfId="64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14" xfId="64" applyFont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49" fontId="1" fillId="0" borderId="14" xfId="64" applyNumberFormat="1" applyFont="1" applyBorder="1" applyAlignment="1">
      <alignment horizontal="center" vertical="center" textRotation="90" wrapText="1"/>
      <protection/>
    </xf>
    <xf numFmtId="0" fontId="1" fillId="0" borderId="14" xfId="0" applyFont="1" applyBorder="1" applyAlignment="1">
      <alignment horizontal="center" vertical="center" wrapText="1"/>
    </xf>
    <xf numFmtId="2" fontId="1" fillId="0" borderId="14" xfId="64" applyNumberFormat="1" applyFont="1" applyBorder="1" applyAlignment="1">
      <alignment horizontal="center" vertical="center"/>
      <protection/>
    </xf>
    <xf numFmtId="2" fontId="1" fillId="0" borderId="14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 2" xfId="56"/>
    <cellStyle name="Normal 14" xfId="57"/>
    <cellStyle name="Normal 2" xfId="58"/>
    <cellStyle name="Normal 3" xfId="59"/>
    <cellStyle name="Normal 32 3" xfId="60"/>
    <cellStyle name="Normal 33 2" xfId="61"/>
    <cellStyle name="Normal 38" xfId="62"/>
    <cellStyle name="Normal_axalqalaqis skola " xfId="63"/>
    <cellStyle name="Normal_gare wyalsadfenigagarini 2_SMSH2008-IIkv .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  <cellStyle name="Обычный 4" xfId="72"/>
    <cellStyle name="Обычный_Лист1" xfId="73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="85" zoomScaleNormal="40" zoomScaleSheetLayoutView="85" zoomScalePageLayoutView="0" workbookViewId="0" topLeftCell="A46">
      <selection activeCell="R37" sqref="R37"/>
    </sheetView>
  </sheetViews>
  <sheetFormatPr defaultColWidth="9.140625" defaultRowHeight="12.75"/>
  <cols>
    <col min="1" max="1" width="4.28125" style="309" customWidth="1"/>
    <col min="2" max="2" width="14.00390625" style="309" customWidth="1"/>
    <col min="3" max="3" width="51.140625" style="355" customWidth="1"/>
    <col min="4" max="4" width="8.57421875" style="309" hidden="1" customWidth="1"/>
    <col min="5" max="5" width="8.7109375" style="309" hidden="1" customWidth="1"/>
    <col min="6" max="6" width="8.57421875" style="309" hidden="1" customWidth="1"/>
    <col min="7" max="7" width="9.57421875" style="309" hidden="1" customWidth="1"/>
    <col min="8" max="8" width="3.28125" style="309" hidden="1" customWidth="1"/>
    <col min="9" max="9" width="0.13671875" style="309" hidden="1" customWidth="1"/>
    <col min="10" max="10" width="13.421875" style="309" customWidth="1"/>
    <col min="11" max="11" width="10.00390625" style="309" customWidth="1"/>
    <col min="12" max="12" width="11.421875" style="342" customWidth="1"/>
    <col min="13" max="13" width="13.8515625" style="309" customWidth="1"/>
    <col min="14" max="14" width="13.7109375" style="309" customWidth="1"/>
    <col min="15" max="15" width="9.140625" style="309" customWidth="1"/>
    <col min="16" max="16" width="12.28125" style="309" bestFit="1" customWidth="1"/>
    <col min="17" max="16384" width="9.140625" style="309" customWidth="1"/>
  </cols>
  <sheetData>
    <row r="1" spans="1:14" ht="98.25" customHeight="1">
      <c r="A1" s="598"/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</row>
    <row r="2" spans="1:14" ht="49.5" customHeight="1">
      <c r="A2" s="601"/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</row>
    <row r="3" spans="1:14" ht="31.5" customHeight="1">
      <c r="A3" s="601"/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</row>
    <row r="4" spans="1:14" ht="21" customHeight="1">
      <c r="A4" s="570"/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</row>
    <row r="5" spans="1:14" ht="32.25" customHeight="1">
      <c r="A5" s="564"/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</row>
    <row r="6" spans="1:14" ht="32.25" customHeight="1">
      <c r="A6" s="564"/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</row>
    <row r="7" spans="1:14" ht="32.25" customHeight="1">
      <c r="A7" s="564"/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</row>
    <row r="8" spans="1:14" ht="21" customHeight="1">
      <c r="A8" s="564"/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</row>
    <row r="9" spans="1:14" ht="36" customHeight="1">
      <c r="A9" s="564"/>
      <c r="B9" s="564"/>
      <c r="C9" s="564"/>
      <c r="D9" s="310"/>
      <c r="E9" s="310"/>
      <c r="F9" s="310"/>
      <c r="G9" s="310"/>
      <c r="H9" s="310"/>
      <c r="I9" s="310"/>
      <c r="J9" s="311"/>
      <c r="K9" s="310"/>
      <c r="L9" s="565"/>
      <c r="M9" s="565"/>
      <c r="N9" s="312"/>
    </row>
    <row r="10" spans="1:14" ht="36" customHeight="1">
      <c r="A10" s="564"/>
      <c r="B10" s="564"/>
      <c r="C10" s="564"/>
      <c r="D10" s="310"/>
      <c r="E10" s="310"/>
      <c r="F10" s="310"/>
      <c r="G10" s="310"/>
      <c r="H10" s="310"/>
      <c r="I10" s="310"/>
      <c r="J10" s="311"/>
      <c r="K10" s="310"/>
      <c r="L10" s="565"/>
      <c r="M10" s="565"/>
      <c r="N10" s="312"/>
    </row>
    <row r="11" spans="1:14" ht="56.25" customHeight="1">
      <c r="A11" s="569"/>
      <c r="B11" s="570"/>
      <c r="C11" s="570"/>
      <c r="D11" s="570"/>
      <c r="E11" s="570"/>
      <c r="F11" s="570"/>
      <c r="G11" s="570"/>
      <c r="H11" s="570"/>
      <c r="I11" s="570"/>
      <c r="J11" s="570"/>
      <c r="K11" s="570"/>
      <c r="L11" s="570"/>
      <c r="M11" s="570"/>
      <c r="N11" s="570"/>
    </row>
    <row r="12" spans="1:14" ht="21" customHeight="1">
      <c r="A12" s="313"/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</row>
    <row r="13" spans="1:14" ht="21" customHeight="1">
      <c r="A13" s="313"/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</row>
    <row r="14" spans="1:14" ht="21" customHeight="1">
      <c r="A14" s="313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</row>
    <row r="15" spans="1:14" ht="21" customHeight="1">
      <c r="A15" s="313"/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</row>
    <row r="16" spans="1:14" ht="21" customHeight="1">
      <c r="A16" s="313"/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</row>
    <row r="17" spans="1:15" ht="21">
      <c r="A17" s="567"/>
      <c r="B17" s="567"/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215"/>
    </row>
    <row r="18" spans="1:15" ht="21">
      <c r="A18" s="567"/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  <c r="O18" s="215"/>
    </row>
    <row r="19" spans="1:15" ht="21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</row>
    <row r="20" spans="1:15" ht="21">
      <c r="A20" s="566" t="s">
        <v>41</v>
      </c>
      <c r="B20" s="566"/>
      <c r="C20" s="566"/>
      <c r="D20" s="566"/>
      <c r="E20" s="566"/>
      <c r="F20" s="566"/>
      <c r="G20" s="566"/>
      <c r="H20" s="566"/>
      <c r="I20" s="566"/>
      <c r="J20" s="566"/>
      <c r="K20" s="566"/>
      <c r="L20" s="566"/>
      <c r="M20" s="566"/>
      <c r="N20" s="566"/>
      <c r="O20" s="215"/>
    </row>
    <row r="21" spans="1:15" ht="21">
      <c r="A21" s="567" t="s">
        <v>42</v>
      </c>
      <c r="B21" s="567"/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7"/>
      <c r="O21" s="215"/>
    </row>
    <row r="22" spans="1:15" ht="21">
      <c r="A22" s="571"/>
      <c r="B22" s="571"/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315"/>
    </row>
    <row r="23" spans="1:15" ht="30.75" customHeight="1">
      <c r="A23" s="571" t="s">
        <v>165</v>
      </c>
      <c r="B23" s="571"/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1"/>
      <c r="N23" s="571"/>
      <c r="O23" s="215"/>
    </row>
    <row r="24" spans="1:15" ht="17.25" customHeight="1">
      <c r="A24" s="567"/>
      <c r="B24" s="567"/>
      <c r="C24" s="567"/>
      <c r="D24" s="567"/>
      <c r="E24" s="567"/>
      <c r="F24" s="567"/>
      <c r="G24" s="567"/>
      <c r="H24" s="567"/>
      <c r="I24" s="567"/>
      <c r="J24" s="567"/>
      <c r="K24" s="567"/>
      <c r="L24" s="567"/>
      <c r="M24" s="567"/>
      <c r="N24" s="567"/>
      <c r="O24" s="215"/>
    </row>
    <row r="25" spans="1:14" ht="18" customHeight="1">
      <c r="A25" s="316"/>
      <c r="B25" s="568" t="s">
        <v>67</v>
      </c>
      <c r="C25" s="568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</row>
    <row r="26" spans="1:14" ht="21">
      <c r="A26" s="317"/>
      <c r="B26" s="317"/>
      <c r="C26" s="318"/>
      <c r="D26" s="317"/>
      <c r="E26" s="317"/>
      <c r="F26" s="317"/>
      <c r="G26" s="317"/>
      <c r="H26" s="317"/>
      <c r="I26" s="317"/>
      <c r="J26" s="317"/>
      <c r="K26" s="317"/>
      <c r="L26" s="319"/>
      <c r="M26" s="317"/>
      <c r="N26" s="317"/>
    </row>
    <row r="27" spans="1:14" ht="21">
      <c r="A27" s="594" t="s">
        <v>43</v>
      </c>
      <c r="B27" s="591" t="s">
        <v>44</v>
      </c>
      <c r="C27" s="602" t="s">
        <v>45</v>
      </c>
      <c r="D27" s="603"/>
      <c r="E27" s="603"/>
      <c r="F27" s="603"/>
      <c r="G27" s="603"/>
      <c r="H27" s="603"/>
      <c r="I27" s="604"/>
      <c r="J27" s="602" t="s">
        <v>46</v>
      </c>
      <c r="K27" s="603"/>
      <c r="L27" s="603"/>
      <c r="M27" s="604"/>
      <c r="N27" s="591" t="s">
        <v>47</v>
      </c>
    </row>
    <row r="28" spans="1:14" ht="21">
      <c r="A28" s="595"/>
      <c r="B28" s="592"/>
      <c r="C28" s="605"/>
      <c r="D28" s="573"/>
      <c r="E28" s="573"/>
      <c r="F28" s="573"/>
      <c r="G28" s="573"/>
      <c r="H28" s="573"/>
      <c r="I28" s="606"/>
      <c r="J28" s="607"/>
      <c r="K28" s="608"/>
      <c r="L28" s="608"/>
      <c r="M28" s="609"/>
      <c r="N28" s="592"/>
    </row>
    <row r="29" spans="1:14" ht="21">
      <c r="A29" s="595"/>
      <c r="B29" s="592"/>
      <c r="C29" s="605"/>
      <c r="D29" s="573"/>
      <c r="E29" s="573"/>
      <c r="F29" s="573"/>
      <c r="G29" s="573"/>
      <c r="H29" s="573"/>
      <c r="I29" s="606"/>
      <c r="J29" s="591" t="s">
        <v>48</v>
      </c>
      <c r="K29" s="591" t="s">
        <v>49</v>
      </c>
      <c r="L29" s="610" t="s">
        <v>50</v>
      </c>
      <c r="M29" s="591" t="s">
        <v>51</v>
      </c>
      <c r="N29" s="592"/>
    </row>
    <row r="30" spans="1:14" ht="21">
      <c r="A30" s="595"/>
      <c r="B30" s="592"/>
      <c r="C30" s="605"/>
      <c r="D30" s="573"/>
      <c r="E30" s="573"/>
      <c r="F30" s="573"/>
      <c r="G30" s="573"/>
      <c r="H30" s="573"/>
      <c r="I30" s="606"/>
      <c r="J30" s="592"/>
      <c r="K30" s="592"/>
      <c r="L30" s="611"/>
      <c r="M30" s="592"/>
      <c r="N30" s="592"/>
    </row>
    <row r="31" spans="1:14" ht="21">
      <c r="A31" s="595"/>
      <c r="B31" s="592"/>
      <c r="C31" s="605"/>
      <c r="D31" s="573"/>
      <c r="E31" s="573"/>
      <c r="F31" s="573"/>
      <c r="G31" s="573"/>
      <c r="H31" s="573"/>
      <c r="I31" s="606"/>
      <c r="J31" s="592"/>
      <c r="K31" s="592"/>
      <c r="L31" s="611"/>
      <c r="M31" s="592"/>
      <c r="N31" s="592"/>
    </row>
    <row r="32" spans="1:14" ht="21">
      <c r="A32" s="595"/>
      <c r="B32" s="592"/>
      <c r="C32" s="605"/>
      <c r="D32" s="573"/>
      <c r="E32" s="573"/>
      <c r="F32" s="573"/>
      <c r="G32" s="573"/>
      <c r="H32" s="573"/>
      <c r="I32" s="606"/>
      <c r="J32" s="592"/>
      <c r="K32" s="592"/>
      <c r="L32" s="611"/>
      <c r="M32" s="592"/>
      <c r="N32" s="592"/>
    </row>
    <row r="33" spans="1:14" ht="21">
      <c r="A33" s="596"/>
      <c r="B33" s="593"/>
      <c r="C33" s="607"/>
      <c r="D33" s="608"/>
      <c r="E33" s="608"/>
      <c r="F33" s="608"/>
      <c r="G33" s="608"/>
      <c r="H33" s="608"/>
      <c r="I33" s="609"/>
      <c r="J33" s="593"/>
      <c r="K33" s="593"/>
      <c r="L33" s="612"/>
      <c r="M33" s="593"/>
      <c r="N33" s="593"/>
    </row>
    <row r="34" spans="1:14" ht="12.75" customHeight="1">
      <c r="A34" s="322">
        <v>1</v>
      </c>
      <c r="B34" s="323">
        <v>2</v>
      </c>
      <c r="C34" s="587">
        <v>3</v>
      </c>
      <c r="D34" s="588"/>
      <c r="E34" s="588"/>
      <c r="F34" s="588"/>
      <c r="G34" s="588"/>
      <c r="H34" s="588"/>
      <c r="I34" s="589"/>
      <c r="J34" s="323">
        <v>4</v>
      </c>
      <c r="K34" s="324">
        <v>5</v>
      </c>
      <c r="L34" s="325">
        <v>6</v>
      </c>
      <c r="M34" s="324">
        <v>7</v>
      </c>
      <c r="N34" s="323">
        <v>8</v>
      </c>
    </row>
    <row r="35" spans="1:14" ht="21">
      <c r="A35" s="326"/>
      <c r="B35" s="327"/>
      <c r="C35" s="328" t="s">
        <v>88</v>
      </c>
      <c r="D35" s="329"/>
      <c r="E35" s="329"/>
      <c r="F35" s="329"/>
      <c r="G35" s="329"/>
      <c r="H35" s="329"/>
      <c r="I35" s="330"/>
      <c r="J35" s="327"/>
      <c r="K35" s="331"/>
      <c r="L35" s="332"/>
      <c r="M35" s="331"/>
      <c r="N35" s="327"/>
    </row>
    <row r="36" spans="1:14" ht="21">
      <c r="A36" s="326"/>
      <c r="B36" s="327"/>
      <c r="C36" s="328" t="s">
        <v>89</v>
      </c>
      <c r="D36" s="329"/>
      <c r="E36" s="329"/>
      <c r="F36" s="329"/>
      <c r="G36" s="329"/>
      <c r="H36" s="329"/>
      <c r="I36" s="330"/>
      <c r="J36" s="327"/>
      <c r="K36" s="331"/>
      <c r="L36" s="332"/>
      <c r="M36" s="331"/>
      <c r="N36" s="327"/>
    </row>
    <row r="37" spans="1:14" ht="51">
      <c r="A37" s="322">
        <v>1</v>
      </c>
      <c r="B37" s="333" t="s">
        <v>140</v>
      </c>
      <c r="C37" s="322" t="s">
        <v>141</v>
      </c>
      <c r="D37" s="329"/>
      <c r="E37" s="329"/>
      <c r="F37" s="329"/>
      <c r="G37" s="329"/>
      <c r="H37" s="329"/>
      <c r="I37" s="330"/>
      <c r="J37" s="327"/>
      <c r="K37" s="331"/>
      <c r="L37" s="332"/>
      <c r="M37" s="334">
        <f>4.71*428.8/1000</f>
        <v>2.019648</v>
      </c>
      <c r="N37" s="335">
        <v>0</v>
      </c>
    </row>
    <row r="38" spans="1:14" ht="21">
      <c r="A38" s="326">
        <v>2</v>
      </c>
      <c r="B38" s="327" t="s">
        <v>52</v>
      </c>
      <c r="C38" s="326" t="s">
        <v>38</v>
      </c>
      <c r="D38" s="329"/>
      <c r="E38" s="329"/>
      <c r="F38" s="329"/>
      <c r="G38" s="329"/>
      <c r="H38" s="329"/>
      <c r="I38" s="330"/>
      <c r="J38" s="335">
        <f>'x.a.1'!J7</f>
        <v>0</v>
      </c>
      <c r="K38" s="331"/>
      <c r="L38" s="332"/>
      <c r="M38" s="336"/>
      <c r="N38" s="337">
        <f>J38</f>
        <v>0</v>
      </c>
    </row>
    <row r="39" spans="1:14" ht="21">
      <c r="A39" s="326"/>
      <c r="B39" s="327"/>
      <c r="C39" s="328" t="s">
        <v>53</v>
      </c>
      <c r="D39" s="329"/>
      <c r="E39" s="329"/>
      <c r="F39" s="329"/>
      <c r="G39" s="329"/>
      <c r="H39" s="329"/>
      <c r="I39" s="330"/>
      <c r="J39" s="338">
        <f>J38</f>
        <v>0</v>
      </c>
      <c r="K39" s="339"/>
      <c r="L39" s="340"/>
      <c r="M39" s="341">
        <f>M37</f>
        <v>2.019648</v>
      </c>
      <c r="N39" s="338">
        <f>SUM(N37:N38)</f>
        <v>0</v>
      </c>
    </row>
    <row r="40" spans="1:14" ht="21">
      <c r="A40" s="326"/>
      <c r="B40" s="327"/>
      <c r="C40" s="328"/>
      <c r="D40" s="329"/>
      <c r="E40" s="329"/>
      <c r="F40" s="329"/>
      <c r="G40" s="329"/>
      <c r="H40" s="329"/>
      <c r="I40" s="330"/>
      <c r="J40" s="337"/>
      <c r="K40" s="331"/>
      <c r="L40" s="332"/>
      <c r="M40" s="336"/>
      <c r="N40" s="337"/>
    </row>
    <row r="41" spans="1:14" ht="21">
      <c r="A41" s="326"/>
      <c r="B41" s="327"/>
      <c r="C41" s="328" t="s">
        <v>92</v>
      </c>
      <c r="D41" s="329"/>
      <c r="E41" s="329"/>
      <c r="F41" s="329"/>
      <c r="G41" s="329"/>
      <c r="H41" s="329"/>
      <c r="I41" s="330"/>
      <c r="J41" s="337"/>
      <c r="K41" s="331"/>
      <c r="L41" s="332"/>
      <c r="M41" s="336"/>
      <c r="N41" s="337"/>
    </row>
    <row r="42" spans="1:14" ht="21">
      <c r="A42" s="326"/>
      <c r="B42" s="327"/>
      <c r="C42" s="328" t="s">
        <v>90</v>
      </c>
      <c r="D42" s="329"/>
      <c r="E42" s="329"/>
      <c r="F42" s="329"/>
      <c r="G42" s="329"/>
      <c r="H42" s="329"/>
      <c r="I42" s="330"/>
      <c r="J42" s="337"/>
      <c r="K42" s="331"/>
      <c r="L42" s="332"/>
      <c r="M42" s="336"/>
      <c r="N42" s="337"/>
    </row>
    <row r="43" spans="1:14" ht="21">
      <c r="A43" s="326">
        <v>3</v>
      </c>
      <c r="B43" s="327" t="s">
        <v>54</v>
      </c>
      <c r="C43" s="326" t="s">
        <v>115</v>
      </c>
      <c r="D43" s="329"/>
      <c r="E43" s="329"/>
      <c r="F43" s="329"/>
      <c r="G43" s="329"/>
      <c r="H43" s="329"/>
      <c r="I43" s="330"/>
      <c r="J43" s="337">
        <f>'x.a.2'!J7</f>
        <v>0</v>
      </c>
      <c r="K43" s="331"/>
      <c r="L43" s="332"/>
      <c r="M43" s="336"/>
      <c r="N43" s="337">
        <f>J43</f>
        <v>0</v>
      </c>
    </row>
    <row r="44" spans="1:16" ht="21">
      <c r="A44" s="326"/>
      <c r="B44" s="327"/>
      <c r="C44" s="328" t="s">
        <v>91</v>
      </c>
      <c r="D44" s="329"/>
      <c r="E44" s="329"/>
      <c r="F44" s="329"/>
      <c r="G44" s="329"/>
      <c r="H44" s="329"/>
      <c r="I44" s="330"/>
      <c r="J44" s="338">
        <f>SUM(J43:J43)</f>
        <v>0</v>
      </c>
      <c r="K44" s="339"/>
      <c r="L44" s="340"/>
      <c r="M44" s="341"/>
      <c r="N44" s="338">
        <f>SUM(N43:N43)</f>
        <v>0</v>
      </c>
      <c r="P44" s="342"/>
    </row>
    <row r="45" spans="1:14" ht="21">
      <c r="A45" s="326"/>
      <c r="B45" s="327"/>
      <c r="C45" s="328"/>
      <c r="D45" s="329"/>
      <c r="E45" s="329"/>
      <c r="F45" s="329"/>
      <c r="G45" s="329"/>
      <c r="H45" s="329"/>
      <c r="I45" s="330"/>
      <c r="J45" s="337"/>
      <c r="K45" s="331"/>
      <c r="L45" s="332"/>
      <c r="M45" s="336"/>
      <c r="N45" s="337"/>
    </row>
    <row r="46" spans="1:14" ht="21">
      <c r="A46" s="326"/>
      <c r="B46" s="327"/>
      <c r="C46" s="328" t="s">
        <v>142</v>
      </c>
      <c r="D46" s="329"/>
      <c r="E46" s="329"/>
      <c r="F46" s="329"/>
      <c r="G46" s="329"/>
      <c r="H46" s="329"/>
      <c r="I46" s="330"/>
      <c r="J46" s="337"/>
      <c r="K46" s="331"/>
      <c r="L46" s="332"/>
      <c r="M46" s="336"/>
      <c r="N46" s="337"/>
    </row>
    <row r="47" spans="1:14" ht="21">
      <c r="A47" s="326"/>
      <c r="B47" s="327"/>
      <c r="C47" s="328" t="s">
        <v>143</v>
      </c>
      <c r="D47" s="329"/>
      <c r="E47" s="329"/>
      <c r="F47" s="329"/>
      <c r="G47" s="329"/>
      <c r="H47" s="329"/>
      <c r="I47" s="330"/>
      <c r="J47" s="337"/>
      <c r="K47" s="331"/>
      <c r="L47" s="332"/>
      <c r="M47" s="336"/>
      <c r="N47" s="337"/>
    </row>
    <row r="48" spans="1:14" ht="21">
      <c r="A48" s="322">
        <v>4</v>
      </c>
      <c r="B48" s="323" t="s">
        <v>63</v>
      </c>
      <c r="C48" s="343" t="s">
        <v>332</v>
      </c>
      <c r="D48" s="329"/>
      <c r="E48" s="329"/>
      <c r="F48" s="329"/>
      <c r="G48" s="329"/>
      <c r="H48" s="329"/>
      <c r="I48" s="330"/>
      <c r="J48" s="335">
        <f>'x.a.3'!J7</f>
        <v>0</v>
      </c>
      <c r="K48" s="324"/>
      <c r="L48" s="325"/>
      <c r="M48" s="334"/>
      <c r="N48" s="335">
        <f>J48</f>
        <v>0</v>
      </c>
    </row>
    <row r="49" spans="1:14" ht="31.5">
      <c r="A49" s="322">
        <v>5</v>
      </c>
      <c r="B49" s="323" t="s">
        <v>145</v>
      </c>
      <c r="C49" s="343" t="s">
        <v>189</v>
      </c>
      <c r="D49" s="329"/>
      <c r="E49" s="329"/>
      <c r="F49" s="329"/>
      <c r="G49" s="329"/>
      <c r="H49" s="329"/>
      <c r="I49" s="330"/>
      <c r="J49" s="335">
        <f>'x.a.4'!J7</f>
        <v>0</v>
      </c>
      <c r="K49" s="324"/>
      <c r="L49" s="325"/>
      <c r="M49" s="334"/>
      <c r="N49" s="335">
        <f>J49</f>
        <v>0</v>
      </c>
    </row>
    <row r="50" spans="1:14" ht="31.5">
      <c r="A50" s="322">
        <v>6</v>
      </c>
      <c r="B50" s="323" t="s">
        <v>164</v>
      </c>
      <c r="C50" s="343" t="s">
        <v>295</v>
      </c>
      <c r="D50" s="329"/>
      <c r="E50" s="329"/>
      <c r="F50" s="329"/>
      <c r="G50" s="329"/>
      <c r="H50" s="329"/>
      <c r="I50" s="330"/>
      <c r="J50" s="335">
        <f>'x.a.5'!J7</f>
        <v>0</v>
      </c>
      <c r="K50" s="324"/>
      <c r="L50" s="325"/>
      <c r="M50" s="334"/>
      <c r="N50" s="335">
        <f>J50</f>
        <v>0</v>
      </c>
    </row>
    <row r="51" spans="1:14" ht="21">
      <c r="A51" s="322">
        <v>7</v>
      </c>
      <c r="B51" s="323" t="s">
        <v>296</v>
      </c>
      <c r="C51" s="343" t="s">
        <v>234</v>
      </c>
      <c r="D51" s="329"/>
      <c r="E51" s="329"/>
      <c r="F51" s="329"/>
      <c r="G51" s="329"/>
      <c r="H51" s="329"/>
      <c r="I51" s="330"/>
      <c r="J51" s="335">
        <f>'x.a.7'!J7</f>
        <v>0</v>
      </c>
      <c r="K51" s="324"/>
      <c r="L51" s="325"/>
      <c r="M51" s="334"/>
      <c r="N51" s="335">
        <f>J51</f>
        <v>0</v>
      </c>
    </row>
    <row r="52" spans="1:14" ht="21">
      <c r="A52" s="322">
        <v>9</v>
      </c>
      <c r="B52" s="323" t="s">
        <v>297</v>
      </c>
      <c r="C52" s="343" t="s">
        <v>333</v>
      </c>
      <c r="D52" s="329"/>
      <c r="E52" s="329"/>
      <c r="F52" s="329"/>
      <c r="G52" s="329"/>
      <c r="H52" s="329"/>
      <c r="I52" s="330"/>
      <c r="J52" s="335">
        <f>'x.a.9'!J7</f>
        <v>0</v>
      </c>
      <c r="K52" s="324"/>
      <c r="L52" s="325"/>
      <c r="M52" s="334"/>
      <c r="N52" s="335">
        <f>J52</f>
        <v>0</v>
      </c>
    </row>
    <row r="53" spans="1:14" ht="21">
      <c r="A53" s="326"/>
      <c r="B53" s="327"/>
      <c r="C53" s="328" t="s">
        <v>144</v>
      </c>
      <c r="D53" s="329"/>
      <c r="E53" s="329"/>
      <c r="F53" s="329"/>
      <c r="G53" s="329"/>
      <c r="H53" s="329"/>
      <c r="I53" s="330"/>
      <c r="J53" s="338">
        <f>SUM(J48:J52)</f>
        <v>0</v>
      </c>
      <c r="K53" s="339"/>
      <c r="L53" s="340"/>
      <c r="M53" s="341"/>
      <c r="N53" s="338">
        <f>SUM(N48:N52)</f>
        <v>0</v>
      </c>
    </row>
    <row r="54" spans="1:14" ht="21">
      <c r="A54" s="326"/>
      <c r="B54" s="327"/>
      <c r="C54" s="328"/>
      <c r="D54" s="329"/>
      <c r="E54" s="329"/>
      <c r="F54" s="329"/>
      <c r="G54" s="329"/>
      <c r="H54" s="329"/>
      <c r="I54" s="330"/>
      <c r="J54" s="337"/>
      <c r="K54" s="331"/>
      <c r="L54" s="332"/>
      <c r="M54" s="336"/>
      <c r="N54" s="337"/>
    </row>
    <row r="55" spans="1:14" ht="21">
      <c r="A55" s="326"/>
      <c r="B55" s="327"/>
      <c r="C55" s="328" t="s">
        <v>97</v>
      </c>
      <c r="D55" s="329"/>
      <c r="E55" s="329"/>
      <c r="F55" s="329"/>
      <c r="G55" s="329"/>
      <c r="H55" s="329"/>
      <c r="I55" s="330"/>
      <c r="J55" s="338"/>
      <c r="K55" s="339"/>
      <c r="L55" s="340"/>
      <c r="M55" s="341"/>
      <c r="N55" s="338"/>
    </row>
    <row r="56" spans="1:14" ht="21">
      <c r="A56" s="344"/>
      <c r="B56" s="344"/>
      <c r="C56" s="328" t="s">
        <v>93</v>
      </c>
      <c r="D56" s="329"/>
      <c r="E56" s="329"/>
      <c r="F56" s="329"/>
      <c r="G56" s="329"/>
      <c r="H56" s="329"/>
      <c r="I56" s="330"/>
      <c r="J56" s="335"/>
      <c r="K56" s="331"/>
      <c r="L56" s="332"/>
      <c r="M56" s="331"/>
      <c r="N56" s="335"/>
    </row>
    <row r="57" spans="1:14" ht="21">
      <c r="A57" s="344">
        <v>10</v>
      </c>
      <c r="B57" s="344" t="s">
        <v>298</v>
      </c>
      <c r="C57" s="343" t="s">
        <v>94</v>
      </c>
      <c r="D57" s="329"/>
      <c r="E57" s="329"/>
      <c r="F57" s="329"/>
      <c r="G57" s="329"/>
      <c r="H57" s="329"/>
      <c r="I57" s="330"/>
      <c r="J57" s="335">
        <f>'x.a.10'!J7</f>
        <v>0</v>
      </c>
      <c r="K57" s="331"/>
      <c r="L57" s="332"/>
      <c r="M57" s="331"/>
      <c r="N57" s="335">
        <f>J57</f>
        <v>0</v>
      </c>
    </row>
    <row r="58" spans="1:14" ht="21">
      <c r="A58" s="344">
        <v>11</v>
      </c>
      <c r="B58" s="344" t="s">
        <v>299</v>
      </c>
      <c r="C58" s="343" t="s">
        <v>279</v>
      </c>
      <c r="D58" s="329"/>
      <c r="E58" s="329"/>
      <c r="F58" s="329"/>
      <c r="G58" s="329"/>
      <c r="H58" s="329"/>
      <c r="I58" s="330"/>
      <c r="J58" s="335">
        <f>'x.a.11'!J7</f>
        <v>0</v>
      </c>
      <c r="K58" s="331"/>
      <c r="L58" s="332"/>
      <c r="M58" s="331"/>
      <c r="N58" s="335">
        <f>J58</f>
        <v>0</v>
      </c>
    </row>
    <row r="59" spans="1:14" ht="21">
      <c r="A59" s="344">
        <v>12</v>
      </c>
      <c r="B59" s="344" t="s">
        <v>300</v>
      </c>
      <c r="C59" s="343" t="s">
        <v>280</v>
      </c>
      <c r="D59" s="329"/>
      <c r="E59" s="329"/>
      <c r="F59" s="329"/>
      <c r="G59" s="329"/>
      <c r="H59" s="329"/>
      <c r="I59" s="330"/>
      <c r="J59" s="335">
        <f>'x.a.12'!J7</f>
        <v>0</v>
      </c>
      <c r="K59" s="331"/>
      <c r="L59" s="332"/>
      <c r="M59" s="331"/>
      <c r="N59" s="335">
        <f>J59</f>
        <v>0</v>
      </c>
    </row>
    <row r="60" spans="1:14" ht="21">
      <c r="A60" s="344">
        <v>13</v>
      </c>
      <c r="B60" s="344" t="s">
        <v>301</v>
      </c>
      <c r="C60" s="343" t="s">
        <v>286</v>
      </c>
      <c r="D60" s="329"/>
      <c r="E60" s="329"/>
      <c r="F60" s="329"/>
      <c r="G60" s="329"/>
      <c r="H60" s="329"/>
      <c r="I60" s="330"/>
      <c r="J60" s="335">
        <f>'x.a.13'!J7</f>
        <v>0</v>
      </c>
      <c r="K60" s="331"/>
      <c r="L60" s="332"/>
      <c r="M60" s="331"/>
      <c r="N60" s="335">
        <f>J60</f>
        <v>0</v>
      </c>
    </row>
    <row r="61" spans="1:14" ht="21">
      <c r="A61" s="344"/>
      <c r="B61" s="344"/>
      <c r="C61" s="328" t="s">
        <v>95</v>
      </c>
      <c r="D61" s="329"/>
      <c r="E61" s="329"/>
      <c r="F61" s="329"/>
      <c r="G61" s="329"/>
      <c r="H61" s="329"/>
      <c r="I61" s="330"/>
      <c r="J61" s="345">
        <f>SUM(J57:J60)</f>
        <v>0</v>
      </c>
      <c r="K61" s="339"/>
      <c r="L61" s="340"/>
      <c r="M61" s="339"/>
      <c r="N61" s="345">
        <f>SUM(N57:N60)</f>
        <v>0</v>
      </c>
    </row>
    <row r="62" spans="1:14" ht="21">
      <c r="A62" s="344"/>
      <c r="B62" s="344"/>
      <c r="C62" s="343"/>
      <c r="D62" s="329"/>
      <c r="E62" s="329"/>
      <c r="F62" s="329"/>
      <c r="G62" s="329"/>
      <c r="H62" s="329"/>
      <c r="I62" s="330"/>
      <c r="J62" s="335"/>
      <c r="K62" s="331"/>
      <c r="L62" s="332"/>
      <c r="M62" s="331"/>
      <c r="N62" s="335"/>
    </row>
    <row r="63" spans="1:14" ht="21">
      <c r="A63" s="323"/>
      <c r="B63" s="323"/>
      <c r="C63" s="346" t="s">
        <v>96</v>
      </c>
      <c r="D63" s="324"/>
      <c r="E63" s="324"/>
      <c r="F63" s="324"/>
      <c r="G63" s="324"/>
      <c r="H63" s="324"/>
      <c r="I63" s="347"/>
      <c r="J63" s="345">
        <f>J39+J44+J53+J61</f>
        <v>0</v>
      </c>
      <c r="K63" s="345"/>
      <c r="L63" s="345"/>
      <c r="M63" s="345">
        <f>M39</f>
        <v>2.019648</v>
      </c>
      <c r="N63" s="345">
        <f>N39+N44+N53+N61</f>
        <v>0</v>
      </c>
    </row>
    <row r="64" spans="1:14" ht="21">
      <c r="A64" s="326"/>
      <c r="B64" s="327"/>
      <c r="C64" s="328"/>
      <c r="D64" s="329"/>
      <c r="E64" s="329"/>
      <c r="F64" s="329"/>
      <c r="G64" s="329"/>
      <c r="H64" s="329"/>
      <c r="I64" s="330"/>
      <c r="J64" s="338"/>
      <c r="K64" s="339"/>
      <c r="L64" s="340"/>
      <c r="M64" s="341"/>
      <c r="N64" s="338"/>
    </row>
    <row r="65" spans="1:14" ht="21">
      <c r="A65" s="323">
        <v>14</v>
      </c>
      <c r="B65" s="348"/>
      <c r="C65" s="344" t="s">
        <v>55</v>
      </c>
      <c r="D65" s="323"/>
      <c r="E65" s="323"/>
      <c r="F65" s="323"/>
      <c r="G65" s="323"/>
      <c r="H65" s="323"/>
      <c r="I65" s="323"/>
      <c r="J65" s="335"/>
      <c r="K65" s="335"/>
      <c r="L65" s="335"/>
      <c r="M65" s="335">
        <f>N63*3%</f>
        <v>0</v>
      </c>
      <c r="N65" s="335">
        <f>M65</f>
        <v>0</v>
      </c>
    </row>
    <row r="66" spans="1:14" ht="21">
      <c r="A66" s="323"/>
      <c r="B66" s="348"/>
      <c r="C66" s="590" t="s">
        <v>12</v>
      </c>
      <c r="D66" s="590"/>
      <c r="E66" s="590"/>
      <c r="F66" s="590"/>
      <c r="G66" s="590"/>
      <c r="H66" s="590"/>
      <c r="I66" s="590"/>
      <c r="J66" s="345">
        <f>J63</f>
        <v>0</v>
      </c>
      <c r="K66" s="345"/>
      <c r="L66" s="345"/>
      <c r="M66" s="345">
        <f>SUM(M55:M65)</f>
        <v>2.019648</v>
      </c>
      <c r="N66" s="345">
        <f>N63+N65</f>
        <v>0</v>
      </c>
    </row>
    <row r="67" spans="1:14" ht="21">
      <c r="A67" s="323"/>
      <c r="B67" s="348"/>
      <c r="C67" s="349"/>
      <c r="D67" s="349"/>
      <c r="E67" s="349"/>
      <c r="F67" s="349"/>
      <c r="G67" s="349"/>
      <c r="H67" s="349"/>
      <c r="I67" s="349"/>
      <c r="J67" s="345"/>
      <c r="K67" s="345"/>
      <c r="L67" s="345"/>
      <c r="M67" s="345"/>
      <c r="N67" s="345"/>
    </row>
    <row r="68" spans="1:14" ht="21">
      <c r="A68" s="323">
        <v>15</v>
      </c>
      <c r="B68" s="348"/>
      <c r="C68" s="344" t="s">
        <v>56</v>
      </c>
      <c r="D68" s="323"/>
      <c r="E68" s="323"/>
      <c r="F68" s="323"/>
      <c r="G68" s="323"/>
      <c r="H68" s="323"/>
      <c r="I68" s="323"/>
      <c r="J68" s="335"/>
      <c r="K68" s="335"/>
      <c r="L68" s="335"/>
      <c r="M68" s="335">
        <f>N66*18%</f>
        <v>0</v>
      </c>
      <c r="N68" s="335">
        <f>M68</f>
        <v>0</v>
      </c>
    </row>
    <row r="69" spans="1:14" ht="21">
      <c r="A69" s="599"/>
      <c r="B69" s="599"/>
      <c r="C69" s="579" t="s">
        <v>57</v>
      </c>
      <c r="D69" s="580"/>
      <c r="E69" s="580"/>
      <c r="F69" s="580"/>
      <c r="G69" s="580"/>
      <c r="H69" s="580"/>
      <c r="I69" s="581"/>
      <c r="J69" s="585">
        <f>J66</f>
        <v>0</v>
      </c>
      <c r="K69" s="574"/>
      <c r="L69" s="574"/>
      <c r="M69" s="574">
        <f>M66+M68</f>
        <v>2.019648</v>
      </c>
      <c r="N69" s="576">
        <f>N66+N68</f>
        <v>0</v>
      </c>
    </row>
    <row r="70" spans="1:14" ht="20.25" customHeight="1">
      <c r="A70" s="600"/>
      <c r="B70" s="600"/>
      <c r="C70" s="582"/>
      <c r="D70" s="583"/>
      <c r="E70" s="583"/>
      <c r="F70" s="583"/>
      <c r="G70" s="583"/>
      <c r="H70" s="583"/>
      <c r="I70" s="584"/>
      <c r="J70" s="586"/>
      <c r="K70" s="575"/>
      <c r="L70" s="575"/>
      <c r="M70" s="575"/>
      <c r="N70" s="577"/>
    </row>
    <row r="71" spans="1:14" ht="28.5" customHeight="1">
      <c r="A71" s="597"/>
      <c r="B71" s="597"/>
      <c r="C71" s="597"/>
      <c r="D71" s="350"/>
      <c r="E71" s="350"/>
      <c r="F71" s="350"/>
      <c r="G71" s="350"/>
      <c r="H71" s="350"/>
      <c r="I71" s="350"/>
      <c r="J71" s="351"/>
      <c r="K71" s="350"/>
      <c r="L71" s="350"/>
      <c r="M71" s="351"/>
      <c r="N71" s="351"/>
    </row>
    <row r="72" spans="1:14" ht="18" customHeight="1">
      <c r="A72" s="578"/>
      <c r="B72" s="578"/>
      <c r="C72" s="578"/>
      <c r="D72" s="578"/>
      <c r="E72" s="578"/>
      <c r="F72" s="578"/>
      <c r="G72" s="578"/>
      <c r="H72" s="578"/>
      <c r="I72" s="578"/>
      <c r="J72" s="578"/>
      <c r="K72" s="578"/>
      <c r="L72" s="578"/>
      <c r="M72" s="578"/>
      <c r="N72" s="578"/>
    </row>
    <row r="73" spans="1:14" ht="15.75" customHeight="1">
      <c r="A73" s="573"/>
      <c r="B73" s="573"/>
      <c r="C73" s="573"/>
      <c r="D73" s="573"/>
      <c r="E73" s="573"/>
      <c r="F73" s="573"/>
      <c r="G73" s="573"/>
      <c r="H73" s="573"/>
      <c r="I73" s="573"/>
      <c r="J73" s="573"/>
      <c r="K73" s="573"/>
      <c r="L73" s="573"/>
      <c r="M73" s="573"/>
      <c r="N73" s="573"/>
    </row>
    <row r="74" spans="1:14" ht="21">
      <c r="A74" s="572"/>
      <c r="B74" s="572"/>
      <c r="C74" s="572"/>
      <c r="D74" s="572"/>
      <c r="E74" s="572"/>
      <c r="F74" s="572"/>
      <c r="G74" s="572"/>
      <c r="H74" s="572"/>
      <c r="I74" s="572"/>
      <c r="J74" s="572"/>
      <c r="K74" s="572"/>
      <c r="L74" s="572"/>
      <c r="M74" s="572"/>
      <c r="N74" s="572"/>
    </row>
    <row r="75" spans="1:14" ht="16.5" customHeight="1">
      <c r="A75" s="573"/>
      <c r="B75" s="573"/>
      <c r="C75" s="573"/>
      <c r="D75" s="573"/>
      <c r="E75" s="573"/>
      <c r="F75" s="573"/>
      <c r="G75" s="573"/>
      <c r="H75" s="573"/>
      <c r="I75" s="573"/>
      <c r="J75" s="573"/>
      <c r="K75" s="573"/>
      <c r="L75" s="573"/>
      <c r="M75" s="573"/>
      <c r="N75" s="573"/>
    </row>
    <row r="76" spans="1:15" ht="21">
      <c r="A76" s="572"/>
      <c r="B76" s="572"/>
      <c r="C76" s="572"/>
      <c r="D76" s="572"/>
      <c r="E76" s="572"/>
      <c r="F76" s="572"/>
      <c r="G76" s="572"/>
      <c r="H76" s="572"/>
      <c r="I76" s="572"/>
      <c r="J76" s="572"/>
      <c r="K76" s="572"/>
      <c r="L76" s="572"/>
      <c r="M76" s="572"/>
      <c r="N76" s="572"/>
      <c r="O76" s="342"/>
    </row>
    <row r="77" spans="1:14" ht="21">
      <c r="A77" s="317"/>
      <c r="B77" s="317"/>
      <c r="C77" s="318"/>
      <c r="D77" s="317"/>
      <c r="E77" s="317"/>
      <c r="F77" s="317"/>
      <c r="G77" s="317"/>
      <c r="H77" s="317"/>
      <c r="I77" s="317"/>
      <c r="J77" s="317"/>
      <c r="K77" s="317"/>
      <c r="L77" s="317"/>
      <c r="M77" s="277"/>
      <c r="N77" s="319"/>
    </row>
    <row r="78" spans="1:14" ht="21" customHeight="1">
      <c r="A78" s="573"/>
      <c r="B78" s="573"/>
      <c r="C78" s="573"/>
      <c r="D78" s="573"/>
      <c r="E78" s="573"/>
      <c r="F78" s="573"/>
      <c r="G78" s="573"/>
      <c r="H78" s="573"/>
      <c r="I78" s="573"/>
      <c r="J78" s="573"/>
      <c r="K78" s="573"/>
      <c r="L78" s="573"/>
      <c r="M78" s="573"/>
      <c r="N78" s="573"/>
    </row>
    <row r="79" spans="1:14" ht="21">
      <c r="A79" s="352"/>
      <c r="B79" s="352"/>
      <c r="C79" s="353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4"/>
    </row>
    <row r="80" spans="1:14" ht="21">
      <c r="A80" s="352"/>
      <c r="B80" s="352"/>
      <c r="C80" s="353"/>
      <c r="D80" s="352"/>
      <c r="E80" s="352"/>
      <c r="F80" s="352"/>
      <c r="G80" s="352"/>
      <c r="H80" s="352"/>
      <c r="I80" s="352"/>
      <c r="J80" s="352"/>
      <c r="K80" s="352"/>
      <c r="L80" s="354"/>
      <c r="M80" s="352"/>
      <c r="N80" s="354"/>
    </row>
    <row r="81" spans="1:14" ht="21">
      <c r="A81" s="352"/>
      <c r="B81" s="352"/>
      <c r="C81" s="353"/>
      <c r="D81" s="352"/>
      <c r="E81" s="352"/>
      <c r="F81" s="352"/>
      <c r="G81" s="352"/>
      <c r="H81" s="352"/>
      <c r="I81" s="352"/>
      <c r="J81" s="352"/>
      <c r="K81" s="352"/>
      <c r="L81" s="354"/>
      <c r="M81" s="352"/>
      <c r="N81" s="352"/>
    </row>
    <row r="82" spans="1:14" ht="21">
      <c r="A82" s="352"/>
      <c r="B82" s="352"/>
      <c r="C82" s="353"/>
      <c r="D82" s="352"/>
      <c r="E82" s="352"/>
      <c r="F82" s="352"/>
      <c r="G82" s="352"/>
      <c r="H82" s="352"/>
      <c r="I82" s="352"/>
      <c r="J82" s="352"/>
      <c r="K82" s="352"/>
      <c r="L82" s="354"/>
      <c r="M82" s="354"/>
      <c r="N82" s="352"/>
    </row>
    <row r="83" spans="1:14" ht="21">
      <c r="A83" s="352"/>
      <c r="B83" s="352"/>
      <c r="C83" s="353"/>
      <c r="D83" s="352"/>
      <c r="E83" s="352"/>
      <c r="F83" s="352"/>
      <c r="G83" s="352"/>
      <c r="H83" s="352"/>
      <c r="I83" s="352"/>
      <c r="J83" s="352"/>
      <c r="K83" s="352"/>
      <c r="L83" s="354"/>
      <c r="M83" s="352"/>
      <c r="N83" s="352"/>
    </row>
  </sheetData>
  <sheetProtection/>
  <mergeCells count="47">
    <mergeCell ref="A71:C71"/>
    <mergeCell ref="A1:N1"/>
    <mergeCell ref="A69:A70"/>
    <mergeCell ref="B69:B70"/>
    <mergeCell ref="A2:N2"/>
    <mergeCell ref="A3:N3"/>
    <mergeCell ref="C27:I33"/>
    <mergeCell ref="J27:M28"/>
    <mergeCell ref="L29:L33"/>
    <mergeCell ref="M29:M33"/>
    <mergeCell ref="K69:K70"/>
    <mergeCell ref="L69:L70"/>
    <mergeCell ref="C34:I34"/>
    <mergeCell ref="C66:I66"/>
    <mergeCell ref="A4:N4"/>
    <mergeCell ref="N27:N33"/>
    <mergeCell ref="J29:J33"/>
    <mergeCell ref="K29:K33"/>
    <mergeCell ref="A27:A33"/>
    <mergeCell ref="B27:B33"/>
    <mergeCell ref="A76:N76"/>
    <mergeCell ref="A78:N78"/>
    <mergeCell ref="A73:N73"/>
    <mergeCell ref="A74:N74"/>
    <mergeCell ref="A75:N75"/>
    <mergeCell ref="M69:M70"/>
    <mergeCell ref="N69:N70"/>
    <mergeCell ref="A72:N72"/>
    <mergeCell ref="C69:I70"/>
    <mergeCell ref="J69:J70"/>
    <mergeCell ref="A20:N20"/>
    <mergeCell ref="A21:N21"/>
    <mergeCell ref="B25:C25"/>
    <mergeCell ref="A24:N24"/>
    <mergeCell ref="A11:N11"/>
    <mergeCell ref="A23:N23"/>
    <mergeCell ref="A22:N22"/>
    <mergeCell ref="A17:N17"/>
    <mergeCell ref="A18:N18"/>
    <mergeCell ref="A9:C9"/>
    <mergeCell ref="L9:M9"/>
    <mergeCell ref="A10:C10"/>
    <mergeCell ref="L10:M10"/>
    <mergeCell ref="A5:N5"/>
    <mergeCell ref="A6:N6"/>
    <mergeCell ref="A7:N7"/>
    <mergeCell ref="A8:N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66" r:id="rId1"/>
  <rowBreaks count="1" manualBreakCount="1">
    <brk id="19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N28"/>
  <sheetViews>
    <sheetView view="pageBreakPreview" zoomScaleSheetLayoutView="100" zoomScalePageLayoutView="0" workbookViewId="0" topLeftCell="A4">
      <selection activeCell="B8" sqref="B8:C8"/>
    </sheetView>
  </sheetViews>
  <sheetFormatPr defaultColWidth="9.00390625" defaultRowHeight="12.75"/>
  <cols>
    <col min="1" max="1" width="3.8515625" style="1" customWidth="1"/>
    <col min="2" max="2" width="9.7109375" style="2" customWidth="1"/>
    <col min="3" max="3" width="30.7109375" style="2" customWidth="1"/>
    <col min="4" max="4" width="8.28125" style="12" customWidth="1"/>
    <col min="5" max="5" width="9.00390625" style="12" customWidth="1"/>
    <col min="6" max="6" width="9.140625" style="12" customWidth="1"/>
    <col min="7" max="7" width="9.7109375" style="12" customWidth="1"/>
    <col min="8" max="8" width="10.28125" style="12" customWidth="1"/>
    <col min="9" max="9" width="10.00390625" style="12" customWidth="1"/>
    <col min="10" max="10" width="10.28125" style="12" customWidth="1"/>
    <col min="11" max="11" width="8.8515625" style="12" customWidth="1"/>
    <col min="12" max="12" width="10.421875" style="12" customWidth="1"/>
    <col min="13" max="13" width="12.28125" style="12" customWidth="1"/>
    <col min="14" max="16384" width="9.00390625" style="17" customWidth="1"/>
  </cols>
  <sheetData>
    <row r="1" spans="1:14" ht="24" customHeight="1">
      <c r="A1" s="668" t="s">
        <v>165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56"/>
    </row>
    <row r="2" spans="1:14" ht="1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56"/>
    </row>
    <row r="3" spans="1:13" ht="15.75">
      <c r="A3" s="669" t="s">
        <v>268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</row>
    <row r="4" spans="1:13" ht="15.75">
      <c r="A4" s="669"/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</row>
    <row r="5" spans="1:13" ht="15.75">
      <c r="A5" s="670" t="s">
        <v>279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</row>
    <row r="6" spans="1:13" ht="15.75">
      <c r="A6" s="671"/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</row>
    <row r="7" spans="1:13" ht="15" customHeight="1">
      <c r="A7" s="2"/>
      <c r="B7" s="654"/>
      <c r="C7" s="654"/>
      <c r="D7" s="672"/>
      <c r="E7" s="3"/>
      <c r="F7" s="655" t="s">
        <v>1</v>
      </c>
      <c r="G7" s="655"/>
      <c r="H7" s="655"/>
      <c r="I7" s="655"/>
      <c r="J7" s="3">
        <f>M28/1000</f>
        <v>0</v>
      </c>
      <c r="K7" s="3" t="s">
        <v>0</v>
      </c>
      <c r="L7" s="3"/>
      <c r="M7" s="3"/>
    </row>
    <row r="8" spans="1:13" ht="15.75">
      <c r="A8" s="2"/>
      <c r="B8" s="654"/>
      <c r="C8" s="654"/>
      <c r="D8" s="3"/>
      <c r="E8" s="3"/>
      <c r="F8" s="655"/>
      <c r="G8" s="655"/>
      <c r="H8" s="655"/>
      <c r="I8" s="655"/>
      <c r="J8" s="3"/>
      <c r="K8" s="3"/>
      <c r="L8" s="3"/>
      <c r="M8" s="3"/>
    </row>
    <row r="9" spans="1:13" ht="15.75">
      <c r="A9" s="2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 customHeight="1">
      <c r="A10" s="656" t="s">
        <v>2</v>
      </c>
      <c r="B10" s="659" t="s">
        <v>3</v>
      </c>
      <c r="C10" s="662" t="s">
        <v>27</v>
      </c>
      <c r="D10" s="641" t="s">
        <v>4</v>
      </c>
      <c r="E10" s="665"/>
      <c r="F10" s="646"/>
      <c r="G10" s="641" t="s">
        <v>5</v>
      </c>
      <c r="H10" s="645"/>
      <c r="I10" s="641" t="s">
        <v>6</v>
      </c>
      <c r="J10" s="642"/>
      <c r="K10" s="641" t="s">
        <v>7</v>
      </c>
      <c r="L10" s="645"/>
      <c r="M10" s="646" t="s">
        <v>8</v>
      </c>
    </row>
    <row r="11" spans="1:13" ht="22.5" customHeight="1">
      <c r="A11" s="657"/>
      <c r="B11" s="660"/>
      <c r="C11" s="663"/>
      <c r="D11" s="650"/>
      <c r="E11" s="666"/>
      <c r="F11" s="667"/>
      <c r="G11" s="643"/>
      <c r="H11" s="651"/>
      <c r="I11" s="643"/>
      <c r="J11" s="644"/>
      <c r="K11" s="650" t="s">
        <v>9</v>
      </c>
      <c r="L11" s="651"/>
      <c r="M11" s="647"/>
    </row>
    <row r="12" spans="1:13" ht="15.75">
      <c r="A12" s="657"/>
      <c r="B12" s="660"/>
      <c r="C12" s="663"/>
      <c r="D12" s="652" t="s">
        <v>10</v>
      </c>
      <c r="E12" s="652" t="s">
        <v>11</v>
      </c>
      <c r="F12" s="652" t="s">
        <v>12</v>
      </c>
      <c r="G12" s="4" t="s">
        <v>11</v>
      </c>
      <c r="H12" s="652" t="s">
        <v>12</v>
      </c>
      <c r="I12" s="4" t="s">
        <v>11</v>
      </c>
      <c r="J12" s="652" t="s">
        <v>12</v>
      </c>
      <c r="K12" s="4" t="s">
        <v>11</v>
      </c>
      <c r="L12" s="652" t="s">
        <v>12</v>
      </c>
      <c r="M12" s="648"/>
    </row>
    <row r="13" spans="1:13" ht="15.75">
      <c r="A13" s="658"/>
      <c r="B13" s="661"/>
      <c r="C13" s="664"/>
      <c r="D13" s="653"/>
      <c r="E13" s="653"/>
      <c r="F13" s="653"/>
      <c r="G13" s="5" t="s">
        <v>13</v>
      </c>
      <c r="H13" s="653"/>
      <c r="I13" s="5" t="s">
        <v>13</v>
      </c>
      <c r="J13" s="653"/>
      <c r="K13" s="5" t="s">
        <v>13</v>
      </c>
      <c r="L13" s="653"/>
      <c r="M13" s="649"/>
    </row>
    <row r="14" spans="1:13" ht="15.75">
      <c r="A14" s="6" t="s">
        <v>14</v>
      </c>
      <c r="B14" s="13" t="s">
        <v>15</v>
      </c>
      <c r="C14" s="7" t="s">
        <v>16</v>
      </c>
      <c r="D14" s="9" t="s">
        <v>17</v>
      </c>
      <c r="E14" s="9" t="s">
        <v>18</v>
      </c>
      <c r="F14" s="10" t="s">
        <v>19</v>
      </c>
      <c r="G14" s="11" t="s">
        <v>20</v>
      </c>
      <c r="H14" s="8" t="s">
        <v>21</v>
      </c>
      <c r="I14" s="9" t="s">
        <v>22</v>
      </c>
      <c r="J14" s="11" t="s">
        <v>23</v>
      </c>
      <c r="K14" s="9" t="s">
        <v>24</v>
      </c>
      <c r="L14" s="8" t="s">
        <v>25</v>
      </c>
      <c r="M14" s="9" t="s">
        <v>26</v>
      </c>
    </row>
    <row r="15" spans="1:13" ht="126">
      <c r="A15" s="108">
        <v>1</v>
      </c>
      <c r="B15" s="107" t="s">
        <v>269</v>
      </c>
      <c r="C15" s="25" t="s">
        <v>270</v>
      </c>
      <c r="D15" s="108" t="s">
        <v>157</v>
      </c>
      <c r="E15" s="108"/>
      <c r="F15" s="139">
        <v>143</v>
      </c>
      <c r="G15" s="32"/>
      <c r="H15" s="32"/>
      <c r="I15" s="32"/>
      <c r="J15" s="32"/>
      <c r="K15" s="32"/>
      <c r="L15" s="32"/>
      <c r="M15" s="32"/>
    </row>
    <row r="16" spans="1:13" ht="31.5">
      <c r="A16" s="108"/>
      <c r="B16" s="107"/>
      <c r="C16" s="25" t="s">
        <v>271</v>
      </c>
      <c r="D16" s="31" t="s">
        <v>30</v>
      </c>
      <c r="E16" s="31">
        <v>1.33</v>
      </c>
      <c r="F16" s="32">
        <f>E16*F15</f>
        <v>190.19</v>
      </c>
      <c r="G16" s="32"/>
      <c r="H16" s="32">
        <f>F16*G16</f>
        <v>0</v>
      </c>
      <c r="I16" s="32"/>
      <c r="J16" s="32"/>
      <c r="K16" s="32"/>
      <c r="L16" s="32"/>
      <c r="M16" s="32">
        <f>H16</f>
        <v>0</v>
      </c>
    </row>
    <row r="17" spans="1:13" ht="31.5">
      <c r="A17" s="108"/>
      <c r="B17" s="15"/>
      <c r="C17" s="25" t="s">
        <v>273</v>
      </c>
      <c r="D17" s="108" t="s">
        <v>31</v>
      </c>
      <c r="E17" s="108">
        <f>3.69/100</f>
        <v>0.0369</v>
      </c>
      <c r="F17" s="32">
        <f>E17*F15</f>
        <v>5.2767</v>
      </c>
      <c r="G17" s="32"/>
      <c r="H17" s="32"/>
      <c r="I17" s="32"/>
      <c r="J17" s="32"/>
      <c r="K17" s="32"/>
      <c r="L17" s="32">
        <f>F17*K17</f>
        <v>0</v>
      </c>
      <c r="M17" s="32">
        <f>L17</f>
        <v>0</v>
      </c>
    </row>
    <row r="18" spans="1:13" ht="31.5">
      <c r="A18" s="108"/>
      <c r="B18" s="107"/>
      <c r="C18" s="25" t="s">
        <v>32</v>
      </c>
      <c r="D18" s="108" t="s">
        <v>30</v>
      </c>
      <c r="E18" s="31"/>
      <c r="F18" s="32">
        <f>F17</f>
        <v>5.2767</v>
      </c>
      <c r="G18" s="32"/>
      <c r="H18" s="32">
        <f>F18*G18</f>
        <v>0</v>
      </c>
      <c r="I18" s="32"/>
      <c r="J18" s="180"/>
      <c r="K18" s="32"/>
      <c r="L18" s="32"/>
      <c r="M18" s="32">
        <f>H18</f>
        <v>0</v>
      </c>
    </row>
    <row r="19" spans="1:13" ht="31.5">
      <c r="A19" s="108"/>
      <c r="B19" s="15"/>
      <c r="C19" s="25" t="s">
        <v>275</v>
      </c>
      <c r="D19" s="108" t="s">
        <v>31</v>
      </c>
      <c r="E19" s="108">
        <f>2.64/100</f>
        <v>0.0264</v>
      </c>
      <c r="F19" s="32">
        <f>E19*F15</f>
        <v>3.7752</v>
      </c>
      <c r="G19" s="32"/>
      <c r="H19" s="32"/>
      <c r="I19" s="32"/>
      <c r="J19" s="32"/>
      <c r="K19" s="32"/>
      <c r="L19" s="32">
        <f>F19*K19</f>
        <v>0</v>
      </c>
      <c r="M19" s="32">
        <f>L19</f>
        <v>0</v>
      </c>
    </row>
    <row r="20" spans="1:13" ht="31.5">
      <c r="A20" s="108"/>
      <c r="B20" s="107"/>
      <c r="C20" s="25" t="s">
        <v>32</v>
      </c>
      <c r="D20" s="108" t="s">
        <v>30</v>
      </c>
      <c r="E20" s="31"/>
      <c r="F20" s="32">
        <f>F19</f>
        <v>3.7752</v>
      </c>
      <c r="G20" s="32"/>
      <c r="H20" s="32">
        <f>F20*G20</f>
        <v>0</v>
      </c>
      <c r="I20" s="32"/>
      <c r="J20" s="32"/>
      <c r="K20" s="32"/>
      <c r="L20" s="32"/>
      <c r="M20" s="32">
        <f>H20</f>
        <v>0</v>
      </c>
    </row>
    <row r="21" spans="1:13" ht="18.75">
      <c r="A21" s="108"/>
      <c r="B21" s="15"/>
      <c r="C21" s="25" t="s">
        <v>276</v>
      </c>
      <c r="D21" s="31" t="s">
        <v>28</v>
      </c>
      <c r="E21" s="31">
        <f>3.72/100</f>
        <v>0.037200000000000004</v>
      </c>
      <c r="F21" s="32">
        <f>E21*F15</f>
        <v>5.3196</v>
      </c>
      <c r="G21" s="32"/>
      <c r="H21" s="32"/>
      <c r="I21" s="32"/>
      <c r="J21" s="32">
        <f>F21*I21</f>
        <v>0</v>
      </c>
      <c r="K21" s="32"/>
      <c r="L21" s="32"/>
      <c r="M21" s="32">
        <f>J21</f>
        <v>0</v>
      </c>
    </row>
    <row r="22" spans="1:13" ht="15.75">
      <c r="A22" s="108"/>
      <c r="B22" s="107"/>
      <c r="C22" s="25" t="s">
        <v>277</v>
      </c>
      <c r="D22" s="108" t="s">
        <v>157</v>
      </c>
      <c r="E22" s="181" t="s">
        <v>68</v>
      </c>
      <c r="F22" s="32">
        <f>F15</f>
        <v>143</v>
      </c>
      <c r="G22" s="32"/>
      <c r="H22" s="32"/>
      <c r="I22" s="32"/>
      <c r="J22" s="32">
        <f>F22*I22</f>
        <v>0</v>
      </c>
      <c r="K22" s="32"/>
      <c r="L22" s="32"/>
      <c r="M22" s="32">
        <f>J22</f>
        <v>0</v>
      </c>
    </row>
    <row r="23" spans="1:13" ht="15.75">
      <c r="A23" s="109"/>
      <c r="B23" s="110"/>
      <c r="C23" s="55" t="s">
        <v>40</v>
      </c>
      <c r="D23" s="34" t="s">
        <v>34</v>
      </c>
      <c r="E23" s="34">
        <v>0.419</v>
      </c>
      <c r="F23" s="111">
        <f>E23*F15</f>
        <v>59.916999999999994</v>
      </c>
      <c r="G23" s="111"/>
      <c r="H23" s="111"/>
      <c r="I23" s="111"/>
      <c r="J23" s="111">
        <f>F23*I23</f>
        <v>0</v>
      </c>
      <c r="K23" s="111"/>
      <c r="L23" s="111"/>
      <c r="M23" s="111">
        <f>J23</f>
        <v>0</v>
      </c>
    </row>
    <row r="24" spans="1:13" ht="15.75">
      <c r="A24" s="37"/>
      <c r="B24" s="15"/>
      <c r="C24" s="31" t="s">
        <v>12</v>
      </c>
      <c r="D24" s="27" t="s">
        <v>34</v>
      </c>
      <c r="E24" s="14"/>
      <c r="F24" s="14"/>
      <c r="G24" s="14"/>
      <c r="H24" s="14">
        <f>SUM(H15:H23)</f>
        <v>0</v>
      </c>
      <c r="I24" s="14"/>
      <c r="J24" s="14">
        <f>SUM(J15:J23)</f>
        <v>0</v>
      </c>
      <c r="K24" s="18"/>
      <c r="L24" s="14">
        <f>SUM(L16:L23)</f>
        <v>0</v>
      </c>
      <c r="M24" s="14">
        <f>SUM(M16:M23)</f>
        <v>0</v>
      </c>
    </row>
    <row r="25" spans="1:13" ht="15.75">
      <c r="A25" s="26"/>
      <c r="B25" s="25"/>
      <c r="C25" s="26" t="s">
        <v>326</v>
      </c>
      <c r="D25" s="27" t="s">
        <v>34</v>
      </c>
      <c r="E25" s="28"/>
      <c r="F25" s="29"/>
      <c r="G25" s="30"/>
      <c r="H25" s="28">
        <f>E25*H24</f>
        <v>0</v>
      </c>
      <c r="I25" s="28"/>
      <c r="J25" s="28">
        <f>E25*J24</f>
        <v>0</v>
      </c>
      <c r="K25" s="28"/>
      <c r="L25" s="28">
        <f>E25*L24</f>
        <v>0</v>
      </c>
      <c r="M25" s="28">
        <f>SUM(H25:L25)</f>
        <v>0</v>
      </c>
    </row>
    <row r="26" spans="1:13" ht="15.75">
      <c r="A26" s="31"/>
      <c r="B26" s="25"/>
      <c r="C26" s="31" t="s">
        <v>12</v>
      </c>
      <c r="D26" s="27" t="s">
        <v>34</v>
      </c>
      <c r="E26" s="32"/>
      <c r="F26" s="31"/>
      <c r="G26" s="31"/>
      <c r="H26" s="32">
        <f>SUM(H24:H25)</f>
        <v>0</v>
      </c>
      <c r="I26" s="32"/>
      <c r="J26" s="32">
        <f>SUM(J24:J25)</f>
        <v>0</v>
      </c>
      <c r="K26" s="32"/>
      <c r="L26" s="32">
        <f>SUM(L24:L25)</f>
        <v>0</v>
      </c>
      <c r="M26" s="32">
        <f>SUM(H26:L26)</f>
        <v>0</v>
      </c>
    </row>
    <row r="27" spans="1:13" ht="15.75">
      <c r="A27" s="26"/>
      <c r="B27" s="25"/>
      <c r="C27" s="25" t="s">
        <v>328</v>
      </c>
      <c r="D27" s="27" t="s">
        <v>34</v>
      </c>
      <c r="E27" s="28"/>
      <c r="F27" s="33"/>
      <c r="G27" s="28"/>
      <c r="H27" s="28">
        <f>E27*H26</f>
        <v>0</v>
      </c>
      <c r="I27" s="28"/>
      <c r="J27" s="28">
        <f>E27*J26</f>
        <v>0</v>
      </c>
      <c r="K27" s="28"/>
      <c r="L27" s="28">
        <f>E27*L26</f>
        <v>0</v>
      </c>
      <c r="M27" s="28">
        <f>SUM(H27:L27)</f>
        <v>0</v>
      </c>
    </row>
    <row r="28" spans="1:13" ht="15.75">
      <c r="A28" s="34"/>
      <c r="B28" s="55"/>
      <c r="C28" s="34" t="s">
        <v>12</v>
      </c>
      <c r="D28" s="35" t="s">
        <v>34</v>
      </c>
      <c r="E28" s="34"/>
      <c r="F28" s="34"/>
      <c r="G28" s="34"/>
      <c r="H28" s="36">
        <f>SUM(H26:H27)</f>
        <v>0</v>
      </c>
      <c r="I28" s="36"/>
      <c r="J28" s="36">
        <f>SUM(J26:J27)</f>
        <v>0</v>
      </c>
      <c r="K28" s="36"/>
      <c r="L28" s="36">
        <f>SUM(L26:L27)</f>
        <v>0</v>
      </c>
      <c r="M28" s="36">
        <f>SUM(H28:L28)</f>
        <v>0</v>
      </c>
    </row>
  </sheetData>
  <sheetProtection/>
  <mergeCells count="24">
    <mergeCell ref="G10:H11"/>
    <mergeCell ref="I10:J11"/>
    <mergeCell ref="K10:L10"/>
    <mergeCell ref="M10:M13"/>
    <mergeCell ref="K11:L11"/>
    <mergeCell ref="H12:H13"/>
    <mergeCell ref="J12:J13"/>
    <mergeCell ref="L12:L13"/>
    <mergeCell ref="A10:A13"/>
    <mergeCell ref="B10:B13"/>
    <mergeCell ref="C10:C13"/>
    <mergeCell ref="D10:F11"/>
    <mergeCell ref="D12:D13"/>
    <mergeCell ref="E12:E13"/>
    <mergeCell ref="F12:F13"/>
    <mergeCell ref="A6:M6"/>
    <mergeCell ref="B7:D7"/>
    <mergeCell ref="F7:I7"/>
    <mergeCell ref="B8:C8"/>
    <mergeCell ref="F8:I8"/>
    <mergeCell ref="A1:M1"/>
    <mergeCell ref="A3:M3"/>
    <mergeCell ref="A4:M4"/>
    <mergeCell ref="A5:M5"/>
  </mergeCells>
  <printOptions/>
  <pageMargins left="0.5905511811023623" right="0" top="0.5905511811023623" bottom="0.5905511811023623" header="0.5118110236220472" footer="0.5118110236220472"/>
  <pageSetup horizontalDpi="300" verticalDpi="3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N28"/>
  <sheetViews>
    <sheetView view="pageBreakPreview" zoomScaleSheetLayoutView="100" zoomScalePageLayoutView="0" workbookViewId="0" topLeftCell="A3">
      <selection activeCell="B8" sqref="B8:C8"/>
    </sheetView>
  </sheetViews>
  <sheetFormatPr defaultColWidth="9.00390625" defaultRowHeight="12.75"/>
  <cols>
    <col min="1" max="1" width="3.8515625" style="1" customWidth="1"/>
    <col min="2" max="2" width="9.7109375" style="2" customWidth="1"/>
    <col min="3" max="3" width="30.7109375" style="2" customWidth="1"/>
    <col min="4" max="4" width="8.28125" style="12" customWidth="1"/>
    <col min="5" max="5" width="9.00390625" style="12" customWidth="1"/>
    <col min="6" max="6" width="9.140625" style="12" customWidth="1"/>
    <col min="7" max="7" width="9.7109375" style="12" customWidth="1"/>
    <col min="8" max="8" width="10.28125" style="12" customWidth="1"/>
    <col min="9" max="9" width="10.00390625" style="12" customWidth="1"/>
    <col min="10" max="10" width="10.28125" style="12" customWidth="1"/>
    <col min="11" max="11" width="8.8515625" style="12" customWidth="1"/>
    <col min="12" max="12" width="10.421875" style="12" customWidth="1"/>
    <col min="13" max="13" width="12.28125" style="12" customWidth="1"/>
    <col min="14" max="16384" width="9.00390625" style="17" customWidth="1"/>
  </cols>
  <sheetData>
    <row r="1" spans="1:14" ht="24" customHeight="1">
      <c r="A1" s="668" t="s">
        <v>165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56"/>
    </row>
    <row r="2" spans="1:14" ht="1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56"/>
    </row>
    <row r="3" spans="1:13" ht="15.75">
      <c r="A3" s="669" t="s">
        <v>278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</row>
    <row r="4" spans="1:13" ht="15.75">
      <c r="A4" s="669"/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</row>
    <row r="5" spans="1:13" ht="15.75">
      <c r="A5" s="670" t="s">
        <v>280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</row>
    <row r="6" spans="1:13" ht="15.75">
      <c r="A6" s="671"/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</row>
    <row r="7" spans="1:13" ht="15" customHeight="1">
      <c r="A7" s="2"/>
      <c r="B7" s="654"/>
      <c r="C7" s="654"/>
      <c r="D7" s="672"/>
      <c r="E7" s="3"/>
      <c r="F7" s="655" t="s">
        <v>1</v>
      </c>
      <c r="G7" s="655"/>
      <c r="H7" s="655"/>
      <c r="I7" s="655"/>
      <c r="J7" s="3">
        <f>M28/1000</f>
        <v>0</v>
      </c>
      <c r="K7" s="3" t="s">
        <v>0</v>
      </c>
      <c r="L7" s="3"/>
      <c r="M7" s="3"/>
    </row>
    <row r="8" spans="1:13" ht="15.75">
      <c r="A8" s="2"/>
      <c r="B8" s="654"/>
      <c r="C8" s="654"/>
      <c r="D8" s="3"/>
      <c r="E8" s="3"/>
      <c r="F8" s="655"/>
      <c r="G8" s="655"/>
      <c r="H8" s="655"/>
      <c r="I8" s="655"/>
      <c r="J8" s="3"/>
      <c r="K8" s="3"/>
      <c r="L8" s="3"/>
      <c r="M8" s="3"/>
    </row>
    <row r="9" spans="1:13" ht="15.75">
      <c r="A9" s="2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 customHeight="1">
      <c r="A10" s="656" t="s">
        <v>2</v>
      </c>
      <c r="B10" s="659" t="s">
        <v>3</v>
      </c>
      <c r="C10" s="662" t="s">
        <v>27</v>
      </c>
      <c r="D10" s="641" t="s">
        <v>4</v>
      </c>
      <c r="E10" s="665"/>
      <c r="F10" s="646"/>
      <c r="G10" s="641" t="s">
        <v>5</v>
      </c>
      <c r="H10" s="645"/>
      <c r="I10" s="641" t="s">
        <v>6</v>
      </c>
      <c r="J10" s="642"/>
      <c r="K10" s="641" t="s">
        <v>7</v>
      </c>
      <c r="L10" s="645"/>
      <c r="M10" s="646" t="s">
        <v>8</v>
      </c>
    </row>
    <row r="11" spans="1:13" ht="22.5" customHeight="1">
      <c r="A11" s="657"/>
      <c r="B11" s="660"/>
      <c r="C11" s="663"/>
      <c r="D11" s="650"/>
      <c r="E11" s="666"/>
      <c r="F11" s="667"/>
      <c r="G11" s="643"/>
      <c r="H11" s="651"/>
      <c r="I11" s="643"/>
      <c r="J11" s="644"/>
      <c r="K11" s="650" t="s">
        <v>9</v>
      </c>
      <c r="L11" s="651"/>
      <c r="M11" s="647"/>
    </row>
    <row r="12" spans="1:13" ht="15.75">
      <c r="A12" s="657"/>
      <c r="B12" s="660"/>
      <c r="C12" s="663"/>
      <c r="D12" s="652" t="s">
        <v>10</v>
      </c>
      <c r="E12" s="652" t="s">
        <v>11</v>
      </c>
      <c r="F12" s="652" t="s">
        <v>12</v>
      </c>
      <c r="G12" s="4" t="s">
        <v>11</v>
      </c>
      <c r="H12" s="652" t="s">
        <v>12</v>
      </c>
      <c r="I12" s="4" t="s">
        <v>11</v>
      </c>
      <c r="J12" s="652" t="s">
        <v>12</v>
      </c>
      <c r="K12" s="4" t="s">
        <v>11</v>
      </c>
      <c r="L12" s="652" t="s">
        <v>12</v>
      </c>
      <c r="M12" s="648"/>
    </row>
    <row r="13" spans="1:13" ht="15.75">
      <c r="A13" s="658"/>
      <c r="B13" s="661"/>
      <c r="C13" s="664"/>
      <c r="D13" s="653"/>
      <c r="E13" s="653"/>
      <c r="F13" s="653"/>
      <c r="G13" s="5" t="s">
        <v>13</v>
      </c>
      <c r="H13" s="653"/>
      <c r="I13" s="5" t="s">
        <v>13</v>
      </c>
      <c r="J13" s="653"/>
      <c r="K13" s="5" t="s">
        <v>13</v>
      </c>
      <c r="L13" s="653"/>
      <c r="M13" s="649"/>
    </row>
    <row r="14" spans="1:13" ht="15.75">
      <c r="A14" s="6" t="s">
        <v>14</v>
      </c>
      <c r="B14" s="13" t="s">
        <v>15</v>
      </c>
      <c r="C14" s="7" t="s">
        <v>16</v>
      </c>
      <c r="D14" s="9" t="s">
        <v>17</v>
      </c>
      <c r="E14" s="9" t="s">
        <v>18</v>
      </c>
      <c r="F14" s="10" t="s">
        <v>19</v>
      </c>
      <c r="G14" s="11" t="s">
        <v>20</v>
      </c>
      <c r="H14" s="8" t="s">
        <v>21</v>
      </c>
      <c r="I14" s="9" t="s">
        <v>22</v>
      </c>
      <c r="J14" s="11" t="s">
        <v>23</v>
      </c>
      <c r="K14" s="9" t="s">
        <v>24</v>
      </c>
      <c r="L14" s="8" t="s">
        <v>25</v>
      </c>
      <c r="M14" s="9" t="s">
        <v>26</v>
      </c>
    </row>
    <row r="15" spans="1:13" ht="63">
      <c r="A15" s="18">
        <v>1</v>
      </c>
      <c r="B15" s="89" t="s">
        <v>281</v>
      </c>
      <c r="C15" s="2" t="s">
        <v>282</v>
      </c>
      <c r="D15" s="98" t="s">
        <v>70</v>
      </c>
      <c r="E15" s="14"/>
      <c r="F15" s="173">
        <v>189</v>
      </c>
      <c r="H15" s="182"/>
      <c r="I15" s="47"/>
      <c r="J15" s="183"/>
      <c r="K15" s="47"/>
      <c r="L15" s="182"/>
      <c r="M15" s="47"/>
    </row>
    <row r="16" spans="1:13" ht="15.75">
      <c r="A16" s="157"/>
      <c r="B16" s="65"/>
      <c r="C16" s="18" t="s">
        <v>29</v>
      </c>
      <c r="D16" s="14" t="s">
        <v>30</v>
      </c>
      <c r="E16" s="14">
        <v>0.66</v>
      </c>
      <c r="F16" s="14">
        <f>E16*F15</f>
        <v>124.74000000000001</v>
      </c>
      <c r="G16" s="32"/>
      <c r="H16" s="32">
        <f>F16*G16</f>
        <v>0</v>
      </c>
      <c r="I16" s="32"/>
      <c r="J16" s="32"/>
      <c r="K16" s="32"/>
      <c r="L16" s="32"/>
      <c r="M16" s="32">
        <f>H16</f>
        <v>0</v>
      </c>
    </row>
    <row r="17" spans="1:13" ht="31.5">
      <c r="A17" s="108"/>
      <c r="B17" s="15"/>
      <c r="C17" s="25" t="s">
        <v>273</v>
      </c>
      <c r="D17" s="108" t="s">
        <v>31</v>
      </c>
      <c r="E17" s="108">
        <v>0.14</v>
      </c>
      <c r="F17" s="32">
        <f>E17*F15</f>
        <v>26.46</v>
      </c>
      <c r="G17" s="32"/>
      <c r="H17" s="32"/>
      <c r="I17" s="32"/>
      <c r="J17" s="32"/>
      <c r="K17" s="32"/>
      <c r="L17" s="32">
        <f>F17*K17</f>
        <v>0</v>
      </c>
      <c r="M17" s="32">
        <f>L17</f>
        <v>0</v>
      </c>
    </row>
    <row r="18" spans="1:13" ht="31.5">
      <c r="A18" s="108"/>
      <c r="B18" s="107"/>
      <c r="C18" s="25" t="s">
        <v>32</v>
      </c>
      <c r="D18" s="108" t="s">
        <v>30</v>
      </c>
      <c r="E18" s="31"/>
      <c r="F18" s="32">
        <f>F17</f>
        <v>26.46</v>
      </c>
      <c r="G18" s="32"/>
      <c r="H18" s="32">
        <f>F18*G18</f>
        <v>0</v>
      </c>
      <c r="I18" s="32"/>
      <c r="J18" s="180"/>
      <c r="K18" s="32"/>
      <c r="L18" s="32"/>
      <c r="M18" s="32">
        <f>H18</f>
        <v>0</v>
      </c>
    </row>
    <row r="19" spans="1:13" ht="31.5">
      <c r="A19" s="108"/>
      <c r="B19" s="15"/>
      <c r="C19" s="25" t="s">
        <v>275</v>
      </c>
      <c r="D19" s="31" t="s">
        <v>31</v>
      </c>
      <c r="E19" s="108">
        <v>0.103</v>
      </c>
      <c r="F19" s="32">
        <f>E19*F15</f>
        <v>19.467</v>
      </c>
      <c r="G19" s="32"/>
      <c r="H19" s="32"/>
      <c r="I19" s="32"/>
      <c r="J19" s="32"/>
      <c r="K19" s="32"/>
      <c r="L19" s="32">
        <f>F19*K19</f>
        <v>0</v>
      </c>
      <c r="M19" s="32">
        <f>L19</f>
        <v>0</v>
      </c>
    </row>
    <row r="20" spans="1:13" ht="31.5">
      <c r="A20" s="108"/>
      <c r="B20" s="107"/>
      <c r="C20" s="25" t="s">
        <v>32</v>
      </c>
      <c r="D20" s="108" t="s">
        <v>30</v>
      </c>
      <c r="E20" s="31"/>
      <c r="F20" s="32">
        <f>F19</f>
        <v>19.467</v>
      </c>
      <c r="G20" s="32"/>
      <c r="H20" s="32">
        <f>F20*G20</f>
        <v>0</v>
      </c>
      <c r="I20" s="32"/>
      <c r="J20" s="32"/>
      <c r="K20" s="32"/>
      <c r="L20" s="32"/>
      <c r="M20" s="32">
        <f>H20</f>
        <v>0</v>
      </c>
    </row>
    <row r="21" spans="1:13" ht="15.75">
      <c r="A21" s="52"/>
      <c r="B21" s="18"/>
      <c r="C21" s="1" t="s">
        <v>283</v>
      </c>
      <c r="D21" s="98" t="s">
        <v>70</v>
      </c>
      <c r="E21" s="181" t="s">
        <v>68</v>
      </c>
      <c r="F21" s="148">
        <f>F15</f>
        <v>189</v>
      </c>
      <c r="H21" s="182"/>
      <c r="I21" s="47"/>
      <c r="J21" s="183">
        <f>F21*I21</f>
        <v>0</v>
      </c>
      <c r="K21" s="47"/>
      <c r="L21" s="182"/>
      <c r="M21" s="47">
        <f>J21</f>
        <v>0</v>
      </c>
    </row>
    <row r="22" spans="1:13" ht="15.75">
      <c r="A22" s="52"/>
      <c r="B22" s="18"/>
      <c r="C22" s="1" t="s">
        <v>284</v>
      </c>
      <c r="D22" s="98" t="s">
        <v>226</v>
      </c>
      <c r="E22" s="81">
        <f>3.6/100</f>
        <v>0.036000000000000004</v>
      </c>
      <c r="F22" s="148">
        <f>E22*F15</f>
        <v>6.804000000000001</v>
      </c>
      <c r="H22" s="182"/>
      <c r="I22" s="47"/>
      <c r="J22" s="183">
        <f>F22*I22</f>
        <v>0</v>
      </c>
      <c r="K22" s="47"/>
      <c r="L22" s="182"/>
      <c r="M22" s="47">
        <f>J22</f>
        <v>0</v>
      </c>
    </row>
    <row r="23" spans="1:13" ht="15.75">
      <c r="A23" s="49"/>
      <c r="B23" s="184"/>
      <c r="C23" s="20" t="s">
        <v>40</v>
      </c>
      <c r="D23" s="19" t="s">
        <v>34</v>
      </c>
      <c r="E23" s="19">
        <v>0.13</v>
      </c>
      <c r="F23" s="19">
        <f>E23*F15</f>
        <v>24.57</v>
      </c>
      <c r="G23" s="19"/>
      <c r="H23" s="53"/>
      <c r="I23" s="53"/>
      <c r="J23" s="53">
        <f>F23*I23</f>
        <v>0</v>
      </c>
      <c r="K23" s="53"/>
      <c r="L23" s="53"/>
      <c r="M23" s="53">
        <f>J23</f>
        <v>0</v>
      </c>
    </row>
    <row r="24" spans="1:13" ht="15.75">
      <c r="A24" s="37"/>
      <c r="B24" s="15"/>
      <c r="C24" s="31" t="s">
        <v>12</v>
      </c>
      <c r="D24" s="27" t="s">
        <v>34</v>
      </c>
      <c r="E24" s="14"/>
      <c r="F24" s="14"/>
      <c r="G24" s="14"/>
      <c r="H24" s="14">
        <f>SUM(H15:H23)</f>
        <v>0</v>
      </c>
      <c r="I24" s="14"/>
      <c r="J24" s="14">
        <f>SUM(J15:J23)</f>
        <v>0</v>
      </c>
      <c r="K24" s="18"/>
      <c r="L24" s="14">
        <f>SUM(L16:L23)</f>
        <v>0</v>
      </c>
      <c r="M24" s="14">
        <f>SUM(M16:M23)</f>
        <v>0</v>
      </c>
    </row>
    <row r="25" spans="1:13" ht="15.75">
      <c r="A25" s="26"/>
      <c r="B25" s="25"/>
      <c r="C25" s="26" t="s">
        <v>326</v>
      </c>
      <c r="D25" s="27" t="s">
        <v>34</v>
      </c>
      <c r="E25" s="28"/>
      <c r="F25" s="29"/>
      <c r="G25" s="30"/>
      <c r="H25" s="28">
        <f>E25*H24</f>
        <v>0</v>
      </c>
      <c r="I25" s="28"/>
      <c r="J25" s="28">
        <f>E25*J24</f>
        <v>0</v>
      </c>
      <c r="K25" s="28"/>
      <c r="L25" s="28">
        <f>E25*L24</f>
        <v>0</v>
      </c>
      <c r="M25" s="28">
        <f>SUM(H25:L25)</f>
        <v>0</v>
      </c>
    </row>
    <row r="26" spans="1:13" ht="15.75">
      <c r="A26" s="31"/>
      <c r="B26" s="25"/>
      <c r="C26" s="31" t="s">
        <v>12</v>
      </c>
      <c r="D26" s="27" t="s">
        <v>34</v>
      </c>
      <c r="E26" s="32"/>
      <c r="F26" s="31"/>
      <c r="G26" s="31"/>
      <c r="H26" s="32">
        <f>SUM(H24:H25)</f>
        <v>0</v>
      </c>
      <c r="I26" s="32"/>
      <c r="J26" s="32">
        <f>SUM(J24:J25)</f>
        <v>0</v>
      </c>
      <c r="K26" s="32"/>
      <c r="L26" s="32">
        <f>SUM(L24:L25)</f>
        <v>0</v>
      </c>
      <c r="M26" s="32">
        <f>SUM(H26:L26)</f>
        <v>0</v>
      </c>
    </row>
    <row r="27" spans="1:13" ht="15.75">
      <c r="A27" s="26"/>
      <c r="B27" s="25"/>
      <c r="C27" s="25" t="s">
        <v>328</v>
      </c>
      <c r="D27" s="27" t="s">
        <v>34</v>
      </c>
      <c r="E27" s="28"/>
      <c r="F27" s="33"/>
      <c r="G27" s="28"/>
      <c r="H27" s="28">
        <f>E27*H26</f>
        <v>0</v>
      </c>
      <c r="I27" s="28"/>
      <c r="J27" s="28">
        <f>E27*J26</f>
        <v>0</v>
      </c>
      <c r="K27" s="28"/>
      <c r="L27" s="28">
        <f>E27*L26</f>
        <v>0</v>
      </c>
      <c r="M27" s="28">
        <f>SUM(H27:L27)</f>
        <v>0</v>
      </c>
    </row>
    <row r="28" spans="1:13" ht="15.75">
      <c r="A28" s="34"/>
      <c r="B28" s="55"/>
      <c r="C28" s="34" t="s">
        <v>12</v>
      </c>
      <c r="D28" s="35" t="s">
        <v>34</v>
      </c>
      <c r="E28" s="34"/>
      <c r="F28" s="34"/>
      <c r="G28" s="34"/>
      <c r="H28" s="36">
        <f>SUM(H26:H27)</f>
        <v>0</v>
      </c>
      <c r="I28" s="36"/>
      <c r="J28" s="36">
        <f>SUM(J26:J27)</f>
        <v>0</v>
      </c>
      <c r="K28" s="36"/>
      <c r="L28" s="36">
        <f>SUM(L26:L27)</f>
        <v>0</v>
      </c>
      <c r="M28" s="36">
        <f>SUM(H28:L28)</f>
        <v>0</v>
      </c>
    </row>
  </sheetData>
  <sheetProtection/>
  <mergeCells count="24">
    <mergeCell ref="G10:H11"/>
    <mergeCell ref="I10:J11"/>
    <mergeCell ref="K10:L10"/>
    <mergeCell ref="M10:M13"/>
    <mergeCell ref="K11:L11"/>
    <mergeCell ref="H12:H13"/>
    <mergeCell ref="J12:J13"/>
    <mergeCell ref="L12:L13"/>
    <mergeCell ref="A10:A13"/>
    <mergeCell ref="B10:B13"/>
    <mergeCell ref="C10:C13"/>
    <mergeCell ref="D10:F11"/>
    <mergeCell ref="D12:D13"/>
    <mergeCell ref="E12:E13"/>
    <mergeCell ref="F12:F13"/>
    <mergeCell ref="A6:M6"/>
    <mergeCell ref="B7:D7"/>
    <mergeCell ref="F7:I7"/>
    <mergeCell ref="B8:C8"/>
    <mergeCell ref="F8:I8"/>
    <mergeCell ref="A1:M1"/>
    <mergeCell ref="A3:M3"/>
    <mergeCell ref="A4:M4"/>
    <mergeCell ref="A5:M5"/>
  </mergeCells>
  <printOptions/>
  <pageMargins left="0.5905511811023623" right="0" top="0.5905511811023623" bottom="0.3937007874015748" header="0.5118110236220472" footer="0.5118110236220472"/>
  <pageSetup horizontalDpi="300" verticalDpi="3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28"/>
  <sheetViews>
    <sheetView view="pageBreakPreview" zoomScale="85" zoomScaleSheetLayoutView="85" zoomScalePageLayoutView="0" workbookViewId="0" topLeftCell="A1">
      <selection activeCell="B8" sqref="B8:C8"/>
    </sheetView>
  </sheetViews>
  <sheetFormatPr defaultColWidth="9.00390625" defaultRowHeight="12.75"/>
  <cols>
    <col min="1" max="1" width="3.8515625" style="1" customWidth="1"/>
    <col min="2" max="2" width="9.7109375" style="2" customWidth="1"/>
    <col min="3" max="3" width="30.7109375" style="2" customWidth="1"/>
    <col min="4" max="4" width="8.28125" style="12" customWidth="1"/>
    <col min="5" max="5" width="9.00390625" style="12" customWidth="1"/>
    <col min="6" max="6" width="9.140625" style="12" customWidth="1"/>
    <col min="7" max="7" width="9.7109375" style="12" customWidth="1"/>
    <col min="8" max="8" width="10.28125" style="12" customWidth="1"/>
    <col min="9" max="9" width="10.00390625" style="12" customWidth="1"/>
    <col min="10" max="10" width="10.28125" style="12" customWidth="1"/>
    <col min="11" max="11" width="8.8515625" style="12" customWidth="1"/>
    <col min="12" max="12" width="10.421875" style="12" customWidth="1"/>
    <col min="13" max="13" width="12.28125" style="12" customWidth="1"/>
    <col min="14" max="16384" width="9.00390625" style="17" customWidth="1"/>
  </cols>
  <sheetData>
    <row r="1" spans="1:14" ht="24" customHeight="1">
      <c r="A1" s="668" t="s">
        <v>165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56"/>
    </row>
    <row r="2" spans="1:14" ht="1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56"/>
    </row>
    <row r="3" spans="1:13" ht="15.75">
      <c r="A3" s="669" t="s">
        <v>285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</row>
    <row r="4" spans="1:13" ht="15.75">
      <c r="A4" s="669"/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</row>
    <row r="5" spans="1:13" ht="15.75">
      <c r="A5" s="670" t="s">
        <v>286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</row>
    <row r="6" spans="1:13" ht="15.75">
      <c r="A6" s="671"/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</row>
    <row r="7" spans="1:13" ht="15" customHeight="1">
      <c r="A7" s="2"/>
      <c r="B7" s="654"/>
      <c r="C7" s="654"/>
      <c r="D7" s="672"/>
      <c r="E7" s="3"/>
      <c r="F7" s="655" t="s">
        <v>1</v>
      </c>
      <c r="G7" s="655"/>
      <c r="H7" s="655"/>
      <c r="I7" s="655"/>
      <c r="J7" s="3">
        <f>M28/1000</f>
        <v>0</v>
      </c>
      <c r="K7" s="3" t="s">
        <v>0</v>
      </c>
      <c r="L7" s="3"/>
      <c r="M7" s="3"/>
    </row>
    <row r="8" spans="1:13" ht="15.75">
      <c r="A8" s="2"/>
      <c r="B8" s="654"/>
      <c r="C8" s="654"/>
      <c r="D8" s="3"/>
      <c r="E8" s="3"/>
      <c r="F8" s="655"/>
      <c r="G8" s="655"/>
      <c r="H8" s="655"/>
      <c r="I8" s="655"/>
      <c r="J8" s="3"/>
      <c r="K8" s="3"/>
      <c r="L8" s="3"/>
      <c r="M8" s="3"/>
    </row>
    <row r="9" spans="1:13" ht="15.75">
      <c r="A9" s="2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 customHeight="1">
      <c r="A10" s="656" t="s">
        <v>2</v>
      </c>
      <c r="B10" s="659" t="s">
        <v>3</v>
      </c>
      <c r="C10" s="662" t="s">
        <v>27</v>
      </c>
      <c r="D10" s="641" t="s">
        <v>4</v>
      </c>
      <c r="E10" s="665"/>
      <c r="F10" s="646"/>
      <c r="G10" s="641" t="s">
        <v>5</v>
      </c>
      <c r="H10" s="645"/>
      <c r="I10" s="641" t="s">
        <v>6</v>
      </c>
      <c r="J10" s="642"/>
      <c r="K10" s="641" t="s">
        <v>7</v>
      </c>
      <c r="L10" s="645"/>
      <c r="M10" s="646" t="s">
        <v>8</v>
      </c>
    </row>
    <row r="11" spans="1:13" ht="22.5" customHeight="1">
      <c r="A11" s="657"/>
      <c r="B11" s="660"/>
      <c r="C11" s="663"/>
      <c r="D11" s="650"/>
      <c r="E11" s="666"/>
      <c r="F11" s="667"/>
      <c r="G11" s="643"/>
      <c r="H11" s="651"/>
      <c r="I11" s="643"/>
      <c r="J11" s="644"/>
      <c r="K11" s="650" t="s">
        <v>9</v>
      </c>
      <c r="L11" s="651"/>
      <c r="M11" s="647"/>
    </row>
    <row r="12" spans="1:13" ht="15.75">
      <c r="A12" s="657"/>
      <c r="B12" s="660"/>
      <c r="C12" s="663"/>
      <c r="D12" s="652" t="s">
        <v>10</v>
      </c>
      <c r="E12" s="652" t="s">
        <v>11</v>
      </c>
      <c r="F12" s="652" t="s">
        <v>12</v>
      </c>
      <c r="G12" s="4" t="s">
        <v>11</v>
      </c>
      <c r="H12" s="652" t="s">
        <v>12</v>
      </c>
      <c r="I12" s="4" t="s">
        <v>11</v>
      </c>
      <c r="J12" s="652" t="s">
        <v>12</v>
      </c>
      <c r="K12" s="4" t="s">
        <v>11</v>
      </c>
      <c r="L12" s="652" t="s">
        <v>12</v>
      </c>
      <c r="M12" s="648"/>
    </row>
    <row r="13" spans="1:13" ht="15.75">
      <c r="A13" s="658"/>
      <c r="B13" s="661"/>
      <c r="C13" s="664"/>
      <c r="D13" s="653"/>
      <c r="E13" s="653"/>
      <c r="F13" s="653"/>
      <c r="G13" s="5" t="s">
        <v>13</v>
      </c>
      <c r="H13" s="653"/>
      <c r="I13" s="5" t="s">
        <v>13</v>
      </c>
      <c r="J13" s="653"/>
      <c r="K13" s="5" t="s">
        <v>13</v>
      </c>
      <c r="L13" s="653"/>
      <c r="M13" s="649"/>
    </row>
    <row r="14" spans="1:13" ht="15.75">
      <c r="A14" s="6" t="s">
        <v>14</v>
      </c>
      <c r="B14" s="13" t="s">
        <v>15</v>
      </c>
      <c r="C14" s="7" t="s">
        <v>16</v>
      </c>
      <c r="D14" s="9" t="s">
        <v>17</v>
      </c>
      <c r="E14" s="9" t="s">
        <v>18</v>
      </c>
      <c r="F14" s="10" t="s">
        <v>19</v>
      </c>
      <c r="G14" s="11" t="s">
        <v>20</v>
      </c>
      <c r="H14" s="8" t="s">
        <v>21</v>
      </c>
      <c r="I14" s="9" t="s">
        <v>22</v>
      </c>
      <c r="J14" s="11" t="s">
        <v>23</v>
      </c>
      <c r="K14" s="9" t="s">
        <v>24</v>
      </c>
      <c r="L14" s="8" t="s">
        <v>25</v>
      </c>
      <c r="M14" s="9" t="s">
        <v>26</v>
      </c>
    </row>
    <row r="15" spans="1:13" ht="63">
      <c r="A15" s="58"/>
      <c r="B15" s="89" t="s">
        <v>287</v>
      </c>
      <c r="C15" s="114" t="s">
        <v>291</v>
      </c>
      <c r="D15" s="58" t="s">
        <v>157</v>
      </c>
      <c r="E15" s="88"/>
      <c r="F15" s="90">
        <v>30</v>
      </c>
      <c r="G15" s="60"/>
      <c r="H15" s="59"/>
      <c r="I15" s="4"/>
      <c r="J15" s="60"/>
      <c r="K15" s="4"/>
      <c r="L15" s="59"/>
      <c r="M15" s="4"/>
    </row>
    <row r="16" spans="1:13" ht="31.5">
      <c r="A16" s="58"/>
      <c r="B16" s="89"/>
      <c r="C16" s="21" t="s">
        <v>29</v>
      </c>
      <c r="D16" s="14" t="s">
        <v>30</v>
      </c>
      <c r="E16" s="88">
        <v>0.858</v>
      </c>
      <c r="F16" s="77">
        <f>E16*F15</f>
        <v>25.74</v>
      </c>
      <c r="G16" s="60"/>
      <c r="H16" s="59">
        <f>F16*G16</f>
        <v>0</v>
      </c>
      <c r="I16" s="4"/>
      <c r="J16" s="60"/>
      <c r="K16" s="4"/>
      <c r="L16" s="59"/>
      <c r="M16" s="4">
        <f>H16</f>
        <v>0</v>
      </c>
    </row>
    <row r="17" spans="1:13" ht="31.5">
      <c r="A17" s="58"/>
      <c r="B17" s="15" t="s">
        <v>272</v>
      </c>
      <c r="C17" s="114" t="s">
        <v>288</v>
      </c>
      <c r="D17" s="108" t="s">
        <v>31</v>
      </c>
      <c r="E17" s="149">
        <f>5.79/100</f>
        <v>0.0579</v>
      </c>
      <c r="F17" s="77">
        <f>E17*F15</f>
        <v>1.737</v>
      </c>
      <c r="G17" s="60"/>
      <c r="H17" s="59"/>
      <c r="I17" s="4"/>
      <c r="J17" s="60"/>
      <c r="K17" s="4"/>
      <c r="L17" s="59">
        <f>F17*K17</f>
        <v>0</v>
      </c>
      <c r="M17" s="4">
        <f>L17</f>
        <v>0</v>
      </c>
    </row>
    <row r="18" spans="1:13" ht="31.5">
      <c r="A18" s="58"/>
      <c r="B18" s="107"/>
      <c r="C18" s="25" t="s">
        <v>32</v>
      </c>
      <c r="D18" s="108" t="s">
        <v>30</v>
      </c>
      <c r="E18" s="88"/>
      <c r="F18" s="77">
        <f>F17</f>
        <v>1.737</v>
      </c>
      <c r="G18" s="60"/>
      <c r="H18" s="59">
        <f>F18*G18</f>
        <v>0</v>
      </c>
      <c r="I18" s="4"/>
      <c r="J18" s="60"/>
      <c r="K18" s="4"/>
      <c r="L18" s="59"/>
      <c r="M18" s="4">
        <f>H18</f>
        <v>0</v>
      </c>
    </row>
    <row r="19" spans="1:13" ht="31.5">
      <c r="A19" s="58"/>
      <c r="B19" s="15" t="s">
        <v>274</v>
      </c>
      <c r="C19" s="114" t="s">
        <v>72</v>
      </c>
      <c r="D19" s="108" t="s">
        <v>31</v>
      </c>
      <c r="E19" s="88">
        <f>9.9/100</f>
        <v>0.099</v>
      </c>
      <c r="F19" s="77">
        <f>E19*F15</f>
        <v>2.97</v>
      </c>
      <c r="G19" s="60"/>
      <c r="H19" s="59"/>
      <c r="I19" s="4"/>
      <c r="J19" s="60"/>
      <c r="K19" s="4"/>
      <c r="L19" s="59">
        <f>F19*K19</f>
        <v>0</v>
      </c>
      <c r="M19" s="4">
        <f>L19</f>
        <v>0</v>
      </c>
    </row>
    <row r="20" spans="1:13" ht="31.5">
      <c r="A20" s="58"/>
      <c r="B20" s="89"/>
      <c r="C20" s="25" t="s">
        <v>32</v>
      </c>
      <c r="D20" s="108" t="s">
        <v>30</v>
      </c>
      <c r="E20" s="88"/>
      <c r="F20" s="77">
        <f>F19</f>
        <v>2.97</v>
      </c>
      <c r="G20" s="60"/>
      <c r="H20" s="59">
        <f>F20*G20</f>
        <v>0</v>
      </c>
      <c r="I20" s="4"/>
      <c r="J20" s="60"/>
      <c r="K20" s="4"/>
      <c r="L20" s="59"/>
      <c r="M20" s="4">
        <f>H20</f>
        <v>0</v>
      </c>
    </row>
    <row r="21" spans="1:13" ht="15.75">
      <c r="A21" s="58"/>
      <c r="B21" s="89"/>
      <c r="C21" s="114" t="s">
        <v>39</v>
      </c>
      <c r="D21" s="58" t="s">
        <v>34</v>
      </c>
      <c r="E21" s="149">
        <f>2.79/100</f>
        <v>0.0279</v>
      </c>
      <c r="F21" s="77">
        <f>E21*F15</f>
        <v>0.8370000000000001</v>
      </c>
      <c r="G21" s="60"/>
      <c r="H21" s="59"/>
      <c r="I21" s="4"/>
      <c r="J21" s="60"/>
      <c r="K21" s="4"/>
      <c r="L21" s="59">
        <f>F21*K21</f>
        <v>0</v>
      </c>
      <c r="M21" s="4">
        <f>L21</f>
        <v>0</v>
      </c>
    </row>
    <row r="22" spans="1:13" ht="31.5">
      <c r="A22" s="58"/>
      <c r="B22" s="89" t="s">
        <v>289</v>
      </c>
      <c r="C22" s="145" t="s">
        <v>290</v>
      </c>
      <c r="D22" s="58" t="s">
        <v>157</v>
      </c>
      <c r="E22" s="150" t="s">
        <v>68</v>
      </c>
      <c r="F22" s="77">
        <f>F15</f>
        <v>30</v>
      </c>
      <c r="G22" s="60"/>
      <c r="H22" s="59"/>
      <c r="I22" s="4"/>
      <c r="J22" s="60">
        <f>F22*I22</f>
        <v>0</v>
      </c>
      <c r="K22" s="4"/>
      <c r="L22" s="59"/>
      <c r="M22" s="4">
        <f>J22</f>
        <v>0</v>
      </c>
    </row>
    <row r="23" spans="1:13" ht="15.75">
      <c r="A23" s="69"/>
      <c r="B23" s="155"/>
      <c r="C23" s="168" t="s">
        <v>40</v>
      </c>
      <c r="D23" s="69" t="s">
        <v>34</v>
      </c>
      <c r="E23" s="115">
        <v>0.614</v>
      </c>
      <c r="F23" s="71">
        <f>E23*F15</f>
        <v>18.419999999999998</v>
      </c>
      <c r="G23" s="72"/>
      <c r="H23" s="70"/>
      <c r="I23" s="5"/>
      <c r="J23" s="72">
        <f>F23*I23</f>
        <v>0</v>
      </c>
      <c r="K23" s="5"/>
      <c r="L23" s="70"/>
      <c r="M23" s="5">
        <f>J23</f>
        <v>0</v>
      </c>
    </row>
    <row r="24" spans="1:13" ht="15.75">
      <c r="A24" s="37"/>
      <c r="B24" s="15"/>
      <c r="C24" s="31" t="s">
        <v>12</v>
      </c>
      <c r="D24" s="27" t="s">
        <v>34</v>
      </c>
      <c r="E24" s="14"/>
      <c r="F24" s="14"/>
      <c r="G24" s="14"/>
      <c r="H24" s="14">
        <f>SUM(H15:H23)</f>
        <v>0</v>
      </c>
      <c r="I24" s="14"/>
      <c r="J24" s="14">
        <f>SUM(J15:J23)</f>
        <v>0</v>
      </c>
      <c r="K24" s="18"/>
      <c r="L24" s="14">
        <f>SUM(L16:L23)</f>
        <v>0</v>
      </c>
      <c r="M24" s="14">
        <f>SUM(M16:M23)</f>
        <v>0</v>
      </c>
    </row>
    <row r="25" spans="1:13" ht="15.75">
      <c r="A25" s="26"/>
      <c r="B25" s="25"/>
      <c r="C25" s="26" t="s">
        <v>326</v>
      </c>
      <c r="D25" s="27" t="s">
        <v>34</v>
      </c>
      <c r="E25" s="28"/>
      <c r="F25" s="29"/>
      <c r="G25" s="30"/>
      <c r="H25" s="28">
        <f>E25*H24</f>
        <v>0</v>
      </c>
      <c r="I25" s="28"/>
      <c r="J25" s="28">
        <f>E25*J24</f>
        <v>0</v>
      </c>
      <c r="K25" s="28"/>
      <c r="L25" s="28">
        <f>E25*L24</f>
        <v>0</v>
      </c>
      <c r="M25" s="28">
        <f>SUM(H25:L25)</f>
        <v>0</v>
      </c>
    </row>
    <row r="26" spans="1:13" ht="15.75">
      <c r="A26" s="31"/>
      <c r="B26" s="25"/>
      <c r="C26" s="31" t="s">
        <v>12</v>
      </c>
      <c r="D26" s="27" t="s">
        <v>34</v>
      </c>
      <c r="E26" s="32"/>
      <c r="F26" s="31"/>
      <c r="G26" s="31"/>
      <c r="H26" s="32">
        <f>SUM(H24:H25)</f>
        <v>0</v>
      </c>
      <c r="I26" s="32"/>
      <c r="J26" s="32">
        <f>SUM(J24:J25)</f>
        <v>0</v>
      </c>
      <c r="K26" s="32"/>
      <c r="L26" s="32">
        <f>SUM(L24:L25)</f>
        <v>0</v>
      </c>
      <c r="M26" s="32">
        <f>SUM(H26:L26)</f>
        <v>0</v>
      </c>
    </row>
    <row r="27" spans="1:13" ht="15.75">
      <c r="A27" s="26"/>
      <c r="B27" s="25"/>
      <c r="C27" s="25" t="s">
        <v>328</v>
      </c>
      <c r="D27" s="27" t="s">
        <v>34</v>
      </c>
      <c r="E27" s="28"/>
      <c r="F27" s="33"/>
      <c r="G27" s="28"/>
      <c r="H27" s="28">
        <f>E27*H26</f>
        <v>0</v>
      </c>
      <c r="I27" s="28"/>
      <c r="J27" s="28">
        <f>E27*J26</f>
        <v>0</v>
      </c>
      <c r="K27" s="28"/>
      <c r="L27" s="28">
        <f>E27*L26</f>
        <v>0</v>
      </c>
      <c r="M27" s="28">
        <f>SUM(H27:L27)</f>
        <v>0</v>
      </c>
    </row>
    <row r="28" spans="1:13" ht="15.75">
      <c r="A28" s="34"/>
      <c r="B28" s="55"/>
      <c r="C28" s="34" t="s">
        <v>12</v>
      </c>
      <c r="D28" s="35" t="s">
        <v>34</v>
      </c>
      <c r="E28" s="34"/>
      <c r="F28" s="34"/>
      <c r="G28" s="34"/>
      <c r="H28" s="36">
        <f>SUM(H26:H27)</f>
        <v>0</v>
      </c>
      <c r="I28" s="36"/>
      <c r="J28" s="36">
        <f>SUM(J26:J27)</f>
        <v>0</v>
      </c>
      <c r="K28" s="36"/>
      <c r="L28" s="36">
        <f>SUM(L26:L27)</f>
        <v>0</v>
      </c>
      <c r="M28" s="36">
        <f>SUM(H28:L28)</f>
        <v>0</v>
      </c>
    </row>
  </sheetData>
  <sheetProtection/>
  <mergeCells count="24">
    <mergeCell ref="G10:H11"/>
    <mergeCell ref="I10:J11"/>
    <mergeCell ref="K10:L10"/>
    <mergeCell ref="M10:M13"/>
    <mergeCell ref="K11:L11"/>
    <mergeCell ref="H12:H13"/>
    <mergeCell ref="J12:J13"/>
    <mergeCell ref="L12:L13"/>
    <mergeCell ref="A10:A13"/>
    <mergeCell ref="B10:B13"/>
    <mergeCell ref="C10:C13"/>
    <mergeCell ref="D10:F11"/>
    <mergeCell ref="D12:D13"/>
    <mergeCell ref="E12:E13"/>
    <mergeCell ref="F12:F13"/>
    <mergeCell ref="A6:M6"/>
    <mergeCell ref="B7:D7"/>
    <mergeCell ref="F7:I7"/>
    <mergeCell ref="B8:C8"/>
    <mergeCell ref="F8:I8"/>
    <mergeCell ref="A1:M1"/>
    <mergeCell ref="A3:M3"/>
    <mergeCell ref="A4:M4"/>
    <mergeCell ref="A5:M5"/>
  </mergeCells>
  <printOptions/>
  <pageMargins left="0.5905511811023623" right="0" top="0.5905511811023623" bottom="0.3937007874015748" header="0.5118110236220472" footer="0.5118110236220472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78"/>
  <sheetViews>
    <sheetView view="pageBreakPreview" zoomScale="85" zoomScaleSheetLayoutView="85" zoomScalePageLayoutView="0" workbookViewId="0" topLeftCell="A1">
      <selection activeCell="B8" sqref="B8:C8"/>
    </sheetView>
  </sheetViews>
  <sheetFormatPr defaultColWidth="9.00390625" defaultRowHeight="12.75"/>
  <cols>
    <col min="1" max="1" width="3.8515625" style="430" customWidth="1"/>
    <col min="2" max="2" width="9.7109375" style="431" customWidth="1"/>
    <col min="3" max="3" width="30.7109375" style="431" customWidth="1"/>
    <col min="4" max="4" width="8.28125" style="433" customWidth="1"/>
    <col min="5" max="5" width="9.00390625" style="433" customWidth="1"/>
    <col min="6" max="6" width="12.57421875" style="433" customWidth="1"/>
    <col min="7" max="7" width="9.7109375" style="433" customWidth="1"/>
    <col min="8" max="8" width="10.28125" style="433" customWidth="1"/>
    <col min="9" max="9" width="10.00390625" style="433" customWidth="1"/>
    <col min="10" max="10" width="10.28125" style="433" customWidth="1"/>
    <col min="11" max="11" width="8.8515625" style="433" customWidth="1"/>
    <col min="12" max="12" width="10.421875" style="433" customWidth="1"/>
    <col min="13" max="13" width="12.28125" style="433" customWidth="1"/>
    <col min="14" max="16384" width="9.00390625" style="356" customWidth="1"/>
  </cols>
  <sheetData>
    <row r="1" spans="1:14" ht="30" customHeight="1">
      <c r="A1" s="613" t="s">
        <v>165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217"/>
    </row>
    <row r="2" spans="1:14" ht="16.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</row>
    <row r="3" spans="1:14" ht="15.75">
      <c r="A3" s="618" t="s">
        <v>65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218"/>
    </row>
    <row r="4" spans="1:14" ht="15.75">
      <c r="A4" s="618"/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218"/>
    </row>
    <row r="5" spans="1:14" ht="15.75">
      <c r="A5" s="619" t="s">
        <v>87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218"/>
    </row>
    <row r="6" spans="1:14" ht="15.75">
      <c r="A6" s="614"/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218"/>
    </row>
    <row r="7" spans="1:14" ht="15" customHeight="1">
      <c r="A7" s="220"/>
      <c r="B7" s="615"/>
      <c r="C7" s="615"/>
      <c r="D7" s="616"/>
      <c r="E7" s="221"/>
      <c r="F7" s="617" t="s">
        <v>1</v>
      </c>
      <c r="G7" s="617"/>
      <c r="H7" s="617"/>
      <c r="I7" s="617"/>
      <c r="J7" s="221">
        <f>M75/1000</f>
        <v>0</v>
      </c>
      <c r="K7" s="221" t="s">
        <v>0</v>
      </c>
      <c r="L7" s="221"/>
      <c r="M7" s="221"/>
      <c r="N7" s="218"/>
    </row>
    <row r="8" spans="1:14" ht="15.75">
      <c r="A8" s="220"/>
      <c r="B8" s="615"/>
      <c r="C8" s="615"/>
      <c r="D8" s="221"/>
      <c r="E8" s="221"/>
      <c r="F8" s="617"/>
      <c r="G8" s="617"/>
      <c r="H8" s="617"/>
      <c r="I8" s="617"/>
      <c r="J8" s="221"/>
      <c r="K8" s="221"/>
      <c r="L8" s="221"/>
      <c r="M8" s="221"/>
      <c r="N8" s="218"/>
    </row>
    <row r="9" spans="1:14" ht="15.75">
      <c r="A9" s="220"/>
      <c r="B9" s="220"/>
      <c r="C9" s="220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18"/>
    </row>
    <row r="10" spans="1:14" ht="15" customHeight="1">
      <c r="A10" s="620" t="s">
        <v>2</v>
      </c>
      <c r="B10" s="621" t="s">
        <v>3</v>
      </c>
      <c r="C10" s="591" t="s">
        <v>27</v>
      </c>
      <c r="D10" s="624" t="s">
        <v>4</v>
      </c>
      <c r="E10" s="625"/>
      <c r="F10" s="626"/>
      <c r="G10" s="624" t="s">
        <v>5</v>
      </c>
      <c r="H10" s="632"/>
      <c r="I10" s="624" t="s">
        <v>6</v>
      </c>
      <c r="J10" s="635"/>
      <c r="K10" s="624" t="s">
        <v>7</v>
      </c>
      <c r="L10" s="632"/>
      <c r="M10" s="626" t="s">
        <v>8</v>
      </c>
      <c r="N10" s="218"/>
    </row>
    <row r="11" spans="1:14" ht="22.5" customHeight="1">
      <c r="A11" s="595"/>
      <c r="B11" s="622"/>
      <c r="C11" s="592"/>
      <c r="D11" s="627"/>
      <c r="E11" s="628"/>
      <c r="F11" s="629"/>
      <c r="G11" s="633"/>
      <c r="H11" s="634"/>
      <c r="I11" s="633"/>
      <c r="J11" s="636"/>
      <c r="K11" s="627" t="s">
        <v>9</v>
      </c>
      <c r="L11" s="634"/>
      <c r="M11" s="637"/>
      <c r="N11" s="218"/>
    </row>
    <row r="12" spans="1:14" ht="15.75">
      <c r="A12" s="595"/>
      <c r="B12" s="622"/>
      <c r="C12" s="592"/>
      <c r="D12" s="630" t="s">
        <v>10</v>
      </c>
      <c r="E12" s="630" t="s">
        <v>11</v>
      </c>
      <c r="F12" s="630" t="s">
        <v>12</v>
      </c>
      <c r="G12" s="232" t="s">
        <v>11</v>
      </c>
      <c r="H12" s="630" t="s">
        <v>12</v>
      </c>
      <c r="I12" s="232" t="s">
        <v>11</v>
      </c>
      <c r="J12" s="630" t="s">
        <v>12</v>
      </c>
      <c r="K12" s="232" t="s">
        <v>11</v>
      </c>
      <c r="L12" s="630" t="s">
        <v>12</v>
      </c>
      <c r="M12" s="638"/>
      <c r="N12" s="218"/>
    </row>
    <row r="13" spans="1:14" ht="15.75">
      <c r="A13" s="596"/>
      <c r="B13" s="623"/>
      <c r="C13" s="593"/>
      <c r="D13" s="631"/>
      <c r="E13" s="631"/>
      <c r="F13" s="631"/>
      <c r="G13" s="235" t="s">
        <v>13</v>
      </c>
      <c r="H13" s="631"/>
      <c r="I13" s="235" t="s">
        <v>13</v>
      </c>
      <c r="J13" s="631"/>
      <c r="K13" s="235" t="s">
        <v>13</v>
      </c>
      <c r="L13" s="631"/>
      <c r="M13" s="639"/>
      <c r="N13" s="218"/>
    </row>
    <row r="14" spans="1:14" ht="15.75">
      <c r="A14" s="237" t="s">
        <v>14</v>
      </c>
      <c r="B14" s="238" t="s">
        <v>15</v>
      </c>
      <c r="C14" s="239" t="s">
        <v>16</v>
      </c>
      <c r="D14" s="243" t="s">
        <v>17</v>
      </c>
      <c r="E14" s="240" t="s">
        <v>18</v>
      </c>
      <c r="F14" s="241" t="s">
        <v>19</v>
      </c>
      <c r="G14" s="242" t="s">
        <v>20</v>
      </c>
      <c r="H14" s="243" t="s">
        <v>21</v>
      </c>
      <c r="I14" s="240" t="s">
        <v>22</v>
      </c>
      <c r="J14" s="242" t="s">
        <v>23</v>
      </c>
      <c r="K14" s="240" t="s">
        <v>24</v>
      </c>
      <c r="L14" s="243" t="s">
        <v>25</v>
      </c>
      <c r="M14" s="240" t="s">
        <v>26</v>
      </c>
      <c r="N14" s="218"/>
    </row>
    <row r="15" spans="1:14" ht="18" customHeight="1">
      <c r="A15" s="237"/>
      <c r="B15" s="238"/>
      <c r="C15" s="357" t="s">
        <v>106</v>
      </c>
      <c r="D15" s="243"/>
      <c r="E15" s="240"/>
      <c r="F15" s="241"/>
      <c r="G15" s="242"/>
      <c r="H15" s="243"/>
      <c r="I15" s="240"/>
      <c r="J15" s="242"/>
      <c r="K15" s="240"/>
      <c r="L15" s="243"/>
      <c r="M15" s="240"/>
      <c r="N15" s="218"/>
    </row>
    <row r="16" spans="1:14" ht="47.25">
      <c r="A16" s="245" t="s">
        <v>64</v>
      </c>
      <c r="B16" s="358" t="s">
        <v>99</v>
      </c>
      <c r="C16" s="250" t="s">
        <v>98</v>
      </c>
      <c r="D16" s="247" t="s">
        <v>315</v>
      </c>
      <c r="E16" s="233"/>
      <c r="F16" s="292">
        <v>127.56</v>
      </c>
      <c r="G16" s="251"/>
      <c r="H16" s="251"/>
      <c r="I16" s="252"/>
      <c r="J16" s="252"/>
      <c r="K16" s="252"/>
      <c r="L16" s="252"/>
      <c r="M16" s="252"/>
      <c r="N16" s="218"/>
    </row>
    <row r="17" spans="1:14" ht="31.5">
      <c r="A17" s="359"/>
      <c r="B17" s="287"/>
      <c r="C17" s="360" t="s">
        <v>29</v>
      </c>
      <c r="D17" s="251" t="s">
        <v>30</v>
      </c>
      <c r="E17" s="361">
        <f>13.2/1000</f>
        <v>0.0132</v>
      </c>
      <c r="F17" s="251">
        <f>E17*F16</f>
        <v>1.683792</v>
      </c>
      <c r="G17" s="251"/>
      <c r="H17" s="251">
        <f>F17*G17</f>
        <v>0</v>
      </c>
      <c r="I17" s="252"/>
      <c r="J17" s="252"/>
      <c r="K17" s="252"/>
      <c r="L17" s="252"/>
      <c r="M17" s="252">
        <f>H17</f>
        <v>0</v>
      </c>
      <c r="N17" s="218"/>
    </row>
    <row r="18" spans="1:14" ht="15.75">
      <c r="A18" s="362"/>
      <c r="B18" s="245"/>
      <c r="C18" s="360" t="s">
        <v>100</v>
      </c>
      <c r="D18" s="251" t="s">
        <v>31</v>
      </c>
      <c r="E18" s="361">
        <f>29.7/1000</f>
        <v>0.0297</v>
      </c>
      <c r="F18" s="251">
        <f>E18*F16</f>
        <v>3.788532</v>
      </c>
      <c r="G18" s="251"/>
      <c r="H18" s="251"/>
      <c r="I18" s="252"/>
      <c r="J18" s="253"/>
      <c r="K18" s="233"/>
      <c r="L18" s="254">
        <f>F18*K18</f>
        <v>0</v>
      </c>
      <c r="M18" s="252">
        <f>L18</f>
        <v>0</v>
      </c>
      <c r="N18" s="218"/>
    </row>
    <row r="19" spans="1:14" ht="31.5">
      <c r="A19" s="363"/>
      <c r="B19" s="364"/>
      <c r="C19" s="365" t="s">
        <v>32</v>
      </c>
      <c r="D19" s="366" t="s">
        <v>30</v>
      </c>
      <c r="E19" s="366"/>
      <c r="F19" s="366">
        <f>F18</f>
        <v>3.788532</v>
      </c>
      <c r="G19" s="366"/>
      <c r="H19" s="366">
        <f>F19*G19</f>
        <v>0</v>
      </c>
      <c r="I19" s="367"/>
      <c r="J19" s="368"/>
      <c r="K19" s="367"/>
      <c r="L19" s="369"/>
      <c r="M19" s="367">
        <f>H19</f>
        <v>0</v>
      </c>
      <c r="N19" s="218"/>
    </row>
    <row r="20" spans="1:14" ht="106.5" customHeight="1">
      <c r="A20" s="244">
        <v>2</v>
      </c>
      <c r="B20" s="245" t="s">
        <v>231</v>
      </c>
      <c r="C20" s="370" t="s">
        <v>292</v>
      </c>
      <c r="D20" s="263" t="s">
        <v>315</v>
      </c>
      <c r="E20" s="232"/>
      <c r="F20" s="248">
        <f>F16</f>
        <v>127.56</v>
      </c>
      <c r="G20" s="249"/>
      <c r="H20" s="247"/>
      <c r="I20" s="232"/>
      <c r="J20" s="249"/>
      <c r="K20" s="232"/>
      <c r="L20" s="247"/>
      <c r="M20" s="232"/>
      <c r="N20" s="218"/>
    </row>
    <row r="21" spans="1:14" ht="31.5">
      <c r="A21" s="245"/>
      <c r="B21" s="245"/>
      <c r="C21" s="250" t="s">
        <v>29</v>
      </c>
      <c r="D21" s="233" t="s">
        <v>30</v>
      </c>
      <c r="E21" s="371">
        <f>15.5/1000</f>
        <v>0.0155</v>
      </c>
      <c r="F21" s="372">
        <f>E21*F20</f>
        <v>1.97718</v>
      </c>
      <c r="G21" s="373"/>
      <c r="H21" s="373">
        <f>F21*G21</f>
        <v>0</v>
      </c>
      <c r="I21" s="374"/>
      <c r="J21" s="374"/>
      <c r="K21" s="374"/>
      <c r="L21" s="374"/>
      <c r="M21" s="374">
        <f>H21</f>
        <v>0</v>
      </c>
      <c r="N21" s="218"/>
    </row>
    <row r="22" spans="1:14" ht="15.75">
      <c r="A22" s="245"/>
      <c r="B22" s="245"/>
      <c r="C22" s="250" t="s">
        <v>100</v>
      </c>
      <c r="D22" s="233" t="s">
        <v>31</v>
      </c>
      <c r="E22" s="371">
        <f>34.7/1000</f>
        <v>0.0347</v>
      </c>
      <c r="F22" s="372">
        <f>E22*F20</f>
        <v>4.426332</v>
      </c>
      <c r="G22" s="373"/>
      <c r="H22" s="373"/>
      <c r="I22" s="374"/>
      <c r="J22" s="375"/>
      <c r="K22" s="372"/>
      <c r="L22" s="376">
        <f>F22*K22</f>
        <v>0</v>
      </c>
      <c r="M22" s="374">
        <f>L22</f>
        <v>0</v>
      </c>
      <c r="N22" s="218"/>
    </row>
    <row r="23" spans="1:14" ht="31.5">
      <c r="A23" s="245"/>
      <c r="B23" s="245"/>
      <c r="C23" s="250" t="s">
        <v>32</v>
      </c>
      <c r="D23" s="233" t="s">
        <v>30</v>
      </c>
      <c r="E23" s="372"/>
      <c r="F23" s="377">
        <f>F22</f>
        <v>4.426332</v>
      </c>
      <c r="G23" s="373"/>
      <c r="H23" s="373">
        <f>F23*G23</f>
        <v>0</v>
      </c>
      <c r="I23" s="374"/>
      <c r="J23" s="375"/>
      <c r="K23" s="374"/>
      <c r="L23" s="376"/>
      <c r="M23" s="374">
        <f>H23</f>
        <v>0</v>
      </c>
      <c r="N23" s="218"/>
    </row>
    <row r="24" spans="1:14" ht="15.75">
      <c r="A24" s="245"/>
      <c r="B24" s="245"/>
      <c r="C24" s="250" t="s">
        <v>39</v>
      </c>
      <c r="D24" s="233" t="s">
        <v>34</v>
      </c>
      <c r="E24" s="371">
        <f>2.09/1000</f>
        <v>0.00209</v>
      </c>
      <c r="F24" s="377">
        <f>E24*F20</f>
        <v>0.26660039999999996</v>
      </c>
      <c r="G24" s="372"/>
      <c r="H24" s="372"/>
      <c r="I24" s="372"/>
      <c r="J24" s="372"/>
      <c r="K24" s="372"/>
      <c r="L24" s="372">
        <f>F24*K24</f>
        <v>0</v>
      </c>
      <c r="M24" s="372">
        <f>L24</f>
        <v>0</v>
      </c>
      <c r="N24" s="218"/>
    </row>
    <row r="25" spans="1:14" ht="31.5">
      <c r="A25" s="257"/>
      <c r="B25" s="258"/>
      <c r="C25" s="378" t="s">
        <v>248</v>
      </c>
      <c r="D25" s="226" t="s">
        <v>35</v>
      </c>
      <c r="E25" s="235"/>
      <c r="F25" s="228">
        <f>F20*1.95</f>
        <v>248.742</v>
      </c>
      <c r="G25" s="227"/>
      <c r="H25" s="226"/>
      <c r="I25" s="235"/>
      <c r="J25" s="227"/>
      <c r="K25" s="235"/>
      <c r="L25" s="226">
        <f>F25*K25</f>
        <v>0</v>
      </c>
      <c r="M25" s="235">
        <f>L25</f>
        <v>0</v>
      </c>
      <c r="N25" s="218"/>
    </row>
    <row r="26" spans="1:14" ht="78.75">
      <c r="A26" s="245" t="s">
        <v>293</v>
      </c>
      <c r="B26" s="245" t="s">
        <v>101</v>
      </c>
      <c r="C26" s="250" t="s">
        <v>102</v>
      </c>
      <c r="D26" s="275" t="s">
        <v>315</v>
      </c>
      <c r="E26" s="233"/>
      <c r="F26" s="292">
        <f>F20</f>
        <v>127.56</v>
      </c>
      <c r="G26" s="233"/>
      <c r="H26" s="233"/>
      <c r="I26" s="233"/>
      <c r="J26" s="233"/>
      <c r="K26" s="224"/>
      <c r="L26" s="233"/>
      <c r="M26" s="233"/>
      <c r="N26" s="218"/>
    </row>
    <row r="27" spans="1:14" ht="15.75">
      <c r="A27" s="245"/>
      <c r="B27" s="245"/>
      <c r="C27" s="250" t="s">
        <v>103</v>
      </c>
      <c r="D27" s="233" t="s">
        <v>31</v>
      </c>
      <c r="E27" s="269">
        <f>(1.85-0.21*2)/1000</f>
        <v>0.00143</v>
      </c>
      <c r="F27" s="233">
        <f>E27*F26</f>
        <v>0.1824108</v>
      </c>
      <c r="G27" s="233"/>
      <c r="H27" s="233"/>
      <c r="I27" s="233"/>
      <c r="J27" s="233"/>
      <c r="K27" s="233"/>
      <c r="L27" s="233">
        <f>F27*K27</f>
        <v>0</v>
      </c>
      <c r="M27" s="233">
        <f>L27</f>
        <v>0</v>
      </c>
      <c r="N27" s="218"/>
    </row>
    <row r="28" spans="1:14" ht="31.5">
      <c r="A28" s="245"/>
      <c r="B28" s="245"/>
      <c r="C28" s="250" t="s">
        <v>32</v>
      </c>
      <c r="D28" s="233" t="s">
        <v>30</v>
      </c>
      <c r="E28" s="233"/>
      <c r="F28" s="233">
        <f>F27</f>
        <v>0.1824108</v>
      </c>
      <c r="G28" s="233"/>
      <c r="H28" s="233">
        <f>F28*G28</f>
        <v>0</v>
      </c>
      <c r="I28" s="233"/>
      <c r="J28" s="233"/>
      <c r="K28" s="224"/>
      <c r="L28" s="233"/>
      <c r="M28" s="233">
        <f>H28</f>
        <v>0</v>
      </c>
      <c r="N28" s="218"/>
    </row>
    <row r="29" spans="1:14" ht="15.75">
      <c r="A29" s="245"/>
      <c r="B29" s="245"/>
      <c r="C29" s="250" t="s">
        <v>104</v>
      </c>
      <c r="D29" s="233" t="s">
        <v>31</v>
      </c>
      <c r="E29" s="256">
        <f>(10.5-1.02*2)/1000</f>
        <v>0.00846</v>
      </c>
      <c r="F29" s="233">
        <f>E29*F26</f>
        <v>1.0791576</v>
      </c>
      <c r="G29" s="233"/>
      <c r="H29" s="233"/>
      <c r="I29" s="233"/>
      <c r="J29" s="233"/>
      <c r="K29" s="233"/>
      <c r="L29" s="233">
        <f>F29*K29</f>
        <v>0</v>
      </c>
      <c r="M29" s="233">
        <f>L29</f>
        <v>0</v>
      </c>
      <c r="N29" s="218"/>
    </row>
    <row r="30" spans="1:14" ht="31.5">
      <c r="A30" s="245"/>
      <c r="B30" s="245"/>
      <c r="C30" s="250" t="s">
        <v>32</v>
      </c>
      <c r="D30" s="233" t="s">
        <v>30</v>
      </c>
      <c r="E30" s="233"/>
      <c r="F30" s="233">
        <f>F29</f>
        <v>1.0791576</v>
      </c>
      <c r="G30" s="233"/>
      <c r="H30" s="233">
        <f>F30*G30</f>
        <v>0</v>
      </c>
      <c r="I30" s="233"/>
      <c r="J30" s="233"/>
      <c r="K30" s="224"/>
      <c r="L30" s="233"/>
      <c r="M30" s="233">
        <f>H30</f>
        <v>0</v>
      </c>
      <c r="N30" s="218"/>
    </row>
    <row r="31" spans="1:14" ht="15.75">
      <c r="A31" s="245"/>
      <c r="B31" s="245"/>
      <c r="C31" s="250" t="s">
        <v>105</v>
      </c>
      <c r="D31" s="233" t="s">
        <v>31</v>
      </c>
      <c r="E31" s="269">
        <f>(1.85-0.21*2)/1000</f>
        <v>0.00143</v>
      </c>
      <c r="F31" s="233">
        <f>E31*F26</f>
        <v>0.1824108</v>
      </c>
      <c r="G31" s="233"/>
      <c r="H31" s="233"/>
      <c r="I31" s="233"/>
      <c r="J31" s="233"/>
      <c r="K31" s="233"/>
      <c r="L31" s="233">
        <f>F31*K31</f>
        <v>0</v>
      </c>
      <c r="M31" s="233">
        <f>L31</f>
        <v>0</v>
      </c>
      <c r="N31" s="218"/>
    </row>
    <row r="32" spans="1:14" ht="31.5">
      <c r="A32" s="279"/>
      <c r="B32" s="279"/>
      <c r="C32" s="293" t="s">
        <v>32</v>
      </c>
      <c r="D32" s="236" t="s">
        <v>30</v>
      </c>
      <c r="E32" s="236"/>
      <c r="F32" s="236">
        <f>F31</f>
        <v>0.1824108</v>
      </c>
      <c r="G32" s="236"/>
      <c r="H32" s="236">
        <f>F32*G32</f>
        <v>0</v>
      </c>
      <c r="I32" s="236"/>
      <c r="J32" s="236"/>
      <c r="K32" s="234"/>
      <c r="L32" s="236"/>
      <c r="M32" s="236">
        <f>H32</f>
        <v>0</v>
      </c>
      <c r="N32" s="218"/>
    </row>
    <row r="33" spans="1:13" ht="18" customHeight="1">
      <c r="A33" s="379"/>
      <c r="B33" s="380"/>
      <c r="C33" s="381" t="s">
        <v>107</v>
      </c>
      <c r="D33" s="382"/>
      <c r="E33" s="382"/>
      <c r="F33" s="382"/>
      <c r="G33" s="382"/>
      <c r="H33" s="382"/>
      <c r="I33" s="382"/>
      <c r="J33" s="382"/>
      <c r="K33" s="382"/>
      <c r="L33" s="382"/>
      <c r="M33" s="382"/>
    </row>
    <row r="34" spans="1:13" ht="61.5" customHeight="1">
      <c r="A34" s="244">
        <v>4</v>
      </c>
      <c r="B34" s="283" t="s">
        <v>108</v>
      </c>
      <c r="C34" s="250" t="s">
        <v>146</v>
      </c>
      <c r="D34" s="247" t="s">
        <v>315</v>
      </c>
      <c r="E34" s="232"/>
      <c r="F34" s="248">
        <v>3418.94</v>
      </c>
      <c r="G34" s="249"/>
      <c r="H34" s="247"/>
      <c r="I34" s="232"/>
      <c r="J34" s="249"/>
      <c r="K34" s="232"/>
      <c r="L34" s="247"/>
      <c r="M34" s="232"/>
    </row>
    <row r="35" spans="1:13" ht="31.5">
      <c r="A35" s="244"/>
      <c r="B35" s="283"/>
      <c r="C35" s="383" t="s">
        <v>29</v>
      </c>
      <c r="D35" s="233" t="s">
        <v>30</v>
      </c>
      <c r="E35" s="256">
        <v>0.143</v>
      </c>
      <c r="F35" s="233">
        <f>E35*F34</f>
        <v>488.90842</v>
      </c>
      <c r="G35" s="233"/>
      <c r="H35" s="233">
        <f>F35*G35</f>
        <v>0</v>
      </c>
      <c r="I35" s="224"/>
      <c r="J35" s="224"/>
      <c r="K35" s="224"/>
      <c r="L35" s="224"/>
      <c r="M35" s="233">
        <f>H35</f>
        <v>0</v>
      </c>
    </row>
    <row r="36" spans="1:13" ht="31.5">
      <c r="A36" s="245"/>
      <c r="B36" s="245"/>
      <c r="C36" s="383" t="s">
        <v>59</v>
      </c>
      <c r="D36" s="233" t="s">
        <v>31</v>
      </c>
      <c r="E36" s="256">
        <f>2.39/100</f>
        <v>0.0239</v>
      </c>
      <c r="F36" s="233">
        <f>E36*F34</f>
        <v>81.712666</v>
      </c>
      <c r="G36" s="233"/>
      <c r="H36" s="224"/>
      <c r="I36" s="224"/>
      <c r="J36" s="224"/>
      <c r="K36" s="233"/>
      <c r="L36" s="233">
        <f>F36*K36</f>
        <v>0</v>
      </c>
      <c r="M36" s="233">
        <f>L36</f>
        <v>0</v>
      </c>
    </row>
    <row r="37" spans="1:13" ht="31.5">
      <c r="A37" s="245"/>
      <c r="B37" s="245"/>
      <c r="C37" s="383" t="s">
        <v>32</v>
      </c>
      <c r="D37" s="233" t="s">
        <v>30</v>
      </c>
      <c r="E37" s="256"/>
      <c r="F37" s="233">
        <f>F36</f>
        <v>81.712666</v>
      </c>
      <c r="G37" s="233"/>
      <c r="H37" s="233">
        <f>F37*G37</f>
        <v>0</v>
      </c>
      <c r="I37" s="224"/>
      <c r="J37" s="224"/>
      <c r="K37" s="233"/>
      <c r="L37" s="233"/>
      <c r="M37" s="233">
        <f>H37</f>
        <v>0</v>
      </c>
    </row>
    <row r="38" spans="1:13" ht="31.5">
      <c r="A38" s="275"/>
      <c r="B38" s="245"/>
      <c r="C38" s="285" t="s">
        <v>109</v>
      </c>
      <c r="D38" s="233" t="s">
        <v>31</v>
      </c>
      <c r="E38" s="275">
        <f>1.38/100</f>
        <v>0.0138</v>
      </c>
      <c r="F38" s="232">
        <f>E38*F34</f>
        <v>47.181372</v>
      </c>
      <c r="G38" s="232"/>
      <c r="H38" s="232"/>
      <c r="I38" s="232"/>
      <c r="J38" s="232"/>
      <c r="K38" s="232"/>
      <c r="L38" s="232">
        <f>F38*K38</f>
        <v>0</v>
      </c>
      <c r="M38" s="232">
        <f>L38</f>
        <v>0</v>
      </c>
    </row>
    <row r="39" spans="1:13" ht="31.5">
      <c r="A39" s="244"/>
      <c r="B39" s="283"/>
      <c r="C39" s="383" t="s">
        <v>32</v>
      </c>
      <c r="D39" s="233" t="s">
        <v>30</v>
      </c>
      <c r="E39" s="384"/>
      <c r="F39" s="385">
        <f>F38</f>
        <v>47.181372</v>
      </c>
      <c r="G39" s="249"/>
      <c r="H39" s="247">
        <f>F39*G39</f>
        <v>0</v>
      </c>
      <c r="I39" s="232"/>
      <c r="J39" s="249"/>
      <c r="K39" s="232"/>
      <c r="L39" s="247"/>
      <c r="M39" s="232">
        <f>H39</f>
        <v>0</v>
      </c>
    </row>
    <row r="40" spans="1:13" ht="31.5">
      <c r="A40" s="244"/>
      <c r="B40" s="245"/>
      <c r="C40" s="285" t="s">
        <v>110</v>
      </c>
      <c r="D40" s="233" t="s">
        <v>31</v>
      </c>
      <c r="E40" s="275">
        <f>1.38/100</f>
        <v>0.0138</v>
      </c>
      <c r="F40" s="385">
        <f>E40*F34</f>
        <v>47.181372</v>
      </c>
      <c r="G40" s="249"/>
      <c r="H40" s="247"/>
      <c r="I40" s="232"/>
      <c r="J40" s="249"/>
      <c r="K40" s="232"/>
      <c r="L40" s="247">
        <f>F40*K40</f>
        <v>0</v>
      </c>
      <c r="M40" s="232">
        <f>L40</f>
        <v>0</v>
      </c>
    </row>
    <row r="41" spans="1:13" ht="31.5">
      <c r="A41" s="244"/>
      <c r="B41" s="283"/>
      <c r="C41" s="383" t="s">
        <v>32</v>
      </c>
      <c r="D41" s="233" t="s">
        <v>30</v>
      </c>
      <c r="E41" s="384"/>
      <c r="F41" s="385">
        <f>F40</f>
        <v>47.181372</v>
      </c>
      <c r="G41" s="249"/>
      <c r="H41" s="247">
        <f>F41*G41</f>
        <v>0</v>
      </c>
      <c r="I41" s="232"/>
      <c r="J41" s="249"/>
      <c r="K41" s="232"/>
      <c r="L41" s="247"/>
      <c r="M41" s="232">
        <f>H41</f>
        <v>0</v>
      </c>
    </row>
    <row r="42" spans="1:13" ht="15.75">
      <c r="A42" s="244"/>
      <c r="B42" s="283"/>
      <c r="C42" s="285" t="s">
        <v>39</v>
      </c>
      <c r="D42" s="244" t="s">
        <v>34</v>
      </c>
      <c r="E42" s="275">
        <f>1.08/100</f>
        <v>0.0108</v>
      </c>
      <c r="F42" s="385">
        <f>E42*F34</f>
        <v>36.924552000000006</v>
      </c>
      <c r="G42" s="249"/>
      <c r="H42" s="247"/>
      <c r="I42" s="232"/>
      <c r="J42" s="249"/>
      <c r="K42" s="232"/>
      <c r="L42" s="247">
        <f>F42*K42</f>
        <v>0</v>
      </c>
      <c r="M42" s="232">
        <f>L42</f>
        <v>0</v>
      </c>
    </row>
    <row r="43" spans="1:13" ht="63">
      <c r="A43" s="257"/>
      <c r="B43" s="258"/>
      <c r="C43" s="259" t="s">
        <v>111</v>
      </c>
      <c r="D43" s="226" t="s">
        <v>35</v>
      </c>
      <c r="E43" s="235"/>
      <c r="F43" s="228">
        <f>F34*1.8</f>
        <v>6154.092000000001</v>
      </c>
      <c r="G43" s="227"/>
      <c r="H43" s="226"/>
      <c r="I43" s="235"/>
      <c r="J43" s="227"/>
      <c r="K43" s="235"/>
      <c r="L43" s="226">
        <f>F43*K43</f>
        <v>0</v>
      </c>
      <c r="M43" s="235">
        <f>L43</f>
        <v>0</v>
      </c>
    </row>
    <row r="44" spans="1:13" ht="78.75">
      <c r="A44" s="244">
        <v>5</v>
      </c>
      <c r="B44" s="260" t="s">
        <v>112</v>
      </c>
      <c r="C44" s="250" t="s">
        <v>147</v>
      </c>
      <c r="D44" s="247" t="s">
        <v>315</v>
      </c>
      <c r="E44" s="232"/>
      <c r="F44" s="248">
        <v>306.67</v>
      </c>
      <c r="G44" s="249"/>
      <c r="H44" s="247"/>
      <c r="I44" s="232"/>
      <c r="J44" s="249"/>
      <c r="K44" s="232"/>
      <c r="L44" s="247"/>
      <c r="M44" s="232"/>
    </row>
    <row r="45" spans="1:13" ht="31.5">
      <c r="A45" s="245"/>
      <c r="B45" s="245"/>
      <c r="C45" s="250" t="s">
        <v>29</v>
      </c>
      <c r="D45" s="233" t="s">
        <v>30</v>
      </c>
      <c r="E45" s="233">
        <f>2.06+0.87</f>
        <v>2.93</v>
      </c>
      <c r="F45" s="233">
        <f>E45*F44</f>
        <v>898.5431000000001</v>
      </c>
      <c r="G45" s="251"/>
      <c r="H45" s="251">
        <f>F45*G45</f>
        <v>0</v>
      </c>
      <c r="I45" s="252"/>
      <c r="J45" s="252"/>
      <c r="K45" s="252"/>
      <c r="L45" s="252"/>
      <c r="M45" s="252">
        <f>H45</f>
        <v>0</v>
      </c>
    </row>
    <row r="46" spans="1:13" ht="31.5">
      <c r="A46" s="257"/>
      <c r="B46" s="258"/>
      <c r="C46" s="259" t="s">
        <v>114</v>
      </c>
      <c r="D46" s="226" t="s">
        <v>35</v>
      </c>
      <c r="E46" s="235"/>
      <c r="F46" s="228">
        <f>F44*1.8</f>
        <v>552.0060000000001</v>
      </c>
      <c r="G46" s="227"/>
      <c r="H46" s="226"/>
      <c r="I46" s="235"/>
      <c r="J46" s="227"/>
      <c r="K46" s="235"/>
      <c r="L46" s="226">
        <f>F46*K46</f>
        <v>0</v>
      </c>
      <c r="M46" s="235">
        <f>L46</f>
        <v>0</v>
      </c>
    </row>
    <row r="47" spans="1:13" ht="18">
      <c r="A47" s="261">
        <v>6</v>
      </c>
      <c r="B47" s="262" t="s">
        <v>113</v>
      </c>
      <c r="C47" s="223" t="s">
        <v>78</v>
      </c>
      <c r="D47" s="263" t="s">
        <v>315</v>
      </c>
      <c r="E47" s="264"/>
      <c r="F47" s="265">
        <f>F34+F44</f>
        <v>3725.61</v>
      </c>
      <c r="G47" s="264"/>
      <c r="H47" s="264"/>
      <c r="I47" s="264"/>
      <c r="J47" s="264"/>
      <c r="K47" s="264"/>
      <c r="L47" s="264"/>
      <c r="M47" s="264"/>
    </row>
    <row r="48" spans="1:13" ht="31.5">
      <c r="A48" s="266"/>
      <c r="B48" s="266"/>
      <c r="C48" s="250" t="s">
        <v>29</v>
      </c>
      <c r="D48" s="233" t="s">
        <v>30</v>
      </c>
      <c r="E48" s="256">
        <f>3.23/1000</f>
        <v>0.00323</v>
      </c>
      <c r="F48" s="233">
        <f>E48*F47</f>
        <v>12.033720299999999</v>
      </c>
      <c r="G48" s="267"/>
      <c r="H48" s="267">
        <f>F48*G48</f>
        <v>0</v>
      </c>
      <c r="I48" s="268"/>
      <c r="J48" s="268"/>
      <c r="K48" s="268"/>
      <c r="L48" s="268"/>
      <c r="M48" s="267">
        <f>H48</f>
        <v>0</v>
      </c>
    </row>
    <row r="49" spans="1:13" ht="15.75">
      <c r="A49" s="245"/>
      <c r="B49" s="245"/>
      <c r="C49" s="250" t="s">
        <v>77</v>
      </c>
      <c r="D49" s="233" t="s">
        <v>31</v>
      </c>
      <c r="E49" s="269">
        <f>3.62/1000</f>
        <v>0.00362</v>
      </c>
      <c r="F49" s="233">
        <f>E49*F47</f>
        <v>13.4867082</v>
      </c>
      <c r="G49" s="233"/>
      <c r="H49" s="233"/>
      <c r="I49" s="233"/>
      <c r="J49" s="233"/>
      <c r="K49" s="233"/>
      <c r="L49" s="233">
        <f>F49*K49</f>
        <v>0</v>
      </c>
      <c r="M49" s="233">
        <f>L49</f>
        <v>0</v>
      </c>
    </row>
    <row r="50" spans="1:13" ht="31.5">
      <c r="A50" s="245"/>
      <c r="B50" s="245"/>
      <c r="C50" s="250" t="s">
        <v>32</v>
      </c>
      <c r="D50" s="233" t="s">
        <v>30</v>
      </c>
      <c r="E50" s="233"/>
      <c r="F50" s="233">
        <f>F49</f>
        <v>13.4867082</v>
      </c>
      <c r="G50" s="233"/>
      <c r="H50" s="233">
        <f>F50*G50</f>
        <v>0</v>
      </c>
      <c r="I50" s="233"/>
      <c r="J50" s="233"/>
      <c r="K50" s="224"/>
      <c r="L50" s="224"/>
      <c r="M50" s="233">
        <f>H50</f>
        <v>0</v>
      </c>
    </row>
    <row r="51" spans="1:13" ht="15.75">
      <c r="A51" s="270"/>
      <c r="B51" s="270"/>
      <c r="C51" s="271" t="s">
        <v>39</v>
      </c>
      <c r="D51" s="270" t="s">
        <v>34</v>
      </c>
      <c r="E51" s="272">
        <f>0.18/1000</f>
        <v>0.00017999999999999998</v>
      </c>
      <c r="F51" s="236">
        <f>E51*F47</f>
        <v>0.6706097999999999</v>
      </c>
      <c r="G51" s="270"/>
      <c r="H51" s="270"/>
      <c r="I51" s="270"/>
      <c r="J51" s="270"/>
      <c r="K51" s="273"/>
      <c r="L51" s="236">
        <f>F51*K51</f>
        <v>0</v>
      </c>
      <c r="M51" s="236">
        <f>L51</f>
        <v>0</v>
      </c>
    </row>
    <row r="52" spans="1:13" ht="78.75">
      <c r="A52" s="245" t="s">
        <v>224</v>
      </c>
      <c r="B52" s="283" t="s">
        <v>167</v>
      </c>
      <c r="C52" s="383" t="s">
        <v>166</v>
      </c>
      <c r="D52" s="233" t="s">
        <v>315</v>
      </c>
      <c r="E52" s="233"/>
      <c r="F52" s="292">
        <v>0</v>
      </c>
      <c r="G52" s="233"/>
      <c r="H52" s="224"/>
      <c r="I52" s="224"/>
      <c r="J52" s="224"/>
      <c r="K52" s="224"/>
      <c r="L52" s="224"/>
      <c r="M52" s="224"/>
    </row>
    <row r="53" spans="1:13" ht="31.5">
      <c r="A53" s="244"/>
      <c r="B53" s="283"/>
      <c r="C53" s="383" t="s">
        <v>29</v>
      </c>
      <c r="D53" s="233" t="s">
        <v>30</v>
      </c>
      <c r="E53" s="282">
        <v>10.2</v>
      </c>
      <c r="F53" s="385">
        <f>E53*F52</f>
        <v>0</v>
      </c>
      <c r="G53" s="249"/>
      <c r="H53" s="247">
        <f>F53*G53</f>
        <v>0</v>
      </c>
      <c r="I53" s="232"/>
      <c r="J53" s="249"/>
      <c r="K53" s="232"/>
      <c r="L53" s="247"/>
      <c r="M53" s="232">
        <f>H53</f>
        <v>0</v>
      </c>
    </row>
    <row r="54" spans="1:13" ht="15.75">
      <c r="A54" s="244"/>
      <c r="B54" s="283"/>
      <c r="C54" s="246" t="s">
        <v>134</v>
      </c>
      <c r="D54" s="386" t="s">
        <v>34</v>
      </c>
      <c r="E54" s="384">
        <v>7.99</v>
      </c>
      <c r="F54" s="385">
        <f>E54*F52</f>
        <v>0</v>
      </c>
      <c r="G54" s="249"/>
      <c r="H54" s="247"/>
      <c r="I54" s="232"/>
      <c r="J54" s="249"/>
      <c r="K54" s="232"/>
      <c r="L54" s="247">
        <f>F54*K54</f>
        <v>0</v>
      </c>
      <c r="M54" s="232">
        <f>L54</f>
        <v>0</v>
      </c>
    </row>
    <row r="55" spans="1:13" ht="63">
      <c r="A55" s="387"/>
      <c r="B55" s="270"/>
      <c r="C55" s="320" t="s">
        <v>149</v>
      </c>
      <c r="D55" s="388" t="s">
        <v>35</v>
      </c>
      <c r="E55" s="272"/>
      <c r="F55" s="230">
        <f>F52*2.4</f>
        <v>0</v>
      </c>
      <c r="G55" s="389"/>
      <c r="H55" s="387"/>
      <c r="I55" s="270"/>
      <c r="J55" s="389"/>
      <c r="K55" s="236"/>
      <c r="L55" s="229">
        <f>F55*K55</f>
        <v>0</v>
      </c>
      <c r="M55" s="236">
        <f>L55</f>
        <v>0</v>
      </c>
    </row>
    <row r="56" spans="1:13" ht="18">
      <c r="A56" s="245" t="s">
        <v>181</v>
      </c>
      <c r="B56" s="224" t="s">
        <v>150</v>
      </c>
      <c r="C56" s="225" t="s">
        <v>78</v>
      </c>
      <c r="D56" s="233" t="s">
        <v>315</v>
      </c>
      <c r="E56" s="266"/>
      <c r="F56" s="292">
        <f>F52</f>
        <v>0</v>
      </c>
      <c r="G56" s="266"/>
      <c r="H56" s="266"/>
      <c r="I56" s="266"/>
      <c r="J56" s="266"/>
      <c r="K56" s="266"/>
      <c r="L56" s="266"/>
      <c r="M56" s="266"/>
    </row>
    <row r="57" spans="1:13" ht="31.5">
      <c r="A57" s="266"/>
      <c r="B57" s="266"/>
      <c r="C57" s="250" t="s">
        <v>29</v>
      </c>
      <c r="D57" s="233" t="s">
        <v>30</v>
      </c>
      <c r="E57" s="256">
        <f>3.52/1000</f>
        <v>0.00352</v>
      </c>
      <c r="F57" s="233">
        <f>E57*F56</f>
        <v>0</v>
      </c>
      <c r="G57" s="267"/>
      <c r="H57" s="267">
        <f>F57*G57</f>
        <v>0</v>
      </c>
      <c r="I57" s="268"/>
      <c r="J57" s="268"/>
      <c r="K57" s="268"/>
      <c r="L57" s="268"/>
      <c r="M57" s="267">
        <f>H57</f>
        <v>0</v>
      </c>
    </row>
    <row r="58" spans="1:13" ht="15.75">
      <c r="A58" s="245"/>
      <c r="B58" s="245"/>
      <c r="C58" s="250" t="s">
        <v>77</v>
      </c>
      <c r="D58" s="233" t="s">
        <v>31</v>
      </c>
      <c r="E58" s="269">
        <f>3.94/1000</f>
        <v>0.00394</v>
      </c>
      <c r="F58" s="233">
        <f>E58*F56</f>
        <v>0</v>
      </c>
      <c r="G58" s="233"/>
      <c r="H58" s="233"/>
      <c r="I58" s="233"/>
      <c r="J58" s="233"/>
      <c r="K58" s="233"/>
      <c r="L58" s="233">
        <f>F58*K58</f>
        <v>0</v>
      </c>
      <c r="M58" s="233">
        <f>L58</f>
        <v>0</v>
      </c>
    </row>
    <row r="59" spans="1:13" ht="31.5">
      <c r="A59" s="245"/>
      <c r="B59" s="245"/>
      <c r="C59" s="250" t="s">
        <v>32</v>
      </c>
      <c r="D59" s="233" t="s">
        <v>30</v>
      </c>
      <c r="E59" s="233"/>
      <c r="F59" s="233">
        <f>F58</f>
        <v>0</v>
      </c>
      <c r="G59" s="233"/>
      <c r="H59" s="233">
        <f>F59*G59</f>
        <v>0</v>
      </c>
      <c r="I59" s="233"/>
      <c r="J59" s="233"/>
      <c r="K59" s="224"/>
      <c r="L59" s="224"/>
      <c r="M59" s="233">
        <f>H59</f>
        <v>0</v>
      </c>
    </row>
    <row r="60" spans="1:13" ht="16.5" thickBot="1">
      <c r="A60" s="270"/>
      <c r="B60" s="270"/>
      <c r="C60" s="271" t="s">
        <v>39</v>
      </c>
      <c r="D60" s="270" t="s">
        <v>34</v>
      </c>
      <c r="E60" s="272">
        <f>0.19/1000</f>
        <v>0.00019</v>
      </c>
      <c r="F60" s="236">
        <f>E60*F56</f>
        <v>0</v>
      </c>
      <c r="G60" s="270"/>
      <c r="H60" s="270"/>
      <c r="I60" s="270"/>
      <c r="J60" s="270"/>
      <c r="K60" s="273"/>
      <c r="L60" s="236">
        <f>F60*K60</f>
        <v>0</v>
      </c>
      <c r="M60" s="273">
        <f>L60</f>
        <v>0</v>
      </c>
    </row>
    <row r="61" spans="1:13" ht="78.75">
      <c r="A61" s="390">
        <v>9</v>
      </c>
      <c r="B61" s="391" t="s">
        <v>168</v>
      </c>
      <c r="C61" s="392" t="s">
        <v>173</v>
      </c>
      <c r="D61" s="393" t="s">
        <v>317</v>
      </c>
      <c r="E61" s="394"/>
      <c r="F61" s="395">
        <v>0</v>
      </c>
      <c r="G61" s="396"/>
      <c r="H61" s="397"/>
      <c r="I61" s="398"/>
      <c r="J61" s="396"/>
      <c r="K61" s="398"/>
      <c r="L61" s="397"/>
      <c r="M61" s="398"/>
    </row>
    <row r="62" spans="1:13" ht="15.75">
      <c r="A62" s="390"/>
      <c r="B62" s="399"/>
      <c r="C62" s="400" t="s">
        <v>169</v>
      </c>
      <c r="D62" s="400" t="s">
        <v>30</v>
      </c>
      <c r="E62" s="372">
        <f>1.54</f>
        <v>1.54</v>
      </c>
      <c r="F62" s="401">
        <f>E62*F61</f>
        <v>0</v>
      </c>
      <c r="G62" s="251"/>
      <c r="H62" s="251">
        <f>F62*G62</f>
        <v>0</v>
      </c>
      <c r="I62" s="402"/>
      <c r="J62" s="403"/>
      <c r="K62" s="404"/>
      <c r="L62" s="404"/>
      <c r="M62" s="251">
        <f>H62</f>
        <v>0</v>
      </c>
    </row>
    <row r="63" spans="1:13" ht="15.75">
      <c r="A63" s="405"/>
      <c r="B63" s="405"/>
      <c r="C63" s="406" t="s">
        <v>170</v>
      </c>
      <c r="D63" s="407" t="s">
        <v>31</v>
      </c>
      <c r="E63" s="373">
        <v>0.91</v>
      </c>
      <c r="F63" s="373">
        <f>E63*F61</f>
        <v>0</v>
      </c>
      <c r="G63" s="251"/>
      <c r="H63" s="251"/>
      <c r="I63" s="251"/>
      <c r="J63" s="403"/>
      <c r="K63" s="251"/>
      <c r="L63" s="251">
        <f>F63*K63</f>
        <v>0</v>
      </c>
      <c r="M63" s="251">
        <f>L63+J63+H63</f>
        <v>0</v>
      </c>
    </row>
    <row r="64" spans="1:13" ht="31.5">
      <c r="A64" s="405"/>
      <c r="B64" s="405"/>
      <c r="C64" s="408" t="s">
        <v>32</v>
      </c>
      <c r="D64" s="372" t="s">
        <v>30</v>
      </c>
      <c r="E64" s="373"/>
      <c r="F64" s="373">
        <f>F63</f>
        <v>0</v>
      </c>
      <c r="G64" s="251"/>
      <c r="H64" s="251">
        <f>F64*G64</f>
        <v>0</v>
      </c>
      <c r="I64" s="251"/>
      <c r="J64" s="403"/>
      <c r="K64" s="402"/>
      <c r="L64" s="251"/>
      <c r="M64" s="251">
        <f>H64</f>
        <v>0</v>
      </c>
    </row>
    <row r="65" spans="1:13" ht="31.5">
      <c r="A65" s="405"/>
      <c r="B65" s="409"/>
      <c r="C65" s="410" t="s">
        <v>33</v>
      </c>
      <c r="D65" s="407" t="s">
        <v>31</v>
      </c>
      <c r="E65" s="373">
        <v>0.71</v>
      </c>
      <c r="F65" s="373">
        <f>E65*F61</f>
        <v>0</v>
      </c>
      <c r="G65" s="251"/>
      <c r="H65" s="251"/>
      <c r="I65" s="251"/>
      <c r="J65" s="403"/>
      <c r="K65" s="251"/>
      <c r="L65" s="251">
        <f>F65*K65</f>
        <v>0</v>
      </c>
      <c r="M65" s="251">
        <f>L65+J65+H65</f>
        <v>0</v>
      </c>
    </row>
    <row r="66" spans="1:13" ht="31.5">
      <c r="A66" s="405"/>
      <c r="B66" s="405"/>
      <c r="C66" s="408" t="s">
        <v>32</v>
      </c>
      <c r="D66" s="372" t="s">
        <v>30</v>
      </c>
      <c r="E66" s="411"/>
      <c r="F66" s="373">
        <f>F65</f>
        <v>0</v>
      </c>
      <c r="G66" s="251"/>
      <c r="H66" s="251">
        <f>F66*G66</f>
        <v>0</v>
      </c>
      <c r="I66" s="251"/>
      <c r="J66" s="403"/>
      <c r="K66" s="402"/>
      <c r="L66" s="251"/>
      <c r="M66" s="251">
        <f>H66</f>
        <v>0</v>
      </c>
    </row>
    <row r="67" spans="1:13" ht="15.75">
      <c r="A67" s="266"/>
      <c r="B67" s="245"/>
      <c r="C67" s="268" t="s">
        <v>171</v>
      </c>
      <c r="D67" s="266" t="s">
        <v>31</v>
      </c>
      <c r="E67" s="268">
        <v>0.71</v>
      </c>
      <c r="F67" s="267">
        <f>E67*F61</f>
        <v>0</v>
      </c>
      <c r="G67" s="267"/>
      <c r="H67" s="268"/>
      <c r="I67" s="266"/>
      <c r="J67" s="266"/>
      <c r="K67" s="267"/>
      <c r="L67" s="251">
        <f>F67*K67</f>
        <v>0</v>
      </c>
      <c r="M67" s="251">
        <f>L67+J67+H67</f>
        <v>0</v>
      </c>
    </row>
    <row r="68" spans="1:13" ht="31.5">
      <c r="A68" s="266"/>
      <c r="B68" s="245"/>
      <c r="C68" s="412" t="s">
        <v>32</v>
      </c>
      <c r="D68" s="233" t="s">
        <v>30</v>
      </c>
      <c r="E68" s="268"/>
      <c r="F68" s="233">
        <f>F67</f>
        <v>0</v>
      </c>
      <c r="G68" s="233"/>
      <c r="H68" s="251">
        <f>F68*G68</f>
        <v>0</v>
      </c>
      <c r="I68" s="266"/>
      <c r="J68" s="266"/>
      <c r="K68" s="268"/>
      <c r="L68" s="251"/>
      <c r="M68" s="251">
        <f>H68</f>
        <v>0</v>
      </c>
    </row>
    <row r="69" spans="1:13" ht="18">
      <c r="A69" s="270"/>
      <c r="B69" s="271"/>
      <c r="C69" s="271" t="s">
        <v>60</v>
      </c>
      <c r="D69" s="271" t="s">
        <v>315</v>
      </c>
      <c r="E69" s="273">
        <v>3.2</v>
      </c>
      <c r="F69" s="273">
        <f>E69*F61</f>
        <v>0</v>
      </c>
      <c r="G69" s="273"/>
      <c r="H69" s="271"/>
      <c r="I69" s="236"/>
      <c r="J69" s="271">
        <f>F69*I69</f>
        <v>0</v>
      </c>
      <c r="K69" s="270"/>
      <c r="L69" s="270"/>
      <c r="M69" s="366">
        <f>L69+J69+H69</f>
        <v>0</v>
      </c>
    </row>
    <row r="70" spans="1:13" ht="94.5">
      <c r="A70" s="237">
        <v>10</v>
      </c>
      <c r="B70" s="238"/>
      <c r="C70" s="413" t="s">
        <v>172</v>
      </c>
      <c r="D70" s="243" t="s">
        <v>35</v>
      </c>
      <c r="E70" s="240"/>
      <c r="F70" s="414">
        <v>0</v>
      </c>
      <c r="G70" s="242"/>
      <c r="H70" s="335"/>
      <c r="I70" s="240"/>
      <c r="J70" s="242"/>
      <c r="K70" s="240"/>
      <c r="L70" s="243">
        <f>F70*K70</f>
        <v>0</v>
      </c>
      <c r="M70" s="240">
        <f>L70</f>
        <v>0</v>
      </c>
    </row>
    <row r="71" spans="1:13" ht="15.75">
      <c r="A71" s="415"/>
      <c r="B71" s="409"/>
      <c r="C71" s="416" t="s">
        <v>12</v>
      </c>
      <c r="D71" s="417" t="s">
        <v>34</v>
      </c>
      <c r="E71" s="372"/>
      <c r="F71" s="372"/>
      <c r="G71" s="372"/>
      <c r="H71" s="372">
        <f>SUM(H16:H70)</f>
        <v>0</v>
      </c>
      <c r="I71" s="372"/>
      <c r="J71" s="372">
        <f>SUM(J16:J70)</f>
        <v>0</v>
      </c>
      <c r="K71" s="400"/>
      <c r="L71" s="372">
        <f>SUM(L17:L70)</f>
        <v>0</v>
      </c>
      <c r="M71" s="372">
        <f>SUM(M17:M70)</f>
        <v>0</v>
      </c>
    </row>
    <row r="72" spans="1:13" ht="15.75">
      <c r="A72" s="418"/>
      <c r="B72" s="419"/>
      <c r="C72" s="418" t="s">
        <v>326</v>
      </c>
      <c r="D72" s="417" t="s">
        <v>34</v>
      </c>
      <c r="E72" s="420"/>
      <c r="F72" s="421"/>
      <c r="G72" s="422"/>
      <c r="H72" s="420">
        <f>E72*H71</f>
        <v>0</v>
      </c>
      <c r="I72" s="420"/>
      <c r="J72" s="420">
        <f>E72*J71</f>
        <v>0</v>
      </c>
      <c r="K72" s="420"/>
      <c r="L72" s="420">
        <f>E72*L71</f>
        <v>0</v>
      </c>
      <c r="M72" s="420">
        <f>SUM(H72:L72)</f>
        <v>0</v>
      </c>
    </row>
    <row r="73" spans="1:13" ht="15.75">
      <c r="A73" s="416"/>
      <c r="B73" s="419"/>
      <c r="C73" s="416" t="s">
        <v>12</v>
      </c>
      <c r="D73" s="417" t="s">
        <v>34</v>
      </c>
      <c r="E73" s="423"/>
      <c r="F73" s="416"/>
      <c r="G73" s="416"/>
      <c r="H73" s="423">
        <f>SUM(H71:H72)</f>
        <v>0</v>
      </c>
      <c r="I73" s="423"/>
      <c r="J73" s="423">
        <f>SUM(J71:J72)</f>
        <v>0</v>
      </c>
      <c r="K73" s="423"/>
      <c r="L73" s="423">
        <f>SUM(L71:L72)</f>
        <v>0</v>
      </c>
      <c r="M73" s="423">
        <f>SUM(H73:L73)</f>
        <v>0</v>
      </c>
    </row>
    <row r="74" spans="1:13" ht="15.75">
      <c r="A74" s="418"/>
      <c r="B74" s="419"/>
      <c r="C74" s="424" t="s">
        <v>327</v>
      </c>
      <c r="D74" s="417" t="s">
        <v>34</v>
      </c>
      <c r="E74" s="420"/>
      <c r="F74" s="425"/>
      <c r="G74" s="420"/>
      <c r="H74" s="420">
        <f>E74*H73</f>
        <v>0</v>
      </c>
      <c r="I74" s="420"/>
      <c r="J74" s="420">
        <f>E74*J73</f>
        <v>0</v>
      </c>
      <c r="K74" s="420"/>
      <c r="L74" s="420">
        <f>E74*L73</f>
        <v>0</v>
      </c>
      <c r="M74" s="420">
        <f>SUM(H74:L74)</f>
        <v>0</v>
      </c>
    </row>
    <row r="75" spans="1:13" ht="15.75">
      <c r="A75" s="426"/>
      <c r="B75" s="427"/>
      <c r="C75" s="426" t="s">
        <v>12</v>
      </c>
      <c r="D75" s="428" t="s">
        <v>34</v>
      </c>
      <c r="E75" s="426"/>
      <c r="F75" s="426"/>
      <c r="G75" s="426"/>
      <c r="H75" s="429">
        <f>SUM(H73:H74)</f>
        <v>0</v>
      </c>
      <c r="I75" s="429"/>
      <c r="J75" s="429">
        <f>SUM(J73:J74)</f>
        <v>0</v>
      </c>
      <c r="K75" s="429"/>
      <c r="L75" s="429">
        <f>SUM(L73:L74)</f>
        <v>0</v>
      </c>
      <c r="M75" s="429">
        <f>SUM(H75:L75)</f>
        <v>0</v>
      </c>
    </row>
    <row r="78" ht="15.75">
      <c r="C78" s="432"/>
    </row>
  </sheetData>
  <sheetProtection/>
  <mergeCells count="24">
    <mergeCell ref="G10:H11"/>
    <mergeCell ref="I10:J11"/>
    <mergeCell ref="K10:L10"/>
    <mergeCell ref="M10:M13"/>
    <mergeCell ref="K11:L11"/>
    <mergeCell ref="H12:H13"/>
    <mergeCell ref="J12:J13"/>
    <mergeCell ref="L12:L13"/>
    <mergeCell ref="A10:A13"/>
    <mergeCell ref="B10:B13"/>
    <mergeCell ref="C10:C13"/>
    <mergeCell ref="D10:F11"/>
    <mergeCell ref="D12:D13"/>
    <mergeCell ref="E12:E13"/>
    <mergeCell ref="F12:F13"/>
    <mergeCell ref="A1:M1"/>
    <mergeCell ref="A6:M6"/>
    <mergeCell ref="B7:D7"/>
    <mergeCell ref="F7:I7"/>
    <mergeCell ref="B8:C8"/>
    <mergeCell ref="F8:I8"/>
    <mergeCell ref="A3:M3"/>
    <mergeCell ref="A4:M4"/>
    <mergeCell ref="A5:M5"/>
  </mergeCells>
  <conditionalFormatting sqref="B66:C66 B61 D63:F66 B63:C64 E67:F69 A63:A69 B69:D69 C67:D68 G62:M69">
    <cfRule type="cellIs" priority="1" dxfId="0" operator="equal" stopIfTrue="1">
      <formula>8223.307275</formula>
    </cfRule>
  </conditionalFormatting>
  <printOptions/>
  <pageMargins left="0.5905511811023623" right="0" top="0.5905511811023623" bottom="0.5905511811023623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284"/>
  <sheetViews>
    <sheetView view="pageBreakPreview" zoomScale="85" zoomScaleSheetLayoutView="85" zoomScalePageLayoutView="0" workbookViewId="0" topLeftCell="A1">
      <selection activeCell="B8" sqref="B8:C8"/>
    </sheetView>
  </sheetViews>
  <sheetFormatPr defaultColWidth="9.00390625" defaultRowHeight="12.75"/>
  <cols>
    <col min="1" max="1" width="3.8515625" style="219" customWidth="1"/>
    <col min="2" max="2" width="9.7109375" style="220" customWidth="1"/>
    <col min="3" max="3" width="30.7109375" style="220" customWidth="1"/>
    <col min="4" max="4" width="7.7109375" style="277" customWidth="1"/>
    <col min="5" max="5" width="9.140625" style="277" customWidth="1"/>
    <col min="6" max="6" width="11.28125" style="277" customWidth="1"/>
    <col min="7" max="7" width="9.7109375" style="277" customWidth="1"/>
    <col min="8" max="8" width="10.28125" style="277" customWidth="1"/>
    <col min="9" max="9" width="8.8515625" style="277" customWidth="1"/>
    <col min="10" max="10" width="12.140625" style="277" customWidth="1"/>
    <col min="11" max="11" width="8.8515625" style="277" customWidth="1"/>
    <col min="12" max="12" width="10.421875" style="277" customWidth="1"/>
    <col min="13" max="13" width="17.00390625" style="277" customWidth="1"/>
    <col min="14" max="16384" width="9.00390625" style="218" customWidth="1"/>
  </cols>
  <sheetData>
    <row r="1" spans="1:14" ht="32.25" customHeight="1">
      <c r="A1" s="571" t="s">
        <v>165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</row>
    <row r="2" spans="1:14" ht="17.25" customHeight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</row>
    <row r="3" spans="1:13" ht="16.5" customHeight="1">
      <c r="A3" s="618" t="s">
        <v>66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</row>
    <row r="4" spans="1:13" ht="15.75">
      <c r="A4" s="618"/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</row>
    <row r="5" spans="1:13" ht="15.75">
      <c r="A5" s="619" t="s">
        <v>115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</row>
    <row r="6" spans="1:13" ht="15.75">
      <c r="A6" s="614"/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</row>
    <row r="7" spans="1:13" ht="15" customHeight="1">
      <c r="A7" s="220"/>
      <c r="B7" s="615"/>
      <c r="C7" s="615"/>
      <c r="D7" s="616"/>
      <c r="E7" s="221"/>
      <c r="F7" s="617" t="s">
        <v>1</v>
      </c>
      <c r="G7" s="617"/>
      <c r="H7" s="617"/>
      <c r="I7" s="617"/>
      <c r="J7" s="221">
        <f>M267/1000</f>
        <v>0</v>
      </c>
      <c r="K7" s="221" t="s">
        <v>0</v>
      </c>
      <c r="L7" s="221"/>
      <c r="M7" s="221"/>
    </row>
    <row r="8" spans="1:13" ht="15.75">
      <c r="A8" s="220"/>
      <c r="B8" s="615"/>
      <c r="C8" s="615"/>
      <c r="D8" s="221"/>
      <c r="E8" s="221"/>
      <c r="F8" s="617"/>
      <c r="G8" s="617"/>
      <c r="H8" s="617"/>
      <c r="I8" s="617"/>
      <c r="J8" s="221"/>
      <c r="K8" s="221"/>
      <c r="L8" s="221"/>
      <c r="M8" s="221"/>
    </row>
    <row r="9" spans="1:13" ht="15.75">
      <c r="A9" s="220"/>
      <c r="D9" s="221"/>
      <c r="E9" s="221"/>
      <c r="F9" s="221"/>
      <c r="G9" s="221"/>
      <c r="H9" s="221"/>
      <c r="I9" s="221"/>
      <c r="J9" s="221"/>
      <c r="K9" s="221"/>
      <c r="L9" s="221"/>
      <c r="M9" s="221"/>
    </row>
    <row r="10" spans="1:13" ht="15" customHeight="1">
      <c r="A10" s="620" t="s">
        <v>2</v>
      </c>
      <c r="B10" s="621" t="s">
        <v>3</v>
      </c>
      <c r="C10" s="591" t="s">
        <v>27</v>
      </c>
      <c r="D10" s="624" t="s">
        <v>4</v>
      </c>
      <c r="E10" s="625"/>
      <c r="F10" s="626"/>
      <c r="G10" s="624" t="s">
        <v>5</v>
      </c>
      <c r="H10" s="632"/>
      <c r="I10" s="624" t="s">
        <v>6</v>
      </c>
      <c r="J10" s="635"/>
      <c r="K10" s="624" t="s">
        <v>7</v>
      </c>
      <c r="L10" s="632"/>
      <c r="M10" s="626" t="s">
        <v>8</v>
      </c>
    </row>
    <row r="11" spans="1:13" ht="22.5" customHeight="1">
      <c r="A11" s="595"/>
      <c r="B11" s="622"/>
      <c r="C11" s="592"/>
      <c r="D11" s="627"/>
      <c r="E11" s="628"/>
      <c r="F11" s="629"/>
      <c r="G11" s="633"/>
      <c r="H11" s="634"/>
      <c r="I11" s="633"/>
      <c r="J11" s="636"/>
      <c r="K11" s="627" t="s">
        <v>9</v>
      </c>
      <c r="L11" s="634"/>
      <c r="M11" s="637"/>
    </row>
    <row r="12" spans="1:13" ht="15.75">
      <c r="A12" s="595"/>
      <c r="B12" s="622"/>
      <c r="C12" s="592"/>
      <c r="D12" s="630" t="s">
        <v>10</v>
      </c>
      <c r="E12" s="630" t="s">
        <v>11</v>
      </c>
      <c r="F12" s="630" t="s">
        <v>12</v>
      </c>
      <c r="G12" s="232" t="s">
        <v>11</v>
      </c>
      <c r="H12" s="630" t="s">
        <v>12</v>
      </c>
      <c r="I12" s="232" t="s">
        <v>11</v>
      </c>
      <c r="J12" s="630" t="s">
        <v>12</v>
      </c>
      <c r="K12" s="232" t="s">
        <v>11</v>
      </c>
      <c r="L12" s="630" t="s">
        <v>12</v>
      </c>
      <c r="M12" s="638"/>
    </row>
    <row r="13" spans="1:13" ht="15.75">
      <c r="A13" s="596"/>
      <c r="B13" s="623"/>
      <c r="C13" s="593"/>
      <c r="D13" s="631"/>
      <c r="E13" s="631"/>
      <c r="F13" s="631"/>
      <c r="G13" s="235" t="s">
        <v>13</v>
      </c>
      <c r="H13" s="631"/>
      <c r="I13" s="235" t="s">
        <v>13</v>
      </c>
      <c r="J13" s="631"/>
      <c r="K13" s="235" t="s">
        <v>13</v>
      </c>
      <c r="L13" s="631"/>
      <c r="M13" s="639"/>
    </row>
    <row r="14" spans="1:13" ht="15.75">
      <c r="A14" s="237" t="s">
        <v>14</v>
      </c>
      <c r="B14" s="238" t="s">
        <v>15</v>
      </c>
      <c r="C14" s="239" t="s">
        <v>16</v>
      </c>
      <c r="D14" s="243" t="s">
        <v>17</v>
      </c>
      <c r="E14" s="240" t="s">
        <v>18</v>
      </c>
      <c r="F14" s="241" t="s">
        <v>19</v>
      </c>
      <c r="G14" s="242" t="s">
        <v>20</v>
      </c>
      <c r="H14" s="243" t="s">
        <v>21</v>
      </c>
      <c r="I14" s="240" t="s">
        <v>22</v>
      </c>
      <c r="J14" s="242" t="s">
        <v>23</v>
      </c>
      <c r="K14" s="240" t="s">
        <v>24</v>
      </c>
      <c r="L14" s="243" t="s">
        <v>25</v>
      </c>
      <c r="M14" s="240" t="s">
        <v>26</v>
      </c>
    </row>
    <row r="15" spans="1:13" ht="15.75">
      <c r="A15" s="257"/>
      <c r="B15" s="258"/>
      <c r="C15" s="434" t="s">
        <v>174</v>
      </c>
      <c r="D15" s="226"/>
      <c r="E15" s="235"/>
      <c r="F15" s="228"/>
      <c r="G15" s="227"/>
      <c r="H15" s="226"/>
      <c r="I15" s="235"/>
      <c r="J15" s="227"/>
      <c r="K15" s="235"/>
      <c r="L15" s="226"/>
      <c r="M15" s="235"/>
    </row>
    <row r="16" spans="1:13" ht="47.25">
      <c r="A16" s="245" t="s">
        <v>64</v>
      </c>
      <c r="B16" s="383" t="s">
        <v>116</v>
      </c>
      <c r="C16" s="383" t="s">
        <v>154</v>
      </c>
      <c r="D16" s="233" t="s">
        <v>316</v>
      </c>
      <c r="E16" s="233"/>
      <c r="F16" s="292">
        <v>7517.8</v>
      </c>
      <c r="G16" s="292"/>
      <c r="H16" s="292"/>
      <c r="I16" s="292"/>
      <c r="J16" s="262"/>
      <c r="K16" s="262"/>
      <c r="L16" s="262"/>
      <c r="M16" s="262"/>
    </row>
    <row r="17" spans="1:13" ht="31.5">
      <c r="A17" s="245"/>
      <c r="B17" s="245"/>
      <c r="C17" s="383" t="s">
        <v>29</v>
      </c>
      <c r="D17" s="233" t="s">
        <v>30</v>
      </c>
      <c r="E17" s="256">
        <f>3.3/100</f>
        <v>0.033</v>
      </c>
      <c r="F17" s="233">
        <f>E17*F16</f>
        <v>248.08740000000003</v>
      </c>
      <c r="G17" s="233"/>
      <c r="H17" s="233">
        <f>F17*G17</f>
        <v>0</v>
      </c>
      <c r="I17" s="233"/>
      <c r="J17" s="224"/>
      <c r="K17" s="224"/>
      <c r="L17" s="224"/>
      <c r="M17" s="233">
        <f>H17</f>
        <v>0</v>
      </c>
    </row>
    <row r="18" spans="1:13" ht="31.5">
      <c r="A18" s="245"/>
      <c r="B18" s="245"/>
      <c r="C18" s="383" t="s">
        <v>59</v>
      </c>
      <c r="D18" s="233" t="s">
        <v>31</v>
      </c>
      <c r="E18" s="269">
        <f>0.042/100</f>
        <v>0.00042</v>
      </c>
      <c r="F18" s="233">
        <f>E18*F16</f>
        <v>3.1574760000000004</v>
      </c>
      <c r="G18" s="233"/>
      <c r="H18" s="233"/>
      <c r="I18" s="233"/>
      <c r="J18" s="224"/>
      <c r="K18" s="233"/>
      <c r="L18" s="233">
        <f>F18*K18</f>
        <v>0</v>
      </c>
      <c r="M18" s="233">
        <f>L18</f>
        <v>0</v>
      </c>
    </row>
    <row r="19" spans="1:13" ht="31.5">
      <c r="A19" s="245"/>
      <c r="B19" s="245"/>
      <c r="C19" s="383" t="s">
        <v>32</v>
      </c>
      <c r="D19" s="233" t="s">
        <v>30</v>
      </c>
      <c r="E19" s="233"/>
      <c r="F19" s="233">
        <f>F18</f>
        <v>3.1574760000000004</v>
      </c>
      <c r="G19" s="233"/>
      <c r="H19" s="233">
        <f>F19*G19</f>
        <v>0</v>
      </c>
      <c r="I19" s="233"/>
      <c r="J19" s="224"/>
      <c r="K19" s="224"/>
      <c r="L19" s="233"/>
      <c r="M19" s="233">
        <f>H19</f>
        <v>0</v>
      </c>
    </row>
    <row r="20" spans="1:13" ht="15.75">
      <c r="A20" s="245"/>
      <c r="B20" s="245"/>
      <c r="C20" s="383" t="s">
        <v>104</v>
      </c>
      <c r="D20" s="233" t="s">
        <v>31</v>
      </c>
      <c r="E20" s="269">
        <f>0.258/100</f>
        <v>0.0025800000000000003</v>
      </c>
      <c r="F20" s="233">
        <f>E20*F16</f>
        <v>19.395924</v>
      </c>
      <c r="G20" s="233"/>
      <c r="H20" s="233"/>
      <c r="I20" s="233"/>
      <c r="J20" s="224"/>
      <c r="K20" s="233"/>
      <c r="L20" s="233">
        <f>F20*K20</f>
        <v>0</v>
      </c>
      <c r="M20" s="233">
        <f>L20</f>
        <v>0</v>
      </c>
    </row>
    <row r="21" spans="1:13" ht="31.5">
      <c r="A21" s="245"/>
      <c r="B21" s="245"/>
      <c r="C21" s="383" t="s">
        <v>32</v>
      </c>
      <c r="D21" s="233" t="s">
        <v>30</v>
      </c>
      <c r="E21" s="233"/>
      <c r="F21" s="233">
        <f>F20</f>
        <v>19.395924</v>
      </c>
      <c r="G21" s="233"/>
      <c r="H21" s="233">
        <f>F21*G21</f>
        <v>0</v>
      </c>
      <c r="I21" s="233"/>
      <c r="J21" s="224"/>
      <c r="K21" s="224"/>
      <c r="L21" s="233"/>
      <c r="M21" s="233">
        <f>H21</f>
        <v>0</v>
      </c>
    </row>
    <row r="22" spans="1:13" ht="31.5">
      <c r="A22" s="245"/>
      <c r="B22" s="245"/>
      <c r="C22" s="383" t="s">
        <v>61</v>
      </c>
      <c r="D22" s="233" t="s">
        <v>31</v>
      </c>
      <c r="E22" s="256">
        <f>1.12/100</f>
        <v>0.011200000000000002</v>
      </c>
      <c r="F22" s="233">
        <f>E22*F16</f>
        <v>84.19936000000001</v>
      </c>
      <c r="G22" s="233"/>
      <c r="H22" s="233"/>
      <c r="I22" s="233"/>
      <c r="J22" s="224"/>
      <c r="K22" s="233"/>
      <c r="L22" s="233">
        <f>F22*K22</f>
        <v>0</v>
      </c>
      <c r="M22" s="233">
        <f>L22</f>
        <v>0</v>
      </c>
    </row>
    <row r="23" spans="1:13" ht="31.5">
      <c r="A23" s="245"/>
      <c r="B23" s="245"/>
      <c r="C23" s="383" t="s">
        <v>32</v>
      </c>
      <c r="D23" s="233" t="s">
        <v>30</v>
      </c>
      <c r="E23" s="233"/>
      <c r="F23" s="233">
        <f>F22</f>
        <v>84.19936000000001</v>
      </c>
      <c r="G23" s="233"/>
      <c r="H23" s="233">
        <f>F23*G23</f>
        <v>0</v>
      </c>
      <c r="I23" s="233"/>
      <c r="J23" s="224"/>
      <c r="K23" s="224"/>
      <c r="L23" s="233"/>
      <c r="M23" s="233">
        <f>H23</f>
        <v>0</v>
      </c>
    </row>
    <row r="24" spans="1:13" ht="15.75">
      <c r="A24" s="245"/>
      <c r="B24" s="245"/>
      <c r="C24" s="383" t="s">
        <v>62</v>
      </c>
      <c r="D24" s="233" t="s">
        <v>31</v>
      </c>
      <c r="E24" s="256">
        <f>2.48/100</f>
        <v>0.0248</v>
      </c>
      <c r="F24" s="233">
        <f>E24*F16</f>
        <v>186.44144</v>
      </c>
      <c r="G24" s="233"/>
      <c r="H24" s="233"/>
      <c r="I24" s="233"/>
      <c r="J24" s="224"/>
      <c r="K24" s="233"/>
      <c r="L24" s="233">
        <f>F24*K24</f>
        <v>0</v>
      </c>
      <c r="M24" s="233">
        <f>L24</f>
        <v>0</v>
      </c>
    </row>
    <row r="25" spans="1:13" ht="31.5">
      <c r="A25" s="245"/>
      <c r="B25" s="245"/>
      <c r="C25" s="383" t="s">
        <v>32</v>
      </c>
      <c r="D25" s="233" t="s">
        <v>30</v>
      </c>
      <c r="E25" s="233"/>
      <c r="F25" s="233">
        <f>F24</f>
        <v>186.44144</v>
      </c>
      <c r="G25" s="233"/>
      <c r="H25" s="233">
        <f>F25*G25</f>
        <v>0</v>
      </c>
      <c r="I25" s="233"/>
      <c r="J25" s="224"/>
      <c r="K25" s="224"/>
      <c r="L25" s="233"/>
      <c r="M25" s="233">
        <f>H25</f>
        <v>0</v>
      </c>
    </row>
    <row r="26" spans="1:13" ht="31.5">
      <c r="A26" s="245"/>
      <c r="B26" s="245"/>
      <c r="C26" s="383" t="s">
        <v>33</v>
      </c>
      <c r="D26" s="233" t="s">
        <v>31</v>
      </c>
      <c r="E26" s="269">
        <f>0.414/100</f>
        <v>0.00414</v>
      </c>
      <c r="F26" s="233">
        <f>E26*F16</f>
        <v>31.123692</v>
      </c>
      <c r="G26" s="233"/>
      <c r="H26" s="233"/>
      <c r="I26" s="233"/>
      <c r="J26" s="224"/>
      <c r="K26" s="233"/>
      <c r="L26" s="233">
        <f>F26*K26</f>
        <v>0</v>
      </c>
      <c r="M26" s="233">
        <f>L26</f>
        <v>0</v>
      </c>
    </row>
    <row r="27" spans="1:13" ht="31.5">
      <c r="A27" s="245"/>
      <c r="B27" s="245"/>
      <c r="C27" s="383" t="s">
        <v>32</v>
      </c>
      <c r="D27" s="233" t="s">
        <v>30</v>
      </c>
      <c r="E27" s="233"/>
      <c r="F27" s="233">
        <f>F26</f>
        <v>31.123692</v>
      </c>
      <c r="G27" s="233"/>
      <c r="H27" s="233">
        <f>F27*G27</f>
        <v>0</v>
      </c>
      <c r="I27" s="233"/>
      <c r="J27" s="224"/>
      <c r="K27" s="224"/>
      <c r="L27" s="233"/>
      <c r="M27" s="233">
        <f>H27</f>
        <v>0</v>
      </c>
    </row>
    <row r="28" spans="1:13" ht="31.5">
      <c r="A28" s="245"/>
      <c r="B28" s="245"/>
      <c r="C28" s="383" t="s">
        <v>117</v>
      </c>
      <c r="D28" s="233" t="s">
        <v>31</v>
      </c>
      <c r="E28" s="269">
        <f>0.053/100</f>
        <v>0.00053</v>
      </c>
      <c r="F28" s="233">
        <f>E28*F16</f>
        <v>3.984434</v>
      </c>
      <c r="G28" s="233"/>
      <c r="H28" s="233"/>
      <c r="I28" s="233"/>
      <c r="J28" s="224"/>
      <c r="K28" s="233"/>
      <c r="L28" s="233">
        <f>F28*K28</f>
        <v>0</v>
      </c>
      <c r="M28" s="233">
        <f>L28</f>
        <v>0</v>
      </c>
    </row>
    <row r="29" spans="1:13" ht="31.5">
      <c r="A29" s="245"/>
      <c r="B29" s="245"/>
      <c r="C29" s="383" t="s">
        <v>32</v>
      </c>
      <c r="D29" s="233" t="s">
        <v>30</v>
      </c>
      <c r="E29" s="233"/>
      <c r="F29" s="233">
        <f>F28</f>
        <v>3.984434</v>
      </c>
      <c r="G29" s="233"/>
      <c r="H29" s="233">
        <f>F29*G29</f>
        <v>0</v>
      </c>
      <c r="I29" s="233"/>
      <c r="J29" s="224"/>
      <c r="K29" s="224"/>
      <c r="L29" s="233"/>
      <c r="M29" s="233">
        <f>H29</f>
        <v>0</v>
      </c>
    </row>
    <row r="30" spans="1:13" ht="18">
      <c r="A30" s="245"/>
      <c r="B30" s="245"/>
      <c r="C30" s="383" t="s">
        <v>118</v>
      </c>
      <c r="D30" s="233" t="s">
        <v>315</v>
      </c>
      <c r="E30" s="256">
        <f>(18.9+1.5+1.26)/100</f>
        <v>0.21660000000000001</v>
      </c>
      <c r="F30" s="233">
        <f>E30*F16</f>
        <v>1628.3554800000002</v>
      </c>
      <c r="G30" s="233"/>
      <c r="H30" s="233"/>
      <c r="I30" s="233"/>
      <c r="J30" s="233">
        <f>F30*I30</f>
        <v>0</v>
      </c>
      <c r="K30" s="233"/>
      <c r="L30" s="233"/>
      <c r="M30" s="233">
        <f>J30</f>
        <v>0</v>
      </c>
    </row>
    <row r="31" spans="1:13" ht="18">
      <c r="A31" s="279"/>
      <c r="B31" s="279"/>
      <c r="C31" s="435" t="s">
        <v>60</v>
      </c>
      <c r="D31" s="236" t="s">
        <v>315</v>
      </c>
      <c r="E31" s="294">
        <f>3/100</f>
        <v>0.03</v>
      </c>
      <c r="F31" s="236">
        <f>E31*F16</f>
        <v>225.534</v>
      </c>
      <c r="G31" s="236"/>
      <c r="H31" s="236"/>
      <c r="I31" s="236"/>
      <c r="J31" s="236">
        <f>F31*I31</f>
        <v>0</v>
      </c>
      <c r="K31" s="236"/>
      <c r="L31" s="236"/>
      <c r="M31" s="236">
        <f>J31</f>
        <v>0</v>
      </c>
    </row>
    <row r="32" spans="1:13" ht="36" customHeight="1">
      <c r="A32" s="245" t="s">
        <v>79</v>
      </c>
      <c r="B32" s="436" t="s">
        <v>120</v>
      </c>
      <c r="C32" s="250" t="s">
        <v>318</v>
      </c>
      <c r="D32" s="233" t="s">
        <v>316</v>
      </c>
      <c r="E32" s="233"/>
      <c r="F32" s="292">
        <v>7190.99</v>
      </c>
      <c r="G32" s="233"/>
      <c r="H32" s="233"/>
      <c r="I32" s="233"/>
      <c r="J32" s="233"/>
      <c r="K32" s="224"/>
      <c r="L32" s="224"/>
      <c r="M32" s="233"/>
    </row>
    <row r="33" spans="1:13" ht="31.5">
      <c r="A33" s="437"/>
      <c r="B33" s="436"/>
      <c r="C33" s="412" t="s">
        <v>29</v>
      </c>
      <c r="D33" s="233" t="s">
        <v>30</v>
      </c>
      <c r="E33" s="438">
        <v>0.182</v>
      </c>
      <c r="F33" s="303">
        <f>E33*F32</f>
        <v>1308.76018</v>
      </c>
      <c r="G33" s="303"/>
      <c r="H33" s="303">
        <f>F33*G33</f>
        <v>0</v>
      </c>
      <c r="I33" s="303"/>
      <c r="J33" s="303"/>
      <c r="K33" s="303"/>
      <c r="L33" s="303"/>
      <c r="M33" s="303">
        <f>H33</f>
        <v>0</v>
      </c>
    </row>
    <row r="34" spans="1:13" ht="31.5">
      <c r="A34" s="437"/>
      <c r="B34" s="245"/>
      <c r="C34" s="299" t="s">
        <v>121</v>
      </c>
      <c r="D34" s="233" t="s">
        <v>31</v>
      </c>
      <c r="E34" s="437">
        <f>6.6/1000</f>
        <v>0.0066</v>
      </c>
      <c r="F34" s="303">
        <f>E34*F32</f>
        <v>47.460533999999996</v>
      </c>
      <c r="G34" s="303"/>
      <c r="H34" s="303"/>
      <c r="I34" s="303"/>
      <c r="J34" s="303"/>
      <c r="K34" s="303"/>
      <c r="L34" s="303">
        <f>F34*K34</f>
        <v>0</v>
      </c>
      <c r="M34" s="303">
        <f>L34</f>
        <v>0</v>
      </c>
    </row>
    <row r="35" spans="1:13" ht="31.5">
      <c r="A35" s="437"/>
      <c r="B35" s="436"/>
      <c r="C35" s="412" t="s">
        <v>32</v>
      </c>
      <c r="D35" s="233" t="s">
        <v>30</v>
      </c>
      <c r="E35" s="296"/>
      <c r="F35" s="303">
        <f>F34</f>
        <v>47.460533999999996</v>
      </c>
      <c r="G35" s="303"/>
      <c r="H35" s="303">
        <f>F35*G35</f>
        <v>0</v>
      </c>
      <c r="I35" s="303"/>
      <c r="J35" s="303"/>
      <c r="K35" s="303"/>
      <c r="L35" s="303"/>
      <c r="M35" s="303">
        <f>H35</f>
        <v>0</v>
      </c>
    </row>
    <row r="36" spans="1:13" ht="31.5">
      <c r="A36" s="437"/>
      <c r="B36" s="245"/>
      <c r="C36" s="412" t="s">
        <v>122</v>
      </c>
      <c r="D36" s="233" t="s">
        <v>31</v>
      </c>
      <c r="E36" s="437">
        <f>6.6/1000</f>
        <v>0.0066</v>
      </c>
      <c r="F36" s="303">
        <f>E36*F32</f>
        <v>47.460533999999996</v>
      </c>
      <c r="G36" s="303"/>
      <c r="H36" s="303"/>
      <c r="I36" s="303"/>
      <c r="J36" s="303"/>
      <c r="K36" s="303"/>
      <c r="L36" s="303">
        <f>F36*K36</f>
        <v>0</v>
      </c>
      <c r="M36" s="303">
        <f>L36</f>
        <v>0</v>
      </c>
    </row>
    <row r="37" spans="1:13" ht="31.5">
      <c r="A37" s="437"/>
      <c r="B37" s="436"/>
      <c r="C37" s="412" t="s">
        <v>32</v>
      </c>
      <c r="D37" s="233" t="s">
        <v>30</v>
      </c>
      <c r="E37" s="296"/>
      <c r="F37" s="303">
        <f>F36</f>
        <v>47.460533999999996</v>
      </c>
      <c r="G37" s="303"/>
      <c r="H37" s="303">
        <f>F37*G37</f>
        <v>0</v>
      </c>
      <c r="I37" s="303"/>
      <c r="J37" s="303"/>
      <c r="K37" s="303"/>
      <c r="L37" s="303"/>
      <c r="M37" s="303">
        <f>H37</f>
        <v>0</v>
      </c>
    </row>
    <row r="38" spans="1:13" ht="31.5">
      <c r="A38" s="437"/>
      <c r="B38" s="245"/>
      <c r="C38" s="299" t="s">
        <v>123</v>
      </c>
      <c r="D38" s="233" t="s">
        <v>31</v>
      </c>
      <c r="E38" s="437">
        <f>18.6/1000</f>
        <v>0.018600000000000002</v>
      </c>
      <c r="F38" s="303">
        <f>E38*F32</f>
        <v>133.75241400000002</v>
      </c>
      <c r="G38" s="303"/>
      <c r="H38" s="303"/>
      <c r="I38" s="303"/>
      <c r="J38" s="303"/>
      <c r="K38" s="303"/>
      <c r="L38" s="303">
        <f>F38*K38</f>
        <v>0</v>
      </c>
      <c r="M38" s="303">
        <f>L38</f>
        <v>0</v>
      </c>
    </row>
    <row r="39" spans="1:13" ht="31.5">
      <c r="A39" s="437"/>
      <c r="B39" s="436"/>
      <c r="C39" s="412" t="s">
        <v>32</v>
      </c>
      <c r="D39" s="233" t="s">
        <v>30</v>
      </c>
      <c r="E39" s="296"/>
      <c r="F39" s="303">
        <f>F38</f>
        <v>133.75241400000002</v>
      </c>
      <c r="G39" s="303"/>
      <c r="H39" s="303">
        <f>F39*G39</f>
        <v>0</v>
      </c>
      <c r="I39" s="303"/>
      <c r="J39" s="303"/>
      <c r="K39" s="303"/>
      <c r="L39" s="303"/>
      <c r="M39" s="303">
        <f>H39</f>
        <v>0</v>
      </c>
    </row>
    <row r="40" spans="1:13" ht="31.5">
      <c r="A40" s="437"/>
      <c r="B40" s="245"/>
      <c r="C40" s="299" t="s">
        <v>124</v>
      </c>
      <c r="D40" s="233" t="s">
        <v>31</v>
      </c>
      <c r="E40" s="439">
        <f>6.7/1000</f>
        <v>0.0067</v>
      </c>
      <c r="F40" s="303">
        <f>E40*F32</f>
        <v>48.179633</v>
      </c>
      <c r="G40" s="303"/>
      <c r="H40" s="303"/>
      <c r="I40" s="303"/>
      <c r="J40" s="303"/>
      <c r="K40" s="303"/>
      <c r="L40" s="303">
        <f>F40*K40</f>
        <v>0</v>
      </c>
      <c r="M40" s="303">
        <f>L40</f>
        <v>0</v>
      </c>
    </row>
    <row r="41" spans="1:13" ht="31.5">
      <c r="A41" s="437"/>
      <c r="B41" s="436"/>
      <c r="C41" s="412" t="s">
        <v>32</v>
      </c>
      <c r="D41" s="233" t="s">
        <v>30</v>
      </c>
      <c r="E41" s="296"/>
      <c r="F41" s="303">
        <f>F40</f>
        <v>48.179633</v>
      </c>
      <c r="G41" s="303"/>
      <c r="H41" s="303">
        <f>F41*G41</f>
        <v>0</v>
      </c>
      <c r="I41" s="303"/>
      <c r="J41" s="303"/>
      <c r="K41" s="303"/>
      <c r="L41" s="303"/>
      <c r="M41" s="303">
        <f>H41</f>
        <v>0</v>
      </c>
    </row>
    <row r="42" spans="1:13" ht="15.75">
      <c r="A42" s="437"/>
      <c r="B42" s="436"/>
      <c r="C42" s="299" t="s">
        <v>39</v>
      </c>
      <c r="D42" s="296" t="s">
        <v>34</v>
      </c>
      <c r="E42" s="296">
        <f>22.9/1000</f>
        <v>0.0229</v>
      </c>
      <c r="F42" s="303">
        <f>E42*F32</f>
        <v>164.67367099999998</v>
      </c>
      <c r="G42" s="303"/>
      <c r="H42" s="303"/>
      <c r="I42" s="303"/>
      <c r="J42" s="303"/>
      <c r="K42" s="303"/>
      <c r="L42" s="303">
        <f>F42*K42</f>
        <v>0</v>
      </c>
      <c r="M42" s="303">
        <f>L42</f>
        <v>0</v>
      </c>
    </row>
    <row r="43" spans="1:13" ht="18">
      <c r="A43" s="437"/>
      <c r="B43" s="436"/>
      <c r="C43" s="299" t="s">
        <v>319</v>
      </c>
      <c r="D43" s="296" t="s">
        <v>315</v>
      </c>
      <c r="E43" s="440" t="s">
        <v>68</v>
      </c>
      <c r="F43" s="303">
        <v>1150.56</v>
      </c>
      <c r="G43" s="303"/>
      <c r="H43" s="303"/>
      <c r="I43" s="303"/>
      <c r="J43" s="303">
        <f>F43*I43</f>
        <v>0</v>
      </c>
      <c r="K43" s="303"/>
      <c r="L43" s="303"/>
      <c r="M43" s="303">
        <f>J43</f>
        <v>0</v>
      </c>
    </row>
    <row r="44" spans="1:13" ht="31.5">
      <c r="A44" s="437"/>
      <c r="B44" s="436"/>
      <c r="C44" s="299" t="s">
        <v>320</v>
      </c>
      <c r="D44" s="296" t="s">
        <v>35</v>
      </c>
      <c r="E44" s="441" t="s">
        <v>68</v>
      </c>
      <c r="F44" s="442">
        <v>28.41</v>
      </c>
      <c r="G44" s="303"/>
      <c r="H44" s="303"/>
      <c r="I44" s="303"/>
      <c r="J44" s="303">
        <f>F44*I44</f>
        <v>0</v>
      </c>
      <c r="K44" s="303"/>
      <c r="L44" s="303"/>
      <c r="M44" s="303">
        <f>J44</f>
        <v>0</v>
      </c>
    </row>
    <row r="45" spans="1:13" ht="15.75">
      <c r="A45" s="437"/>
      <c r="B45" s="436"/>
      <c r="C45" s="299" t="s">
        <v>125</v>
      </c>
      <c r="D45" s="296" t="s">
        <v>35</v>
      </c>
      <c r="E45" s="296">
        <f>0.11/1000</f>
        <v>0.00011</v>
      </c>
      <c r="F45" s="442">
        <f>E45*F32</f>
        <v>0.7910089</v>
      </c>
      <c r="G45" s="303"/>
      <c r="H45" s="303"/>
      <c r="I45" s="303"/>
      <c r="J45" s="303">
        <f>F45*I45</f>
        <v>0</v>
      </c>
      <c r="K45" s="303"/>
      <c r="L45" s="303"/>
      <c r="M45" s="303">
        <f>J45</f>
        <v>0</v>
      </c>
    </row>
    <row r="46" spans="1:13" ht="15.75">
      <c r="A46" s="437"/>
      <c r="B46" s="245"/>
      <c r="C46" s="299" t="s">
        <v>126</v>
      </c>
      <c r="D46" s="296" t="s">
        <v>35</v>
      </c>
      <c r="E46" s="296">
        <f>0.5/1000</f>
        <v>0.0005</v>
      </c>
      <c r="F46" s="442">
        <f>E46*F32</f>
        <v>3.595495</v>
      </c>
      <c r="G46" s="303"/>
      <c r="H46" s="303"/>
      <c r="I46" s="303"/>
      <c r="J46" s="303">
        <f>F46*I46</f>
        <v>0</v>
      </c>
      <c r="K46" s="303"/>
      <c r="L46" s="303"/>
      <c r="M46" s="303">
        <f>J46</f>
        <v>0</v>
      </c>
    </row>
    <row r="47" spans="1:13" ht="15.75">
      <c r="A47" s="443"/>
      <c r="B47" s="444"/>
      <c r="C47" s="306" t="s">
        <v>40</v>
      </c>
      <c r="D47" s="305" t="s">
        <v>34</v>
      </c>
      <c r="E47" s="305">
        <f>18.5/1000</f>
        <v>0.0185</v>
      </c>
      <c r="F47" s="445">
        <f>E47*F32</f>
        <v>133.033315</v>
      </c>
      <c r="G47" s="445"/>
      <c r="H47" s="445"/>
      <c r="I47" s="445"/>
      <c r="J47" s="445">
        <f>F47*I47</f>
        <v>0</v>
      </c>
      <c r="K47" s="445"/>
      <c r="L47" s="445"/>
      <c r="M47" s="445">
        <f>J47</f>
        <v>0</v>
      </c>
    </row>
    <row r="48" spans="1:13" ht="47.25">
      <c r="A48" s="437">
        <v>3</v>
      </c>
      <c r="B48" s="446" t="s">
        <v>176</v>
      </c>
      <c r="C48" s="299" t="s">
        <v>175</v>
      </c>
      <c r="D48" s="437" t="s">
        <v>157</v>
      </c>
      <c r="E48" s="296"/>
      <c r="F48" s="447">
        <v>1653</v>
      </c>
      <c r="G48" s="303"/>
      <c r="H48" s="303"/>
      <c r="I48" s="303"/>
      <c r="J48" s="303"/>
      <c r="K48" s="303"/>
      <c r="L48" s="303"/>
      <c r="M48" s="303"/>
    </row>
    <row r="49" spans="1:13" ht="31.5">
      <c r="A49" s="437"/>
      <c r="B49" s="436"/>
      <c r="C49" s="412" t="s">
        <v>29</v>
      </c>
      <c r="D49" s="233" t="s">
        <v>30</v>
      </c>
      <c r="E49" s="296">
        <f>10.3/100</f>
        <v>0.10300000000000001</v>
      </c>
      <c r="F49" s="303">
        <f>E49*F48</f>
        <v>170.25900000000001</v>
      </c>
      <c r="G49" s="303"/>
      <c r="H49" s="303">
        <f>F49*G49</f>
        <v>0</v>
      </c>
      <c r="I49" s="303"/>
      <c r="J49" s="303"/>
      <c r="K49" s="303"/>
      <c r="L49" s="303"/>
      <c r="M49" s="303">
        <f>H49</f>
        <v>0</v>
      </c>
    </row>
    <row r="50" spans="1:13" ht="47.25">
      <c r="A50" s="437"/>
      <c r="B50" s="436"/>
      <c r="C50" s="299" t="s">
        <v>177</v>
      </c>
      <c r="D50" s="233" t="s">
        <v>31</v>
      </c>
      <c r="E50" s="437">
        <f>3.79/100</f>
        <v>0.0379</v>
      </c>
      <c r="F50" s="303">
        <f>E50*F48</f>
        <v>62.648700000000005</v>
      </c>
      <c r="G50" s="303"/>
      <c r="H50" s="303"/>
      <c r="I50" s="303"/>
      <c r="J50" s="303"/>
      <c r="K50" s="303"/>
      <c r="L50" s="303">
        <f>F50*K50</f>
        <v>0</v>
      </c>
      <c r="M50" s="303">
        <f>L50</f>
        <v>0</v>
      </c>
    </row>
    <row r="51" spans="1:13" ht="31.5">
      <c r="A51" s="437"/>
      <c r="B51" s="436"/>
      <c r="C51" s="412" t="s">
        <v>32</v>
      </c>
      <c r="D51" s="233" t="s">
        <v>30</v>
      </c>
      <c r="E51" s="296"/>
      <c r="F51" s="303">
        <f>F50</f>
        <v>62.648700000000005</v>
      </c>
      <c r="G51" s="303"/>
      <c r="H51" s="303">
        <f>F51*G51</f>
        <v>0</v>
      </c>
      <c r="I51" s="303"/>
      <c r="J51" s="303"/>
      <c r="K51" s="303"/>
      <c r="L51" s="303"/>
      <c r="M51" s="303">
        <f>H51</f>
        <v>0</v>
      </c>
    </row>
    <row r="52" spans="1:13" ht="15.75">
      <c r="A52" s="443"/>
      <c r="B52" s="444"/>
      <c r="C52" s="435" t="s">
        <v>178</v>
      </c>
      <c r="D52" s="236" t="s">
        <v>157</v>
      </c>
      <c r="E52" s="294">
        <f>6.82/100</f>
        <v>0.0682</v>
      </c>
      <c r="F52" s="236">
        <f>E52*F48</f>
        <v>112.7346</v>
      </c>
      <c r="G52" s="236"/>
      <c r="H52" s="445"/>
      <c r="I52" s="445"/>
      <c r="J52" s="445">
        <f>F52*I52</f>
        <v>0</v>
      </c>
      <c r="K52" s="445"/>
      <c r="L52" s="445"/>
      <c r="M52" s="445">
        <f>J52</f>
        <v>0</v>
      </c>
    </row>
    <row r="53" spans="1:13" ht="110.25">
      <c r="A53" s="437">
        <v>4</v>
      </c>
      <c r="B53" s="245" t="s">
        <v>151</v>
      </c>
      <c r="C53" s="299" t="s">
        <v>179</v>
      </c>
      <c r="D53" s="437" t="s">
        <v>315</v>
      </c>
      <c r="E53" s="296"/>
      <c r="F53" s="447">
        <v>189.94</v>
      </c>
      <c r="G53" s="303"/>
      <c r="H53" s="303"/>
      <c r="I53" s="303"/>
      <c r="J53" s="303"/>
      <c r="K53" s="303"/>
      <c r="L53" s="303"/>
      <c r="M53" s="303"/>
    </row>
    <row r="54" spans="1:14" ht="31.5">
      <c r="A54" s="448"/>
      <c r="B54" s="245"/>
      <c r="C54" s="383" t="s">
        <v>29</v>
      </c>
      <c r="D54" s="233" t="s">
        <v>30</v>
      </c>
      <c r="E54" s="233">
        <v>0.15</v>
      </c>
      <c r="F54" s="233">
        <f>E54*F53</f>
        <v>28.491</v>
      </c>
      <c r="G54" s="233"/>
      <c r="H54" s="233">
        <f>F54*G54</f>
        <v>0</v>
      </c>
      <c r="I54" s="224"/>
      <c r="J54" s="224"/>
      <c r="K54" s="224"/>
      <c r="L54" s="224"/>
      <c r="M54" s="233">
        <f>H54</f>
        <v>0</v>
      </c>
      <c r="N54" s="449"/>
    </row>
    <row r="55" spans="1:13" ht="31.5">
      <c r="A55" s="245"/>
      <c r="B55" s="245"/>
      <c r="C55" s="383" t="s">
        <v>59</v>
      </c>
      <c r="D55" s="233" t="s">
        <v>31</v>
      </c>
      <c r="E55" s="233">
        <f>2.16/100</f>
        <v>0.0216</v>
      </c>
      <c r="F55" s="233">
        <f>E55*F53</f>
        <v>4.102704</v>
      </c>
      <c r="G55" s="233"/>
      <c r="H55" s="224"/>
      <c r="I55" s="224"/>
      <c r="J55" s="224"/>
      <c r="K55" s="233"/>
      <c r="L55" s="233">
        <f>F55*K55</f>
        <v>0</v>
      </c>
      <c r="M55" s="233">
        <f>L55</f>
        <v>0</v>
      </c>
    </row>
    <row r="56" spans="1:13" ht="31.5">
      <c r="A56" s="245"/>
      <c r="B56" s="245"/>
      <c r="C56" s="383" t="s">
        <v>32</v>
      </c>
      <c r="D56" s="233" t="s">
        <v>30</v>
      </c>
      <c r="E56" s="233"/>
      <c r="F56" s="233">
        <f>F55</f>
        <v>4.102704</v>
      </c>
      <c r="G56" s="233"/>
      <c r="H56" s="233">
        <f>F56*G56</f>
        <v>0</v>
      </c>
      <c r="I56" s="224"/>
      <c r="J56" s="224"/>
      <c r="K56" s="224"/>
      <c r="L56" s="233"/>
      <c r="M56" s="233">
        <f>H56</f>
        <v>0</v>
      </c>
    </row>
    <row r="57" spans="1:13" ht="47.25">
      <c r="A57" s="245"/>
      <c r="B57" s="245"/>
      <c r="C57" s="383" t="s">
        <v>152</v>
      </c>
      <c r="D57" s="233" t="s">
        <v>31</v>
      </c>
      <c r="E57" s="233">
        <f>2.73/100</f>
        <v>0.0273</v>
      </c>
      <c r="F57" s="233">
        <f>E57*F53</f>
        <v>5.1853620000000005</v>
      </c>
      <c r="G57" s="233"/>
      <c r="H57" s="233"/>
      <c r="I57" s="224"/>
      <c r="J57" s="224"/>
      <c r="K57" s="233"/>
      <c r="L57" s="233">
        <f>F57*K57</f>
        <v>0</v>
      </c>
      <c r="M57" s="233">
        <f>L57</f>
        <v>0</v>
      </c>
    </row>
    <row r="58" spans="1:13" ht="31.5">
      <c r="A58" s="245"/>
      <c r="B58" s="245"/>
      <c r="C58" s="383" t="s">
        <v>32</v>
      </c>
      <c r="D58" s="233" t="s">
        <v>30</v>
      </c>
      <c r="E58" s="233"/>
      <c r="F58" s="233">
        <f>F57</f>
        <v>5.1853620000000005</v>
      </c>
      <c r="G58" s="233"/>
      <c r="H58" s="233">
        <f>F58*G58</f>
        <v>0</v>
      </c>
      <c r="I58" s="224"/>
      <c r="J58" s="224"/>
      <c r="K58" s="224"/>
      <c r="L58" s="233"/>
      <c r="M58" s="233">
        <f>H58</f>
        <v>0</v>
      </c>
    </row>
    <row r="59" spans="1:13" ht="31.5">
      <c r="A59" s="245"/>
      <c r="B59" s="245"/>
      <c r="C59" s="383" t="s">
        <v>33</v>
      </c>
      <c r="D59" s="233" t="s">
        <v>31</v>
      </c>
      <c r="E59" s="233">
        <f>0.97/100</f>
        <v>0.0097</v>
      </c>
      <c r="F59" s="233">
        <f>E59*F53</f>
        <v>1.8424180000000001</v>
      </c>
      <c r="G59" s="233"/>
      <c r="H59" s="233"/>
      <c r="I59" s="224"/>
      <c r="J59" s="224"/>
      <c r="K59" s="233"/>
      <c r="L59" s="233">
        <f>F59*K59</f>
        <v>0</v>
      </c>
      <c r="M59" s="233">
        <f>L59</f>
        <v>0</v>
      </c>
    </row>
    <row r="60" spans="1:13" ht="31.5">
      <c r="A60" s="245"/>
      <c r="B60" s="245"/>
      <c r="C60" s="383" t="s">
        <v>32</v>
      </c>
      <c r="D60" s="233" t="s">
        <v>30</v>
      </c>
      <c r="E60" s="233"/>
      <c r="F60" s="233">
        <f>F59</f>
        <v>1.8424180000000001</v>
      </c>
      <c r="G60" s="233"/>
      <c r="H60" s="233">
        <f>F60*G60</f>
        <v>0</v>
      </c>
      <c r="I60" s="224"/>
      <c r="J60" s="224"/>
      <c r="K60" s="224"/>
      <c r="L60" s="233"/>
      <c r="M60" s="233">
        <f>H60</f>
        <v>0</v>
      </c>
    </row>
    <row r="61" spans="1:13" s="563" customFormat="1" ht="18">
      <c r="A61" s="559"/>
      <c r="B61" s="559"/>
      <c r="C61" s="560" t="s">
        <v>153</v>
      </c>
      <c r="D61" s="561" t="s">
        <v>315</v>
      </c>
      <c r="E61" s="561">
        <v>1.22</v>
      </c>
      <c r="F61" s="561">
        <v>231.72</v>
      </c>
      <c r="G61" s="561"/>
      <c r="H61" s="561"/>
      <c r="I61" s="561"/>
      <c r="J61" s="561">
        <f>F61*I61</f>
        <v>0</v>
      </c>
      <c r="K61" s="562"/>
      <c r="L61" s="561"/>
      <c r="M61" s="561">
        <f>J61</f>
        <v>0</v>
      </c>
    </row>
    <row r="62" spans="1:13" ht="31.5">
      <c r="A62" s="245"/>
      <c r="B62" s="245"/>
      <c r="C62" s="383" t="s">
        <v>180</v>
      </c>
      <c r="D62" s="233" t="s">
        <v>315</v>
      </c>
      <c r="E62" s="440" t="s">
        <v>68</v>
      </c>
      <c r="F62" s="233">
        <v>181</v>
      </c>
      <c r="G62" s="233"/>
      <c r="H62" s="233"/>
      <c r="I62" s="233"/>
      <c r="J62" s="233">
        <f>F62*I62</f>
        <v>0</v>
      </c>
      <c r="K62" s="224"/>
      <c r="L62" s="233"/>
      <c r="M62" s="233">
        <f>J62</f>
        <v>0</v>
      </c>
    </row>
    <row r="63" spans="1:13" ht="18">
      <c r="A63" s="279"/>
      <c r="B63" s="279"/>
      <c r="C63" s="435" t="s">
        <v>60</v>
      </c>
      <c r="D63" s="236" t="s">
        <v>315</v>
      </c>
      <c r="E63" s="236">
        <f>7/100</f>
        <v>0.07</v>
      </c>
      <c r="F63" s="236">
        <f>E63*F53</f>
        <v>13.295800000000002</v>
      </c>
      <c r="G63" s="236"/>
      <c r="H63" s="236"/>
      <c r="I63" s="236"/>
      <c r="J63" s="236">
        <f>F63*I63</f>
        <v>0</v>
      </c>
      <c r="K63" s="234"/>
      <c r="L63" s="236"/>
      <c r="M63" s="236">
        <f>J63</f>
        <v>0</v>
      </c>
    </row>
    <row r="64" spans="1:13" ht="70.5" customHeight="1">
      <c r="A64" s="450"/>
      <c r="B64" s="451"/>
      <c r="C64" s="452" t="s">
        <v>304</v>
      </c>
      <c r="D64" s="453"/>
      <c r="E64" s="453"/>
      <c r="F64" s="454"/>
      <c r="G64" s="454"/>
      <c r="H64" s="454"/>
      <c r="I64" s="454"/>
      <c r="J64" s="454"/>
      <c r="K64" s="454"/>
      <c r="L64" s="445"/>
      <c r="M64" s="445"/>
    </row>
    <row r="65" spans="1:13" ht="63">
      <c r="A65" s="244">
        <v>5</v>
      </c>
      <c r="B65" s="283" t="s">
        <v>108</v>
      </c>
      <c r="C65" s="250" t="s">
        <v>183</v>
      </c>
      <c r="D65" s="247" t="s">
        <v>315</v>
      </c>
      <c r="E65" s="232"/>
      <c r="F65" s="248">
        <v>233.82</v>
      </c>
      <c r="G65" s="249"/>
      <c r="H65" s="247"/>
      <c r="I65" s="232"/>
      <c r="J65" s="249"/>
      <c r="K65" s="232"/>
      <c r="L65" s="247"/>
      <c r="M65" s="232"/>
    </row>
    <row r="66" spans="1:13" ht="31.5">
      <c r="A66" s="244"/>
      <c r="B66" s="283"/>
      <c r="C66" s="383" t="s">
        <v>29</v>
      </c>
      <c r="D66" s="233" t="s">
        <v>30</v>
      </c>
      <c r="E66" s="256">
        <v>0.143</v>
      </c>
      <c r="F66" s="233">
        <f>E66*F65</f>
        <v>33.43626</v>
      </c>
      <c r="G66" s="233"/>
      <c r="H66" s="233">
        <f>F66*G66</f>
        <v>0</v>
      </c>
      <c r="I66" s="224"/>
      <c r="J66" s="224"/>
      <c r="K66" s="224"/>
      <c r="L66" s="224"/>
      <c r="M66" s="233">
        <f>H66</f>
        <v>0</v>
      </c>
    </row>
    <row r="67" spans="1:13" ht="31.5">
      <c r="A67" s="245"/>
      <c r="B67" s="245"/>
      <c r="C67" s="383" t="s">
        <v>59</v>
      </c>
      <c r="D67" s="233" t="s">
        <v>31</v>
      </c>
      <c r="E67" s="256">
        <f>2.39/100</f>
        <v>0.0239</v>
      </c>
      <c r="F67" s="233">
        <f>E67*F65</f>
        <v>5.588298</v>
      </c>
      <c r="G67" s="233"/>
      <c r="H67" s="224"/>
      <c r="I67" s="224"/>
      <c r="J67" s="224"/>
      <c r="K67" s="233"/>
      <c r="L67" s="233">
        <f>F67*K67</f>
        <v>0</v>
      </c>
      <c r="M67" s="233">
        <f>L67</f>
        <v>0</v>
      </c>
    </row>
    <row r="68" spans="1:13" ht="31.5">
      <c r="A68" s="245"/>
      <c r="B68" s="245"/>
      <c r="C68" s="383" t="s">
        <v>32</v>
      </c>
      <c r="D68" s="233" t="s">
        <v>30</v>
      </c>
      <c r="E68" s="256"/>
      <c r="F68" s="233">
        <f>F67</f>
        <v>5.588298</v>
      </c>
      <c r="G68" s="233"/>
      <c r="H68" s="233">
        <f>F68*G68</f>
        <v>0</v>
      </c>
      <c r="I68" s="224"/>
      <c r="J68" s="224"/>
      <c r="K68" s="233"/>
      <c r="L68" s="233"/>
      <c r="M68" s="233">
        <f>H68</f>
        <v>0</v>
      </c>
    </row>
    <row r="69" spans="1:13" ht="31.5">
      <c r="A69" s="275"/>
      <c r="B69" s="245"/>
      <c r="C69" s="285" t="s">
        <v>109</v>
      </c>
      <c r="D69" s="233" t="s">
        <v>31</v>
      </c>
      <c r="E69" s="275">
        <f>1.38/100</f>
        <v>0.0138</v>
      </c>
      <c r="F69" s="232">
        <f>E69*F65</f>
        <v>3.2267159999999997</v>
      </c>
      <c r="G69" s="232"/>
      <c r="H69" s="232"/>
      <c r="I69" s="232"/>
      <c r="J69" s="232"/>
      <c r="K69" s="232"/>
      <c r="L69" s="232">
        <f>F69*K69</f>
        <v>0</v>
      </c>
      <c r="M69" s="232">
        <f>L69</f>
        <v>0</v>
      </c>
    </row>
    <row r="70" spans="1:13" ht="31.5">
      <c r="A70" s="244"/>
      <c r="B70" s="283"/>
      <c r="C70" s="383" t="s">
        <v>32</v>
      </c>
      <c r="D70" s="233" t="s">
        <v>30</v>
      </c>
      <c r="E70" s="384"/>
      <c r="F70" s="385">
        <f>F69</f>
        <v>3.2267159999999997</v>
      </c>
      <c r="G70" s="249"/>
      <c r="H70" s="247">
        <f>F70*G70</f>
        <v>0</v>
      </c>
      <c r="I70" s="232"/>
      <c r="J70" s="249"/>
      <c r="K70" s="232"/>
      <c r="L70" s="247"/>
      <c r="M70" s="232">
        <f>H70</f>
        <v>0</v>
      </c>
    </row>
    <row r="71" spans="1:13" ht="31.5">
      <c r="A71" s="244"/>
      <c r="B71" s="245"/>
      <c r="C71" s="285" t="s">
        <v>110</v>
      </c>
      <c r="D71" s="233" t="s">
        <v>31</v>
      </c>
      <c r="E71" s="275">
        <f>1.38/100</f>
        <v>0.0138</v>
      </c>
      <c r="F71" s="385">
        <f>E71*F65</f>
        <v>3.2267159999999997</v>
      </c>
      <c r="G71" s="249"/>
      <c r="H71" s="247"/>
      <c r="I71" s="232"/>
      <c r="J71" s="249"/>
      <c r="K71" s="232"/>
      <c r="L71" s="247">
        <f>F71*K71</f>
        <v>0</v>
      </c>
      <c r="M71" s="232">
        <f>L71</f>
        <v>0</v>
      </c>
    </row>
    <row r="72" spans="1:13" ht="31.5">
      <c r="A72" s="244"/>
      <c r="B72" s="283"/>
      <c r="C72" s="383" t="s">
        <v>32</v>
      </c>
      <c r="D72" s="233" t="s">
        <v>30</v>
      </c>
      <c r="E72" s="384"/>
      <c r="F72" s="385">
        <f>F71</f>
        <v>3.2267159999999997</v>
      </c>
      <c r="G72" s="249"/>
      <c r="H72" s="247">
        <f>F72*G72</f>
        <v>0</v>
      </c>
      <c r="I72" s="232"/>
      <c r="J72" s="249"/>
      <c r="K72" s="232"/>
      <c r="L72" s="247"/>
      <c r="M72" s="232">
        <f>H72</f>
        <v>0</v>
      </c>
    </row>
    <row r="73" spans="1:13" ht="15.75">
      <c r="A73" s="244"/>
      <c r="B73" s="283"/>
      <c r="C73" s="285" t="s">
        <v>39</v>
      </c>
      <c r="D73" s="244" t="s">
        <v>34</v>
      </c>
      <c r="E73" s="275">
        <f>1.08/100</f>
        <v>0.0108</v>
      </c>
      <c r="F73" s="385">
        <f>E73*F65</f>
        <v>2.525256</v>
      </c>
      <c r="G73" s="249"/>
      <c r="H73" s="247"/>
      <c r="I73" s="232"/>
      <c r="J73" s="249"/>
      <c r="K73" s="232"/>
      <c r="L73" s="247">
        <f>F73*K73</f>
        <v>0</v>
      </c>
      <c r="M73" s="232">
        <f>L73</f>
        <v>0</v>
      </c>
    </row>
    <row r="74" spans="1:13" ht="63">
      <c r="A74" s="257"/>
      <c r="B74" s="258"/>
      <c r="C74" s="259" t="s">
        <v>111</v>
      </c>
      <c r="D74" s="226" t="s">
        <v>35</v>
      </c>
      <c r="E74" s="235"/>
      <c r="F74" s="228">
        <f>F65*1.8</f>
        <v>420.876</v>
      </c>
      <c r="G74" s="227"/>
      <c r="H74" s="226"/>
      <c r="I74" s="235"/>
      <c r="J74" s="227"/>
      <c r="K74" s="235"/>
      <c r="L74" s="226">
        <f>F74*K74</f>
        <v>0</v>
      </c>
      <c r="M74" s="235">
        <f>L74</f>
        <v>0</v>
      </c>
    </row>
    <row r="75" spans="1:13" ht="78.75">
      <c r="A75" s="244">
        <v>6</v>
      </c>
      <c r="B75" s="260" t="s">
        <v>112</v>
      </c>
      <c r="C75" s="250" t="s">
        <v>184</v>
      </c>
      <c r="D75" s="247" t="s">
        <v>315</v>
      </c>
      <c r="E75" s="232"/>
      <c r="F75" s="248">
        <v>25.98</v>
      </c>
      <c r="G75" s="249"/>
      <c r="H75" s="247"/>
      <c r="I75" s="232"/>
      <c r="J75" s="249"/>
      <c r="K75" s="232"/>
      <c r="L75" s="247"/>
      <c r="M75" s="232"/>
    </row>
    <row r="76" spans="1:13" ht="31.5">
      <c r="A76" s="245"/>
      <c r="B76" s="245"/>
      <c r="C76" s="250" t="s">
        <v>29</v>
      </c>
      <c r="D76" s="233" t="s">
        <v>30</v>
      </c>
      <c r="E76" s="233">
        <f>2.06+0.87</f>
        <v>2.93</v>
      </c>
      <c r="F76" s="233">
        <f>E76*F75</f>
        <v>76.12140000000001</v>
      </c>
      <c r="G76" s="251"/>
      <c r="H76" s="251">
        <f>F76*G76</f>
        <v>0</v>
      </c>
      <c r="I76" s="252"/>
      <c r="J76" s="252"/>
      <c r="K76" s="252"/>
      <c r="L76" s="252"/>
      <c r="M76" s="252">
        <f>H76</f>
        <v>0</v>
      </c>
    </row>
    <row r="77" spans="1:13" ht="31.5">
      <c r="A77" s="257"/>
      <c r="B77" s="258"/>
      <c r="C77" s="259" t="s">
        <v>114</v>
      </c>
      <c r="D77" s="226" t="s">
        <v>35</v>
      </c>
      <c r="E77" s="235"/>
      <c r="F77" s="228">
        <f>F75*1.8</f>
        <v>46.764</v>
      </c>
      <c r="G77" s="227"/>
      <c r="H77" s="226"/>
      <c r="I77" s="235"/>
      <c r="J77" s="227"/>
      <c r="K77" s="235"/>
      <c r="L77" s="226">
        <f>F77*K77</f>
        <v>0</v>
      </c>
      <c r="M77" s="235">
        <f>L77</f>
        <v>0</v>
      </c>
    </row>
    <row r="78" spans="1:13" ht="18">
      <c r="A78" s="261">
        <v>7</v>
      </c>
      <c r="B78" s="262" t="s">
        <v>113</v>
      </c>
      <c r="C78" s="223" t="s">
        <v>78</v>
      </c>
      <c r="D78" s="263" t="s">
        <v>315</v>
      </c>
      <c r="E78" s="264"/>
      <c r="F78" s="265">
        <f>F65+F75</f>
        <v>259.8</v>
      </c>
      <c r="G78" s="264"/>
      <c r="H78" s="264"/>
      <c r="I78" s="264"/>
      <c r="J78" s="264"/>
      <c r="K78" s="264"/>
      <c r="L78" s="264"/>
      <c r="M78" s="264"/>
    </row>
    <row r="79" spans="1:13" ht="31.5">
      <c r="A79" s="266"/>
      <c r="B79" s="266"/>
      <c r="C79" s="250" t="s">
        <v>29</v>
      </c>
      <c r="D79" s="233" t="s">
        <v>30</v>
      </c>
      <c r="E79" s="256">
        <f>3.23/1000</f>
        <v>0.00323</v>
      </c>
      <c r="F79" s="233">
        <f>E79*F78</f>
        <v>0.839154</v>
      </c>
      <c r="G79" s="267"/>
      <c r="H79" s="267">
        <f>F79*G79</f>
        <v>0</v>
      </c>
      <c r="I79" s="268"/>
      <c r="J79" s="268"/>
      <c r="K79" s="268"/>
      <c r="L79" s="268"/>
      <c r="M79" s="267">
        <f>H79</f>
        <v>0</v>
      </c>
    </row>
    <row r="80" spans="1:13" ht="15.75">
      <c r="A80" s="245"/>
      <c r="B80" s="245"/>
      <c r="C80" s="250" t="s">
        <v>77</v>
      </c>
      <c r="D80" s="233" t="s">
        <v>31</v>
      </c>
      <c r="E80" s="269">
        <f>3.62/1000</f>
        <v>0.00362</v>
      </c>
      <c r="F80" s="233">
        <f>E80*F78</f>
        <v>0.940476</v>
      </c>
      <c r="G80" s="233"/>
      <c r="H80" s="233"/>
      <c r="I80" s="233"/>
      <c r="J80" s="233"/>
      <c r="K80" s="233"/>
      <c r="L80" s="233">
        <f>F80*K80</f>
        <v>0</v>
      </c>
      <c r="M80" s="233">
        <f>L80</f>
        <v>0</v>
      </c>
    </row>
    <row r="81" spans="1:13" ht="31.5">
      <c r="A81" s="245"/>
      <c r="B81" s="245"/>
      <c r="C81" s="250" t="s">
        <v>32</v>
      </c>
      <c r="D81" s="233" t="s">
        <v>30</v>
      </c>
      <c r="E81" s="233"/>
      <c r="F81" s="233">
        <f>F80</f>
        <v>0.940476</v>
      </c>
      <c r="G81" s="233"/>
      <c r="H81" s="233">
        <f>F81*G81</f>
        <v>0</v>
      </c>
      <c r="I81" s="233"/>
      <c r="J81" s="233"/>
      <c r="K81" s="224"/>
      <c r="L81" s="224"/>
      <c r="M81" s="233">
        <f>H81</f>
        <v>0</v>
      </c>
    </row>
    <row r="82" spans="1:13" ht="15.75">
      <c r="A82" s="270"/>
      <c r="B82" s="270"/>
      <c r="C82" s="271" t="s">
        <v>39</v>
      </c>
      <c r="D82" s="270" t="s">
        <v>34</v>
      </c>
      <c r="E82" s="272">
        <f>0.18/1000</f>
        <v>0.00017999999999999998</v>
      </c>
      <c r="F82" s="236">
        <f>E82*F78</f>
        <v>0.046764</v>
      </c>
      <c r="G82" s="270"/>
      <c r="H82" s="270"/>
      <c r="I82" s="270"/>
      <c r="J82" s="270"/>
      <c r="K82" s="273"/>
      <c r="L82" s="236">
        <f>F82*K82</f>
        <v>0</v>
      </c>
      <c r="M82" s="236">
        <f>L82</f>
        <v>0</v>
      </c>
    </row>
    <row r="83" spans="1:13" ht="47.25">
      <c r="A83" s="245" t="s">
        <v>181</v>
      </c>
      <c r="B83" s="383" t="s">
        <v>116</v>
      </c>
      <c r="C83" s="383" t="s">
        <v>154</v>
      </c>
      <c r="D83" s="233" t="s">
        <v>316</v>
      </c>
      <c r="E83" s="233"/>
      <c r="F83" s="292">
        <v>860.8</v>
      </c>
      <c r="G83" s="292"/>
      <c r="H83" s="292"/>
      <c r="I83" s="292"/>
      <c r="J83" s="262"/>
      <c r="K83" s="262"/>
      <c r="L83" s="262"/>
      <c r="M83" s="262"/>
    </row>
    <row r="84" spans="1:13" ht="31.5">
      <c r="A84" s="245"/>
      <c r="B84" s="245"/>
      <c r="C84" s="383" t="s">
        <v>29</v>
      </c>
      <c r="D84" s="233" t="s">
        <v>30</v>
      </c>
      <c r="E84" s="256">
        <f>3.3/100</f>
        <v>0.033</v>
      </c>
      <c r="F84" s="233">
        <f>E84*F83</f>
        <v>28.4064</v>
      </c>
      <c r="G84" s="233"/>
      <c r="H84" s="233">
        <f>F84*G84</f>
        <v>0</v>
      </c>
      <c r="I84" s="233"/>
      <c r="J84" s="224"/>
      <c r="K84" s="224"/>
      <c r="L84" s="224"/>
      <c r="M84" s="233">
        <f>H84</f>
        <v>0</v>
      </c>
    </row>
    <row r="85" spans="1:13" ht="31.5">
      <c r="A85" s="245"/>
      <c r="B85" s="245"/>
      <c r="C85" s="383" t="s">
        <v>59</v>
      </c>
      <c r="D85" s="233" t="s">
        <v>31</v>
      </c>
      <c r="E85" s="269">
        <f>0.042/100</f>
        <v>0.00042</v>
      </c>
      <c r="F85" s="233">
        <f>E85*F83</f>
        <v>0.36153599999999997</v>
      </c>
      <c r="G85" s="233"/>
      <c r="H85" s="233"/>
      <c r="I85" s="233"/>
      <c r="J85" s="224"/>
      <c r="K85" s="233"/>
      <c r="L85" s="233">
        <f>F85*K85</f>
        <v>0</v>
      </c>
      <c r="M85" s="233">
        <f>L85</f>
        <v>0</v>
      </c>
    </row>
    <row r="86" spans="1:13" ht="31.5">
      <c r="A86" s="245"/>
      <c r="B86" s="245"/>
      <c r="C86" s="383" t="s">
        <v>32</v>
      </c>
      <c r="D86" s="233" t="s">
        <v>30</v>
      </c>
      <c r="E86" s="233"/>
      <c r="F86" s="233">
        <f>F85</f>
        <v>0.36153599999999997</v>
      </c>
      <c r="G86" s="233"/>
      <c r="H86" s="233">
        <f>F86*G86</f>
        <v>0</v>
      </c>
      <c r="I86" s="233"/>
      <c r="J86" s="224"/>
      <c r="K86" s="224"/>
      <c r="L86" s="233"/>
      <c r="M86" s="233">
        <f>H86</f>
        <v>0</v>
      </c>
    </row>
    <row r="87" spans="1:13" ht="15.75">
      <c r="A87" s="245"/>
      <c r="B87" s="245"/>
      <c r="C87" s="383" t="s">
        <v>104</v>
      </c>
      <c r="D87" s="233" t="s">
        <v>31</v>
      </c>
      <c r="E87" s="269">
        <f>0.258/100</f>
        <v>0.0025800000000000003</v>
      </c>
      <c r="F87" s="233">
        <f>E87*F83</f>
        <v>2.220864</v>
      </c>
      <c r="G87" s="233"/>
      <c r="H87" s="233"/>
      <c r="I87" s="233"/>
      <c r="J87" s="224"/>
      <c r="K87" s="233"/>
      <c r="L87" s="233">
        <f>F87*K87</f>
        <v>0</v>
      </c>
      <c r="M87" s="233">
        <f>L87</f>
        <v>0</v>
      </c>
    </row>
    <row r="88" spans="1:13" ht="31.5">
      <c r="A88" s="245"/>
      <c r="B88" s="245"/>
      <c r="C88" s="383" t="s">
        <v>32</v>
      </c>
      <c r="D88" s="233" t="s">
        <v>30</v>
      </c>
      <c r="E88" s="233"/>
      <c r="F88" s="233">
        <f>F87</f>
        <v>2.220864</v>
      </c>
      <c r="G88" s="233"/>
      <c r="H88" s="233">
        <f>F88*G88</f>
        <v>0</v>
      </c>
      <c r="I88" s="233"/>
      <c r="J88" s="224"/>
      <c r="K88" s="224"/>
      <c r="L88" s="233"/>
      <c r="M88" s="233">
        <f>H88</f>
        <v>0</v>
      </c>
    </row>
    <row r="89" spans="1:13" ht="31.5">
      <c r="A89" s="245"/>
      <c r="B89" s="245"/>
      <c r="C89" s="383" t="s">
        <v>61</v>
      </c>
      <c r="D89" s="233" t="s">
        <v>31</v>
      </c>
      <c r="E89" s="256">
        <f>1.12/100</f>
        <v>0.011200000000000002</v>
      </c>
      <c r="F89" s="233">
        <f>E89*F83</f>
        <v>9.640960000000002</v>
      </c>
      <c r="G89" s="233"/>
      <c r="H89" s="233"/>
      <c r="I89" s="233"/>
      <c r="J89" s="224"/>
      <c r="K89" s="233"/>
      <c r="L89" s="233">
        <f>F89*K89</f>
        <v>0</v>
      </c>
      <c r="M89" s="233">
        <f>L89</f>
        <v>0</v>
      </c>
    </row>
    <row r="90" spans="1:13" ht="31.5">
      <c r="A90" s="245"/>
      <c r="B90" s="245"/>
      <c r="C90" s="383" t="s">
        <v>32</v>
      </c>
      <c r="D90" s="233" t="s">
        <v>30</v>
      </c>
      <c r="E90" s="233"/>
      <c r="F90" s="233">
        <f>F89</f>
        <v>9.640960000000002</v>
      </c>
      <c r="G90" s="233"/>
      <c r="H90" s="233">
        <f>F90*G90</f>
        <v>0</v>
      </c>
      <c r="I90" s="233"/>
      <c r="J90" s="224"/>
      <c r="K90" s="224"/>
      <c r="L90" s="233"/>
      <c r="M90" s="233">
        <f>H90</f>
        <v>0</v>
      </c>
    </row>
    <row r="91" spans="1:13" ht="15.75">
      <c r="A91" s="245"/>
      <c r="B91" s="245"/>
      <c r="C91" s="383" t="s">
        <v>62</v>
      </c>
      <c r="D91" s="233" t="s">
        <v>31</v>
      </c>
      <c r="E91" s="256">
        <f>2.48/100</f>
        <v>0.0248</v>
      </c>
      <c r="F91" s="233">
        <f>E91*F83</f>
        <v>21.347839999999998</v>
      </c>
      <c r="G91" s="233"/>
      <c r="H91" s="233"/>
      <c r="I91" s="233"/>
      <c r="J91" s="224"/>
      <c r="K91" s="233"/>
      <c r="L91" s="233">
        <f>F91*K91</f>
        <v>0</v>
      </c>
      <c r="M91" s="233">
        <f>L91</f>
        <v>0</v>
      </c>
    </row>
    <row r="92" spans="1:13" ht="31.5">
      <c r="A92" s="245"/>
      <c r="B92" s="245"/>
      <c r="C92" s="383" t="s">
        <v>32</v>
      </c>
      <c r="D92" s="233" t="s">
        <v>30</v>
      </c>
      <c r="E92" s="233"/>
      <c r="F92" s="233">
        <f>F91</f>
        <v>21.347839999999998</v>
      </c>
      <c r="G92" s="233"/>
      <c r="H92" s="233">
        <f>F92*G92</f>
        <v>0</v>
      </c>
      <c r="I92" s="233"/>
      <c r="J92" s="224"/>
      <c r="K92" s="224"/>
      <c r="L92" s="233"/>
      <c r="M92" s="233">
        <f>H92</f>
        <v>0</v>
      </c>
    </row>
    <row r="93" spans="1:13" ht="31.5">
      <c r="A93" s="245"/>
      <c r="B93" s="245"/>
      <c r="C93" s="383" t="s">
        <v>33</v>
      </c>
      <c r="D93" s="233" t="s">
        <v>31</v>
      </c>
      <c r="E93" s="269">
        <f>0.414/100</f>
        <v>0.00414</v>
      </c>
      <c r="F93" s="233">
        <f>E93*F83</f>
        <v>3.5637119999999993</v>
      </c>
      <c r="G93" s="233"/>
      <c r="H93" s="233"/>
      <c r="I93" s="233"/>
      <c r="J93" s="224"/>
      <c r="K93" s="233"/>
      <c r="L93" s="233">
        <f>F93*K93</f>
        <v>0</v>
      </c>
      <c r="M93" s="233">
        <f>L93</f>
        <v>0</v>
      </c>
    </row>
    <row r="94" spans="1:13" ht="31.5">
      <c r="A94" s="245"/>
      <c r="B94" s="245"/>
      <c r="C94" s="383" t="s">
        <v>32</v>
      </c>
      <c r="D94" s="233" t="s">
        <v>30</v>
      </c>
      <c r="E94" s="233"/>
      <c r="F94" s="233">
        <f>F93</f>
        <v>3.5637119999999993</v>
      </c>
      <c r="G94" s="233"/>
      <c r="H94" s="233">
        <f>F94*G94</f>
        <v>0</v>
      </c>
      <c r="I94" s="233"/>
      <c r="J94" s="224"/>
      <c r="K94" s="224"/>
      <c r="L94" s="233"/>
      <c r="M94" s="233">
        <f>H94</f>
        <v>0</v>
      </c>
    </row>
    <row r="95" spans="1:13" ht="31.5">
      <c r="A95" s="245"/>
      <c r="B95" s="245"/>
      <c r="C95" s="383" t="s">
        <v>117</v>
      </c>
      <c r="D95" s="233" t="s">
        <v>31</v>
      </c>
      <c r="E95" s="269">
        <f>0.053/100</f>
        <v>0.00053</v>
      </c>
      <c r="F95" s="233">
        <f>E95*F83</f>
        <v>0.45622399999999996</v>
      </c>
      <c r="G95" s="233"/>
      <c r="H95" s="233"/>
      <c r="I95" s="233"/>
      <c r="J95" s="224"/>
      <c r="K95" s="233"/>
      <c r="L95" s="233">
        <f>F95*K95</f>
        <v>0</v>
      </c>
      <c r="M95" s="233">
        <f>L95</f>
        <v>0</v>
      </c>
    </row>
    <row r="96" spans="1:13" ht="31.5">
      <c r="A96" s="245"/>
      <c r="B96" s="245"/>
      <c r="C96" s="383" t="s">
        <v>32</v>
      </c>
      <c r="D96" s="233" t="s">
        <v>30</v>
      </c>
      <c r="E96" s="233"/>
      <c r="F96" s="233">
        <f>F95</f>
        <v>0.45622399999999996</v>
      </c>
      <c r="G96" s="233"/>
      <c r="H96" s="233">
        <f>F96*G96</f>
        <v>0</v>
      </c>
      <c r="I96" s="233"/>
      <c r="J96" s="224"/>
      <c r="K96" s="224"/>
      <c r="L96" s="233"/>
      <c r="M96" s="233">
        <f>H96</f>
        <v>0</v>
      </c>
    </row>
    <row r="97" spans="1:13" ht="18">
      <c r="A97" s="245"/>
      <c r="B97" s="245"/>
      <c r="C97" s="383" t="s">
        <v>118</v>
      </c>
      <c r="D97" s="233" t="s">
        <v>315</v>
      </c>
      <c r="E97" s="256">
        <f>(18.9+1.5+1.26)/100</f>
        <v>0.21660000000000001</v>
      </c>
      <c r="F97" s="233">
        <f>E97*F83</f>
        <v>186.44928000000002</v>
      </c>
      <c r="G97" s="233"/>
      <c r="H97" s="233"/>
      <c r="I97" s="233"/>
      <c r="J97" s="233">
        <f>F97*I97</f>
        <v>0</v>
      </c>
      <c r="K97" s="233"/>
      <c r="L97" s="233"/>
      <c r="M97" s="233">
        <f>J97</f>
        <v>0</v>
      </c>
    </row>
    <row r="98" spans="1:13" ht="18">
      <c r="A98" s="279"/>
      <c r="B98" s="279"/>
      <c r="C98" s="435" t="s">
        <v>60</v>
      </c>
      <c r="D98" s="236" t="s">
        <v>315</v>
      </c>
      <c r="E98" s="294">
        <f>3/100</f>
        <v>0.03</v>
      </c>
      <c r="F98" s="236">
        <f>E98*F83</f>
        <v>25.823999999999998</v>
      </c>
      <c r="G98" s="236"/>
      <c r="H98" s="236"/>
      <c r="I98" s="236"/>
      <c r="J98" s="236">
        <f>F98*I98</f>
        <v>0</v>
      </c>
      <c r="K98" s="236"/>
      <c r="L98" s="236"/>
      <c r="M98" s="236">
        <f>J98</f>
        <v>0</v>
      </c>
    </row>
    <row r="99" spans="1:13" ht="47.25">
      <c r="A99" s="245" t="s">
        <v>182</v>
      </c>
      <c r="B99" s="436" t="s">
        <v>120</v>
      </c>
      <c r="C99" s="250" t="s">
        <v>321</v>
      </c>
      <c r="D99" s="233" t="s">
        <v>316</v>
      </c>
      <c r="E99" s="233"/>
      <c r="F99" s="292">
        <v>812</v>
      </c>
      <c r="G99" s="233"/>
      <c r="H99" s="233"/>
      <c r="I99" s="233"/>
      <c r="J99" s="233"/>
      <c r="K99" s="224"/>
      <c r="L99" s="224"/>
      <c r="M99" s="233"/>
    </row>
    <row r="100" spans="1:13" ht="31.5">
      <c r="A100" s="437"/>
      <c r="B100" s="436"/>
      <c r="C100" s="412" t="s">
        <v>29</v>
      </c>
      <c r="D100" s="233" t="s">
        <v>30</v>
      </c>
      <c r="E100" s="438">
        <v>0.182</v>
      </c>
      <c r="F100" s="303">
        <f>E100*F99</f>
        <v>147.784</v>
      </c>
      <c r="G100" s="303"/>
      <c r="H100" s="303">
        <f>F100*G100</f>
        <v>0</v>
      </c>
      <c r="I100" s="303"/>
      <c r="J100" s="303"/>
      <c r="K100" s="303"/>
      <c r="L100" s="303"/>
      <c r="M100" s="303">
        <f>H100</f>
        <v>0</v>
      </c>
    </row>
    <row r="101" spans="1:13" ht="31.5">
      <c r="A101" s="437"/>
      <c r="B101" s="245"/>
      <c r="C101" s="299" t="s">
        <v>121</v>
      </c>
      <c r="D101" s="233" t="s">
        <v>31</v>
      </c>
      <c r="E101" s="437">
        <f>6.6/1000</f>
        <v>0.0066</v>
      </c>
      <c r="F101" s="303">
        <f>E101*F99</f>
        <v>5.3592</v>
      </c>
      <c r="G101" s="303"/>
      <c r="H101" s="303"/>
      <c r="I101" s="303"/>
      <c r="J101" s="303"/>
      <c r="K101" s="303"/>
      <c r="L101" s="303">
        <f>F101*K101</f>
        <v>0</v>
      </c>
      <c r="M101" s="303">
        <f>L101</f>
        <v>0</v>
      </c>
    </row>
    <row r="102" spans="1:13" ht="31.5">
      <c r="A102" s="437"/>
      <c r="B102" s="436"/>
      <c r="C102" s="412" t="s">
        <v>32</v>
      </c>
      <c r="D102" s="233" t="s">
        <v>30</v>
      </c>
      <c r="E102" s="296"/>
      <c r="F102" s="303">
        <f>F101</f>
        <v>5.3592</v>
      </c>
      <c r="G102" s="303"/>
      <c r="H102" s="303">
        <f>F102*G102</f>
        <v>0</v>
      </c>
      <c r="I102" s="303"/>
      <c r="J102" s="303"/>
      <c r="K102" s="303"/>
      <c r="L102" s="303"/>
      <c r="M102" s="303">
        <f>H102</f>
        <v>0</v>
      </c>
    </row>
    <row r="103" spans="1:13" ht="31.5">
      <c r="A103" s="437"/>
      <c r="B103" s="245"/>
      <c r="C103" s="412" t="s">
        <v>122</v>
      </c>
      <c r="D103" s="233" t="s">
        <v>31</v>
      </c>
      <c r="E103" s="437">
        <f>6.6/1000</f>
        <v>0.0066</v>
      </c>
      <c r="F103" s="303">
        <f>E103*F99</f>
        <v>5.3592</v>
      </c>
      <c r="G103" s="303"/>
      <c r="H103" s="303"/>
      <c r="I103" s="303"/>
      <c r="J103" s="303"/>
      <c r="K103" s="303"/>
      <c r="L103" s="303">
        <f>F103*K103</f>
        <v>0</v>
      </c>
      <c r="M103" s="303">
        <f>L103</f>
        <v>0</v>
      </c>
    </row>
    <row r="104" spans="1:13" ht="31.5">
      <c r="A104" s="437"/>
      <c r="B104" s="436"/>
      <c r="C104" s="412" t="s">
        <v>32</v>
      </c>
      <c r="D104" s="233" t="s">
        <v>30</v>
      </c>
      <c r="E104" s="296"/>
      <c r="F104" s="303">
        <f>F103</f>
        <v>5.3592</v>
      </c>
      <c r="G104" s="303"/>
      <c r="H104" s="303">
        <f>F104*G104</f>
        <v>0</v>
      </c>
      <c r="I104" s="303"/>
      <c r="J104" s="303"/>
      <c r="K104" s="303"/>
      <c r="L104" s="303"/>
      <c r="M104" s="303">
        <f>H104</f>
        <v>0</v>
      </c>
    </row>
    <row r="105" spans="1:13" ht="31.5">
      <c r="A105" s="437"/>
      <c r="B105" s="245"/>
      <c r="C105" s="299" t="s">
        <v>123</v>
      </c>
      <c r="D105" s="233" t="s">
        <v>31</v>
      </c>
      <c r="E105" s="437">
        <f>18.6/1000</f>
        <v>0.018600000000000002</v>
      </c>
      <c r="F105" s="303">
        <f>E105*F99</f>
        <v>15.103200000000001</v>
      </c>
      <c r="G105" s="303"/>
      <c r="H105" s="303"/>
      <c r="I105" s="303"/>
      <c r="J105" s="303"/>
      <c r="K105" s="303"/>
      <c r="L105" s="303">
        <f>F105*K105</f>
        <v>0</v>
      </c>
      <c r="M105" s="303">
        <f>L105</f>
        <v>0</v>
      </c>
    </row>
    <row r="106" spans="1:13" ht="31.5">
      <c r="A106" s="437"/>
      <c r="B106" s="436"/>
      <c r="C106" s="412" t="s">
        <v>32</v>
      </c>
      <c r="D106" s="233" t="s">
        <v>30</v>
      </c>
      <c r="E106" s="296"/>
      <c r="F106" s="303">
        <f>F105</f>
        <v>15.103200000000001</v>
      </c>
      <c r="G106" s="303"/>
      <c r="H106" s="303">
        <f>F106*G106</f>
        <v>0</v>
      </c>
      <c r="I106" s="303"/>
      <c r="J106" s="303"/>
      <c r="K106" s="303"/>
      <c r="L106" s="303"/>
      <c r="M106" s="303">
        <f>H106</f>
        <v>0</v>
      </c>
    </row>
    <row r="107" spans="1:13" ht="31.5">
      <c r="A107" s="437"/>
      <c r="B107" s="245"/>
      <c r="C107" s="299" t="s">
        <v>124</v>
      </c>
      <c r="D107" s="233" t="s">
        <v>31</v>
      </c>
      <c r="E107" s="439">
        <f>6.7/1000</f>
        <v>0.0067</v>
      </c>
      <c r="F107" s="303">
        <f>E107*F99</f>
        <v>5.4404</v>
      </c>
      <c r="G107" s="303"/>
      <c r="H107" s="303"/>
      <c r="I107" s="303"/>
      <c r="J107" s="303"/>
      <c r="K107" s="303"/>
      <c r="L107" s="303">
        <f>F107*K107</f>
        <v>0</v>
      </c>
      <c r="M107" s="303">
        <f>L107</f>
        <v>0</v>
      </c>
    </row>
    <row r="108" spans="1:13" ht="31.5">
      <c r="A108" s="437"/>
      <c r="B108" s="436"/>
      <c r="C108" s="412" t="s">
        <v>32</v>
      </c>
      <c r="D108" s="233" t="s">
        <v>30</v>
      </c>
      <c r="E108" s="296"/>
      <c r="F108" s="303">
        <f>F107</f>
        <v>5.4404</v>
      </c>
      <c r="G108" s="303"/>
      <c r="H108" s="303">
        <f>F108*G108</f>
        <v>0</v>
      </c>
      <c r="I108" s="303"/>
      <c r="J108" s="303"/>
      <c r="K108" s="303"/>
      <c r="L108" s="303"/>
      <c r="M108" s="303">
        <f>H108</f>
        <v>0</v>
      </c>
    </row>
    <row r="109" spans="1:13" ht="15.75">
      <c r="A109" s="437"/>
      <c r="B109" s="436"/>
      <c r="C109" s="299" t="s">
        <v>39</v>
      </c>
      <c r="D109" s="296" t="s">
        <v>34</v>
      </c>
      <c r="E109" s="296">
        <f>22.9/1000</f>
        <v>0.0229</v>
      </c>
      <c r="F109" s="303">
        <f>E109*F99</f>
        <v>18.5948</v>
      </c>
      <c r="G109" s="303"/>
      <c r="H109" s="303"/>
      <c r="I109" s="303"/>
      <c r="J109" s="303"/>
      <c r="K109" s="303"/>
      <c r="L109" s="303">
        <f>F109*K109</f>
        <v>0</v>
      </c>
      <c r="M109" s="303">
        <f>L109</f>
        <v>0</v>
      </c>
    </row>
    <row r="110" spans="1:13" ht="18">
      <c r="A110" s="437"/>
      <c r="B110" s="436"/>
      <c r="C110" s="299" t="s">
        <v>319</v>
      </c>
      <c r="D110" s="296" t="s">
        <v>315</v>
      </c>
      <c r="E110" s="440" t="s">
        <v>68</v>
      </c>
      <c r="F110" s="303">
        <v>130</v>
      </c>
      <c r="G110" s="303"/>
      <c r="H110" s="303"/>
      <c r="I110" s="303"/>
      <c r="J110" s="303">
        <f>F110*I110</f>
        <v>0</v>
      </c>
      <c r="K110" s="303"/>
      <c r="L110" s="303"/>
      <c r="M110" s="303">
        <f>J110</f>
        <v>0</v>
      </c>
    </row>
    <row r="111" spans="1:13" ht="31.5">
      <c r="A111" s="437"/>
      <c r="B111" s="436"/>
      <c r="C111" s="299" t="s">
        <v>320</v>
      </c>
      <c r="D111" s="296" t="s">
        <v>35</v>
      </c>
      <c r="E111" s="441" t="s">
        <v>68</v>
      </c>
      <c r="F111" s="303">
        <v>3.2</v>
      </c>
      <c r="G111" s="303"/>
      <c r="H111" s="303"/>
      <c r="I111" s="303"/>
      <c r="J111" s="303">
        <f>F111*I111</f>
        <v>0</v>
      </c>
      <c r="K111" s="303"/>
      <c r="L111" s="303"/>
      <c r="M111" s="303">
        <f>J111</f>
        <v>0</v>
      </c>
    </row>
    <row r="112" spans="1:13" ht="15.75">
      <c r="A112" s="437"/>
      <c r="B112" s="436"/>
      <c r="C112" s="299" t="s">
        <v>125</v>
      </c>
      <c r="D112" s="296" t="s">
        <v>35</v>
      </c>
      <c r="E112" s="296">
        <f>0.11/1000</f>
        <v>0.00011</v>
      </c>
      <c r="F112" s="442">
        <f>E112*F99</f>
        <v>0.08932</v>
      </c>
      <c r="G112" s="303"/>
      <c r="H112" s="303"/>
      <c r="I112" s="303"/>
      <c r="J112" s="303">
        <f>F112*I112</f>
        <v>0</v>
      </c>
      <c r="K112" s="303"/>
      <c r="L112" s="303"/>
      <c r="M112" s="303">
        <f>J112</f>
        <v>0</v>
      </c>
    </row>
    <row r="113" spans="1:13" ht="20.25" customHeight="1">
      <c r="A113" s="437"/>
      <c r="B113" s="245"/>
      <c r="C113" s="299" t="s">
        <v>126</v>
      </c>
      <c r="D113" s="437" t="s">
        <v>35</v>
      </c>
      <c r="E113" s="437">
        <f>0.5/1000</f>
        <v>0.0005</v>
      </c>
      <c r="F113" s="442">
        <f>E113*F99</f>
        <v>0.406</v>
      </c>
      <c r="G113" s="303"/>
      <c r="H113" s="303"/>
      <c r="I113" s="303"/>
      <c r="J113" s="303">
        <f>F113*I113</f>
        <v>0</v>
      </c>
      <c r="K113" s="303"/>
      <c r="L113" s="303"/>
      <c r="M113" s="303">
        <f>J113</f>
        <v>0</v>
      </c>
    </row>
    <row r="114" spans="1:13" ht="15.75">
      <c r="A114" s="443"/>
      <c r="B114" s="444"/>
      <c r="C114" s="306" t="s">
        <v>40</v>
      </c>
      <c r="D114" s="305" t="s">
        <v>34</v>
      </c>
      <c r="E114" s="305">
        <f>18.5/1000</f>
        <v>0.0185</v>
      </c>
      <c r="F114" s="445">
        <f>E114*F99</f>
        <v>15.021999999999998</v>
      </c>
      <c r="G114" s="445"/>
      <c r="H114" s="445"/>
      <c r="I114" s="445"/>
      <c r="J114" s="445">
        <f>F114*I114</f>
        <v>0</v>
      </c>
      <c r="K114" s="445"/>
      <c r="L114" s="445"/>
      <c r="M114" s="445">
        <f>J114</f>
        <v>0</v>
      </c>
    </row>
    <row r="115" spans="1:13" ht="15.75">
      <c r="A115" s="455"/>
      <c r="B115" s="436"/>
      <c r="C115" s="456" t="s">
        <v>305</v>
      </c>
      <c r="D115" s="457"/>
      <c r="E115" s="296"/>
      <c r="F115" s="458"/>
      <c r="G115" s="459"/>
      <c r="H115" s="460"/>
      <c r="I115" s="303"/>
      <c r="J115" s="459"/>
      <c r="K115" s="303"/>
      <c r="L115" s="460"/>
      <c r="M115" s="303"/>
    </row>
    <row r="116" spans="1:14" ht="63">
      <c r="A116" s="461">
        <v>10</v>
      </c>
      <c r="B116" s="245" t="s">
        <v>138</v>
      </c>
      <c r="C116" s="274" t="s">
        <v>306</v>
      </c>
      <c r="D116" s="244" t="s">
        <v>315</v>
      </c>
      <c r="E116" s="275"/>
      <c r="F116" s="248">
        <v>0</v>
      </c>
      <c r="G116" s="249"/>
      <c r="H116" s="247"/>
      <c r="I116" s="232"/>
      <c r="J116" s="249"/>
      <c r="K116" s="232"/>
      <c r="L116" s="247"/>
      <c r="M116" s="232"/>
      <c r="N116" s="462"/>
    </row>
    <row r="117" spans="1:14" ht="31.5">
      <c r="A117" s="463"/>
      <c r="B117" s="245"/>
      <c r="C117" s="250" t="s">
        <v>29</v>
      </c>
      <c r="D117" s="233" t="s">
        <v>30</v>
      </c>
      <c r="E117" s="232">
        <v>2.12</v>
      </c>
      <c r="F117" s="232">
        <f>E117*F116</f>
        <v>0</v>
      </c>
      <c r="G117" s="232"/>
      <c r="H117" s="247">
        <f>F117*G117</f>
        <v>0</v>
      </c>
      <c r="I117" s="232"/>
      <c r="J117" s="249"/>
      <c r="K117" s="232"/>
      <c r="L117" s="247"/>
      <c r="M117" s="232">
        <f>H117</f>
        <v>0</v>
      </c>
      <c r="N117" s="462"/>
    </row>
    <row r="118" spans="1:14" ht="15.75">
      <c r="A118" s="463"/>
      <c r="B118" s="245"/>
      <c r="C118" s="221" t="s">
        <v>39</v>
      </c>
      <c r="D118" s="255" t="s">
        <v>34</v>
      </c>
      <c r="E118" s="256">
        <v>0.101</v>
      </c>
      <c r="F118" s="233">
        <f>E118*F116</f>
        <v>0</v>
      </c>
      <c r="G118" s="233"/>
      <c r="H118" s="255"/>
      <c r="I118" s="233"/>
      <c r="K118" s="233"/>
      <c r="L118" s="255">
        <f>F118*K118</f>
        <v>0</v>
      </c>
      <c r="M118" s="233">
        <f>L118</f>
        <v>0</v>
      </c>
      <c r="N118" s="462"/>
    </row>
    <row r="119" spans="1:14" ht="18">
      <c r="A119" s="464"/>
      <c r="B119" s="279"/>
      <c r="C119" s="280" t="s">
        <v>139</v>
      </c>
      <c r="D119" s="257" t="s">
        <v>315</v>
      </c>
      <c r="E119" s="236">
        <v>1.1</v>
      </c>
      <c r="F119" s="236">
        <f>E119*F116</f>
        <v>0</v>
      </c>
      <c r="G119" s="236"/>
      <c r="H119" s="229"/>
      <c r="I119" s="236"/>
      <c r="J119" s="231">
        <f>F119*I119</f>
        <v>0</v>
      </c>
      <c r="K119" s="236"/>
      <c r="L119" s="229"/>
      <c r="M119" s="236">
        <f>J119</f>
        <v>0</v>
      </c>
      <c r="N119" s="462"/>
    </row>
    <row r="120" spans="1:13" ht="31.5">
      <c r="A120" s="461">
        <v>11</v>
      </c>
      <c r="B120" s="245" t="s">
        <v>257</v>
      </c>
      <c r="C120" s="370" t="s">
        <v>322</v>
      </c>
      <c r="D120" s="247" t="s">
        <v>157</v>
      </c>
      <c r="E120" s="232"/>
      <c r="F120" s="248">
        <v>0</v>
      </c>
      <c r="G120" s="249"/>
      <c r="H120" s="247"/>
      <c r="I120" s="232"/>
      <c r="J120" s="249"/>
      <c r="K120" s="232"/>
      <c r="L120" s="247"/>
      <c r="M120" s="232"/>
    </row>
    <row r="121" spans="1:13" ht="31.5">
      <c r="A121" s="461"/>
      <c r="B121" s="465"/>
      <c r="C121" s="250" t="s">
        <v>29</v>
      </c>
      <c r="D121" s="233" t="s">
        <v>30</v>
      </c>
      <c r="E121" s="256">
        <v>0.973</v>
      </c>
      <c r="F121" s="267">
        <f>E121*F120</f>
        <v>0</v>
      </c>
      <c r="G121" s="267"/>
      <c r="H121" s="267">
        <f>F121*G121</f>
        <v>0</v>
      </c>
      <c r="I121" s="268"/>
      <c r="J121" s="268"/>
      <c r="K121" s="268"/>
      <c r="L121" s="268"/>
      <c r="M121" s="267">
        <f>H121</f>
        <v>0</v>
      </c>
    </row>
    <row r="122" spans="1:13" ht="15.75">
      <c r="A122" s="461"/>
      <c r="B122" s="465"/>
      <c r="C122" s="370" t="s">
        <v>134</v>
      </c>
      <c r="D122" s="247" t="s">
        <v>34</v>
      </c>
      <c r="E122" s="256">
        <v>0.483</v>
      </c>
      <c r="F122" s="385">
        <f>E122*F120</f>
        <v>0</v>
      </c>
      <c r="G122" s="249"/>
      <c r="H122" s="247"/>
      <c r="I122" s="232"/>
      <c r="J122" s="249"/>
      <c r="K122" s="232"/>
      <c r="L122" s="247">
        <f>F122*K122</f>
        <v>0</v>
      </c>
      <c r="M122" s="232">
        <f>L122</f>
        <v>0</v>
      </c>
    </row>
    <row r="123" spans="1:13" ht="15.75">
      <c r="A123" s="461"/>
      <c r="B123" s="465"/>
      <c r="C123" s="370" t="s">
        <v>260</v>
      </c>
      <c r="D123" s="247" t="s">
        <v>157</v>
      </c>
      <c r="E123" s="256">
        <v>0.995</v>
      </c>
      <c r="F123" s="385">
        <f>E123*F120</f>
        <v>0</v>
      </c>
      <c r="G123" s="249"/>
      <c r="H123" s="247"/>
      <c r="I123" s="232"/>
      <c r="J123" s="249">
        <f>F123*I123</f>
        <v>0</v>
      </c>
      <c r="K123" s="232"/>
      <c r="L123" s="247"/>
      <c r="M123" s="232">
        <f>J123</f>
        <v>0</v>
      </c>
    </row>
    <row r="124" spans="1:13" ht="15.75">
      <c r="A124" s="466"/>
      <c r="B124" s="258"/>
      <c r="C124" s="378" t="s">
        <v>40</v>
      </c>
      <c r="D124" s="226" t="s">
        <v>34</v>
      </c>
      <c r="E124" s="235">
        <v>0.22</v>
      </c>
      <c r="F124" s="228">
        <f>E124*F120</f>
        <v>0</v>
      </c>
      <c r="G124" s="227"/>
      <c r="H124" s="226"/>
      <c r="I124" s="235"/>
      <c r="J124" s="227">
        <f>F124*I124</f>
        <v>0</v>
      </c>
      <c r="K124" s="235"/>
      <c r="L124" s="226"/>
      <c r="M124" s="235">
        <f>J124</f>
        <v>0</v>
      </c>
    </row>
    <row r="125" spans="1:13" ht="63">
      <c r="A125" s="463" t="s">
        <v>294</v>
      </c>
      <c r="B125" s="291" t="s">
        <v>243</v>
      </c>
      <c r="C125" s="321" t="s">
        <v>323</v>
      </c>
      <c r="D125" s="222" t="s">
        <v>315</v>
      </c>
      <c r="E125" s="263"/>
      <c r="F125" s="292">
        <v>0</v>
      </c>
      <c r="G125" s="233"/>
      <c r="H125" s="255"/>
      <c r="I125" s="233"/>
      <c r="K125" s="233"/>
      <c r="L125" s="255"/>
      <c r="M125" s="233"/>
    </row>
    <row r="126" spans="1:13" ht="31.5">
      <c r="A126" s="467"/>
      <c r="B126" s="245"/>
      <c r="C126" s="225" t="s">
        <v>29</v>
      </c>
      <c r="D126" s="233" t="s">
        <v>30</v>
      </c>
      <c r="E126" s="282">
        <v>2.81</v>
      </c>
      <c r="F126" s="232">
        <f>E126*F125</f>
        <v>0</v>
      </c>
      <c r="G126" s="282"/>
      <c r="H126" s="282">
        <f>F126*G126</f>
        <v>0</v>
      </c>
      <c r="I126" s="282"/>
      <c r="J126" s="282"/>
      <c r="K126" s="282"/>
      <c r="L126" s="282"/>
      <c r="M126" s="282">
        <f>H126</f>
        <v>0</v>
      </c>
    </row>
    <row r="127" spans="1:13" ht="15.75">
      <c r="A127" s="467"/>
      <c r="B127" s="245"/>
      <c r="C127" s="268" t="s">
        <v>134</v>
      </c>
      <c r="D127" s="224" t="s">
        <v>34</v>
      </c>
      <c r="E127" s="268">
        <v>0.33</v>
      </c>
      <c r="F127" s="233">
        <f>E127*F125</f>
        <v>0</v>
      </c>
      <c r="G127" s="267"/>
      <c r="H127" s="267"/>
      <c r="I127" s="267"/>
      <c r="J127" s="267"/>
      <c r="K127" s="267"/>
      <c r="L127" s="267">
        <f>F127*K127</f>
        <v>0</v>
      </c>
      <c r="M127" s="267">
        <f>L127</f>
        <v>0</v>
      </c>
    </row>
    <row r="128" spans="1:13" ht="18">
      <c r="A128" s="467"/>
      <c r="B128" s="283"/>
      <c r="C128" s="268" t="s">
        <v>128</v>
      </c>
      <c r="D128" s="275" t="s">
        <v>315</v>
      </c>
      <c r="E128" s="268">
        <v>1.02</v>
      </c>
      <c r="F128" s="233">
        <f>E128*F125</f>
        <v>0</v>
      </c>
      <c r="G128" s="267"/>
      <c r="H128" s="267"/>
      <c r="I128" s="232"/>
      <c r="J128" s="267">
        <f aca="true" t="shared" si="0" ref="J128:J133">F128*I128</f>
        <v>0</v>
      </c>
      <c r="K128" s="267"/>
      <c r="L128" s="267"/>
      <c r="M128" s="267">
        <f aca="true" t="shared" si="1" ref="M128:M133">J128</f>
        <v>0</v>
      </c>
    </row>
    <row r="129" spans="1:13" ht="18">
      <c r="A129" s="467"/>
      <c r="B129" s="283"/>
      <c r="C129" s="285" t="s">
        <v>129</v>
      </c>
      <c r="D129" s="275" t="s">
        <v>316</v>
      </c>
      <c r="E129" s="268">
        <v>0.717</v>
      </c>
      <c r="F129" s="233">
        <f>E129*F125</f>
        <v>0</v>
      </c>
      <c r="G129" s="267"/>
      <c r="H129" s="267"/>
      <c r="I129" s="232"/>
      <c r="J129" s="267">
        <f t="shared" si="0"/>
        <v>0</v>
      </c>
      <c r="K129" s="267"/>
      <c r="L129" s="267"/>
      <c r="M129" s="267">
        <f t="shared" si="1"/>
        <v>0</v>
      </c>
    </row>
    <row r="130" spans="1:13" ht="18">
      <c r="A130" s="467"/>
      <c r="B130" s="283"/>
      <c r="C130" s="286" t="s">
        <v>130</v>
      </c>
      <c r="D130" s="275" t="s">
        <v>315</v>
      </c>
      <c r="E130" s="268">
        <f>0.13/100</f>
        <v>0.0013</v>
      </c>
      <c r="F130" s="233">
        <f>E130*F125</f>
        <v>0</v>
      </c>
      <c r="G130" s="267"/>
      <c r="H130" s="267"/>
      <c r="I130" s="232"/>
      <c r="J130" s="267">
        <f t="shared" si="0"/>
        <v>0</v>
      </c>
      <c r="K130" s="267"/>
      <c r="L130" s="267"/>
      <c r="M130" s="267">
        <f t="shared" si="1"/>
        <v>0</v>
      </c>
    </row>
    <row r="131" spans="1:13" ht="31.5">
      <c r="A131" s="467"/>
      <c r="B131" s="283"/>
      <c r="C131" s="285" t="s">
        <v>131</v>
      </c>
      <c r="D131" s="275" t="s">
        <v>315</v>
      </c>
      <c r="E131" s="269">
        <f>1.52/100</f>
        <v>0.0152</v>
      </c>
      <c r="F131" s="233">
        <f>E131*F125</f>
        <v>0</v>
      </c>
      <c r="G131" s="267"/>
      <c r="H131" s="267"/>
      <c r="I131" s="232"/>
      <c r="J131" s="233">
        <f t="shared" si="0"/>
        <v>0</v>
      </c>
      <c r="K131" s="233"/>
      <c r="L131" s="233"/>
      <c r="M131" s="233">
        <f t="shared" si="1"/>
        <v>0</v>
      </c>
    </row>
    <row r="132" spans="1:13" ht="15.75">
      <c r="A132" s="467"/>
      <c r="B132" s="287"/>
      <c r="C132" s="286" t="s">
        <v>132</v>
      </c>
      <c r="D132" s="275" t="s">
        <v>35</v>
      </c>
      <c r="E132" s="268">
        <f>0.09/100</f>
        <v>0.0009</v>
      </c>
      <c r="F132" s="233">
        <f>E132*F125</f>
        <v>0</v>
      </c>
      <c r="G132" s="267"/>
      <c r="H132" s="267"/>
      <c r="I132" s="267"/>
      <c r="J132" s="267">
        <f t="shared" si="0"/>
        <v>0</v>
      </c>
      <c r="K132" s="267"/>
      <c r="L132" s="267"/>
      <c r="M132" s="267">
        <f t="shared" si="1"/>
        <v>0</v>
      </c>
    </row>
    <row r="133" spans="1:13" ht="15.75">
      <c r="A133" s="468"/>
      <c r="B133" s="279"/>
      <c r="C133" s="289" t="s">
        <v>40</v>
      </c>
      <c r="D133" s="290" t="s">
        <v>34</v>
      </c>
      <c r="E133" s="271">
        <v>0.16</v>
      </c>
      <c r="F133" s="236">
        <f>E133*F125</f>
        <v>0</v>
      </c>
      <c r="G133" s="273"/>
      <c r="H133" s="273"/>
      <c r="I133" s="273"/>
      <c r="J133" s="273">
        <f t="shared" si="0"/>
        <v>0</v>
      </c>
      <c r="K133" s="273"/>
      <c r="L133" s="273"/>
      <c r="M133" s="273">
        <f t="shared" si="1"/>
        <v>0</v>
      </c>
    </row>
    <row r="134" spans="1:13" ht="31.5">
      <c r="A134" s="469">
        <v>13</v>
      </c>
      <c r="B134" s="470" t="s">
        <v>133</v>
      </c>
      <c r="C134" s="250" t="s">
        <v>242</v>
      </c>
      <c r="D134" s="233" t="s">
        <v>316</v>
      </c>
      <c r="E134" s="471"/>
      <c r="F134" s="472">
        <v>0</v>
      </c>
      <c r="G134" s="473"/>
      <c r="H134" s="473"/>
      <c r="I134" s="473"/>
      <c r="J134" s="473"/>
      <c r="K134" s="473"/>
      <c r="L134" s="473"/>
      <c r="M134" s="474"/>
    </row>
    <row r="135" spans="1:13" ht="31.5">
      <c r="A135" s="475"/>
      <c r="B135" s="245"/>
      <c r="C135" s="250" t="s">
        <v>29</v>
      </c>
      <c r="D135" s="233" t="s">
        <v>30</v>
      </c>
      <c r="E135" s="233">
        <v>0.564</v>
      </c>
      <c r="F135" s="233">
        <f>E135*F134</f>
        <v>0</v>
      </c>
      <c r="G135" s="267"/>
      <c r="H135" s="267">
        <f>F135*G135</f>
        <v>0</v>
      </c>
      <c r="I135" s="267"/>
      <c r="J135" s="267"/>
      <c r="K135" s="267"/>
      <c r="L135" s="267"/>
      <c r="M135" s="267">
        <f>H135</f>
        <v>0</v>
      </c>
    </row>
    <row r="136" spans="1:13" ht="15.75">
      <c r="A136" s="469"/>
      <c r="B136" s="470"/>
      <c r="C136" s="250" t="s">
        <v>134</v>
      </c>
      <c r="D136" s="233" t="s">
        <v>34</v>
      </c>
      <c r="E136" s="476">
        <f>4.09/100</f>
        <v>0.0409</v>
      </c>
      <c r="F136" s="251">
        <f>E136*F134</f>
        <v>0</v>
      </c>
      <c r="G136" s="473"/>
      <c r="H136" s="473"/>
      <c r="I136" s="473"/>
      <c r="J136" s="473"/>
      <c r="K136" s="473"/>
      <c r="L136" s="473">
        <f>F136*K136</f>
        <v>0</v>
      </c>
      <c r="M136" s="474">
        <f>L136</f>
        <v>0</v>
      </c>
    </row>
    <row r="137" spans="1:13" ht="15.75">
      <c r="A137" s="469"/>
      <c r="B137" s="470"/>
      <c r="C137" s="250" t="s">
        <v>135</v>
      </c>
      <c r="D137" s="233" t="s">
        <v>35</v>
      </c>
      <c r="E137" s="476">
        <f>0.16/100</f>
        <v>0.0016</v>
      </c>
      <c r="F137" s="251">
        <f>E137*F134</f>
        <v>0</v>
      </c>
      <c r="G137" s="473"/>
      <c r="H137" s="473"/>
      <c r="I137" s="473"/>
      <c r="J137" s="473">
        <f>F137*I137</f>
        <v>0</v>
      </c>
      <c r="K137" s="473"/>
      <c r="L137" s="473"/>
      <c r="M137" s="474">
        <f>J137</f>
        <v>0</v>
      </c>
    </row>
    <row r="138" spans="1:13" ht="15.75">
      <c r="A138" s="469"/>
      <c r="B138" s="470"/>
      <c r="C138" s="250" t="s">
        <v>136</v>
      </c>
      <c r="D138" s="233" t="s">
        <v>35</v>
      </c>
      <c r="E138" s="476">
        <f>0.45/100</f>
        <v>0.0045000000000000005</v>
      </c>
      <c r="F138" s="251">
        <f>E138*F134</f>
        <v>0</v>
      </c>
      <c r="G138" s="473"/>
      <c r="H138" s="473"/>
      <c r="I138" s="251"/>
      <c r="J138" s="251">
        <f>F138*I138</f>
        <v>0</v>
      </c>
      <c r="K138" s="251"/>
      <c r="L138" s="251"/>
      <c r="M138" s="477">
        <f>J138</f>
        <v>0</v>
      </c>
    </row>
    <row r="139" spans="1:13" ht="18">
      <c r="A139" s="469"/>
      <c r="B139" s="470"/>
      <c r="C139" s="250" t="s">
        <v>324</v>
      </c>
      <c r="D139" s="233" t="s">
        <v>315</v>
      </c>
      <c r="E139" s="476">
        <f>0.75/100</f>
        <v>0.0075</v>
      </c>
      <c r="F139" s="251">
        <f>E139*F134</f>
        <v>0</v>
      </c>
      <c r="G139" s="473"/>
      <c r="H139" s="473"/>
      <c r="I139" s="251"/>
      <c r="J139" s="251">
        <f>F139*I139</f>
        <v>0</v>
      </c>
      <c r="K139" s="251"/>
      <c r="L139" s="251"/>
      <c r="M139" s="477">
        <f>J139</f>
        <v>0</v>
      </c>
    </row>
    <row r="140" spans="1:13" ht="15.75">
      <c r="A140" s="478"/>
      <c r="B140" s="479"/>
      <c r="C140" s="293" t="s">
        <v>40</v>
      </c>
      <c r="D140" s="236" t="s">
        <v>34</v>
      </c>
      <c r="E140" s="480">
        <f>26.5/100</f>
        <v>0.265</v>
      </c>
      <c r="F140" s="366">
        <f>E140*F134</f>
        <v>0</v>
      </c>
      <c r="G140" s="481"/>
      <c r="H140" s="481"/>
      <c r="I140" s="481"/>
      <c r="J140" s="481">
        <f>F140*I140</f>
        <v>0</v>
      </c>
      <c r="K140" s="481"/>
      <c r="L140" s="481"/>
      <c r="M140" s="482">
        <f>J140</f>
        <v>0</v>
      </c>
    </row>
    <row r="141" spans="1:13" ht="31.5">
      <c r="A141" s="469">
        <v>14</v>
      </c>
      <c r="B141" s="245" t="s">
        <v>302</v>
      </c>
      <c r="C141" s="250" t="s">
        <v>303</v>
      </c>
      <c r="D141" s="233" t="s">
        <v>315</v>
      </c>
      <c r="E141" s="471"/>
      <c r="F141" s="472">
        <v>0</v>
      </c>
      <c r="G141" s="473"/>
      <c r="H141" s="473"/>
      <c r="I141" s="473"/>
      <c r="J141" s="473"/>
      <c r="K141" s="473"/>
      <c r="L141" s="473"/>
      <c r="M141" s="474"/>
    </row>
    <row r="142" spans="1:13" ht="31.5">
      <c r="A142" s="475"/>
      <c r="B142" s="245"/>
      <c r="C142" s="250" t="s">
        <v>29</v>
      </c>
      <c r="D142" s="233" t="s">
        <v>30</v>
      </c>
      <c r="E142" s="256">
        <v>0.993</v>
      </c>
      <c r="F142" s="233">
        <f>E142*F141</f>
        <v>0</v>
      </c>
      <c r="G142" s="233"/>
      <c r="H142" s="483">
        <f>F142*G142</f>
        <v>0</v>
      </c>
      <c r="I142" s="252"/>
      <c r="J142" s="253"/>
      <c r="K142" s="252"/>
      <c r="L142" s="254"/>
      <c r="M142" s="252">
        <f>H142</f>
        <v>0</v>
      </c>
    </row>
    <row r="143" spans="1:13" ht="18">
      <c r="A143" s="484"/>
      <c r="B143" s="279"/>
      <c r="C143" s="293" t="s">
        <v>139</v>
      </c>
      <c r="D143" s="236" t="s">
        <v>315</v>
      </c>
      <c r="E143" s="236">
        <v>1.22</v>
      </c>
      <c r="F143" s="236">
        <f>E143*F141</f>
        <v>0</v>
      </c>
      <c r="G143" s="236"/>
      <c r="H143" s="485"/>
      <c r="I143" s="367"/>
      <c r="J143" s="368">
        <f>F143*I143</f>
        <v>0</v>
      </c>
      <c r="K143" s="367"/>
      <c r="L143" s="369"/>
      <c r="M143" s="367">
        <f>J143</f>
        <v>0</v>
      </c>
    </row>
    <row r="144" spans="1:13" ht="78.75">
      <c r="A144" s="461">
        <v>15</v>
      </c>
      <c r="B144" s="245" t="s">
        <v>185</v>
      </c>
      <c r="C144" s="246" t="s">
        <v>218</v>
      </c>
      <c r="D144" s="247" t="s">
        <v>315</v>
      </c>
      <c r="E144" s="232"/>
      <c r="F144" s="248">
        <v>0</v>
      </c>
      <c r="G144" s="249"/>
      <c r="H144" s="247"/>
      <c r="I144" s="232"/>
      <c r="J144" s="249"/>
      <c r="K144" s="232"/>
      <c r="L144" s="247"/>
      <c r="M144" s="232"/>
    </row>
    <row r="145" spans="1:13" ht="31.5">
      <c r="A145" s="475"/>
      <c r="B145" s="245"/>
      <c r="C145" s="250" t="s">
        <v>29</v>
      </c>
      <c r="D145" s="233" t="s">
        <v>30</v>
      </c>
      <c r="E145" s="233">
        <f>20/1000</f>
        <v>0.02</v>
      </c>
      <c r="F145" s="233">
        <f>E145*F144</f>
        <v>0</v>
      </c>
      <c r="G145" s="251"/>
      <c r="H145" s="251">
        <f>F145*G145</f>
        <v>0</v>
      </c>
      <c r="I145" s="252"/>
      <c r="J145" s="252"/>
      <c r="K145" s="252"/>
      <c r="L145" s="252"/>
      <c r="M145" s="252">
        <f>H145</f>
        <v>0</v>
      </c>
    </row>
    <row r="146" spans="1:13" ht="15.75">
      <c r="A146" s="475"/>
      <c r="B146" s="245"/>
      <c r="C146" s="250" t="s">
        <v>100</v>
      </c>
      <c r="D146" s="233" t="s">
        <v>31</v>
      </c>
      <c r="E146" s="233">
        <f>44.8/1000</f>
        <v>0.0448</v>
      </c>
      <c r="F146" s="233">
        <f>E146*F144</f>
        <v>0</v>
      </c>
      <c r="G146" s="251"/>
      <c r="H146" s="251"/>
      <c r="I146" s="252"/>
      <c r="J146" s="253"/>
      <c r="K146" s="233"/>
      <c r="L146" s="254">
        <f>F146*K146</f>
        <v>0</v>
      </c>
      <c r="M146" s="252">
        <f>L146</f>
        <v>0</v>
      </c>
    </row>
    <row r="147" spans="1:13" ht="31.5">
      <c r="A147" s="475"/>
      <c r="B147" s="245"/>
      <c r="C147" s="250" t="s">
        <v>32</v>
      </c>
      <c r="D147" s="233" t="s">
        <v>30</v>
      </c>
      <c r="E147" s="233"/>
      <c r="F147" s="255">
        <f>F146</f>
        <v>0</v>
      </c>
      <c r="G147" s="251"/>
      <c r="H147" s="251">
        <f>F147*G147</f>
        <v>0</v>
      </c>
      <c r="I147" s="252"/>
      <c r="J147" s="253"/>
      <c r="K147" s="252"/>
      <c r="L147" s="254"/>
      <c r="M147" s="252">
        <f>H147</f>
        <v>0</v>
      </c>
    </row>
    <row r="148" spans="1:13" ht="15.75">
      <c r="A148" s="475"/>
      <c r="B148" s="245"/>
      <c r="C148" s="250" t="s">
        <v>39</v>
      </c>
      <c r="D148" s="233" t="s">
        <v>34</v>
      </c>
      <c r="E148" s="256">
        <f>2.1/1000</f>
        <v>0.0021000000000000003</v>
      </c>
      <c r="F148" s="255">
        <f>E148*F144</f>
        <v>0</v>
      </c>
      <c r="G148" s="233"/>
      <c r="H148" s="233"/>
      <c r="I148" s="233"/>
      <c r="J148" s="233"/>
      <c r="K148" s="233"/>
      <c r="L148" s="233">
        <f>F148*K148</f>
        <v>0</v>
      </c>
      <c r="M148" s="233">
        <f>L148</f>
        <v>0</v>
      </c>
    </row>
    <row r="149" spans="1:13" ht="31.5">
      <c r="A149" s="466"/>
      <c r="B149" s="258"/>
      <c r="C149" s="259" t="s">
        <v>186</v>
      </c>
      <c r="D149" s="226" t="s">
        <v>35</v>
      </c>
      <c r="E149" s="235"/>
      <c r="F149" s="228">
        <f>F144*1.8</f>
        <v>0</v>
      </c>
      <c r="G149" s="227"/>
      <c r="H149" s="226"/>
      <c r="I149" s="235"/>
      <c r="J149" s="227"/>
      <c r="K149" s="235"/>
      <c r="L149" s="226">
        <f>F149*K149</f>
        <v>0</v>
      </c>
      <c r="M149" s="235">
        <f>L149</f>
        <v>0</v>
      </c>
    </row>
    <row r="150" spans="1:13" ht="63">
      <c r="A150" s="461">
        <v>16</v>
      </c>
      <c r="B150" s="260" t="s">
        <v>112</v>
      </c>
      <c r="C150" s="246" t="s">
        <v>219</v>
      </c>
      <c r="D150" s="247" t="s">
        <v>315</v>
      </c>
      <c r="E150" s="232"/>
      <c r="F150" s="248">
        <v>0</v>
      </c>
      <c r="G150" s="249"/>
      <c r="H150" s="247"/>
      <c r="I150" s="232"/>
      <c r="J150" s="249"/>
      <c r="K150" s="232"/>
      <c r="L150" s="247"/>
      <c r="M150" s="232"/>
    </row>
    <row r="151" spans="1:13" ht="31.5">
      <c r="A151" s="475"/>
      <c r="B151" s="245"/>
      <c r="C151" s="250" t="s">
        <v>29</v>
      </c>
      <c r="D151" s="233" t="s">
        <v>30</v>
      </c>
      <c r="E151" s="233">
        <f>2.06+0.87</f>
        <v>2.93</v>
      </c>
      <c r="F151" s="233">
        <f>E151*F150</f>
        <v>0</v>
      </c>
      <c r="G151" s="251"/>
      <c r="H151" s="251">
        <f>F151*G151</f>
        <v>0</v>
      </c>
      <c r="I151" s="252"/>
      <c r="J151" s="252"/>
      <c r="K151" s="252"/>
      <c r="L151" s="252"/>
      <c r="M151" s="252">
        <f>H151</f>
        <v>0</v>
      </c>
    </row>
    <row r="152" spans="1:13" ht="31.5">
      <c r="A152" s="466"/>
      <c r="B152" s="258"/>
      <c r="C152" s="259" t="s">
        <v>197</v>
      </c>
      <c r="D152" s="226" t="s">
        <v>35</v>
      </c>
      <c r="E152" s="235"/>
      <c r="F152" s="228">
        <f>F150*1.8</f>
        <v>0</v>
      </c>
      <c r="G152" s="227"/>
      <c r="H152" s="226"/>
      <c r="I152" s="235"/>
      <c r="J152" s="227"/>
      <c r="K152" s="235"/>
      <c r="L152" s="226">
        <f>F152*K152</f>
        <v>0</v>
      </c>
      <c r="M152" s="235">
        <f>L152</f>
        <v>0</v>
      </c>
    </row>
    <row r="153" spans="1:13" ht="18">
      <c r="A153" s="486">
        <v>17</v>
      </c>
      <c r="B153" s="262" t="s">
        <v>113</v>
      </c>
      <c r="C153" s="223" t="s">
        <v>78</v>
      </c>
      <c r="D153" s="263" t="s">
        <v>315</v>
      </c>
      <c r="E153" s="264"/>
      <c r="F153" s="265">
        <v>0</v>
      </c>
      <c r="G153" s="264"/>
      <c r="H153" s="264"/>
      <c r="I153" s="264"/>
      <c r="J153" s="264"/>
      <c r="K153" s="264"/>
      <c r="L153" s="264"/>
      <c r="M153" s="264"/>
    </row>
    <row r="154" spans="1:13" ht="31.5">
      <c r="A154" s="467"/>
      <c r="B154" s="266"/>
      <c r="C154" s="250" t="s">
        <v>29</v>
      </c>
      <c r="D154" s="233" t="s">
        <v>30</v>
      </c>
      <c r="E154" s="256">
        <f>3.23/1000</f>
        <v>0.00323</v>
      </c>
      <c r="F154" s="233">
        <f>E154*F153</f>
        <v>0</v>
      </c>
      <c r="G154" s="267"/>
      <c r="H154" s="267">
        <f>F154*G154</f>
        <v>0</v>
      </c>
      <c r="I154" s="268"/>
      <c r="J154" s="268"/>
      <c r="K154" s="268"/>
      <c r="L154" s="268"/>
      <c r="M154" s="267">
        <f>H154</f>
        <v>0</v>
      </c>
    </row>
    <row r="155" spans="1:13" ht="15.75">
      <c r="A155" s="475"/>
      <c r="B155" s="245"/>
      <c r="C155" s="250" t="s">
        <v>77</v>
      </c>
      <c r="D155" s="233" t="s">
        <v>31</v>
      </c>
      <c r="E155" s="269">
        <f>3.62/1000</f>
        <v>0.00362</v>
      </c>
      <c r="F155" s="233">
        <f>E155*F153</f>
        <v>0</v>
      </c>
      <c r="G155" s="233"/>
      <c r="H155" s="233"/>
      <c r="I155" s="233"/>
      <c r="J155" s="233"/>
      <c r="K155" s="233"/>
      <c r="L155" s="233">
        <f>F155*K155</f>
        <v>0</v>
      </c>
      <c r="M155" s="233">
        <f>L155</f>
        <v>0</v>
      </c>
    </row>
    <row r="156" spans="1:13" ht="31.5">
      <c r="A156" s="475"/>
      <c r="B156" s="245"/>
      <c r="C156" s="250" t="s">
        <v>32</v>
      </c>
      <c r="D156" s="233" t="s">
        <v>30</v>
      </c>
      <c r="E156" s="233"/>
      <c r="F156" s="233">
        <f>F155</f>
        <v>0</v>
      </c>
      <c r="G156" s="233"/>
      <c r="H156" s="233">
        <f>F156*G156</f>
        <v>0</v>
      </c>
      <c r="I156" s="233"/>
      <c r="J156" s="233"/>
      <c r="K156" s="224"/>
      <c r="L156" s="224"/>
      <c r="M156" s="233">
        <f>H156</f>
        <v>0</v>
      </c>
    </row>
    <row r="157" spans="1:13" ht="15.75">
      <c r="A157" s="468"/>
      <c r="B157" s="270"/>
      <c r="C157" s="271" t="s">
        <v>39</v>
      </c>
      <c r="D157" s="270" t="s">
        <v>34</v>
      </c>
      <c r="E157" s="272">
        <f>0.18/1000</f>
        <v>0.00017999999999999998</v>
      </c>
      <c r="F157" s="236">
        <f>E157*F153</f>
        <v>0</v>
      </c>
      <c r="G157" s="270"/>
      <c r="H157" s="270"/>
      <c r="I157" s="270"/>
      <c r="J157" s="270"/>
      <c r="K157" s="273"/>
      <c r="L157" s="236">
        <f>F157*K157</f>
        <v>0</v>
      </c>
      <c r="M157" s="236">
        <f>L157</f>
        <v>0</v>
      </c>
    </row>
    <row r="158" spans="1:13" ht="47.25">
      <c r="A158" s="379"/>
      <c r="B158" s="380"/>
      <c r="C158" s="487" t="s">
        <v>155</v>
      </c>
      <c r="D158" s="382"/>
      <c r="E158" s="382"/>
      <c r="F158" s="382"/>
      <c r="G158" s="382"/>
      <c r="H158" s="382"/>
      <c r="I158" s="382"/>
      <c r="J158" s="382"/>
      <c r="K158" s="382"/>
      <c r="L158" s="335"/>
      <c r="M158" s="335"/>
    </row>
    <row r="159" spans="1:13" ht="63">
      <c r="A159" s="244">
        <v>18</v>
      </c>
      <c r="B159" s="283" t="s">
        <v>108</v>
      </c>
      <c r="C159" s="250" t="s">
        <v>183</v>
      </c>
      <c r="D159" s="247" t="s">
        <v>315</v>
      </c>
      <c r="E159" s="232"/>
      <c r="F159" s="248">
        <v>101.88</v>
      </c>
      <c r="G159" s="249"/>
      <c r="H159" s="247"/>
      <c r="I159" s="232"/>
      <c r="J159" s="249"/>
      <c r="K159" s="232"/>
      <c r="L159" s="247"/>
      <c r="M159" s="232"/>
    </row>
    <row r="160" spans="1:13" ht="31.5">
      <c r="A160" s="244"/>
      <c r="B160" s="283"/>
      <c r="C160" s="383" t="s">
        <v>29</v>
      </c>
      <c r="D160" s="233" t="s">
        <v>30</v>
      </c>
      <c r="E160" s="256">
        <v>0.143</v>
      </c>
      <c r="F160" s="233">
        <f>E160*F159</f>
        <v>14.568839999999998</v>
      </c>
      <c r="G160" s="233"/>
      <c r="H160" s="233">
        <f>F160*G160</f>
        <v>0</v>
      </c>
      <c r="I160" s="224"/>
      <c r="J160" s="224"/>
      <c r="K160" s="224"/>
      <c r="L160" s="224"/>
      <c r="M160" s="233">
        <f>H160</f>
        <v>0</v>
      </c>
    </row>
    <row r="161" spans="1:13" ht="31.5">
      <c r="A161" s="245"/>
      <c r="B161" s="245"/>
      <c r="C161" s="383" t="s">
        <v>59</v>
      </c>
      <c r="D161" s="233" t="s">
        <v>31</v>
      </c>
      <c r="E161" s="256">
        <f>2.39/100</f>
        <v>0.0239</v>
      </c>
      <c r="F161" s="233">
        <f>E161*F159</f>
        <v>2.434932</v>
      </c>
      <c r="G161" s="233"/>
      <c r="H161" s="224"/>
      <c r="I161" s="224"/>
      <c r="J161" s="224"/>
      <c r="K161" s="233"/>
      <c r="L161" s="233">
        <f>F161*K161</f>
        <v>0</v>
      </c>
      <c r="M161" s="233">
        <f>L161</f>
        <v>0</v>
      </c>
    </row>
    <row r="162" spans="1:13" ht="31.5">
      <c r="A162" s="245"/>
      <c r="B162" s="245"/>
      <c r="C162" s="383" t="s">
        <v>32</v>
      </c>
      <c r="D162" s="233" t="s">
        <v>30</v>
      </c>
      <c r="E162" s="256"/>
      <c r="F162" s="233">
        <f>F161</f>
        <v>2.434932</v>
      </c>
      <c r="G162" s="233"/>
      <c r="H162" s="233">
        <f>F162*G162</f>
        <v>0</v>
      </c>
      <c r="I162" s="224"/>
      <c r="J162" s="224"/>
      <c r="K162" s="233"/>
      <c r="L162" s="233"/>
      <c r="M162" s="233">
        <f>H162</f>
        <v>0</v>
      </c>
    </row>
    <row r="163" spans="1:13" ht="31.5">
      <c r="A163" s="275"/>
      <c r="B163" s="245"/>
      <c r="C163" s="285" t="s">
        <v>109</v>
      </c>
      <c r="D163" s="233" t="s">
        <v>31</v>
      </c>
      <c r="E163" s="275">
        <f>1.38/100</f>
        <v>0.0138</v>
      </c>
      <c r="F163" s="232">
        <f>E163*F159</f>
        <v>1.4059439999999999</v>
      </c>
      <c r="G163" s="232"/>
      <c r="H163" s="232"/>
      <c r="I163" s="232"/>
      <c r="J163" s="232"/>
      <c r="K163" s="232"/>
      <c r="L163" s="232">
        <f>F163*K163</f>
        <v>0</v>
      </c>
      <c r="M163" s="232">
        <f>L163</f>
        <v>0</v>
      </c>
    </row>
    <row r="164" spans="1:13" ht="31.5">
      <c r="A164" s="244"/>
      <c r="B164" s="283"/>
      <c r="C164" s="383" t="s">
        <v>32</v>
      </c>
      <c r="D164" s="233" t="s">
        <v>30</v>
      </c>
      <c r="E164" s="384"/>
      <c r="F164" s="385">
        <f>F163</f>
        <v>1.4059439999999999</v>
      </c>
      <c r="G164" s="249"/>
      <c r="H164" s="247">
        <f>F164*G164</f>
        <v>0</v>
      </c>
      <c r="I164" s="232"/>
      <c r="J164" s="249"/>
      <c r="K164" s="232"/>
      <c r="L164" s="247"/>
      <c r="M164" s="232">
        <f>H164</f>
        <v>0</v>
      </c>
    </row>
    <row r="165" spans="1:13" ht="31.5">
      <c r="A165" s="244"/>
      <c r="B165" s="245"/>
      <c r="C165" s="285" t="s">
        <v>110</v>
      </c>
      <c r="D165" s="233" t="s">
        <v>31</v>
      </c>
      <c r="E165" s="275">
        <f>1.38/100</f>
        <v>0.0138</v>
      </c>
      <c r="F165" s="385">
        <f>E165*F159</f>
        <v>1.4059439999999999</v>
      </c>
      <c r="G165" s="249"/>
      <c r="H165" s="247"/>
      <c r="I165" s="232"/>
      <c r="J165" s="249"/>
      <c r="K165" s="232"/>
      <c r="L165" s="247">
        <f>F165*K165</f>
        <v>0</v>
      </c>
      <c r="M165" s="232">
        <f>L165</f>
        <v>0</v>
      </c>
    </row>
    <row r="166" spans="1:13" ht="31.5">
      <c r="A166" s="244"/>
      <c r="B166" s="283"/>
      <c r="C166" s="383" t="s">
        <v>32</v>
      </c>
      <c r="D166" s="233" t="s">
        <v>30</v>
      </c>
      <c r="E166" s="384"/>
      <c r="F166" s="385">
        <f>F165</f>
        <v>1.4059439999999999</v>
      </c>
      <c r="G166" s="249"/>
      <c r="H166" s="247">
        <f>F166*G166</f>
        <v>0</v>
      </c>
      <c r="I166" s="232"/>
      <c r="J166" s="249"/>
      <c r="K166" s="232"/>
      <c r="L166" s="247"/>
      <c r="M166" s="232">
        <f>H166</f>
        <v>0</v>
      </c>
    </row>
    <row r="167" spans="1:13" ht="15.75">
      <c r="A167" s="244"/>
      <c r="B167" s="283"/>
      <c r="C167" s="285" t="s">
        <v>39</v>
      </c>
      <c r="D167" s="244" t="s">
        <v>34</v>
      </c>
      <c r="E167" s="275">
        <f>1.08/100</f>
        <v>0.0108</v>
      </c>
      <c r="F167" s="385">
        <f>E167*F159</f>
        <v>1.100304</v>
      </c>
      <c r="G167" s="249"/>
      <c r="H167" s="247"/>
      <c r="I167" s="232"/>
      <c r="J167" s="249"/>
      <c r="K167" s="232"/>
      <c r="L167" s="247">
        <f>F167*K167</f>
        <v>0</v>
      </c>
      <c r="M167" s="232">
        <f>L167</f>
        <v>0</v>
      </c>
    </row>
    <row r="168" spans="1:13" ht="63">
      <c r="A168" s="257"/>
      <c r="B168" s="258"/>
      <c r="C168" s="259" t="s">
        <v>111</v>
      </c>
      <c r="D168" s="226" t="s">
        <v>35</v>
      </c>
      <c r="E168" s="235"/>
      <c r="F168" s="228">
        <f>F159*1.8</f>
        <v>183.384</v>
      </c>
      <c r="G168" s="227"/>
      <c r="H168" s="226"/>
      <c r="I168" s="235"/>
      <c r="J168" s="227"/>
      <c r="K168" s="235"/>
      <c r="L168" s="226">
        <f>F168*K168</f>
        <v>0</v>
      </c>
      <c r="M168" s="235">
        <f>L168</f>
        <v>0</v>
      </c>
    </row>
    <row r="169" spans="1:13" ht="78.75">
      <c r="A169" s="244">
        <v>19</v>
      </c>
      <c r="B169" s="260" t="s">
        <v>112</v>
      </c>
      <c r="C169" s="250" t="s">
        <v>184</v>
      </c>
      <c r="D169" s="247" t="s">
        <v>315</v>
      </c>
      <c r="E169" s="232"/>
      <c r="F169" s="248">
        <v>11.32</v>
      </c>
      <c r="G169" s="249"/>
      <c r="H169" s="247"/>
      <c r="I169" s="232"/>
      <c r="J169" s="249"/>
      <c r="K169" s="232"/>
      <c r="L169" s="247"/>
      <c r="M169" s="232"/>
    </row>
    <row r="170" spans="1:13" ht="31.5">
      <c r="A170" s="245"/>
      <c r="B170" s="245"/>
      <c r="C170" s="250" t="s">
        <v>29</v>
      </c>
      <c r="D170" s="233" t="s">
        <v>30</v>
      </c>
      <c r="E170" s="233">
        <f>2.06+0.87</f>
        <v>2.93</v>
      </c>
      <c r="F170" s="233">
        <f>E170*F169</f>
        <v>33.1676</v>
      </c>
      <c r="G170" s="251"/>
      <c r="H170" s="251">
        <f>F170*G170</f>
        <v>0</v>
      </c>
      <c r="I170" s="252"/>
      <c r="J170" s="252"/>
      <c r="K170" s="252"/>
      <c r="L170" s="252"/>
      <c r="M170" s="252">
        <f>H170</f>
        <v>0</v>
      </c>
    </row>
    <row r="171" spans="1:13" ht="31.5">
      <c r="A171" s="257"/>
      <c r="B171" s="258"/>
      <c r="C171" s="259" t="s">
        <v>114</v>
      </c>
      <c r="D171" s="226" t="s">
        <v>35</v>
      </c>
      <c r="E171" s="235"/>
      <c r="F171" s="228">
        <f>F169*1.8</f>
        <v>20.376</v>
      </c>
      <c r="G171" s="227"/>
      <c r="H171" s="226"/>
      <c r="I171" s="235"/>
      <c r="J171" s="227"/>
      <c r="K171" s="235"/>
      <c r="L171" s="226">
        <f>F171*K171</f>
        <v>0</v>
      </c>
      <c r="M171" s="235">
        <f>L171</f>
        <v>0</v>
      </c>
    </row>
    <row r="172" spans="1:13" ht="18">
      <c r="A172" s="261">
        <v>20</v>
      </c>
      <c r="B172" s="262" t="s">
        <v>113</v>
      </c>
      <c r="C172" s="223" t="s">
        <v>78</v>
      </c>
      <c r="D172" s="263" t="s">
        <v>315</v>
      </c>
      <c r="E172" s="264"/>
      <c r="F172" s="265">
        <f>F159+F169</f>
        <v>113.19999999999999</v>
      </c>
      <c r="G172" s="264"/>
      <c r="H172" s="264"/>
      <c r="I172" s="264"/>
      <c r="J172" s="264"/>
      <c r="K172" s="264"/>
      <c r="L172" s="264"/>
      <c r="M172" s="264"/>
    </row>
    <row r="173" spans="1:13" ht="31.5">
      <c r="A173" s="266"/>
      <c r="B173" s="266"/>
      <c r="C173" s="250" t="s">
        <v>29</v>
      </c>
      <c r="D173" s="233" t="s">
        <v>30</v>
      </c>
      <c r="E173" s="256">
        <f>3.23/1000</f>
        <v>0.00323</v>
      </c>
      <c r="F173" s="233">
        <f>E173*F172</f>
        <v>0.36563599999999996</v>
      </c>
      <c r="G173" s="267"/>
      <c r="H173" s="267">
        <f>F173*G173</f>
        <v>0</v>
      </c>
      <c r="I173" s="268"/>
      <c r="J173" s="268"/>
      <c r="K173" s="268"/>
      <c r="L173" s="268"/>
      <c r="M173" s="267">
        <f>H173</f>
        <v>0</v>
      </c>
    </row>
    <row r="174" spans="1:13" ht="15.75">
      <c r="A174" s="245"/>
      <c r="B174" s="245"/>
      <c r="C174" s="250" t="s">
        <v>77</v>
      </c>
      <c r="D174" s="233" t="s">
        <v>31</v>
      </c>
      <c r="E174" s="269">
        <f>3.62/1000</f>
        <v>0.00362</v>
      </c>
      <c r="F174" s="233">
        <f>E174*F172</f>
        <v>0.4097839999999999</v>
      </c>
      <c r="G174" s="233"/>
      <c r="H174" s="233"/>
      <c r="I174" s="233"/>
      <c r="J174" s="233"/>
      <c r="K174" s="233"/>
      <c r="L174" s="233">
        <f>F174*K174</f>
        <v>0</v>
      </c>
      <c r="M174" s="233">
        <f>L174</f>
        <v>0</v>
      </c>
    </row>
    <row r="175" spans="1:13" ht="31.5">
      <c r="A175" s="245"/>
      <c r="B175" s="245"/>
      <c r="C175" s="250" t="s">
        <v>32</v>
      </c>
      <c r="D175" s="233" t="s">
        <v>30</v>
      </c>
      <c r="E175" s="233"/>
      <c r="F175" s="233">
        <f>F174</f>
        <v>0.4097839999999999</v>
      </c>
      <c r="G175" s="233"/>
      <c r="H175" s="233">
        <f>F175*G175</f>
        <v>0</v>
      </c>
      <c r="I175" s="233"/>
      <c r="J175" s="233"/>
      <c r="K175" s="224"/>
      <c r="L175" s="224"/>
      <c r="M175" s="233">
        <f>H175</f>
        <v>0</v>
      </c>
    </row>
    <row r="176" spans="1:13" ht="15.75">
      <c r="A176" s="270"/>
      <c r="B176" s="270"/>
      <c r="C176" s="271" t="s">
        <v>39</v>
      </c>
      <c r="D176" s="270" t="s">
        <v>34</v>
      </c>
      <c r="E176" s="272">
        <f>0.18/1000</f>
        <v>0.00017999999999999998</v>
      </c>
      <c r="F176" s="236">
        <f>E176*F172</f>
        <v>0.020375999999999995</v>
      </c>
      <c r="G176" s="270"/>
      <c r="H176" s="270"/>
      <c r="I176" s="270"/>
      <c r="J176" s="270"/>
      <c r="K176" s="273"/>
      <c r="L176" s="236">
        <f>F176*K176</f>
        <v>0</v>
      </c>
      <c r="M176" s="236">
        <f>L176</f>
        <v>0</v>
      </c>
    </row>
    <row r="177" spans="1:13" ht="47.25">
      <c r="A177" s="245" t="s">
        <v>308</v>
      </c>
      <c r="B177" s="383" t="s">
        <v>116</v>
      </c>
      <c r="C177" s="383" t="s">
        <v>119</v>
      </c>
      <c r="D177" s="233" t="s">
        <v>316</v>
      </c>
      <c r="E177" s="233"/>
      <c r="F177" s="292">
        <v>374.7</v>
      </c>
      <c r="G177" s="292"/>
      <c r="H177" s="292"/>
      <c r="I177" s="292"/>
      <c r="J177" s="262"/>
      <c r="K177" s="262"/>
      <c r="L177" s="262"/>
      <c r="M177" s="262"/>
    </row>
    <row r="178" spans="1:13" ht="31.5">
      <c r="A178" s="245"/>
      <c r="B178" s="245"/>
      <c r="C178" s="383" t="s">
        <v>29</v>
      </c>
      <c r="D178" s="233" t="s">
        <v>30</v>
      </c>
      <c r="E178" s="256">
        <f>3.3/100</f>
        <v>0.033</v>
      </c>
      <c r="F178" s="233">
        <f>E178*F177</f>
        <v>12.3651</v>
      </c>
      <c r="G178" s="233"/>
      <c r="H178" s="233">
        <f>F178*G178</f>
        <v>0</v>
      </c>
      <c r="I178" s="233"/>
      <c r="J178" s="224"/>
      <c r="K178" s="224"/>
      <c r="L178" s="224"/>
      <c r="M178" s="233">
        <f>H178</f>
        <v>0</v>
      </c>
    </row>
    <row r="179" spans="1:13" ht="31.5">
      <c r="A179" s="245"/>
      <c r="B179" s="245"/>
      <c r="C179" s="383" t="s">
        <v>59</v>
      </c>
      <c r="D179" s="233" t="s">
        <v>31</v>
      </c>
      <c r="E179" s="269">
        <f>0.042/100</f>
        <v>0.00042</v>
      </c>
      <c r="F179" s="233">
        <f>E179*F177</f>
        <v>0.157374</v>
      </c>
      <c r="G179" s="233"/>
      <c r="H179" s="233"/>
      <c r="I179" s="233"/>
      <c r="J179" s="224"/>
      <c r="K179" s="233"/>
      <c r="L179" s="233">
        <f>F179*K179</f>
        <v>0</v>
      </c>
      <c r="M179" s="233">
        <f>L179</f>
        <v>0</v>
      </c>
    </row>
    <row r="180" spans="1:13" ht="31.5">
      <c r="A180" s="245"/>
      <c r="B180" s="245"/>
      <c r="C180" s="383" t="s">
        <v>32</v>
      </c>
      <c r="D180" s="233" t="s">
        <v>30</v>
      </c>
      <c r="E180" s="233"/>
      <c r="F180" s="233">
        <f>F179</f>
        <v>0.157374</v>
      </c>
      <c r="G180" s="233"/>
      <c r="H180" s="233">
        <f>F180*G180</f>
        <v>0</v>
      </c>
      <c r="I180" s="233"/>
      <c r="J180" s="224"/>
      <c r="K180" s="224"/>
      <c r="L180" s="233"/>
      <c r="M180" s="233">
        <f>H180</f>
        <v>0</v>
      </c>
    </row>
    <row r="181" spans="1:13" ht="15.75">
      <c r="A181" s="245"/>
      <c r="B181" s="245"/>
      <c r="C181" s="383" t="s">
        <v>104</v>
      </c>
      <c r="D181" s="233" t="s">
        <v>31</v>
      </c>
      <c r="E181" s="269">
        <f>0.258/100</f>
        <v>0.0025800000000000003</v>
      </c>
      <c r="F181" s="233">
        <f>E181*F177</f>
        <v>0.9667260000000001</v>
      </c>
      <c r="G181" s="233"/>
      <c r="H181" s="233"/>
      <c r="I181" s="233"/>
      <c r="J181" s="224"/>
      <c r="K181" s="233"/>
      <c r="L181" s="233">
        <f>F181*K181</f>
        <v>0</v>
      </c>
      <c r="M181" s="233">
        <f>L181</f>
        <v>0</v>
      </c>
    </row>
    <row r="182" spans="1:13" ht="31.5">
      <c r="A182" s="245"/>
      <c r="B182" s="245"/>
      <c r="C182" s="383" t="s">
        <v>32</v>
      </c>
      <c r="D182" s="233" t="s">
        <v>30</v>
      </c>
      <c r="E182" s="233"/>
      <c r="F182" s="233">
        <f>F181</f>
        <v>0.9667260000000001</v>
      </c>
      <c r="G182" s="233"/>
      <c r="H182" s="233">
        <f>F182*G182</f>
        <v>0</v>
      </c>
      <c r="I182" s="233"/>
      <c r="J182" s="224"/>
      <c r="K182" s="224"/>
      <c r="L182" s="233"/>
      <c r="M182" s="233">
        <f>H182</f>
        <v>0</v>
      </c>
    </row>
    <row r="183" spans="1:13" ht="31.5">
      <c r="A183" s="245"/>
      <c r="B183" s="245"/>
      <c r="C183" s="383" t="s">
        <v>61</v>
      </c>
      <c r="D183" s="233" t="s">
        <v>31</v>
      </c>
      <c r="E183" s="256">
        <f>1.12/100</f>
        <v>0.011200000000000002</v>
      </c>
      <c r="F183" s="233">
        <f>E183*F177</f>
        <v>4.19664</v>
      </c>
      <c r="G183" s="233"/>
      <c r="H183" s="233"/>
      <c r="I183" s="233"/>
      <c r="J183" s="224"/>
      <c r="K183" s="233"/>
      <c r="L183" s="233">
        <f>F183*K183</f>
        <v>0</v>
      </c>
      <c r="M183" s="233">
        <f>L183</f>
        <v>0</v>
      </c>
    </row>
    <row r="184" spans="1:13" ht="31.5">
      <c r="A184" s="245"/>
      <c r="B184" s="245"/>
      <c r="C184" s="383" t="s">
        <v>32</v>
      </c>
      <c r="D184" s="233" t="s">
        <v>30</v>
      </c>
      <c r="E184" s="233"/>
      <c r="F184" s="233">
        <f>F183</f>
        <v>4.19664</v>
      </c>
      <c r="G184" s="233"/>
      <c r="H184" s="233">
        <f>F184*G184</f>
        <v>0</v>
      </c>
      <c r="I184" s="233"/>
      <c r="J184" s="224"/>
      <c r="K184" s="224"/>
      <c r="L184" s="233"/>
      <c r="M184" s="233">
        <f>H184</f>
        <v>0</v>
      </c>
    </row>
    <row r="185" spans="1:13" ht="15.75">
      <c r="A185" s="245"/>
      <c r="B185" s="245"/>
      <c r="C185" s="383" t="s">
        <v>62</v>
      </c>
      <c r="D185" s="233" t="s">
        <v>31</v>
      </c>
      <c r="E185" s="256">
        <f>2.48/100</f>
        <v>0.0248</v>
      </c>
      <c r="F185" s="233">
        <f>E185*F177</f>
        <v>9.29256</v>
      </c>
      <c r="G185" s="233"/>
      <c r="H185" s="233"/>
      <c r="I185" s="233"/>
      <c r="J185" s="224"/>
      <c r="K185" s="233"/>
      <c r="L185" s="233">
        <f>F185*K185</f>
        <v>0</v>
      </c>
      <c r="M185" s="233">
        <f>L185</f>
        <v>0</v>
      </c>
    </row>
    <row r="186" spans="1:13" ht="31.5">
      <c r="A186" s="245"/>
      <c r="B186" s="245"/>
      <c r="C186" s="383" t="s">
        <v>32</v>
      </c>
      <c r="D186" s="233" t="s">
        <v>30</v>
      </c>
      <c r="E186" s="233"/>
      <c r="F186" s="233">
        <f>F185</f>
        <v>9.29256</v>
      </c>
      <c r="G186" s="233"/>
      <c r="H186" s="233">
        <f>F186*G186</f>
        <v>0</v>
      </c>
      <c r="I186" s="233"/>
      <c r="J186" s="224"/>
      <c r="K186" s="224"/>
      <c r="L186" s="233"/>
      <c r="M186" s="233">
        <f>H186</f>
        <v>0</v>
      </c>
    </row>
    <row r="187" spans="1:13" ht="31.5">
      <c r="A187" s="245"/>
      <c r="B187" s="245"/>
      <c r="C187" s="383" t="s">
        <v>33</v>
      </c>
      <c r="D187" s="233" t="s">
        <v>31</v>
      </c>
      <c r="E187" s="269">
        <f>0.414/100</f>
        <v>0.00414</v>
      </c>
      <c r="F187" s="233">
        <f>E187*F177</f>
        <v>1.5512579999999998</v>
      </c>
      <c r="G187" s="233"/>
      <c r="H187" s="233"/>
      <c r="I187" s="233"/>
      <c r="J187" s="224"/>
      <c r="K187" s="233"/>
      <c r="L187" s="233">
        <f>F187*K187</f>
        <v>0</v>
      </c>
      <c r="M187" s="233">
        <f>L187</f>
        <v>0</v>
      </c>
    </row>
    <row r="188" spans="1:13" ht="31.5">
      <c r="A188" s="245"/>
      <c r="B188" s="245"/>
      <c r="C188" s="383" t="s">
        <v>32</v>
      </c>
      <c r="D188" s="233" t="s">
        <v>30</v>
      </c>
      <c r="E188" s="233"/>
      <c r="F188" s="233">
        <f>F187</f>
        <v>1.5512579999999998</v>
      </c>
      <c r="G188" s="233"/>
      <c r="H188" s="233">
        <f>F188*G188</f>
        <v>0</v>
      </c>
      <c r="I188" s="233"/>
      <c r="J188" s="224"/>
      <c r="K188" s="224"/>
      <c r="L188" s="233"/>
      <c r="M188" s="233">
        <f>H188</f>
        <v>0</v>
      </c>
    </row>
    <row r="189" spans="1:13" ht="31.5">
      <c r="A189" s="245"/>
      <c r="B189" s="245"/>
      <c r="C189" s="383" t="s">
        <v>117</v>
      </c>
      <c r="D189" s="233" t="s">
        <v>31</v>
      </c>
      <c r="E189" s="269">
        <f>0.053/100</f>
        <v>0.00053</v>
      </c>
      <c r="F189" s="233">
        <f>E189*F177</f>
        <v>0.198591</v>
      </c>
      <c r="G189" s="233"/>
      <c r="H189" s="233"/>
      <c r="I189" s="233"/>
      <c r="J189" s="224"/>
      <c r="K189" s="233"/>
      <c r="L189" s="233">
        <f>F189*K189</f>
        <v>0</v>
      </c>
      <c r="M189" s="233">
        <f>L189</f>
        <v>0</v>
      </c>
    </row>
    <row r="190" spans="1:13" ht="31.5">
      <c r="A190" s="245"/>
      <c r="B190" s="245"/>
      <c r="C190" s="383" t="s">
        <v>32</v>
      </c>
      <c r="D190" s="233" t="s">
        <v>30</v>
      </c>
      <c r="E190" s="233"/>
      <c r="F190" s="233">
        <f>F189</f>
        <v>0.198591</v>
      </c>
      <c r="G190" s="233"/>
      <c r="H190" s="233">
        <f>F190*G190</f>
        <v>0</v>
      </c>
      <c r="I190" s="233"/>
      <c r="J190" s="224"/>
      <c r="K190" s="224"/>
      <c r="L190" s="233"/>
      <c r="M190" s="233">
        <f>H190</f>
        <v>0</v>
      </c>
    </row>
    <row r="191" spans="1:13" ht="18">
      <c r="A191" s="245"/>
      <c r="B191" s="245"/>
      <c r="C191" s="383" t="s">
        <v>118</v>
      </c>
      <c r="D191" s="233" t="s">
        <v>315</v>
      </c>
      <c r="E191" s="256">
        <f>(18.9+1.5+1.26)/100</f>
        <v>0.21660000000000001</v>
      </c>
      <c r="F191" s="233">
        <f>E191*F177</f>
        <v>81.16002</v>
      </c>
      <c r="G191" s="233"/>
      <c r="H191" s="233"/>
      <c r="I191" s="233"/>
      <c r="J191" s="233">
        <f>F191*I191</f>
        <v>0</v>
      </c>
      <c r="K191" s="233"/>
      <c r="L191" s="233"/>
      <c r="M191" s="233">
        <f>J191</f>
        <v>0</v>
      </c>
    </row>
    <row r="192" spans="1:13" ht="18">
      <c r="A192" s="279"/>
      <c r="B192" s="279"/>
      <c r="C192" s="435" t="s">
        <v>60</v>
      </c>
      <c r="D192" s="236" t="s">
        <v>315</v>
      </c>
      <c r="E192" s="294">
        <f>3/100</f>
        <v>0.03</v>
      </c>
      <c r="F192" s="236">
        <f>E192*F177</f>
        <v>11.241</v>
      </c>
      <c r="G192" s="236"/>
      <c r="H192" s="236"/>
      <c r="I192" s="236"/>
      <c r="J192" s="236">
        <f>F192*I192</f>
        <v>0</v>
      </c>
      <c r="K192" s="236"/>
      <c r="L192" s="236"/>
      <c r="M192" s="236">
        <f>J192</f>
        <v>0</v>
      </c>
    </row>
    <row r="193" spans="1:13" ht="47.25">
      <c r="A193" s="245" t="s">
        <v>309</v>
      </c>
      <c r="B193" s="436" t="s">
        <v>120</v>
      </c>
      <c r="C193" s="250" t="s">
        <v>321</v>
      </c>
      <c r="D193" s="233" t="s">
        <v>316</v>
      </c>
      <c r="E193" s="233"/>
      <c r="F193" s="292">
        <v>353.5</v>
      </c>
      <c r="G193" s="233"/>
      <c r="H193" s="233"/>
      <c r="I193" s="233"/>
      <c r="J193" s="233"/>
      <c r="K193" s="224"/>
      <c r="L193" s="224"/>
      <c r="M193" s="233"/>
    </row>
    <row r="194" spans="1:13" ht="31.5">
      <c r="A194" s="437"/>
      <c r="B194" s="436"/>
      <c r="C194" s="412" t="s">
        <v>29</v>
      </c>
      <c r="D194" s="233" t="s">
        <v>30</v>
      </c>
      <c r="E194" s="438">
        <v>0.182</v>
      </c>
      <c r="F194" s="303">
        <f>E194*F193</f>
        <v>64.337</v>
      </c>
      <c r="G194" s="303"/>
      <c r="H194" s="303">
        <f>F194*G194</f>
        <v>0</v>
      </c>
      <c r="I194" s="303"/>
      <c r="J194" s="303"/>
      <c r="K194" s="303"/>
      <c r="L194" s="303"/>
      <c r="M194" s="303">
        <f>H194</f>
        <v>0</v>
      </c>
    </row>
    <row r="195" spans="1:13" ht="31.5">
      <c r="A195" s="437"/>
      <c r="B195" s="245"/>
      <c r="C195" s="299" t="s">
        <v>121</v>
      </c>
      <c r="D195" s="233" t="s">
        <v>31</v>
      </c>
      <c r="E195" s="437">
        <f>6.6/1000</f>
        <v>0.0066</v>
      </c>
      <c r="F195" s="303">
        <f>E195*F193</f>
        <v>2.3331</v>
      </c>
      <c r="G195" s="303"/>
      <c r="H195" s="303"/>
      <c r="I195" s="303"/>
      <c r="J195" s="303"/>
      <c r="K195" s="303"/>
      <c r="L195" s="303">
        <f>F195*K195</f>
        <v>0</v>
      </c>
      <c r="M195" s="303">
        <f>L195</f>
        <v>0</v>
      </c>
    </row>
    <row r="196" spans="1:13" ht="31.5">
      <c r="A196" s="437"/>
      <c r="B196" s="436"/>
      <c r="C196" s="412" t="s">
        <v>32</v>
      </c>
      <c r="D196" s="233" t="s">
        <v>30</v>
      </c>
      <c r="E196" s="296"/>
      <c r="F196" s="303">
        <f>F195</f>
        <v>2.3331</v>
      </c>
      <c r="G196" s="303"/>
      <c r="H196" s="303">
        <f>F196*G196</f>
        <v>0</v>
      </c>
      <c r="I196" s="303"/>
      <c r="J196" s="303"/>
      <c r="K196" s="303"/>
      <c r="L196" s="303"/>
      <c r="M196" s="303">
        <f>H196</f>
        <v>0</v>
      </c>
    </row>
    <row r="197" spans="1:13" ht="31.5">
      <c r="A197" s="437"/>
      <c r="B197" s="245"/>
      <c r="C197" s="412" t="s">
        <v>122</v>
      </c>
      <c r="D197" s="233" t="s">
        <v>31</v>
      </c>
      <c r="E197" s="437">
        <f>6.6/1000</f>
        <v>0.0066</v>
      </c>
      <c r="F197" s="303">
        <f>E197*F193</f>
        <v>2.3331</v>
      </c>
      <c r="G197" s="303"/>
      <c r="H197" s="303"/>
      <c r="I197" s="303"/>
      <c r="J197" s="303"/>
      <c r="K197" s="303"/>
      <c r="L197" s="303">
        <f>F197*K197</f>
        <v>0</v>
      </c>
      <c r="M197" s="303">
        <f>L197</f>
        <v>0</v>
      </c>
    </row>
    <row r="198" spans="1:13" ht="31.5">
      <c r="A198" s="437"/>
      <c r="B198" s="436"/>
      <c r="C198" s="412" t="s">
        <v>32</v>
      </c>
      <c r="D198" s="233" t="s">
        <v>30</v>
      </c>
      <c r="E198" s="296"/>
      <c r="F198" s="303">
        <f>F197</f>
        <v>2.3331</v>
      </c>
      <c r="G198" s="303"/>
      <c r="H198" s="303">
        <f>F198*G198</f>
        <v>0</v>
      </c>
      <c r="I198" s="303"/>
      <c r="J198" s="303"/>
      <c r="K198" s="303"/>
      <c r="L198" s="303"/>
      <c r="M198" s="303">
        <f>H198</f>
        <v>0</v>
      </c>
    </row>
    <row r="199" spans="1:13" ht="31.5">
      <c r="A199" s="437"/>
      <c r="B199" s="245"/>
      <c r="C199" s="299" t="s">
        <v>123</v>
      </c>
      <c r="D199" s="233" t="s">
        <v>31</v>
      </c>
      <c r="E199" s="437">
        <f>18.6/1000</f>
        <v>0.018600000000000002</v>
      </c>
      <c r="F199" s="303">
        <f>E199*F193</f>
        <v>6.575100000000001</v>
      </c>
      <c r="G199" s="303"/>
      <c r="H199" s="303"/>
      <c r="I199" s="303"/>
      <c r="J199" s="303"/>
      <c r="K199" s="303"/>
      <c r="L199" s="303">
        <f>F199*K199</f>
        <v>0</v>
      </c>
      <c r="M199" s="303">
        <f>L199</f>
        <v>0</v>
      </c>
    </row>
    <row r="200" spans="1:13" ht="31.5">
      <c r="A200" s="437"/>
      <c r="B200" s="436"/>
      <c r="C200" s="412" t="s">
        <v>32</v>
      </c>
      <c r="D200" s="233" t="s">
        <v>30</v>
      </c>
      <c r="E200" s="296"/>
      <c r="F200" s="303">
        <f>F199</f>
        <v>6.575100000000001</v>
      </c>
      <c r="G200" s="303"/>
      <c r="H200" s="303">
        <f>F200*G200</f>
        <v>0</v>
      </c>
      <c r="I200" s="303"/>
      <c r="J200" s="303"/>
      <c r="K200" s="303"/>
      <c r="L200" s="303"/>
      <c r="M200" s="303">
        <f>H200</f>
        <v>0</v>
      </c>
    </row>
    <row r="201" spans="1:13" ht="31.5">
      <c r="A201" s="437"/>
      <c r="B201" s="245"/>
      <c r="C201" s="299" t="s">
        <v>124</v>
      </c>
      <c r="D201" s="233" t="s">
        <v>31</v>
      </c>
      <c r="E201" s="439">
        <f>6.7/1000</f>
        <v>0.0067</v>
      </c>
      <c r="F201" s="303">
        <f>E201*F193</f>
        <v>2.36845</v>
      </c>
      <c r="G201" s="303"/>
      <c r="H201" s="303"/>
      <c r="I201" s="303"/>
      <c r="J201" s="303"/>
      <c r="K201" s="303"/>
      <c r="L201" s="303">
        <f>F201*K201</f>
        <v>0</v>
      </c>
      <c r="M201" s="303">
        <f>L201</f>
        <v>0</v>
      </c>
    </row>
    <row r="202" spans="1:13" ht="31.5">
      <c r="A202" s="437"/>
      <c r="B202" s="436"/>
      <c r="C202" s="412" t="s">
        <v>32</v>
      </c>
      <c r="D202" s="233" t="s">
        <v>30</v>
      </c>
      <c r="E202" s="296"/>
      <c r="F202" s="303">
        <f>F201</f>
        <v>2.36845</v>
      </c>
      <c r="G202" s="303"/>
      <c r="H202" s="303">
        <f>F202*G202</f>
        <v>0</v>
      </c>
      <c r="I202" s="303"/>
      <c r="J202" s="303"/>
      <c r="K202" s="303"/>
      <c r="L202" s="303"/>
      <c r="M202" s="303">
        <f>H202</f>
        <v>0</v>
      </c>
    </row>
    <row r="203" spans="1:13" ht="15.75">
      <c r="A203" s="437"/>
      <c r="B203" s="436"/>
      <c r="C203" s="299" t="s">
        <v>39</v>
      </c>
      <c r="D203" s="296" t="s">
        <v>34</v>
      </c>
      <c r="E203" s="296">
        <f>22.9/1000</f>
        <v>0.0229</v>
      </c>
      <c r="F203" s="303">
        <f>E203*F193</f>
        <v>8.09515</v>
      </c>
      <c r="G203" s="303"/>
      <c r="H203" s="303"/>
      <c r="I203" s="303"/>
      <c r="J203" s="303"/>
      <c r="K203" s="303"/>
      <c r="L203" s="303">
        <f>F203*K203</f>
        <v>0</v>
      </c>
      <c r="M203" s="303">
        <f>L203</f>
        <v>0</v>
      </c>
    </row>
    <row r="204" spans="1:13" ht="18">
      <c r="A204" s="437"/>
      <c r="B204" s="436"/>
      <c r="C204" s="299" t="s">
        <v>319</v>
      </c>
      <c r="D204" s="296" t="s">
        <v>315</v>
      </c>
      <c r="E204" s="440" t="s">
        <v>68</v>
      </c>
      <c r="F204" s="303">
        <v>26.6</v>
      </c>
      <c r="G204" s="303"/>
      <c r="H204" s="303"/>
      <c r="I204" s="303"/>
      <c r="J204" s="303">
        <f>F204*I204</f>
        <v>0</v>
      </c>
      <c r="K204" s="303"/>
      <c r="L204" s="303"/>
      <c r="M204" s="303">
        <f>J204</f>
        <v>0</v>
      </c>
    </row>
    <row r="205" spans="1:13" ht="31.5">
      <c r="A205" s="437"/>
      <c r="B205" s="436"/>
      <c r="C205" s="299" t="s">
        <v>320</v>
      </c>
      <c r="D205" s="296" t="s">
        <v>35</v>
      </c>
      <c r="E205" s="441" t="s">
        <v>68</v>
      </c>
      <c r="F205" s="442">
        <v>1.36</v>
      </c>
      <c r="G205" s="303"/>
      <c r="H205" s="303"/>
      <c r="I205" s="303"/>
      <c r="J205" s="303">
        <f>F205*I205</f>
        <v>0</v>
      </c>
      <c r="K205" s="303"/>
      <c r="L205" s="303"/>
      <c r="M205" s="303">
        <f>J205</f>
        <v>0</v>
      </c>
    </row>
    <row r="206" spans="1:13" ht="15.75">
      <c r="A206" s="437"/>
      <c r="B206" s="436"/>
      <c r="C206" s="299" t="s">
        <v>125</v>
      </c>
      <c r="D206" s="296" t="s">
        <v>35</v>
      </c>
      <c r="E206" s="296">
        <f>0.11/1000</f>
        <v>0.00011</v>
      </c>
      <c r="F206" s="442">
        <f>E206*F193</f>
        <v>0.038885</v>
      </c>
      <c r="G206" s="303"/>
      <c r="H206" s="303"/>
      <c r="I206" s="303"/>
      <c r="J206" s="303">
        <f>F206*I206</f>
        <v>0</v>
      </c>
      <c r="K206" s="303"/>
      <c r="L206" s="303"/>
      <c r="M206" s="303">
        <f>J206</f>
        <v>0</v>
      </c>
    </row>
    <row r="207" spans="1:13" ht="15.75">
      <c r="A207" s="437"/>
      <c r="B207" s="245"/>
      <c r="C207" s="299" t="s">
        <v>126</v>
      </c>
      <c r="D207" s="296" t="s">
        <v>35</v>
      </c>
      <c r="E207" s="296">
        <f>0.5/1000</f>
        <v>0.0005</v>
      </c>
      <c r="F207" s="442">
        <f>E207*F193</f>
        <v>0.17675</v>
      </c>
      <c r="G207" s="303"/>
      <c r="H207" s="303"/>
      <c r="I207" s="303"/>
      <c r="J207" s="303">
        <f>F207*I207</f>
        <v>0</v>
      </c>
      <c r="K207" s="303"/>
      <c r="L207" s="303"/>
      <c r="M207" s="303">
        <f>J207</f>
        <v>0</v>
      </c>
    </row>
    <row r="208" spans="1:13" ht="15.75">
      <c r="A208" s="443"/>
      <c r="B208" s="444"/>
      <c r="C208" s="306" t="s">
        <v>40</v>
      </c>
      <c r="D208" s="305" t="s">
        <v>34</v>
      </c>
      <c r="E208" s="305">
        <f>18.5/1000</f>
        <v>0.0185</v>
      </c>
      <c r="F208" s="445">
        <f>E208*F193</f>
        <v>6.53975</v>
      </c>
      <c r="G208" s="445"/>
      <c r="H208" s="445"/>
      <c r="I208" s="445"/>
      <c r="J208" s="445">
        <f>F208*I208</f>
        <v>0</v>
      </c>
      <c r="K208" s="445"/>
      <c r="L208" s="445"/>
      <c r="M208" s="445">
        <f>J208</f>
        <v>0</v>
      </c>
    </row>
    <row r="209" spans="1:13" ht="15.75">
      <c r="A209" s="455"/>
      <c r="B209" s="436"/>
      <c r="C209" s="456" t="s">
        <v>305</v>
      </c>
      <c r="D209" s="457"/>
      <c r="E209" s="296"/>
      <c r="F209" s="458"/>
      <c r="G209" s="459"/>
      <c r="H209" s="460"/>
      <c r="I209" s="303"/>
      <c r="J209" s="459"/>
      <c r="K209" s="303"/>
      <c r="L209" s="460"/>
      <c r="M209" s="303"/>
    </row>
    <row r="210" spans="1:14" ht="63">
      <c r="A210" s="461">
        <v>10</v>
      </c>
      <c r="B210" s="488" t="s">
        <v>138</v>
      </c>
      <c r="C210" s="489" t="s">
        <v>306</v>
      </c>
      <c r="D210" s="490" t="s">
        <v>315</v>
      </c>
      <c r="E210" s="491"/>
      <c r="F210" s="492">
        <v>21.87</v>
      </c>
      <c r="G210" s="493"/>
      <c r="H210" s="494"/>
      <c r="I210" s="495"/>
      <c r="J210" s="493"/>
      <c r="K210" s="495"/>
      <c r="L210" s="494"/>
      <c r="M210" s="495"/>
      <c r="N210" s="462"/>
    </row>
    <row r="211" spans="1:14" ht="31.5">
      <c r="A211" s="463"/>
      <c r="B211" s="488"/>
      <c r="C211" s="496" t="s">
        <v>29</v>
      </c>
      <c r="D211" s="497" t="s">
        <v>30</v>
      </c>
      <c r="E211" s="495">
        <v>2.12</v>
      </c>
      <c r="F211" s="495">
        <f>E211*F210</f>
        <v>46.3644</v>
      </c>
      <c r="G211" s="495"/>
      <c r="H211" s="494">
        <f>F211*G211</f>
        <v>0</v>
      </c>
      <c r="I211" s="495"/>
      <c r="J211" s="493"/>
      <c r="K211" s="495"/>
      <c r="L211" s="494"/>
      <c r="M211" s="495">
        <f>H211</f>
        <v>0</v>
      </c>
      <c r="N211" s="462"/>
    </row>
    <row r="212" spans="1:14" ht="15.75">
      <c r="A212" s="463"/>
      <c r="B212" s="488"/>
      <c r="C212" s="498" t="s">
        <v>39</v>
      </c>
      <c r="D212" s="499" t="s">
        <v>34</v>
      </c>
      <c r="E212" s="500">
        <v>0.101</v>
      </c>
      <c r="F212" s="497">
        <f>E212*F210</f>
        <v>2.20887</v>
      </c>
      <c r="G212" s="497"/>
      <c r="H212" s="499"/>
      <c r="I212" s="497"/>
      <c r="J212" s="501"/>
      <c r="K212" s="497"/>
      <c r="L212" s="499">
        <f>F212*K212</f>
        <v>0</v>
      </c>
      <c r="M212" s="497">
        <f>L212</f>
        <v>0</v>
      </c>
      <c r="N212" s="462"/>
    </row>
    <row r="213" spans="1:14" ht="18">
      <c r="A213" s="464"/>
      <c r="B213" s="502"/>
      <c r="C213" s="503" t="s">
        <v>139</v>
      </c>
      <c r="D213" s="504" t="s">
        <v>315</v>
      </c>
      <c r="E213" s="505">
        <v>1.1</v>
      </c>
      <c r="F213" s="505">
        <f>E213*F210</f>
        <v>24.057000000000002</v>
      </c>
      <c r="G213" s="505"/>
      <c r="H213" s="506"/>
      <c r="I213" s="505"/>
      <c r="J213" s="507">
        <f>F213*I213</f>
        <v>0</v>
      </c>
      <c r="K213" s="505"/>
      <c r="L213" s="506"/>
      <c r="M213" s="505">
        <f>J213</f>
        <v>0</v>
      </c>
      <c r="N213" s="462"/>
    </row>
    <row r="214" spans="1:13" ht="31.5">
      <c r="A214" s="461">
        <v>11</v>
      </c>
      <c r="B214" s="488" t="s">
        <v>257</v>
      </c>
      <c r="C214" s="508" t="s">
        <v>322</v>
      </c>
      <c r="D214" s="494" t="s">
        <v>157</v>
      </c>
      <c r="E214" s="495"/>
      <c r="F214" s="492">
        <v>80</v>
      </c>
      <c r="G214" s="493"/>
      <c r="H214" s="494"/>
      <c r="I214" s="495"/>
      <c r="J214" s="493"/>
      <c r="K214" s="495"/>
      <c r="L214" s="494"/>
      <c r="M214" s="495"/>
    </row>
    <row r="215" spans="1:13" ht="31.5">
      <c r="A215" s="461"/>
      <c r="B215" s="509"/>
      <c r="C215" s="496" t="s">
        <v>29</v>
      </c>
      <c r="D215" s="497" t="s">
        <v>30</v>
      </c>
      <c r="E215" s="500">
        <v>0.973</v>
      </c>
      <c r="F215" s="510">
        <f>E215*F214</f>
        <v>77.84</v>
      </c>
      <c r="G215" s="510"/>
      <c r="H215" s="510">
        <f>F215*G215</f>
        <v>0</v>
      </c>
      <c r="I215" s="511"/>
      <c r="J215" s="511"/>
      <c r="K215" s="511"/>
      <c r="L215" s="511"/>
      <c r="M215" s="510">
        <f>H215</f>
        <v>0</v>
      </c>
    </row>
    <row r="216" spans="1:13" ht="15.75">
      <c r="A216" s="461"/>
      <c r="B216" s="509"/>
      <c r="C216" s="508" t="s">
        <v>134</v>
      </c>
      <c r="D216" s="494" t="s">
        <v>34</v>
      </c>
      <c r="E216" s="500">
        <v>0.483</v>
      </c>
      <c r="F216" s="512">
        <f>E216*F214</f>
        <v>38.64</v>
      </c>
      <c r="G216" s="493"/>
      <c r="H216" s="494"/>
      <c r="I216" s="495"/>
      <c r="J216" s="493"/>
      <c r="K216" s="495"/>
      <c r="L216" s="494">
        <f>F216*K216</f>
        <v>0</v>
      </c>
      <c r="M216" s="495">
        <f>L216</f>
        <v>0</v>
      </c>
    </row>
    <row r="217" spans="1:13" ht="15.75">
      <c r="A217" s="461"/>
      <c r="B217" s="509"/>
      <c r="C217" s="508" t="s">
        <v>260</v>
      </c>
      <c r="D217" s="494" t="s">
        <v>157</v>
      </c>
      <c r="E217" s="500">
        <v>0.995</v>
      </c>
      <c r="F217" s="512">
        <f>E217*F214</f>
        <v>79.6</v>
      </c>
      <c r="G217" s="493"/>
      <c r="H217" s="494"/>
      <c r="I217" s="495"/>
      <c r="J217" s="493">
        <f>F217*I217</f>
        <v>0</v>
      </c>
      <c r="K217" s="495"/>
      <c r="L217" s="494"/>
      <c r="M217" s="495">
        <f>J217</f>
        <v>0</v>
      </c>
    </row>
    <row r="218" spans="1:13" ht="15.75">
      <c r="A218" s="466"/>
      <c r="B218" s="513"/>
      <c r="C218" s="514" t="s">
        <v>40</v>
      </c>
      <c r="D218" s="515" t="s">
        <v>34</v>
      </c>
      <c r="E218" s="516">
        <v>0.22</v>
      </c>
      <c r="F218" s="517">
        <f>E218*F214</f>
        <v>17.6</v>
      </c>
      <c r="G218" s="518"/>
      <c r="H218" s="515"/>
      <c r="I218" s="516"/>
      <c r="J218" s="518">
        <f>F218*I218</f>
        <v>0</v>
      </c>
      <c r="K218" s="516"/>
      <c r="L218" s="515"/>
      <c r="M218" s="516">
        <f>J218</f>
        <v>0</v>
      </c>
    </row>
    <row r="219" spans="1:13" ht="63">
      <c r="A219" s="463" t="s">
        <v>294</v>
      </c>
      <c r="B219" s="519" t="s">
        <v>243</v>
      </c>
      <c r="C219" s="520" t="s">
        <v>323</v>
      </c>
      <c r="D219" s="521" t="s">
        <v>315</v>
      </c>
      <c r="E219" s="522"/>
      <c r="F219" s="523">
        <v>32.23</v>
      </c>
      <c r="G219" s="497"/>
      <c r="H219" s="499"/>
      <c r="I219" s="497"/>
      <c r="J219" s="501"/>
      <c r="K219" s="497"/>
      <c r="L219" s="499"/>
      <c r="M219" s="497"/>
    </row>
    <row r="220" spans="1:13" ht="31.5">
      <c r="A220" s="467"/>
      <c r="B220" s="488"/>
      <c r="C220" s="524" t="s">
        <v>29</v>
      </c>
      <c r="D220" s="497" t="s">
        <v>30</v>
      </c>
      <c r="E220" s="525">
        <v>2.81</v>
      </c>
      <c r="F220" s="495">
        <f>E220*F219</f>
        <v>90.5663</v>
      </c>
      <c r="G220" s="525"/>
      <c r="H220" s="525">
        <f>F220*G220</f>
        <v>0</v>
      </c>
      <c r="I220" s="525"/>
      <c r="J220" s="525"/>
      <c r="K220" s="525"/>
      <c r="L220" s="525"/>
      <c r="M220" s="525">
        <f>H220</f>
        <v>0</v>
      </c>
    </row>
    <row r="221" spans="1:13" ht="15.75">
      <c r="A221" s="467"/>
      <c r="B221" s="488"/>
      <c r="C221" s="511" t="s">
        <v>134</v>
      </c>
      <c r="D221" s="526" t="s">
        <v>34</v>
      </c>
      <c r="E221" s="511">
        <v>0.33</v>
      </c>
      <c r="F221" s="497">
        <f>E221*F219</f>
        <v>10.6359</v>
      </c>
      <c r="G221" s="510"/>
      <c r="H221" s="510"/>
      <c r="I221" s="510"/>
      <c r="J221" s="510"/>
      <c r="K221" s="510"/>
      <c r="L221" s="510">
        <f>F221*K221</f>
        <v>0</v>
      </c>
      <c r="M221" s="510">
        <f>L221</f>
        <v>0</v>
      </c>
    </row>
    <row r="222" spans="1:13" ht="18">
      <c r="A222" s="467"/>
      <c r="B222" s="527"/>
      <c r="C222" s="511" t="s">
        <v>128</v>
      </c>
      <c r="D222" s="491" t="s">
        <v>315</v>
      </c>
      <c r="E222" s="511">
        <v>1.02</v>
      </c>
      <c r="F222" s="497">
        <f>E222*F219</f>
        <v>32.8746</v>
      </c>
      <c r="G222" s="510"/>
      <c r="H222" s="510"/>
      <c r="I222" s="495"/>
      <c r="J222" s="510">
        <f aca="true" t="shared" si="2" ref="J222:J227">F222*I222</f>
        <v>0</v>
      </c>
      <c r="K222" s="510"/>
      <c r="L222" s="510"/>
      <c r="M222" s="510">
        <f aca="true" t="shared" si="3" ref="M222:M227">J222</f>
        <v>0</v>
      </c>
    </row>
    <row r="223" spans="1:13" ht="18">
      <c r="A223" s="467"/>
      <c r="B223" s="527"/>
      <c r="C223" s="528" t="s">
        <v>129</v>
      </c>
      <c r="D223" s="491" t="s">
        <v>316</v>
      </c>
      <c r="E223" s="511">
        <v>0.717</v>
      </c>
      <c r="F223" s="497">
        <f>E223*F219</f>
        <v>23.108909999999998</v>
      </c>
      <c r="G223" s="510"/>
      <c r="H223" s="510"/>
      <c r="I223" s="495"/>
      <c r="J223" s="510">
        <f t="shared" si="2"/>
        <v>0</v>
      </c>
      <c r="K223" s="510"/>
      <c r="L223" s="510"/>
      <c r="M223" s="510">
        <f t="shared" si="3"/>
        <v>0</v>
      </c>
    </row>
    <row r="224" spans="1:13" ht="18">
      <c r="A224" s="467"/>
      <c r="B224" s="527"/>
      <c r="C224" s="529" t="s">
        <v>130</v>
      </c>
      <c r="D224" s="491" t="s">
        <v>315</v>
      </c>
      <c r="E224" s="511">
        <f>0.13/100</f>
        <v>0.0013</v>
      </c>
      <c r="F224" s="497">
        <f>E224*F219</f>
        <v>0.04189899999999999</v>
      </c>
      <c r="G224" s="510"/>
      <c r="H224" s="510"/>
      <c r="I224" s="495"/>
      <c r="J224" s="510">
        <f t="shared" si="2"/>
        <v>0</v>
      </c>
      <c r="K224" s="510"/>
      <c r="L224" s="510"/>
      <c r="M224" s="510">
        <f t="shared" si="3"/>
        <v>0</v>
      </c>
    </row>
    <row r="225" spans="1:13" ht="31.5">
      <c r="A225" s="467"/>
      <c r="B225" s="527"/>
      <c r="C225" s="528" t="s">
        <v>131</v>
      </c>
      <c r="D225" s="491" t="s">
        <v>315</v>
      </c>
      <c r="E225" s="530">
        <f>1.52/100</f>
        <v>0.0152</v>
      </c>
      <c r="F225" s="497">
        <f>E225*F219</f>
        <v>0.48989599999999994</v>
      </c>
      <c r="G225" s="510"/>
      <c r="H225" s="510"/>
      <c r="I225" s="495"/>
      <c r="J225" s="497">
        <f t="shared" si="2"/>
        <v>0</v>
      </c>
      <c r="K225" s="497"/>
      <c r="L225" s="497"/>
      <c r="M225" s="497">
        <f t="shared" si="3"/>
        <v>0</v>
      </c>
    </row>
    <row r="226" spans="1:13" ht="15.75">
      <c r="A226" s="467"/>
      <c r="B226" s="527"/>
      <c r="C226" s="529" t="s">
        <v>132</v>
      </c>
      <c r="D226" s="491" t="s">
        <v>35</v>
      </c>
      <c r="E226" s="511">
        <f>0.09/100</f>
        <v>0.0009</v>
      </c>
      <c r="F226" s="497">
        <f>E226*F219</f>
        <v>0.029006999999999998</v>
      </c>
      <c r="G226" s="510"/>
      <c r="H226" s="510"/>
      <c r="I226" s="510"/>
      <c r="J226" s="510">
        <f t="shared" si="2"/>
        <v>0</v>
      </c>
      <c r="K226" s="510"/>
      <c r="L226" s="510"/>
      <c r="M226" s="510">
        <f t="shared" si="3"/>
        <v>0</v>
      </c>
    </row>
    <row r="227" spans="1:13" ht="15.75">
      <c r="A227" s="468"/>
      <c r="B227" s="502"/>
      <c r="C227" s="531" t="s">
        <v>40</v>
      </c>
      <c r="D227" s="532" t="s">
        <v>34</v>
      </c>
      <c r="E227" s="533">
        <v>0.16</v>
      </c>
      <c r="F227" s="505">
        <f>E227*F219</f>
        <v>5.1568</v>
      </c>
      <c r="G227" s="534"/>
      <c r="H227" s="534"/>
      <c r="I227" s="534"/>
      <c r="J227" s="534">
        <f t="shared" si="2"/>
        <v>0</v>
      </c>
      <c r="K227" s="534"/>
      <c r="L227" s="534"/>
      <c r="M227" s="534">
        <f t="shared" si="3"/>
        <v>0</v>
      </c>
    </row>
    <row r="228" spans="1:13" ht="31.5">
      <c r="A228" s="469">
        <v>13</v>
      </c>
      <c r="B228" s="535" t="s">
        <v>133</v>
      </c>
      <c r="C228" s="496" t="s">
        <v>242</v>
      </c>
      <c r="D228" s="497" t="s">
        <v>316</v>
      </c>
      <c r="E228" s="536"/>
      <c r="F228" s="523">
        <v>146.4</v>
      </c>
      <c r="G228" s="510"/>
      <c r="H228" s="510"/>
      <c r="I228" s="510"/>
      <c r="J228" s="510"/>
      <c r="K228" s="510"/>
      <c r="L228" s="510"/>
      <c r="M228" s="537"/>
    </row>
    <row r="229" spans="1:13" ht="31.5">
      <c r="A229" s="475"/>
      <c r="B229" s="488"/>
      <c r="C229" s="496" t="s">
        <v>29</v>
      </c>
      <c r="D229" s="497" t="s">
        <v>30</v>
      </c>
      <c r="E229" s="497">
        <v>0.564</v>
      </c>
      <c r="F229" s="497">
        <f>E229*F228</f>
        <v>82.5696</v>
      </c>
      <c r="G229" s="510"/>
      <c r="H229" s="510">
        <f>F229*G229</f>
        <v>0</v>
      </c>
      <c r="I229" s="510"/>
      <c r="J229" s="510"/>
      <c r="K229" s="510"/>
      <c r="L229" s="510"/>
      <c r="M229" s="510">
        <f>H229</f>
        <v>0</v>
      </c>
    </row>
    <row r="230" spans="1:13" ht="15.75">
      <c r="A230" s="469"/>
      <c r="B230" s="535"/>
      <c r="C230" s="496" t="s">
        <v>134</v>
      </c>
      <c r="D230" s="497" t="s">
        <v>34</v>
      </c>
      <c r="E230" s="538">
        <f>4.09/100</f>
        <v>0.0409</v>
      </c>
      <c r="F230" s="497">
        <f>E230*F228</f>
        <v>5.98776</v>
      </c>
      <c r="G230" s="510"/>
      <c r="H230" s="510"/>
      <c r="I230" s="510"/>
      <c r="J230" s="510"/>
      <c r="K230" s="510"/>
      <c r="L230" s="510">
        <f>F230*K230</f>
        <v>0</v>
      </c>
      <c r="M230" s="537">
        <f>L230</f>
        <v>0</v>
      </c>
    </row>
    <row r="231" spans="1:13" ht="15.75">
      <c r="A231" s="469"/>
      <c r="B231" s="535"/>
      <c r="C231" s="496" t="s">
        <v>135</v>
      </c>
      <c r="D231" s="497" t="s">
        <v>35</v>
      </c>
      <c r="E231" s="538">
        <f>0.16/100</f>
        <v>0.0016</v>
      </c>
      <c r="F231" s="497">
        <f>E231*F228</f>
        <v>0.23424000000000003</v>
      </c>
      <c r="G231" s="510"/>
      <c r="H231" s="510"/>
      <c r="I231" s="510"/>
      <c r="J231" s="510">
        <f>F231*I231</f>
        <v>0</v>
      </c>
      <c r="K231" s="510"/>
      <c r="L231" s="510"/>
      <c r="M231" s="537">
        <f>J231</f>
        <v>0</v>
      </c>
    </row>
    <row r="232" spans="1:13" ht="15.75">
      <c r="A232" s="469"/>
      <c r="B232" s="535"/>
      <c r="C232" s="496" t="s">
        <v>136</v>
      </c>
      <c r="D232" s="497" t="s">
        <v>35</v>
      </c>
      <c r="E232" s="538">
        <f>0.45/100</f>
        <v>0.0045000000000000005</v>
      </c>
      <c r="F232" s="497">
        <f>E232*F228</f>
        <v>0.6588</v>
      </c>
      <c r="G232" s="510"/>
      <c r="H232" s="510"/>
      <c r="I232" s="497"/>
      <c r="J232" s="497">
        <f>F232*I232</f>
        <v>0</v>
      </c>
      <c r="K232" s="497"/>
      <c r="L232" s="497"/>
      <c r="M232" s="539">
        <f>J232</f>
        <v>0</v>
      </c>
    </row>
    <row r="233" spans="1:13" ht="18">
      <c r="A233" s="469"/>
      <c r="B233" s="535"/>
      <c r="C233" s="496" t="s">
        <v>324</v>
      </c>
      <c r="D233" s="497" t="s">
        <v>315</v>
      </c>
      <c r="E233" s="538">
        <f>0.75/100</f>
        <v>0.0075</v>
      </c>
      <c r="F233" s="497">
        <f>E233*F228</f>
        <v>1.098</v>
      </c>
      <c r="G233" s="510"/>
      <c r="H233" s="510"/>
      <c r="I233" s="497"/>
      <c r="J233" s="497">
        <f>F233*I233</f>
        <v>0</v>
      </c>
      <c r="K233" s="497"/>
      <c r="L233" s="497"/>
      <c r="M233" s="539">
        <f>J233</f>
        <v>0</v>
      </c>
    </row>
    <row r="234" spans="1:13" ht="15.75">
      <c r="A234" s="478"/>
      <c r="B234" s="540"/>
      <c r="C234" s="541" t="s">
        <v>40</v>
      </c>
      <c r="D234" s="505" t="s">
        <v>34</v>
      </c>
      <c r="E234" s="542">
        <f>26.5/100</f>
        <v>0.265</v>
      </c>
      <c r="F234" s="505">
        <f>E234*F228</f>
        <v>38.79600000000001</v>
      </c>
      <c r="G234" s="534"/>
      <c r="H234" s="534"/>
      <c r="I234" s="534"/>
      <c r="J234" s="534">
        <f>F234*I234</f>
        <v>0</v>
      </c>
      <c r="K234" s="534"/>
      <c r="L234" s="534"/>
      <c r="M234" s="543">
        <f>J234</f>
        <v>0</v>
      </c>
    </row>
    <row r="235" spans="1:13" ht="31.5">
      <c r="A235" s="469">
        <v>14</v>
      </c>
      <c r="B235" s="488" t="s">
        <v>302</v>
      </c>
      <c r="C235" s="496" t="s">
        <v>303</v>
      </c>
      <c r="D235" s="497" t="s">
        <v>315</v>
      </c>
      <c r="E235" s="536"/>
      <c r="F235" s="523">
        <v>68</v>
      </c>
      <c r="G235" s="510"/>
      <c r="H235" s="510"/>
      <c r="I235" s="510"/>
      <c r="J235" s="510"/>
      <c r="K235" s="510"/>
      <c r="L235" s="510"/>
      <c r="M235" s="537"/>
    </row>
    <row r="236" spans="1:13" ht="31.5">
      <c r="A236" s="475"/>
      <c r="B236" s="488"/>
      <c r="C236" s="496" t="s">
        <v>29</v>
      </c>
      <c r="D236" s="497" t="s">
        <v>30</v>
      </c>
      <c r="E236" s="500">
        <v>0.993</v>
      </c>
      <c r="F236" s="497">
        <f>E236*F235</f>
        <v>67.524</v>
      </c>
      <c r="G236" s="497"/>
      <c r="H236" s="499">
        <f>F236*G236</f>
        <v>0</v>
      </c>
      <c r="I236" s="495"/>
      <c r="J236" s="493"/>
      <c r="K236" s="495"/>
      <c r="L236" s="494"/>
      <c r="M236" s="495">
        <f>H236</f>
        <v>0</v>
      </c>
    </row>
    <row r="237" spans="1:13" ht="18">
      <c r="A237" s="484"/>
      <c r="B237" s="502"/>
      <c r="C237" s="541" t="s">
        <v>139</v>
      </c>
      <c r="D237" s="505" t="s">
        <v>315</v>
      </c>
      <c r="E237" s="505">
        <v>1.22</v>
      </c>
      <c r="F237" s="505">
        <f>E237*F235</f>
        <v>82.96</v>
      </c>
      <c r="G237" s="505"/>
      <c r="H237" s="506"/>
      <c r="I237" s="516"/>
      <c r="J237" s="518">
        <f>F237*I237</f>
        <v>0</v>
      </c>
      <c r="K237" s="516"/>
      <c r="L237" s="515"/>
      <c r="M237" s="516">
        <f>J237</f>
        <v>0</v>
      </c>
    </row>
    <row r="238" spans="1:13" ht="78.75">
      <c r="A238" s="461">
        <v>15</v>
      </c>
      <c r="B238" s="488" t="s">
        <v>185</v>
      </c>
      <c r="C238" s="544" t="s">
        <v>218</v>
      </c>
      <c r="D238" s="494" t="s">
        <v>315</v>
      </c>
      <c r="E238" s="495"/>
      <c r="F238" s="492">
        <v>57.82</v>
      </c>
      <c r="G238" s="493"/>
      <c r="H238" s="494"/>
      <c r="I238" s="495"/>
      <c r="J238" s="493"/>
      <c r="K238" s="495"/>
      <c r="L238" s="494"/>
      <c r="M238" s="495"/>
    </row>
    <row r="239" spans="1:13" ht="31.5">
      <c r="A239" s="475"/>
      <c r="B239" s="488"/>
      <c r="C239" s="496" t="s">
        <v>29</v>
      </c>
      <c r="D239" s="497" t="s">
        <v>30</v>
      </c>
      <c r="E239" s="497">
        <f>20/1000</f>
        <v>0.02</v>
      </c>
      <c r="F239" s="497">
        <f>E239*F238</f>
        <v>1.1564</v>
      </c>
      <c r="G239" s="497"/>
      <c r="H239" s="497">
        <f>F239*G239</f>
        <v>0</v>
      </c>
      <c r="I239" s="495"/>
      <c r="J239" s="495"/>
      <c r="K239" s="495"/>
      <c r="L239" s="495"/>
      <c r="M239" s="495">
        <f>H239</f>
        <v>0</v>
      </c>
    </row>
    <row r="240" spans="1:13" ht="15.75">
      <c r="A240" s="475"/>
      <c r="B240" s="488"/>
      <c r="C240" s="496" t="s">
        <v>100</v>
      </c>
      <c r="D240" s="497" t="s">
        <v>31</v>
      </c>
      <c r="E240" s="497">
        <f>44.8/1000</f>
        <v>0.0448</v>
      </c>
      <c r="F240" s="497">
        <f>E240*F238</f>
        <v>2.590336</v>
      </c>
      <c r="G240" s="497"/>
      <c r="H240" s="497"/>
      <c r="I240" s="495"/>
      <c r="J240" s="493"/>
      <c r="K240" s="497"/>
      <c r="L240" s="494">
        <f>F240*K240</f>
        <v>0</v>
      </c>
      <c r="M240" s="495">
        <f>L240</f>
        <v>0</v>
      </c>
    </row>
    <row r="241" spans="1:13" ht="31.5">
      <c r="A241" s="475"/>
      <c r="B241" s="488"/>
      <c r="C241" s="496" t="s">
        <v>32</v>
      </c>
      <c r="D241" s="497" t="s">
        <v>30</v>
      </c>
      <c r="E241" s="497"/>
      <c r="F241" s="499">
        <f>F240</f>
        <v>2.590336</v>
      </c>
      <c r="G241" s="497"/>
      <c r="H241" s="497">
        <f>F241*G241</f>
        <v>0</v>
      </c>
      <c r="I241" s="495"/>
      <c r="J241" s="493"/>
      <c r="K241" s="495"/>
      <c r="L241" s="494"/>
      <c r="M241" s="495">
        <f>H241</f>
        <v>0</v>
      </c>
    </row>
    <row r="242" spans="1:13" ht="15.75">
      <c r="A242" s="475"/>
      <c r="B242" s="488"/>
      <c r="C242" s="496" t="s">
        <v>39</v>
      </c>
      <c r="D242" s="497" t="s">
        <v>34</v>
      </c>
      <c r="E242" s="500">
        <f>2.1/1000</f>
        <v>0.0021000000000000003</v>
      </c>
      <c r="F242" s="499">
        <f>E242*F238</f>
        <v>0.12142200000000002</v>
      </c>
      <c r="G242" s="497"/>
      <c r="H242" s="497"/>
      <c r="I242" s="497"/>
      <c r="J242" s="497"/>
      <c r="K242" s="497"/>
      <c r="L242" s="497">
        <f>F242*K242</f>
        <v>0</v>
      </c>
      <c r="M242" s="497">
        <f>L242</f>
        <v>0</v>
      </c>
    </row>
    <row r="243" spans="1:13" ht="31.5">
      <c r="A243" s="466"/>
      <c r="B243" s="513"/>
      <c r="C243" s="545" t="s">
        <v>186</v>
      </c>
      <c r="D243" s="515" t="s">
        <v>35</v>
      </c>
      <c r="E243" s="516"/>
      <c r="F243" s="517">
        <f>F238*1.8</f>
        <v>104.07600000000001</v>
      </c>
      <c r="G243" s="518"/>
      <c r="H243" s="515"/>
      <c r="I243" s="516"/>
      <c r="J243" s="518"/>
      <c r="K243" s="516"/>
      <c r="L243" s="515">
        <f>F243*K243</f>
        <v>0</v>
      </c>
      <c r="M243" s="516">
        <f>L243</f>
        <v>0</v>
      </c>
    </row>
    <row r="244" spans="1:13" ht="63">
      <c r="A244" s="461">
        <v>16</v>
      </c>
      <c r="B244" s="546" t="s">
        <v>112</v>
      </c>
      <c r="C244" s="544" t="s">
        <v>219</v>
      </c>
      <c r="D244" s="494" t="s">
        <v>315</v>
      </c>
      <c r="E244" s="495"/>
      <c r="F244" s="492">
        <v>6.42</v>
      </c>
      <c r="G244" s="493"/>
      <c r="H244" s="494"/>
      <c r="I244" s="495"/>
      <c r="J244" s="493"/>
      <c r="K244" s="495"/>
      <c r="L244" s="494"/>
      <c r="M244" s="495"/>
    </row>
    <row r="245" spans="1:13" ht="31.5">
      <c r="A245" s="475"/>
      <c r="B245" s="488"/>
      <c r="C245" s="496" t="s">
        <v>29</v>
      </c>
      <c r="D245" s="497" t="s">
        <v>30</v>
      </c>
      <c r="E245" s="497">
        <f>2.06+0.87</f>
        <v>2.93</v>
      </c>
      <c r="F245" s="497">
        <f>E245*F244</f>
        <v>18.8106</v>
      </c>
      <c r="G245" s="497"/>
      <c r="H245" s="497">
        <f>F245*G245</f>
        <v>0</v>
      </c>
      <c r="I245" s="495"/>
      <c r="J245" s="495"/>
      <c r="K245" s="495"/>
      <c r="L245" s="495"/>
      <c r="M245" s="495">
        <f>H245</f>
        <v>0</v>
      </c>
    </row>
    <row r="246" spans="1:13" ht="31.5">
      <c r="A246" s="466"/>
      <c r="B246" s="513"/>
      <c r="C246" s="545" t="s">
        <v>197</v>
      </c>
      <c r="D246" s="515" t="s">
        <v>35</v>
      </c>
      <c r="E246" s="516"/>
      <c r="F246" s="517">
        <f>F244*1.8</f>
        <v>11.556000000000001</v>
      </c>
      <c r="G246" s="518"/>
      <c r="H246" s="515"/>
      <c r="I246" s="516"/>
      <c r="J246" s="518"/>
      <c r="K246" s="516"/>
      <c r="L246" s="515">
        <f>F246*K246</f>
        <v>0</v>
      </c>
      <c r="M246" s="516">
        <f>L246</f>
        <v>0</v>
      </c>
    </row>
    <row r="247" spans="1:13" ht="18">
      <c r="A247" s="486">
        <v>17</v>
      </c>
      <c r="B247" s="547" t="s">
        <v>113</v>
      </c>
      <c r="C247" s="548" t="s">
        <v>78</v>
      </c>
      <c r="D247" s="522" t="s">
        <v>315</v>
      </c>
      <c r="E247" s="549"/>
      <c r="F247" s="550">
        <f>F238+F244</f>
        <v>64.24</v>
      </c>
      <c r="G247" s="549"/>
      <c r="H247" s="549"/>
      <c r="I247" s="549"/>
      <c r="J247" s="549"/>
      <c r="K247" s="549"/>
      <c r="L247" s="549"/>
      <c r="M247" s="549"/>
    </row>
    <row r="248" spans="1:13" ht="31.5">
      <c r="A248" s="467"/>
      <c r="B248" s="551"/>
      <c r="C248" s="496" t="s">
        <v>29</v>
      </c>
      <c r="D248" s="497" t="s">
        <v>30</v>
      </c>
      <c r="E248" s="500">
        <f>3.23/1000</f>
        <v>0.00323</v>
      </c>
      <c r="F248" s="497">
        <f>E248*F247</f>
        <v>0.20749519999999996</v>
      </c>
      <c r="G248" s="510"/>
      <c r="H248" s="510">
        <f>F248*G248</f>
        <v>0</v>
      </c>
      <c r="I248" s="511"/>
      <c r="J248" s="511"/>
      <c r="K248" s="511"/>
      <c r="L248" s="511"/>
      <c r="M248" s="510">
        <f>H248</f>
        <v>0</v>
      </c>
    </row>
    <row r="249" spans="1:13" ht="15.75">
      <c r="A249" s="475"/>
      <c r="B249" s="488"/>
      <c r="C249" s="496" t="s">
        <v>77</v>
      </c>
      <c r="D249" s="497" t="s">
        <v>31</v>
      </c>
      <c r="E249" s="530">
        <f>3.62/1000</f>
        <v>0.00362</v>
      </c>
      <c r="F249" s="497">
        <f>E249*F247</f>
        <v>0.23254879999999997</v>
      </c>
      <c r="G249" s="497"/>
      <c r="H249" s="497"/>
      <c r="I249" s="497"/>
      <c r="J249" s="497"/>
      <c r="K249" s="497"/>
      <c r="L249" s="497">
        <f>F249*K249</f>
        <v>0</v>
      </c>
      <c r="M249" s="497">
        <f>L249</f>
        <v>0</v>
      </c>
    </row>
    <row r="250" spans="1:13" ht="31.5">
      <c r="A250" s="475"/>
      <c r="B250" s="488"/>
      <c r="C250" s="496" t="s">
        <v>32</v>
      </c>
      <c r="D250" s="497" t="s">
        <v>30</v>
      </c>
      <c r="E250" s="497"/>
      <c r="F250" s="497">
        <f>F249</f>
        <v>0.23254879999999997</v>
      </c>
      <c r="G250" s="497"/>
      <c r="H250" s="497">
        <f>F250*G250</f>
        <v>0</v>
      </c>
      <c r="I250" s="497"/>
      <c r="J250" s="497"/>
      <c r="K250" s="526"/>
      <c r="L250" s="526"/>
      <c r="M250" s="497">
        <f>H250</f>
        <v>0</v>
      </c>
    </row>
    <row r="251" spans="1:13" ht="15.75">
      <c r="A251" s="468"/>
      <c r="B251" s="552"/>
      <c r="C251" s="533" t="s">
        <v>39</v>
      </c>
      <c r="D251" s="552" t="s">
        <v>34</v>
      </c>
      <c r="E251" s="553">
        <f>0.18/1000</f>
        <v>0.00017999999999999998</v>
      </c>
      <c r="F251" s="505">
        <f>E251*F247</f>
        <v>0.011563199999999997</v>
      </c>
      <c r="G251" s="552"/>
      <c r="H251" s="552"/>
      <c r="I251" s="552"/>
      <c r="J251" s="552"/>
      <c r="K251" s="534"/>
      <c r="L251" s="505">
        <f>F251*K251</f>
        <v>0</v>
      </c>
      <c r="M251" s="505">
        <f>L251</f>
        <v>0</v>
      </c>
    </row>
    <row r="252" spans="1:13" ht="47.25">
      <c r="A252" s="554"/>
      <c r="B252" s="554"/>
      <c r="C252" s="555" t="s">
        <v>311</v>
      </c>
      <c r="D252" s="335"/>
      <c r="E252" s="335"/>
      <c r="F252" s="335"/>
      <c r="G252" s="335"/>
      <c r="H252" s="335"/>
      <c r="I252" s="335"/>
      <c r="J252" s="335"/>
      <c r="K252" s="323"/>
      <c r="L252" s="335"/>
      <c r="M252" s="335"/>
    </row>
    <row r="253" spans="1:13" ht="94.5">
      <c r="A253" s="245" t="s">
        <v>182</v>
      </c>
      <c r="B253" s="245" t="s">
        <v>151</v>
      </c>
      <c r="C253" s="383" t="s">
        <v>310</v>
      </c>
      <c r="D253" s="233" t="s">
        <v>315</v>
      </c>
      <c r="E253" s="233"/>
      <c r="F253" s="292">
        <v>480</v>
      </c>
      <c r="G253" s="292"/>
      <c r="H253" s="224"/>
      <c r="I253" s="262"/>
      <c r="J253" s="262"/>
      <c r="K253" s="262"/>
      <c r="L253" s="262"/>
      <c r="M253" s="262"/>
    </row>
    <row r="254" spans="1:13" ht="31.5">
      <c r="A254" s="245"/>
      <c r="B254" s="245"/>
      <c r="C254" s="383" t="s">
        <v>29</v>
      </c>
      <c r="D254" s="233" t="s">
        <v>30</v>
      </c>
      <c r="E254" s="233">
        <v>0.15</v>
      </c>
      <c r="F254" s="233">
        <f>E254*F253</f>
        <v>72</v>
      </c>
      <c r="G254" s="233"/>
      <c r="H254" s="233">
        <f>F254*G254</f>
        <v>0</v>
      </c>
      <c r="I254" s="224"/>
      <c r="J254" s="224"/>
      <c r="K254" s="224"/>
      <c r="L254" s="224"/>
      <c r="M254" s="233">
        <f>H254</f>
        <v>0</v>
      </c>
    </row>
    <row r="255" spans="1:13" ht="31.5">
      <c r="A255" s="245"/>
      <c r="B255" s="245"/>
      <c r="C255" s="383" t="s">
        <v>59</v>
      </c>
      <c r="D255" s="233" t="s">
        <v>31</v>
      </c>
      <c r="E255" s="233">
        <f>2.16/100</f>
        <v>0.0216</v>
      </c>
      <c r="F255" s="233">
        <f>E255*F253</f>
        <v>10.368</v>
      </c>
      <c r="G255" s="233"/>
      <c r="H255" s="224"/>
      <c r="I255" s="224"/>
      <c r="J255" s="224"/>
      <c r="K255" s="233"/>
      <c r="L255" s="233">
        <f>F255*K255</f>
        <v>0</v>
      </c>
      <c r="M255" s="233">
        <f>L255</f>
        <v>0</v>
      </c>
    </row>
    <row r="256" spans="1:13" ht="31.5">
      <c r="A256" s="245"/>
      <c r="B256" s="245"/>
      <c r="C256" s="383" t="s">
        <v>32</v>
      </c>
      <c r="D256" s="233" t="s">
        <v>30</v>
      </c>
      <c r="E256" s="233"/>
      <c r="F256" s="233">
        <f>F255</f>
        <v>10.368</v>
      </c>
      <c r="G256" s="233"/>
      <c r="H256" s="233">
        <f>F256*G256</f>
        <v>0</v>
      </c>
      <c r="I256" s="224"/>
      <c r="J256" s="224"/>
      <c r="K256" s="224"/>
      <c r="L256" s="233"/>
      <c r="M256" s="233">
        <f>H256</f>
        <v>0</v>
      </c>
    </row>
    <row r="257" spans="1:16" ht="47.25">
      <c r="A257" s="245"/>
      <c r="B257" s="245"/>
      <c r="C257" s="383" t="s">
        <v>152</v>
      </c>
      <c r="D257" s="233" t="s">
        <v>31</v>
      </c>
      <c r="E257" s="233">
        <f>2.73/100</f>
        <v>0.0273</v>
      </c>
      <c r="F257" s="233">
        <f>E257*F253</f>
        <v>13.104000000000001</v>
      </c>
      <c r="G257" s="233"/>
      <c r="H257" s="233"/>
      <c r="I257" s="224"/>
      <c r="J257" s="224"/>
      <c r="K257" s="233"/>
      <c r="L257" s="233">
        <f>F257*K257</f>
        <v>0</v>
      </c>
      <c r="M257" s="233">
        <f>L257</f>
        <v>0</v>
      </c>
      <c r="O257" s="218">
        <f>P257/F261</f>
        <v>0</v>
      </c>
      <c r="P257" s="556">
        <f>M254+M255+M256+M257+M258+M259+M260+M261+M262</f>
        <v>0</v>
      </c>
    </row>
    <row r="258" spans="1:13" ht="31.5">
      <c r="A258" s="245"/>
      <c r="B258" s="245"/>
      <c r="C258" s="383" t="s">
        <v>32</v>
      </c>
      <c r="D258" s="233" t="s">
        <v>30</v>
      </c>
      <c r="E258" s="233"/>
      <c r="F258" s="233">
        <f>F257</f>
        <v>13.104000000000001</v>
      </c>
      <c r="G258" s="233"/>
      <c r="H258" s="233">
        <f>F258*G258</f>
        <v>0</v>
      </c>
      <c r="I258" s="224"/>
      <c r="J258" s="224"/>
      <c r="K258" s="224"/>
      <c r="L258" s="233"/>
      <c r="M258" s="233">
        <f>H258</f>
        <v>0</v>
      </c>
    </row>
    <row r="259" spans="1:13" ht="31.5">
      <c r="A259" s="245"/>
      <c r="B259" s="245"/>
      <c r="C259" s="383" t="s">
        <v>33</v>
      </c>
      <c r="D259" s="233" t="s">
        <v>31</v>
      </c>
      <c r="E259" s="233">
        <f>0.97/100</f>
        <v>0.0097</v>
      </c>
      <c r="F259" s="233">
        <f>E259*F253</f>
        <v>4.656000000000001</v>
      </c>
      <c r="G259" s="233"/>
      <c r="H259" s="233"/>
      <c r="I259" s="224"/>
      <c r="J259" s="224"/>
      <c r="K259" s="233"/>
      <c r="L259" s="233">
        <f>F259*K259</f>
        <v>0</v>
      </c>
      <c r="M259" s="233">
        <f>L259</f>
        <v>0</v>
      </c>
    </row>
    <row r="260" spans="1:13" ht="31.5">
      <c r="A260" s="245"/>
      <c r="B260" s="245"/>
      <c r="C260" s="383" t="s">
        <v>32</v>
      </c>
      <c r="D260" s="233" t="s">
        <v>30</v>
      </c>
      <c r="E260" s="233"/>
      <c r="F260" s="233">
        <f>F259</f>
        <v>4.656000000000001</v>
      </c>
      <c r="G260" s="233"/>
      <c r="H260" s="233">
        <f>F260*G260</f>
        <v>0</v>
      </c>
      <c r="I260" s="224"/>
      <c r="J260" s="224"/>
      <c r="K260" s="224"/>
      <c r="L260" s="233"/>
      <c r="M260" s="233">
        <f>H260</f>
        <v>0</v>
      </c>
    </row>
    <row r="261" spans="1:13" ht="18">
      <c r="A261" s="245"/>
      <c r="B261" s="245"/>
      <c r="C261" s="383" t="s">
        <v>153</v>
      </c>
      <c r="D261" s="233" t="s">
        <v>315</v>
      </c>
      <c r="E261" s="233">
        <v>1.22</v>
      </c>
      <c r="F261" s="233">
        <f>E261*F253</f>
        <v>585.6</v>
      </c>
      <c r="G261" s="233"/>
      <c r="H261" s="233"/>
      <c r="I261" s="233"/>
      <c r="J261" s="233">
        <f>F261*I261</f>
        <v>0</v>
      </c>
      <c r="K261" s="224"/>
      <c r="L261" s="233"/>
      <c r="M261" s="233">
        <f>J261</f>
        <v>0</v>
      </c>
    </row>
    <row r="262" spans="1:13" ht="18">
      <c r="A262" s="279"/>
      <c r="B262" s="279"/>
      <c r="C262" s="435" t="s">
        <v>60</v>
      </c>
      <c r="D262" s="236" t="s">
        <v>315</v>
      </c>
      <c r="E262" s="236">
        <f>7/100</f>
        <v>0.07</v>
      </c>
      <c r="F262" s="236">
        <f>E262*F253</f>
        <v>33.6</v>
      </c>
      <c r="G262" s="236"/>
      <c r="H262" s="236"/>
      <c r="I262" s="236"/>
      <c r="J262" s="236">
        <f>F262*I262</f>
        <v>0</v>
      </c>
      <c r="K262" s="234"/>
      <c r="L262" s="236"/>
      <c r="M262" s="236">
        <f>J262</f>
        <v>0</v>
      </c>
    </row>
    <row r="263" spans="1:13" ht="15.75">
      <c r="A263" s="295"/>
      <c r="B263" s="245"/>
      <c r="C263" s="296" t="s">
        <v>12</v>
      </c>
      <c r="D263" s="297" t="s">
        <v>34</v>
      </c>
      <c r="E263" s="233"/>
      <c r="F263" s="233"/>
      <c r="G263" s="233"/>
      <c r="H263" s="233">
        <f>SUM(H16:H251)</f>
        <v>0</v>
      </c>
      <c r="I263" s="233"/>
      <c r="J263" s="233">
        <f>SUM(J16:J251)</f>
        <v>0</v>
      </c>
      <c r="K263" s="224"/>
      <c r="L263" s="233">
        <f>SUM(L16:L251)</f>
        <v>0</v>
      </c>
      <c r="M263" s="233">
        <f>SUM(M16:M251)</f>
        <v>0</v>
      </c>
    </row>
    <row r="264" spans="1:13" ht="15.75">
      <c r="A264" s="298"/>
      <c r="B264" s="557"/>
      <c r="C264" s="298" t="s">
        <v>326</v>
      </c>
      <c r="D264" s="297" t="s">
        <v>34</v>
      </c>
      <c r="E264" s="300"/>
      <c r="F264" s="301"/>
      <c r="G264" s="302"/>
      <c r="H264" s="300">
        <f>E264*H263</f>
        <v>0</v>
      </c>
      <c r="I264" s="300"/>
      <c r="J264" s="300">
        <f>E264*J263</f>
        <v>0</v>
      </c>
      <c r="K264" s="300"/>
      <c r="L264" s="300">
        <f>E264*L263</f>
        <v>0</v>
      </c>
      <c r="M264" s="300">
        <f>SUM(H264:L264)</f>
        <v>0</v>
      </c>
    </row>
    <row r="265" spans="1:13" ht="15.75">
      <c r="A265" s="296"/>
      <c r="B265" s="557"/>
      <c r="C265" s="296" t="s">
        <v>12</v>
      </c>
      <c r="D265" s="297" t="s">
        <v>34</v>
      </c>
      <c r="E265" s="303"/>
      <c r="F265" s="296"/>
      <c r="G265" s="296"/>
      <c r="H265" s="303">
        <f>SUM(H263:H264)</f>
        <v>0</v>
      </c>
      <c r="I265" s="303"/>
      <c r="J265" s="303">
        <f>SUM(J263:J264)</f>
        <v>0</v>
      </c>
      <c r="K265" s="303"/>
      <c r="L265" s="303">
        <f>SUM(L263:L264)</f>
        <v>0</v>
      </c>
      <c r="M265" s="303">
        <f>SUM(H265:L265)</f>
        <v>0</v>
      </c>
    </row>
    <row r="266" spans="1:13" ht="15.75">
      <c r="A266" s="298"/>
      <c r="B266" s="557"/>
      <c r="C266" s="299" t="s">
        <v>328</v>
      </c>
      <c r="D266" s="297" t="s">
        <v>34</v>
      </c>
      <c r="E266" s="300"/>
      <c r="F266" s="304"/>
      <c r="G266" s="300"/>
      <c r="H266" s="300">
        <f>E266*H265</f>
        <v>0</v>
      </c>
      <c r="I266" s="300"/>
      <c r="J266" s="300">
        <f>E266*J265</f>
        <v>0</v>
      </c>
      <c r="K266" s="300"/>
      <c r="L266" s="300">
        <f>E266*L265</f>
        <v>0</v>
      </c>
      <c r="M266" s="300">
        <f>SUM(H266:L266)</f>
        <v>0</v>
      </c>
    </row>
    <row r="267" spans="1:13" ht="15.75">
      <c r="A267" s="305"/>
      <c r="B267" s="558"/>
      <c r="C267" s="305" t="s">
        <v>12</v>
      </c>
      <c r="D267" s="307" t="s">
        <v>34</v>
      </c>
      <c r="E267" s="305"/>
      <c r="F267" s="305"/>
      <c r="G267" s="305"/>
      <c r="H267" s="308">
        <f>SUM(H265:H266)</f>
        <v>0</v>
      </c>
      <c r="I267" s="308"/>
      <c r="J267" s="308">
        <f>SUM(J265:J266)</f>
        <v>0</v>
      </c>
      <c r="K267" s="308"/>
      <c r="L267" s="308">
        <f>SUM(L265:L266)</f>
        <v>0</v>
      </c>
      <c r="M267" s="308">
        <f>SUM(H267:L267)</f>
        <v>0</v>
      </c>
    </row>
    <row r="268" spans="1:13" ht="15.75">
      <c r="A268" s="430"/>
      <c r="B268" s="431"/>
      <c r="C268" s="431"/>
      <c r="D268" s="433"/>
      <c r="E268" s="433"/>
      <c r="F268" s="433"/>
      <c r="G268" s="433"/>
      <c r="H268" s="433"/>
      <c r="I268" s="433"/>
      <c r="J268" s="433"/>
      <c r="K268" s="433"/>
      <c r="L268" s="433"/>
      <c r="M268" s="433"/>
    </row>
    <row r="269" spans="1:13" ht="15.75">
      <c r="A269" s="430"/>
      <c r="B269" s="431"/>
      <c r="C269" s="431"/>
      <c r="D269" s="433"/>
      <c r="E269" s="433"/>
      <c r="F269" s="433"/>
      <c r="G269" s="433"/>
      <c r="H269" s="433"/>
      <c r="I269" s="433"/>
      <c r="J269" s="433"/>
      <c r="K269" s="433"/>
      <c r="L269" s="433"/>
      <c r="M269" s="433"/>
    </row>
    <row r="270" spans="1:13" ht="15.75">
      <c r="A270" s="430"/>
      <c r="B270" s="431"/>
      <c r="C270" s="431"/>
      <c r="D270" s="433"/>
      <c r="E270" s="433"/>
      <c r="F270" s="433"/>
      <c r="G270" s="433"/>
      <c r="H270" s="433"/>
      <c r="I270" s="433"/>
      <c r="J270" s="433"/>
      <c r="K270" s="433"/>
      <c r="L270" s="433"/>
      <c r="M270" s="433"/>
    </row>
    <row r="271" spans="1:13" ht="15.75">
      <c r="A271" s="430"/>
      <c r="B271" s="431"/>
      <c r="C271" s="431"/>
      <c r="D271" s="433"/>
      <c r="E271" s="433"/>
      <c r="F271" s="433"/>
      <c r="G271" s="433"/>
      <c r="H271" s="433"/>
      <c r="I271" s="433"/>
      <c r="J271" s="433"/>
      <c r="K271" s="433"/>
      <c r="L271" s="433"/>
      <c r="M271" s="433"/>
    </row>
    <row r="272" spans="1:13" ht="15.75">
      <c r="A272" s="430"/>
      <c r="B272" s="431"/>
      <c r="C272" s="431"/>
      <c r="D272" s="433"/>
      <c r="E272" s="433"/>
      <c r="F272" s="433"/>
      <c r="G272" s="433"/>
      <c r="H272" s="433"/>
      <c r="I272" s="433"/>
      <c r="J272" s="433"/>
      <c r="K272" s="433"/>
      <c r="L272" s="433"/>
      <c r="M272" s="433"/>
    </row>
    <row r="273" spans="1:13" ht="15.75">
      <c r="A273" s="430"/>
      <c r="B273" s="431"/>
      <c r="C273" s="431"/>
      <c r="D273" s="433"/>
      <c r="E273" s="433"/>
      <c r="F273" s="433"/>
      <c r="G273" s="433"/>
      <c r="H273" s="433"/>
      <c r="I273" s="433"/>
      <c r="J273" s="433"/>
      <c r="K273" s="433"/>
      <c r="L273" s="433"/>
      <c r="M273" s="433"/>
    </row>
    <row r="274" spans="1:13" ht="15.75">
      <c r="A274" s="430"/>
      <c r="B274" s="431"/>
      <c r="C274" s="431"/>
      <c r="D274" s="433"/>
      <c r="E274" s="433"/>
      <c r="F274" s="433"/>
      <c r="G274" s="433"/>
      <c r="H274" s="433"/>
      <c r="I274" s="433"/>
      <c r="J274" s="433"/>
      <c r="K274" s="433"/>
      <c r="L274" s="433"/>
      <c r="M274" s="433"/>
    </row>
    <row r="275" spans="1:13" ht="15.75">
      <c r="A275" s="430"/>
      <c r="B275" s="431"/>
      <c r="C275" s="431"/>
      <c r="D275" s="433"/>
      <c r="E275" s="433"/>
      <c r="F275" s="433"/>
      <c r="G275" s="433"/>
      <c r="H275" s="433"/>
      <c r="I275" s="433"/>
      <c r="J275" s="433"/>
      <c r="K275" s="433"/>
      <c r="L275" s="433"/>
      <c r="M275" s="433"/>
    </row>
    <row r="276" spans="1:13" ht="15.75">
      <c r="A276" s="430"/>
      <c r="B276" s="431"/>
      <c r="C276" s="431"/>
      <c r="D276" s="433"/>
      <c r="E276" s="433"/>
      <c r="F276" s="433"/>
      <c r="G276" s="433"/>
      <c r="H276" s="433"/>
      <c r="I276" s="433"/>
      <c r="J276" s="433"/>
      <c r="K276" s="433"/>
      <c r="L276" s="433"/>
      <c r="M276" s="433"/>
    </row>
    <row r="277" spans="1:13" ht="15.75">
      <c r="A277" s="430"/>
      <c r="B277" s="431"/>
      <c r="C277" s="431"/>
      <c r="D277" s="433"/>
      <c r="E277" s="433"/>
      <c r="F277" s="433"/>
      <c r="G277" s="433"/>
      <c r="H277" s="433"/>
      <c r="I277" s="433"/>
      <c r="J277" s="433"/>
      <c r="K277" s="433"/>
      <c r="L277" s="433"/>
      <c r="M277" s="433"/>
    </row>
    <row r="278" spans="1:13" ht="15.75">
      <c r="A278" s="430"/>
      <c r="B278" s="431"/>
      <c r="C278" s="431"/>
      <c r="D278" s="433"/>
      <c r="E278" s="433"/>
      <c r="F278" s="433"/>
      <c r="G278" s="433"/>
      <c r="H278" s="433"/>
      <c r="I278" s="433"/>
      <c r="J278" s="433"/>
      <c r="K278" s="433"/>
      <c r="L278" s="433"/>
      <c r="M278" s="433"/>
    </row>
    <row r="279" spans="1:13" ht="15.75">
      <c r="A279" s="430"/>
      <c r="B279" s="431"/>
      <c r="C279" s="431"/>
      <c r="D279" s="433"/>
      <c r="E279" s="433"/>
      <c r="F279" s="433"/>
      <c r="G279" s="433"/>
      <c r="H279" s="433"/>
      <c r="I279" s="433"/>
      <c r="J279" s="433"/>
      <c r="K279" s="433"/>
      <c r="L279" s="433"/>
      <c r="M279" s="433"/>
    </row>
    <row r="280" spans="1:13" ht="15.75">
      <c r="A280" s="430"/>
      <c r="B280" s="431"/>
      <c r="C280" s="431"/>
      <c r="D280" s="433"/>
      <c r="E280" s="433"/>
      <c r="F280" s="433"/>
      <c r="G280" s="433"/>
      <c r="H280" s="433"/>
      <c r="I280" s="433"/>
      <c r="J280" s="433"/>
      <c r="K280" s="433"/>
      <c r="L280" s="433"/>
      <c r="M280" s="433"/>
    </row>
    <row r="281" spans="1:13" ht="15.75">
      <c r="A281" s="430"/>
      <c r="B281" s="431"/>
      <c r="C281" s="431"/>
      <c r="D281" s="433"/>
      <c r="E281" s="433"/>
      <c r="F281" s="433"/>
      <c r="G281" s="433"/>
      <c r="H281" s="433"/>
      <c r="I281" s="433"/>
      <c r="J281" s="433"/>
      <c r="K281" s="433"/>
      <c r="L281" s="433"/>
      <c r="M281" s="433"/>
    </row>
    <row r="282" spans="1:13" ht="15.75">
      <c r="A282" s="430"/>
      <c r="B282" s="431"/>
      <c r="C282" s="431"/>
      <c r="D282" s="433"/>
      <c r="E282" s="433"/>
      <c r="F282" s="433"/>
      <c r="G282" s="433"/>
      <c r="H282" s="433"/>
      <c r="I282" s="433"/>
      <c r="J282" s="433"/>
      <c r="K282" s="433"/>
      <c r="L282" s="433"/>
      <c r="M282" s="433"/>
    </row>
    <row r="283" spans="1:13" ht="15.75">
      <c r="A283" s="430"/>
      <c r="B283" s="431"/>
      <c r="C283" s="431"/>
      <c r="D283" s="433"/>
      <c r="E283" s="433"/>
      <c r="F283" s="433"/>
      <c r="G283" s="433"/>
      <c r="H283" s="433"/>
      <c r="I283" s="433"/>
      <c r="J283" s="433"/>
      <c r="K283" s="433"/>
      <c r="L283" s="433"/>
      <c r="M283" s="433"/>
    </row>
    <row r="284" spans="1:13" ht="15.75">
      <c r="A284" s="430"/>
      <c r="B284" s="431"/>
      <c r="C284" s="431"/>
      <c r="D284" s="433"/>
      <c r="E284" s="433"/>
      <c r="F284" s="433"/>
      <c r="G284" s="433"/>
      <c r="H284" s="433"/>
      <c r="I284" s="433"/>
      <c r="J284" s="433"/>
      <c r="K284" s="433"/>
      <c r="L284" s="433"/>
      <c r="M284" s="433"/>
    </row>
  </sheetData>
  <sheetProtection/>
  <mergeCells count="24">
    <mergeCell ref="A3:M3"/>
    <mergeCell ref="A4:M4"/>
    <mergeCell ref="A5:M5"/>
    <mergeCell ref="A1:N1"/>
    <mergeCell ref="A6:M6"/>
    <mergeCell ref="B7:D7"/>
    <mergeCell ref="F7:I7"/>
    <mergeCell ref="B8:C8"/>
    <mergeCell ref="F8:I8"/>
    <mergeCell ref="A10:A13"/>
    <mergeCell ref="B10:B13"/>
    <mergeCell ref="C10:C13"/>
    <mergeCell ref="D10:F11"/>
    <mergeCell ref="D12:D13"/>
    <mergeCell ref="E12:E13"/>
    <mergeCell ref="F12:F13"/>
    <mergeCell ref="G10:H11"/>
    <mergeCell ref="I10:J11"/>
    <mergeCell ref="K10:L10"/>
    <mergeCell ref="M10:M13"/>
    <mergeCell ref="K11:L11"/>
    <mergeCell ref="H12:H13"/>
    <mergeCell ref="J12:J13"/>
    <mergeCell ref="L12:L13"/>
  </mergeCells>
  <printOptions/>
  <pageMargins left="0.5905511811023623" right="0" top="0.5905511811023623" bottom="0.5905511811023623" header="0.5118110236220472" footer="0.5118110236220472"/>
  <pageSetup horizontalDpi="300" verticalDpi="300" orientation="portrait" paperSize="9" scale="65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50"/>
  <sheetViews>
    <sheetView view="pageBreakPreview" zoomScale="85" zoomScaleSheetLayoutView="85" zoomScalePageLayoutView="0" workbookViewId="0" topLeftCell="A1">
      <selection activeCell="B7" sqref="B7:D7"/>
    </sheetView>
  </sheetViews>
  <sheetFormatPr defaultColWidth="9.00390625" defaultRowHeight="12.75"/>
  <cols>
    <col min="1" max="1" width="3.8515625" style="219" customWidth="1"/>
    <col min="2" max="2" width="9.7109375" style="220" customWidth="1"/>
    <col min="3" max="3" width="30.7109375" style="220" customWidth="1"/>
    <col min="4" max="4" width="8.28125" style="277" customWidth="1"/>
    <col min="5" max="5" width="9.00390625" style="277" customWidth="1"/>
    <col min="6" max="6" width="9.140625" style="277" customWidth="1"/>
    <col min="7" max="7" width="9.7109375" style="277" customWidth="1"/>
    <col min="8" max="8" width="10.28125" style="277" customWidth="1"/>
    <col min="9" max="9" width="10.00390625" style="277" customWidth="1"/>
    <col min="10" max="10" width="15.57421875" style="277" customWidth="1"/>
    <col min="11" max="11" width="8.8515625" style="277" customWidth="1"/>
    <col min="12" max="12" width="10.421875" style="277" customWidth="1"/>
    <col min="13" max="13" width="19.00390625" style="277" customWidth="1"/>
    <col min="14" max="16384" width="9.00390625" style="218" customWidth="1"/>
  </cols>
  <sheetData>
    <row r="1" spans="1:14" ht="24" customHeight="1">
      <c r="A1" s="613" t="s">
        <v>165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217"/>
    </row>
    <row r="2" spans="1:14" ht="1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</row>
    <row r="3" spans="1:13" ht="14.25">
      <c r="A3" s="618" t="s">
        <v>85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</row>
    <row r="4" spans="1:13" ht="14.25">
      <c r="A4" s="618"/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</row>
    <row r="5" spans="1:13" ht="14.25">
      <c r="A5" s="640" t="s">
        <v>330</v>
      </c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</row>
    <row r="6" spans="1:13" ht="14.25">
      <c r="A6" s="614"/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</row>
    <row r="7" spans="1:13" ht="15" customHeight="1">
      <c r="A7" s="220"/>
      <c r="B7" s="615"/>
      <c r="C7" s="615"/>
      <c r="D7" s="616"/>
      <c r="E7" s="221"/>
      <c r="F7" s="617" t="s">
        <v>1</v>
      </c>
      <c r="G7" s="617"/>
      <c r="H7" s="617"/>
      <c r="I7" s="617"/>
      <c r="J7" s="221">
        <f>M50/1000</f>
        <v>0</v>
      </c>
      <c r="K7" s="221" t="s">
        <v>0</v>
      </c>
      <c r="L7" s="221"/>
      <c r="M7" s="221"/>
    </row>
    <row r="8" spans="1:13" ht="14.25">
      <c r="A8" s="220"/>
      <c r="B8" s="615"/>
      <c r="C8" s="615"/>
      <c r="D8" s="221"/>
      <c r="E8" s="221"/>
      <c r="F8" s="617"/>
      <c r="G8" s="617"/>
      <c r="H8" s="617"/>
      <c r="I8" s="617"/>
      <c r="J8" s="221"/>
      <c r="K8" s="221"/>
      <c r="L8" s="221"/>
      <c r="M8" s="221"/>
    </row>
    <row r="9" spans="1:13" ht="14.25">
      <c r="A9" s="220"/>
      <c r="D9" s="221"/>
      <c r="E9" s="221"/>
      <c r="F9" s="221"/>
      <c r="G9" s="221"/>
      <c r="H9" s="221"/>
      <c r="I9" s="221"/>
      <c r="J9" s="221"/>
      <c r="K9" s="221"/>
      <c r="L9" s="221"/>
      <c r="M9" s="221"/>
    </row>
    <row r="10" spans="1:13" ht="15" customHeight="1">
      <c r="A10" s="620" t="s">
        <v>2</v>
      </c>
      <c r="B10" s="621" t="s">
        <v>3</v>
      </c>
      <c r="C10" s="591" t="s">
        <v>27</v>
      </c>
      <c r="D10" s="624" t="s">
        <v>4</v>
      </c>
      <c r="E10" s="625"/>
      <c r="F10" s="626"/>
      <c r="G10" s="624" t="s">
        <v>5</v>
      </c>
      <c r="H10" s="632"/>
      <c r="I10" s="624" t="s">
        <v>6</v>
      </c>
      <c r="J10" s="635"/>
      <c r="K10" s="624" t="s">
        <v>7</v>
      </c>
      <c r="L10" s="632"/>
      <c r="M10" s="626" t="s">
        <v>8</v>
      </c>
    </row>
    <row r="11" spans="1:13" ht="22.5" customHeight="1">
      <c r="A11" s="595"/>
      <c r="B11" s="622"/>
      <c r="C11" s="592"/>
      <c r="D11" s="627"/>
      <c r="E11" s="628"/>
      <c r="F11" s="629"/>
      <c r="G11" s="633"/>
      <c r="H11" s="634"/>
      <c r="I11" s="633"/>
      <c r="J11" s="636"/>
      <c r="K11" s="627" t="s">
        <v>9</v>
      </c>
      <c r="L11" s="634"/>
      <c r="M11" s="637"/>
    </row>
    <row r="12" spans="1:13" ht="14.25">
      <c r="A12" s="595"/>
      <c r="B12" s="622"/>
      <c r="C12" s="592"/>
      <c r="D12" s="630" t="s">
        <v>10</v>
      </c>
      <c r="E12" s="630" t="s">
        <v>11</v>
      </c>
      <c r="F12" s="630" t="s">
        <v>12</v>
      </c>
      <c r="G12" s="232" t="s">
        <v>11</v>
      </c>
      <c r="H12" s="630" t="s">
        <v>12</v>
      </c>
      <c r="I12" s="232" t="s">
        <v>11</v>
      </c>
      <c r="J12" s="630" t="s">
        <v>12</v>
      </c>
      <c r="K12" s="232" t="s">
        <v>11</v>
      </c>
      <c r="L12" s="630" t="s">
        <v>12</v>
      </c>
      <c r="M12" s="638"/>
    </row>
    <row r="13" spans="1:13" ht="14.25">
      <c r="A13" s="596"/>
      <c r="B13" s="623"/>
      <c r="C13" s="593"/>
      <c r="D13" s="631"/>
      <c r="E13" s="631"/>
      <c r="F13" s="631"/>
      <c r="G13" s="235" t="s">
        <v>13</v>
      </c>
      <c r="H13" s="631"/>
      <c r="I13" s="235" t="s">
        <v>13</v>
      </c>
      <c r="J13" s="631"/>
      <c r="K13" s="235" t="s">
        <v>13</v>
      </c>
      <c r="L13" s="631"/>
      <c r="M13" s="639"/>
    </row>
    <row r="14" spans="1:13" ht="14.25">
      <c r="A14" s="237" t="s">
        <v>14</v>
      </c>
      <c r="B14" s="238" t="s">
        <v>15</v>
      </c>
      <c r="C14" s="239" t="s">
        <v>16</v>
      </c>
      <c r="D14" s="240" t="s">
        <v>17</v>
      </c>
      <c r="E14" s="240" t="s">
        <v>18</v>
      </c>
      <c r="F14" s="241" t="s">
        <v>19</v>
      </c>
      <c r="G14" s="242" t="s">
        <v>20</v>
      </c>
      <c r="H14" s="243" t="s">
        <v>21</v>
      </c>
      <c r="I14" s="240" t="s">
        <v>22</v>
      </c>
      <c r="J14" s="242" t="s">
        <v>23</v>
      </c>
      <c r="K14" s="240" t="s">
        <v>24</v>
      </c>
      <c r="L14" s="243" t="s">
        <v>25</v>
      </c>
      <c r="M14" s="240" t="s">
        <v>26</v>
      </c>
    </row>
    <row r="15" spans="1:13" ht="57">
      <c r="A15" s="244">
        <v>1</v>
      </c>
      <c r="B15" s="245" t="s">
        <v>185</v>
      </c>
      <c r="C15" s="246" t="s">
        <v>187</v>
      </c>
      <c r="D15" s="247" t="s">
        <v>315</v>
      </c>
      <c r="E15" s="232"/>
      <c r="F15" s="248">
        <v>398.81</v>
      </c>
      <c r="G15" s="249"/>
      <c r="H15" s="247"/>
      <c r="I15" s="232"/>
      <c r="J15" s="249"/>
      <c r="K15" s="232"/>
      <c r="L15" s="247"/>
      <c r="M15" s="232"/>
    </row>
    <row r="16" spans="1:13" ht="14.25">
      <c r="A16" s="245"/>
      <c r="B16" s="245"/>
      <c r="C16" s="250" t="s">
        <v>29</v>
      </c>
      <c r="D16" s="233" t="s">
        <v>30</v>
      </c>
      <c r="E16" s="233">
        <f>20/1000</f>
        <v>0.02</v>
      </c>
      <c r="F16" s="233">
        <f>E16*F15</f>
        <v>7.9762</v>
      </c>
      <c r="G16" s="251"/>
      <c r="H16" s="251">
        <f>F16*G16</f>
        <v>0</v>
      </c>
      <c r="I16" s="252"/>
      <c r="J16" s="252"/>
      <c r="K16" s="252"/>
      <c r="L16" s="252"/>
      <c r="M16" s="252">
        <f>H16</f>
        <v>0</v>
      </c>
    </row>
    <row r="17" spans="1:13" ht="14.25">
      <c r="A17" s="245"/>
      <c r="B17" s="245"/>
      <c r="C17" s="250" t="s">
        <v>100</v>
      </c>
      <c r="D17" s="233" t="s">
        <v>31</v>
      </c>
      <c r="E17" s="233">
        <f>44.8/1000</f>
        <v>0.0448</v>
      </c>
      <c r="F17" s="233">
        <f>E17*F15</f>
        <v>17.866688</v>
      </c>
      <c r="G17" s="251"/>
      <c r="H17" s="251"/>
      <c r="I17" s="252"/>
      <c r="J17" s="253"/>
      <c r="K17" s="233"/>
      <c r="L17" s="254">
        <f>F17*K17</f>
        <v>0</v>
      </c>
      <c r="M17" s="252">
        <f>L17</f>
        <v>0</v>
      </c>
    </row>
    <row r="18" spans="1:13" ht="28.5">
      <c r="A18" s="245"/>
      <c r="B18" s="245"/>
      <c r="C18" s="250" t="s">
        <v>32</v>
      </c>
      <c r="D18" s="233" t="s">
        <v>30</v>
      </c>
      <c r="E18" s="233"/>
      <c r="F18" s="255">
        <f>F17</f>
        <v>17.866688</v>
      </c>
      <c r="G18" s="251"/>
      <c r="H18" s="251">
        <f>F18*G18</f>
        <v>0</v>
      </c>
      <c r="I18" s="252"/>
      <c r="J18" s="253"/>
      <c r="K18" s="252"/>
      <c r="L18" s="254"/>
      <c r="M18" s="252">
        <f>H18</f>
        <v>0</v>
      </c>
    </row>
    <row r="19" spans="1:13" ht="14.25">
      <c r="A19" s="245"/>
      <c r="B19" s="245"/>
      <c r="C19" s="250" t="s">
        <v>39</v>
      </c>
      <c r="D19" s="233" t="s">
        <v>34</v>
      </c>
      <c r="E19" s="256">
        <f>2.1/1000</f>
        <v>0.0021000000000000003</v>
      </c>
      <c r="F19" s="255">
        <f>E19*F15</f>
        <v>0.8375010000000002</v>
      </c>
      <c r="G19" s="233"/>
      <c r="H19" s="233"/>
      <c r="I19" s="233"/>
      <c r="J19" s="233"/>
      <c r="K19" s="233"/>
      <c r="L19" s="233">
        <f>F19*K19</f>
        <v>0</v>
      </c>
      <c r="M19" s="233">
        <f>L19</f>
        <v>0</v>
      </c>
    </row>
    <row r="20" spans="1:13" ht="28.5">
      <c r="A20" s="257"/>
      <c r="B20" s="258"/>
      <c r="C20" s="259" t="s">
        <v>186</v>
      </c>
      <c r="D20" s="226" t="s">
        <v>35</v>
      </c>
      <c r="E20" s="235"/>
      <c r="F20" s="228">
        <f>F15*1.8</f>
        <v>717.8580000000001</v>
      </c>
      <c r="G20" s="227"/>
      <c r="H20" s="226"/>
      <c r="I20" s="235"/>
      <c r="J20" s="227"/>
      <c r="K20" s="235"/>
      <c r="L20" s="226">
        <f>F20*K20</f>
        <v>0</v>
      </c>
      <c r="M20" s="235">
        <f>L20</f>
        <v>0</v>
      </c>
    </row>
    <row r="21" spans="1:13" ht="42.75">
      <c r="A21" s="244">
        <v>2</v>
      </c>
      <c r="B21" s="260" t="s">
        <v>112</v>
      </c>
      <c r="C21" s="250" t="s">
        <v>312</v>
      </c>
      <c r="D21" s="247" t="s">
        <v>315</v>
      </c>
      <c r="E21" s="232"/>
      <c r="F21" s="248">
        <v>39.8</v>
      </c>
      <c r="G21" s="249"/>
      <c r="H21" s="247"/>
      <c r="I21" s="232"/>
      <c r="J21" s="249"/>
      <c r="K21" s="232"/>
      <c r="L21" s="247"/>
      <c r="M21" s="232"/>
    </row>
    <row r="22" spans="1:13" ht="14.25">
      <c r="A22" s="245"/>
      <c r="B22" s="245"/>
      <c r="C22" s="250" t="s">
        <v>29</v>
      </c>
      <c r="D22" s="233" t="s">
        <v>30</v>
      </c>
      <c r="E22" s="233">
        <f>2.06+0.87</f>
        <v>2.93</v>
      </c>
      <c r="F22" s="233">
        <f>E22*F21</f>
        <v>116.614</v>
      </c>
      <c r="G22" s="251"/>
      <c r="H22" s="251">
        <f>F22*G22</f>
        <v>0</v>
      </c>
      <c r="I22" s="252"/>
      <c r="J22" s="252"/>
      <c r="K22" s="252"/>
      <c r="L22" s="252"/>
      <c r="M22" s="252">
        <f>H22</f>
        <v>0</v>
      </c>
    </row>
    <row r="23" spans="1:13" ht="6.75" customHeight="1">
      <c r="A23" s="257"/>
      <c r="B23" s="258"/>
      <c r="C23" s="259"/>
      <c r="D23" s="226"/>
      <c r="E23" s="235"/>
      <c r="F23" s="228"/>
      <c r="G23" s="227"/>
      <c r="H23" s="226"/>
      <c r="I23" s="235"/>
      <c r="J23" s="227"/>
      <c r="K23" s="235"/>
      <c r="L23" s="226"/>
      <c r="M23" s="235"/>
    </row>
    <row r="24" spans="1:13" ht="14.25">
      <c r="A24" s="261">
        <v>3</v>
      </c>
      <c r="B24" s="262" t="s">
        <v>113</v>
      </c>
      <c r="C24" s="223" t="s">
        <v>78</v>
      </c>
      <c r="D24" s="263" t="s">
        <v>315</v>
      </c>
      <c r="E24" s="264"/>
      <c r="F24" s="265">
        <f>F15</f>
        <v>398.81</v>
      </c>
      <c r="G24" s="264"/>
      <c r="H24" s="264"/>
      <c r="I24" s="264"/>
      <c r="J24" s="264"/>
      <c r="K24" s="264"/>
      <c r="L24" s="264"/>
      <c r="M24" s="264"/>
    </row>
    <row r="25" spans="1:13" ht="14.25">
      <c r="A25" s="266"/>
      <c r="B25" s="266"/>
      <c r="C25" s="250" t="s">
        <v>29</v>
      </c>
      <c r="D25" s="233" t="s">
        <v>30</v>
      </c>
      <c r="E25" s="256">
        <f>3.23/1000</f>
        <v>0.00323</v>
      </c>
      <c r="F25" s="233">
        <f>E25*F24</f>
        <v>1.2881563</v>
      </c>
      <c r="G25" s="267"/>
      <c r="H25" s="267">
        <f>F25*G25</f>
        <v>0</v>
      </c>
      <c r="I25" s="268"/>
      <c r="J25" s="268"/>
      <c r="K25" s="268"/>
      <c r="L25" s="268"/>
      <c r="M25" s="267">
        <f>H25</f>
        <v>0</v>
      </c>
    </row>
    <row r="26" spans="1:13" ht="14.25">
      <c r="A26" s="245"/>
      <c r="B26" s="245"/>
      <c r="C26" s="250" t="s">
        <v>77</v>
      </c>
      <c r="D26" s="233" t="s">
        <v>31</v>
      </c>
      <c r="E26" s="269">
        <f>3.62/1000</f>
        <v>0.00362</v>
      </c>
      <c r="F26" s="233">
        <f>E26*F24</f>
        <v>1.4436922</v>
      </c>
      <c r="G26" s="233"/>
      <c r="H26" s="233"/>
      <c r="I26" s="233"/>
      <c r="J26" s="233"/>
      <c r="K26" s="233"/>
      <c r="L26" s="233">
        <f>F26*K26</f>
        <v>0</v>
      </c>
      <c r="M26" s="233">
        <f>L26</f>
        <v>0</v>
      </c>
    </row>
    <row r="27" spans="1:13" ht="28.5">
      <c r="A27" s="245"/>
      <c r="B27" s="245"/>
      <c r="C27" s="250" t="s">
        <v>32</v>
      </c>
      <c r="D27" s="233" t="s">
        <v>30</v>
      </c>
      <c r="E27" s="233"/>
      <c r="F27" s="233">
        <f>F26</f>
        <v>1.4436922</v>
      </c>
      <c r="G27" s="233"/>
      <c r="H27" s="233">
        <f>F27*G27</f>
        <v>0</v>
      </c>
      <c r="I27" s="233"/>
      <c r="J27" s="233"/>
      <c r="K27" s="224"/>
      <c r="L27" s="224"/>
      <c r="M27" s="233">
        <f>H27</f>
        <v>0</v>
      </c>
    </row>
    <row r="28" spans="1:13" ht="14.25">
      <c r="A28" s="270"/>
      <c r="B28" s="270"/>
      <c r="C28" s="271" t="s">
        <v>39</v>
      </c>
      <c r="D28" s="270" t="s">
        <v>34</v>
      </c>
      <c r="E28" s="272">
        <f>0.18/1000</f>
        <v>0.00017999999999999998</v>
      </c>
      <c r="F28" s="236">
        <f>E28*F24</f>
        <v>0.0717858</v>
      </c>
      <c r="G28" s="270"/>
      <c r="H28" s="270"/>
      <c r="I28" s="270"/>
      <c r="J28" s="270"/>
      <c r="K28" s="273"/>
      <c r="L28" s="236">
        <f>F28*K28</f>
        <v>0</v>
      </c>
      <c r="M28" s="236">
        <f>L28</f>
        <v>0</v>
      </c>
    </row>
    <row r="29" spans="1:13" ht="28.5">
      <c r="A29" s="244">
        <v>4</v>
      </c>
      <c r="B29" s="245" t="s">
        <v>138</v>
      </c>
      <c r="C29" s="274" t="s">
        <v>156</v>
      </c>
      <c r="D29" s="244" t="s">
        <v>315</v>
      </c>
      <c r="E29" s="275"/>
      <c r="F29" s="248">
        <v>78.36</v>
      </c>
      <c r="G29" s="249"/>
      <c r="H29" s="247"/>
      <c r="I29" s="232"/>
      <c r="J29" s="249"/>
      <c r="K29" s="232"/>
      <c r="L29" s="247"/>
      <c r="M29" s="232"/>
    </row>
    <row r="30" spans="1:13" ht="14.25">
      <c r="A30" s="276"/>
      <c r="B30" s="245"/>
      <c r="C30" s="250" t="s">
        <v>29</v>
      </c>
      <c r="D30" s="233" t="s">
        <v>30</v>
      </c>
      <c r="E30" s="232">
        <v>2.12</v>
      </c>
      <c r="F30" s="232">
        <f>E30*F29</f>
        <v>166.1232</v>
      </c>
      <c r="G30" s="232"/>
      <c r="H30" s="247">
        <f>F30*G30</f>
        <v>0</v>
      </c>
      <c r="I30" s="232"/>
      <c r="J30" s="249"/>
      <c r="K30" s="232"/>
      <c r="L30" s="247"/>
      <c r="M30" s="232">
        <f>H30</f>
        <v>0</v>
      </c>
    </row>
    <row r="31" spans="1:13" ht="14.25">
      <c r="A31" s="276"/>
      <c r="B31" s="245"/>
      <c r="C31" s="221" t="s">
        <v>39</v>
      </c>
      <c r="D31" s="255" t="s">
        <v>34</v>
      </c>
      <c r="E31" s="256">
        <v>0.101</v>
      </c>
      <c r="F31" s="233">
        <f>E31*F29</f>
        <v>7.91436</v>
      </c>
      <c r="G31" s="233"/>
      <c r="H31" s="255"/>
      <c r="I31" s="233"/>
      <c r="K31" s="233"/>
      <c r="L31" s="255">
        <f>F31*K31</f>
        <v>0</v>
      </c>
      <c r="M31" s="233">
        <f>L31</f>
        <v>0</v>
      </c>
    </row>
    <row r="32" spans="1:13" ht="14.25">
      <c r="A32" s="278"/>
      <c r="B32" s="279"/>
      <c r="C32" s="280" t="s">
        <v>139</v>
      </c>
      <c r="D32" s="257" t="s">
        <v>315</v>
      </c>
      <c r="E32" s="236">
        <v>1.1</v>
      </c>
      <c r="F32" s="236">
        <f>E32*F29</f>
        <v>86.19600000000001</v>
      </c>
      <c r="G32" s="236"/>
      <c r="H32" s="229"/>
      <c r="I32" s="236"/>
      <c r="J32" s="231">
        <f>F32*I32</f>
        <v>0</v>
      </c>
      <c r="K32" s="236"/>
      <c r="L32" s="229"/>
      <c r="M32" s="236">
        <f>J32</f>
        <v>0</v>
      </c>
    </row>
    <row r="33" spans="1:13" ht="42.75">
      <c r="A33" s="245" t="s">
        <v>188</v>
      </c>
      <c r="B33" s="245" t="s">
        <v>159</v>
      </c>
      <c r="C33" s="250" t="s">
        <v>313</v>
      </c>
      <c r="D33" s="233" t="s">
        <v>315</v>
      </c>
      <c r="E33" s="256"/>
      <c r="F33" s="281">
        <v>182.84</v>
      </c>
      <c r="G33" s="267"/>
      <c r="H33" s="267"/>
      <c r="I33" s="267"/>
      <c r="J33" s="267"/>
      <c r="K33" s="267"/>
      <c r="L33" s="267"/>
      <c r="M33" s="267"/>
    </row>
    <row r="34" spans="1:13" ht="14.25">
      <c r="A34" s="266"/>
      <c r="B34" s="245"/>
      <c r="C34" s="225" t="s">
        <v>29</v>
      </c>
      <c r="D34" s="233" t="s">
        <v>30</v>
      </c>
      <c r="E34" s="282">
        <v>8.44</v>
      </c>
      <c r="F34" s="232">
        <f>E34*F33</f>
        <v>1543.1696</v>
      </c>
      <c r="G34" s="282"/>
      <c r="H34" s="282">
        <f>F34*G34</f>
        <v>0</v>
      </c>
      <c r="I34" s="282"/>
      <c r="J34" s="282"/>
      <c r="K34" s="282"/>
      <c r="L34" s="282"/>
      <c r="M34" s="282">
        <f>H34</f>
        <v>0</v>
      </c>
    </row>
    <row r="35" spans="1:13" ht="14.25">
      <c r="A35" s="266"/>
      <c r="B35" s="245"/>
      <c r="C35" s="268" t="s">
        <v>134</v>
      </c>
      <c r="D35" s="224" t="s">
        <v>34</v>
      </c>
      <c r="E35" s="268">
        <v>1.1</v>
      </c>
      <c r="F35" s="233">
        <f>E35*F33</f>
        <v>201.12400000000002</v>
      </c>
      <c r="G35" s="267"/>
      <c r="H35" s="267"/>
      <c r="I35" s="267"/>
      <c r="J35" s="267"/>
      <c r="K35" s="267"/>
      <c r="L35" s="267">
        <f>F35*K35</f>
        <v>0</v>
      </c>
      <c r="M35" s="267">
        <f>L35</f>
        <v>0</v>
      </c>
    </row>
    <row r="36" spans="1:13" ht="18">
      <c r="A36" s="266"/>
      <c r="B36" s="283"/>
      <c r="C36" s="268" t="s">
        <v>128</v>
      </c>
      <c r="D36" s="275" t="s">
        <v>315</v>
      </c>
      <c r="E36" s="268">
        <v>1.015</v>
      </c>
      <c r="F36" s="233">
        <f>E36*F33</f>
        <v>185.58259999999999</v>
      </c>
      <c r="G36" s="267"/>
      <c r="H36" s="267"/>
      <c r="I36" s="282"/>
      <c r="J36" s="267">
        <f>F36*I36</f>
        <v>0</v>
      </c>
      <c r="K36" s="267"/>
      <c r="L36" s="267"/>
      <c r="M36" s="267">
        <f aca="true" t="shared" si="0" ref="M36:M43">J36</f>
        <v>0</v>
      </c>
    </row>
    <row r="37" spans="1:13" ht="15.75">
      <c r="A37" s="266"/>
      <c r="B37" s="245"/>
      <c r="C37" s="268" t="s">
        <v>314</v>
      </c>
      <c r="D37" s="275" t="s">
        <v>35</v>
      </c>
      <c r="E37" s="284" t="s">
        <v>160</v>
      </c>
      <c r="F37" s="233">
        <v>7.21</v>
      </c>
      <c r="G37" s="267"/>
      <c r="H37" s="267"/>
      <c r="I37" s="282"/>
      <c r="J37" s="267">
        <f aca="true" t="shared" si="1" ref="J37:J43">F37*I37</f>
        <v>0</v>
      </c>
      <c r="K37" s="267"/>
      <c r="L37" s="267"/>
      <c r="M37" s="267">
        <f t="shared" si="0"/>
        <v>0</v>
      </c>
    </row>
    <row r="38" spans="1:13" ht="18">
      <c r="A38" s="266"/>
      <c r="B38" s="283"/>
      <c r="C38" s="285" t="s">
        <v>129</v>
      </c>
      <c r="D38" s="275" t="s">
        <v>316</v>
      </c>
      <c r="E38" s="268">
        <v>1.84</v>
      </c>
      <c r="F38" s="233">
        <f>E38*F33</f>
        <v>336.42560000000003</v>
      </c>
      <c r="G38" s="267"/>
      <c r="H38" s="267"/>
      <c r="I38" s="232"/>
      <c r="J38" s="267">
        <f t="shared" si="1"/>
        <v>0</v>
      </c>
      <c r="K38" s="267"/>
      <c r="L38" s="267"/>
      <c r="M38" s="267">
        <f t="shared" si="0"/>
        <v>0</v>
      </c>
    </row>
    <row r="39" spans="1:13" ht="18">
      <c r="A39" s="266"/>
      <c r="B39" s="283"/>
      <c r="C39" s="286" t="s">
        <v>130</v>
      </c>
      <c r="D39" s="275" t="s">
        <v>315</v>
      </c>
      <c r="E39" s="268">
        <f>0.34/100</f>
        <v>0.0034000000000000002</v>
      </c>
      <c r="F39" s="233">
        <f>E39*F33</f>
        <v>0.6216560000000001</v>
      </c>
      <c r="G39" s="267"/>
      <c r="H39" s="267"/>
      <c r="I39" s="232"/>
      <c r="J39" s="267">
        <f t="shared" si="1"/>
        <v>0</v>
      </c>
      <c r="K39" s="267"/>
      <c r="L39" s="267"/>
      <c r="M39" s="267">
        <f t="shared" si="0"/>
        <v>0</v>
      </c>
    </row>
    <row r="40" spans="1:13" ht="31.5">
      <c r="A40" s="266"/>
      <c r="B40" s="283"/>
      <c r="C40" s="285" t="s">
        <v>131</v>
      </c>
      <c r="D40" s="275" t="s">
        <v>315</v>
      </c>
      <c r="E40" s="269">
        <f>3.91/100</f>
        <v>0.0391</v>
      </c>
      <c r="F40" s="233">
        <f>E40*F33</f>
        <v>7.149044000000001</v>
      </c>
      <c r="G40" s="267"/>
      <c r="H40" s="267"/>
      <c r="I40" s="232"/>
      <c r="J40" s="233">
        <f t="shared" si="1"/>
        <v>0</v>
      </c>
      <c r="K40" s="233"/>
      <c r="L40" s="233"/>
      <c r="M40" s="233">
        <f t="shared" si="0"/>
        <v>0</v>
      </c>
    </row>
    <row r="41" spans="1:13" ht="15.75">
      <c r="A41" s="266"/>
      <c r="B41" s="287"/>
      <c r="C41" s="286" t="s">
        <v>132</v>
      </c>
      <c r="D41" s="275" t="s">
        <v>35</v>
      </c>
      <c r="E41" s="268">
        <f>0.22/100</f>
        <v>0.0022</v>
      </c>
      <c r="F41" s="233">
        <f>E41*F33</f>
        <v>0.40224800000000005</v>
      </c>
      <c r="G41" s="267"/>
      <c r="H41" s="267"/>
      <c r="I41" s="267"/>
      <c r="J41" s="267">
        <f t="shared" si="1"/>
        <v>0</v>
      </c>
      <c r="K41" s="267"/>
      <c r="L41" s="267"/>
      <c r="M41" s="267">
        <f t="shared" si="0"/>
        <v>0</v>
      </c>
    </row>
    <row r="42" spans="1:13" ht="15.75">
      <c r="A42" s="266"/>
      <c r="B42" s="287"/>
      <c r="C42" s="286" t="s">
        <v>161</v>
      </c>
      <c r="D42" s="275" t="s">
        <v>35</v>
      </c>
      <c r="E42" s="288">
        <f>0.1/100</f>
        <v>0.001</v>
      </c>
      <c r="F42" s="233">
        <f>E42*F33</f>
        <v>0.18284</v>
      </c>
      <c r="G42" s="267"/>
      <c r="H42" s="267"/>
      <c r="I42" s="267"/>
      <c r="J42" s="267">
        <f t="shared" si="1"/>
        <v>0</v>
      </c>
      <c r="K42" s="267"/>
      <c r="L42" s="267"/>
      <c r="M42" s="267">
        <f t="shared" si="0"/>
        <v>0</v>
      </c>
    </row>
    <row r="43" spans="1:13" ht="15.75">
      <c r="A43" s="270"/>
      <c r="B43" s="279"/>
      <c r="C43" s="289" t="s">
        <v>40</v>
      </c>
      <c r="D43" s="290" t="s">
        <v>34</v>
      </c>
      <c r="E43" s="271">
        <v>0.46</v>
      </c>
      <c r="F43" s="236">
        <f>E43*F33</f>
        <v>84.10640000000001</v>
      </c>
      <c r="G43" s="273"/>
      <c r="H43" s="273"/>
      <c r="I43" s="273"/>
      <c r="J43" s="273">
        <f t="shared" si="1"/>
        <v>0</v>
      </c>
      <c r="K43" s="273"/>
      <c r="L43" s="273"/>
      <c r="M43" s="273">
        <f t="shared" si="0"/>
        <v>0</v>
      </c>
    </row>
    <row r="44" spans="1:13" ht="31.5">
      <c r="A44" s="276" t="s">
        <v>148</v>
      </c>
      <c r="B44" s="291" t="s">
        <v>163</v>
      </c>
      <c r="C44" s="221" t="s">
        <v>162</v>
      </c>
      <c r="D44" s="275" t="s">
        <v>315</v>
      </c>
      <c r="E44" s="233"/>
      <c r="F44" s="292">
        <f>F21</f>
        <v>39.8</v>
      </c>
      <c r="G44" s="233"/>
      <c r="H44" s="255"/>
      <c r="I44" s="233"/>
      <c r="K44" s="233"/>
      <c r="L44" s="255"/>
      <c r="M44" s="233"/>
    </row>
    <row r="45" spans="1:13" ht="31.5">
      <c r="A45" s="279"/>
      <c r="B45" s="279"/>
      <c r="C45" s="293" t="s">
        <v>29</v>
      </c>
      <c r="D45" s="236" t="s">
        <v>30</v>
      </c>
      <c r="E45" s="294">
        <v>1.21</v>
      </c>
      <c r="F45" s="236">
        <f>E45*F44</f>
        <v>48.157999999999994</v>
      </c>
      <c r="G45" s="236"/>
      <c r="H45" s="236">
        <f>F45*G45</f>
        <v>0</v>
      </c>
      <c r="I45" s="236"/>
      <c r="J45" s="236"/>
      <c r="K45" s="234"/>
      <c r="L45" s="234"/>
      <c r="M45" s="236">
        <f>H45</f>
        <v>0</v>
      </c>
    </row>
    <row r="46" spans="1:13" ht="15.75">
      <c r="A46" s="295"/>
      <c r="B46" s="245"/>
      <c r="C46" s="296" t="s">
        <v>12</v>
      </c>
      <c r="D46" s="297" t="s">
        <v>34</v>
      </c>
      <c r="E46" s="233"/>
      <c r="F46" s="233"/>
      <c r="G46" s="233"/>
      <c r="H46" s="233">
        <f>SUM(H15:H45)</f>
        <v>0</v>
      </c>
      <c r="I46" s="233"/>
      <c r="J46" s="233">
        <f>SUM(J15:J45)</f>
        <v>0</v>
      </c>
      <c r="K46" s="224"/>
      <c r="L46" s="233">
        <f>SUM(L16:L45)</f>
        <v>0</v>
      </c>
      <c r="M46" s="233">
        <f>SUM(M16:M45)</f>
        <v>0</v>
      </c>
    </row>
    <row r="47" spans="1:13" ht="15.75">
      <c r="A47" s="298"/>
      <c r="B47" s="299"/>
      <c r="C47" s="298" t="s">
        <v>329</v>
      </c>
      <c r="D47" s="297" t="s">
        <v>34</v>
      </c>
      <c r="E47" s="300"/>
      <c r="F47" s="301"/>
      <c r="G47" s="302"/>
      <c r="H47" s="300">
        <f>E47*H46</f>
        <v>0</v>
      </c>
      <c r="I47" s="300"/>
      <c r="J47" s="300">
        <f>E47*J46</f>
        <v>0</v>
      </c>
      <c r="K47" s="300"/>
      <c r="L47" s="300">
        <f>E47*L46</f>
        <v>0</v>
      </c>
      <c r="M47" s="300">
        <f>SUM(H47:L47)</f>
        <v>0</v>
      </c>
    </row>
    <row r="48" spans="1:13" ht="15.75">
      <c r="A48" s="296"/>
      <c r="B48" s="299"/>
      <c r="C48" s="296" t="s">
        <v>12</v>
      </c>
      <c r="D48" s="297" t="s">
        <v>34</v>
      </c>
      <c r="E48" s="303"/>
      <c r="F48" s="296"/>
      <c r="G48" s="296"/>
      <c r="H48" s="303">
        <f>SUM(H46:H47)</f>
        <v>0</v>
      </c>
      <c r="I48" s="303"/>
      <c r="J48" s="303">
        <f>SUM(J46:J47)</f>
        <v>0</v>
      </c>
      <c r="K48" s="303"/>
      <c r="L48" s="303">
        <f>SUM(L46:L47)</f>
        <v>0</v>
      </c>
      <c r="M48" s="303">
        <f>SUM(H48:L48)</f>
        <v>0</v>
      </c>
    </row>
    <row r="49" spans="1:13" ht="15.75">
      <c r="A49" s="298"/>
      <c r="B49" s="299"/>
      <c r="C49" s="299" t="s">
        <v>328</v>
      </c>
      <c r="D49" s="297" t="s">
        <v>34</v>
      </c>
      <c r="E49" s="300"/>
      <c r="F49" s="304"/>
      <c r="G49" s="300"/>
      <c r="H49" s="300">
        <f>E49*H48</f>
        <v>0</v>
      </c>
      <c r="I49" s="300"/>
      <c r="J49" s="300">
        <f>E49*J48</f>
        <v>0</v>
      </c>
      <c r="K49" s="300"/>
      <c r="L49" s="300">
        <f>E49*L48</f>
        <v>0</v>
      </c>
      <c r="M49" s="300">
        <f>SUM(H49:L49)</f>
        <v>0</v>
      </c>
    </row>
    <row r="50" spans="1:13" ht="15.75">
      <c r="A50" s="305"/>
      <c r="B50" s="306"/>
      <c r="C50" s="305" t="s">
        <v>12</v>
      </c>
      <c r="D50" s="307" t="s">
        <v>34</v>
      </c>
      <c r="E50" s="305"/>
      <c r="F50" s="305"/>
      <c r="G50" s="305"/>
      <c r="H50" s="308">
        <f>SUM(H48:H49)</f>
        <v>0</v>
      </c>
      <c r="I50" s="308"/>
      <c r="J50" s="308">
        <f>SUM(J48:J49)</f>
        <v>0</v>
      </c>
      <c r="K50" s="308"/>
      <c r="L50" s="308">
        <f>SUM(L48:L49)</f>
        <v>0</v>
      </c>
      <c r="M50" s="308">
        <f>SUM(H50:L50)</f>
        <v>0</v>
      </c>
    </row>
  </sheetData>
  <sheetProtection/>
  <mergeCells count="24">
    <mergeCell ref="G10:H11"/>
    <mergeCell ref="I10:J11"/>
    <mergeCell ref="K10:L10"/>
    <mergeCell ref="M10:M13"/>
    <mergeCell ref="K11:L11"/>
    <mergeCell ref="H12:H13"/>
    <mergeCell ref="J12:J13"/>
    <mergeCell ref="L12:L13"/>
    <mergeCell ref="A10:A13"/>
    <mergeCell ref="B10:B13"/>
    <mergeCell ref="C10:C13"/>
    <mergeCell ref="D10:F11"/>
    <mergeCell ref="D12:D13"/>
    <mergeCell ref="E12:E13"/>
    <mergeCell ref="F12:F13"/>
    <mergeCell ref="A6:M6"/>
    <mergeCell ref="B7:D7"/>
    <mergeCell ref="F7:I7"/>
    <mergeCell ref="B8:C8"/>
    <mergeCell ref="F8:I8"/>
    <mergeCell ref="A1:M1"/>
    <mergeCell ref="A3:M3"/>
    <mergeCell ref="A4:M4"/>
    <mergeCell ref="A5:M5"/>
  </mergeCells>
  <printOptions/>
  <pageMargins left="0.5905511811023623" right="0" top="0.5905511811023623" bottom="0.5905511811023623" header="0.5118110236220472" footer="0.5118110236220472"/>
  <pageSetup horizontalDpi="300" verticalDpi="300" orientation="portrait" paperSize="9" scale="6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82"/>
  <sheetViews>
    <sheetView view="pageBreakPreview" zoomScaleSheetLayoutView="100" zoomScalePageLayoutView="0" workbookViewId="0" topLeftCell="A1">
      <selection activeCell="K15" sqref="K15:K77"/>
    </sheetView>
  </sheetViews>
  <sheetFormatPr defaultColWidth="9.00390625" defaultRowHeight="12.75"/>
  <cols>
    <col min="1" max="1" width="3.8515625" style="1" customWidth="1"/>
    <col min="2" max="2" width="9.7109375" style="2" customWidth="1"/>
    <col min="3" max="3" width="30.7109375" style="2" customWidth="1"/>
    <col min="4" max="4" width="8.28125" style="12" customWidth="1"/>
    <col min="5" max="5" width="9.00390625" style="12" customWidth="1"/>
    <col min="6" max="6" width="9.140625" style="12" customWidth="1"/>
    <col min="7" max="7" width="9.7109375" style="12" customWidth="1"/>
    <col min="8" max="8" width="10.28125" style="12" customWidth="1"/>
    <col min="9" max="9" width="10.00390625" style="12" customWidth="1"/>
    <col min="10" max="10" width="10.28125" style="12" customWidth="1"/>
    <col min="11" max="11" width="8.8515625" style="12" customWidth="1"/>
    <col min="12" max="12" width="10.421875" style="12" customWidth="1"/>
    <col min="13" max="13" width="19.421875" style="12" customWidth="1"/>
    <col min="14" max="16384" width="9.00390625" style="17" customWidth="1"/>
  </cols>
  <sheetData>
    <row r="1" spans="1:14" ht="24" customHeight="1">
      <c r="A1" s="668" t="s">
        <v>165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56"/>
    </row>
    <row r="2" spans="1:14" ht="1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56"/>
    </row>
    <row r="3" spans="1:13" ht="14.25">
      <c r="A3" s="669" t="s">
        <v>127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</row>
    <row r="4" spans="1:13" ht="14.25">
      <c r="A4" s="669"/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</row>
    <row r="5" spans="1:13" ht="14.25">
      <c r="A5" s="670" t="s">
        <v>189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</row>
    <row r="6" spans="1:13" ht="14.25">
      <c r="A6" s="671"/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</row>
    <row r="7" spans="1:13" ht="15" customHeight="1">
      <c r="A7" s="2"/>
      <c r="B7" s="654"/>
      <c r="C7" s="654"/>
      <c r="D7" s="672"/>
      <c r="E7" s="3"/>
      <c r="F7" s="655" t="s">
        <v>1</v>
      </c>
      <c r="G7" s="655"/>
      <c r="H7" s="655"/>
      <c r="I7" s="655"/>
      <c r="J7" s="3">
        <f>M82/1000</f>
        <v>0</v>
      </c>
      <c r="K7" s="3" t="s">
        <v>0</v>
      </c>
      <c r="L7" s="3"/>
      <c r="M7" s="3"/>
    </row>
    <row r="8" spans="1:13" ht="14.25">
      <c r="A8" s="2"/>
      <c r="B8" s="654"/>
      <c r="C8" s="654"/>
      <c r="D8" s="3"/>
      <c r="E8" s="3"/>
      <c r="F8" s="655"/>
      <c r="G8" s="655"/>
      <c r="H8" s="655"/>
      <c r="I8" s="655"/>
      <c r="J8" s="3"/>
      <c r="K8" s="3"/>
      <c r="L8" s="3"/>
      <c r="M8" s="3"/>
    </row>
    <row r="9" spans="1:13" ht="14.25">
      <c r="A9" s="2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 customHeight="1">
      <c r="A10" s="656" t="s">
        <v>2</v>
      </c>
      <c r="B10" s="659" t="s">
        <v>3</v>
      </c>
      <c r="C10" s="662" t="s">
        <v>27</v>
      </c>
      <c r="D10" s="641" t="s">
        <v>4</v>
      </c>
      <c r="E10" s="665"/>
      <c r="F10" s="646"/>
      <c r="G10" s="641" t="s">
        <v>5</v>
      </c>
      <c r="H10" s="645"/>
      <c r="I10" s="641" t="s">
        <v>6</v>
      </c>
      <c r="J10" s="642"/>
      <c r="K10" s="641" t="s">
        <v>7</v>
      </c>
      <c r="L10" s="645"/>
      <c r="M10" s="646" t="s">
        <v>8</v>
      </c>
    </row>
    <row r="11" spans="1:13" ht="22.5" customHeight="1">
      <c r="A11" s="657"/>
      <c r="B11" s="660"/>
      <c r="C11" s="663"/>
      <c r="D11" s="650"/>
      <c r="E11" s="666"/>
      <c r="F11" s="667"/>
      <c r="G11" s="643"/>
      <c r="H11" s="651"/>
      <c r="I11" s="643"/>
      <c r="J11" s="644"/>
      <c r="K11" s="650" t="s">
        <v>9</v>
      </c>
      <c r="L11" s="651"/>
      <c r="M11" s="647"/>
    </row>
    <row r="12" spans="1:13" ht="14.25">
      <c r="A12" s="657"/>
      <c r="B12" s="660"/>
      <c r="C12" s="663"/>
      <c r="D12" s="652" t="s">
        <v>10</v>
      </c>
      <c r="E12" s="652" t="s">
        <v>11</v>
      </c>
      <c r="F12" s="652" t="s">
        <v>12</v>
      </c>
      <c r="G12" s="4" t="s">
        <v>11</v>
      </c>
      <c r="H12" s="652" t="s">
        <v>12</v>
      </c>
      <c r="I12" s="4" t="s">
        <v>11</v>
      </c>
      <c r="J12" s="652" t="s">
        <v>12</v>
      </c>
      <c r="K12" s="4" t="s">
        <v>11</v>
      </c>
      <c r="L12" s="652" t="s">
        <v>12</v>
      </c>
      <c r="M12" s="648"/>
    </row>
    <row r="13" spans="1:13" ht="14.25">
      <c r="A13" s="658"/>
      <c r="B13" s="661"/>
      <c r="C13" s="664"/>
      <c r="D13" s="653"/>
      <c r="E13" s="653"/>
      <c r="F13" s="653"/>
      <c r="G13" s="5" t="s">
        <v>13</v>
      </c>
      <c r="H13" s="653"/>
      <c r="I13" s="5" t="s">
        <v>13</v>
      </c>
      <c r="J13" s="653"/>
      <c r="K13" s="5" t="s">
        <v>13</v>
      </c>
      <c r="L13" s="653"/>
      <c r="M13" s="649"/>
    </row>
    <row r="14" spans="1:13" ht="14.25">
      <c r="A14" s="6" t="s">
        <v>14</v>
      </c>
      <c r="B14" s="13" t="s">
        <v>15</v>
      </c>
      <c r="C14" s="7" t="s">
        <v>16</v>
      </c>
      <c r="D14" s="9" t="s">
        <v>17</v>
      </c>
      <c r="E14" s="9" t="s">
        <v>18</v>
      </c>
      <c r="F14" s="10" t="s">
        <v>19</v>
      </c>
      <c r="G14" s="11" t="s">
        <v>20</v>
      </c>
      <c r="H14" s="8" t="s">
        <v>21</v>
      </c>
      <c r="I14" s="9" t="s">
        <v>22</v>
      </c>
      <c r="J14" s="11" t="s">
        <v>23</v>
      </c>
      <c r="K14" s="9" t="s">
        <v>24</v>
      </c>
      <c r="L14" s="8" t="s">
        <v>25</v>
      </c>
      <c r="M14" s="9" t="s">
        <v>26</v>
      </c>
    </row>
    <row r="15" spans="1:13" ht="57">
      <c r="A15" s="58">
        <v>1</v>
      </c>
      <c r="B15" s="15" t="s">
        <v>185</v>
      </c>
      <c r="C15" s="145" t="s">
        <v>190</v>
      </c>
      <c r="D15" s="59" t="s">
        <v>28</v>
      </c>
      <c r="E15" s="4"/>
      <c r="F15" s="90">
        <f>162-64</f>
        <v>98</v>
      </c>
      <c r="G15" s="60"/>
      <c r="H15" s="59"/>
      <c r="I15" s="4"/>
      <c r="J15" s="60"/>
      <c r="K15" s="4"/>
      <c r="L15" s="59"/>
      <c r="M15" s="4"/>
    </row>
    <row r="16" spans="1:13" ht="14.25">
      <c r="A16" s="15"/>
      <c r="B16" s="15"/>
      <c r="C16" s="21" t="s">
        <v>29</v>
      </c>
      <c r="D16" s="14" t="s">
        <v>30</v>
      </c>
      <c r="E16" s="14">
        <f>20/1000</f>
        <v>0.02</v>
      </c>
      <c r="F16" s="14">
        <f>E16*F15</f>
        <v>1.96</v>
      </c>
      <c r="G16" s="79"/>
      <c r="H16" s="79">
        <f>F16*G16</f>
        <v>0</v>
      </c>
      <c r="I16" s="80"/>
      <c r="J16" s="80"/>
      <c r="K16" s="80"/>
      <c r="L16" s="80"/>
      <c r="M16" s="80">
        <f>H16</f>
        <v>0</v>
      </c>
    </row>
    <row r="17" spans="1:13" ht="14.25">
      <c r="A17" s="15"/>
      <c r="B17" s="15"/>
      <c r="C17" s="21" t="s">
        <v>100</v>
      </c>
      <c r="D17" s="14" t="s">
        <v>31</v>
      </c>
      <c r="E17" s="14">
        <f>44.8/1000</f>
        <v>0.0448</v>
      </c>
      <c r="F17" s="14">
        <f>E17*F15</f>
        <v>4.3904</v>
      </c>
      <c r="G17" s="79"/>
      <c r="H17" s="79"/>
      <c r="I17" s="80"/>
      <c r="J17" s="86"/>
      <c r="K17" s="14"/>
      <c r="L17" s="87">
        <f>F17*K17</f>
        <v>0</v>
      </c>
      <c r="M17" s="80">
        <f>L17</f>
        <v>0</v>
      </c>
    </row>
    <row r="18" spans="1:13" ht="28.5">
      <c r="A18" s="15"/>
      <c r="B18" s="15"/>
      <c r="C18" s="21" t="s">
        <v>32</v>
      </c>
      <c r="D18" s="14" t="s">
        <v>30</v>
      </c>
      <c r="E18" s="14"/>
      <c r="F18" s="98">
        <f>F17</f>
        <v>4.3904</v>
      </c>
      <c r="G18" s="79"/>
      <c r="H18" s="79">
        <f>F18*G18</f>
        <v>0</v>
      </c>
      <c r="I18" s="80"/>
      <c r="J18" s="86"/>
      <c r="K18" s="80"/>
      <c r="L18" s="87"/>
      <c r="M18" s="80">
        <f>H18</f>
        <v>0</v>
      </c>
    </row>
    <row r="19" spans="1:13" ht="14.25">
      <c r="A19" s="15"/>
      <c r="B19" s="15"/>
      <c r="C19" s="21" t="s">
        <v>39</v>
      </c>
      <c r="D19" s="14" t="s">
        <v>34</v>
      </c>
      <c r="E19" s="23">
        <f>2.1/1000</f>
        <v>0.0021000000000000003</v>
      </c>
      <c r="F19" s="98">
        <f>E19*F15</f>
        <v>0.20580000000000004</v>
      </c>
      <c r="G19" s="14"/>
      <c r="H19" s="14"/>
      <c r="I19" s="14"/>
      <c r="J19" s="14"/>
      <c r="K19" s="14"/>
      <c r="L19" s="14">
        <f>F19*K19</f>
        <v>0</v>
      </c>
      <c r="M19" s="14">
        <f>L19</f>
        <v>0</v>
      </c>
    </row>
    <row r="20" spans="1:13" ht="28.5">
      <c r="A20" s="69"/>
      <c r="B20" s="48"/>
      <c r="C20" s="93" t="s">
        <v>186</v>
      </c>
      <c r="D20" s="70" t="s">
        <v>35</v>
      </c>
      <c r="E20" s="5"/>
      <c r="F20" s="71">
        <f>F15*1.8</f>
        <v>176.4</v>
      </c>
      <c r="G20" s="72"/>
      <c r="H20" s="70"/>
      <c r="I20" s="5"/>
      <c r="J20" s="72"/>
      <c r="K20" s="5"/>
      <c r="L20" s="70">
        <f>F20*K20</f>
        <v>0</v>
      </c>
      <c r="M20" s="5">
        <f>L20</f>
        <v>0</v>
      </c>
    </row>
    <row r="21" spans="1:13" ht="57">
      <c r="A21" s="58">
        <v>2</v>
      </c>
      <c r="B21" s="78" t="s">
        <v>192</v>
      </c>
      <c r="C21" s="145" t="s">
        <v>191</v>
      </c>
      <c r="D21" s="59" t="s">
        <v>28</v>
      </c>
      <c r="E21" s="4"/>
      <c r="F21" s="90">
        <v>64</v>
      </c>
      <c r="G21" s="60"/>
      <c r="H21" s="59"/>
      <c r="I21" s="4"/>
      <c r="J21" s="60"/>
      <c r="K21" s="4"/>
      <c r="L21" s="59"/>
      <c r="M21" s="4"/>
    </row>
    <row r="22" spans="1:13" ht="14.25">
      <c r="A22" s="15"/>
      <c r="B22" s="15"/>
      <c r="C22" s="21" t="s">
        <v>29</v>
      </c>
      <c r="D22" s="14" t="s">
        <v>30</v>
      </c>
      <c r="E22" s="84">
        <f>16.5/1000</f>
        <v>0.0165</v>
      </c>
      <c r="F22" s="79">
        <f>E22*F21</f>
        <v>1.056</v>
      </c>
      <c r="G22" s="79"/>
      <c r="H22" s="79">
        <f>F22*G22</f>
        <v>0</v>
      </c>
      <c r="I22" s="80"/>
      <c r="J22" s="80"/>
      <c r="K22" s="80"/>
      <c r="L22" s="80"/>
      <c r="M22" s="80">
        <f>H22</f>
        <v>0</v>
      </c>
    </row>
    <row r="23" spans="1:13" ht="14.25">
      <c r="A23" s="15"/>
      <c r="B23" s="15"/>
      <c r="C23" s="21" t="s">
        <v>100</v>
      </c>
      <c r="D23" s="14" t="s">
        <v>31</v>
      </c>
      <c r="E23" s="84">
        <f>37/1000</f>
        <v>0.037</v>
      </c>
      <c r="F23" s="79">
        <f>E23*F21</f>
        <v>2.368</v>
      </c>
      <c r="G23" s="79"/>
      <c r="H23" s="79"/>
      <c r="I23" s="80"/>
      <c r="J23" s="86"/>
      <c r="K23" s="14"/>
      <c r="L23" s="87">
        <f>F23*K23</f>
        <v>0</v>
      </c>
      <c r="M23" s="80">
        <f>L23</f>
        <v>0</v>
      </c>
    </row>
    <row r="24" spans="1:13" ht="28.5">
      <c r="A24" s="22"/>
      <c r="B24" s="22"/>
      <c r="C24" s="76" t="s">
        <v>32</v>
      </c>
      <c r="D24" s="19" t="s">
        <v>30</v>
      </c>
      <c r="E24" s="102"/>
      <c r="F24" s="102">
        <f>F23</f>
        <v>2.368</v>
      </c>
      <c r="G24" s="102"/>
      <c r="H24" s="102">
        <f>F24*G24</f>
        <v>0</v>
      </c>
      <c r="I24" s="103"/>
      <c r="J24" s="104"/>
      <c r="K24" s="103"/>
      <c r="L24" s="105"/>
      <c r="M24" s="103">
        <f>H24</f>
        <v>0</v>
      </c>
    </row>
    <row r="25" spans="1:13" ht="42.75">
      <c r="A25" s="58">
        <v>3</v>
      </c>
      <c r="B25" s="94" t="s">
        <v>112</v>
      </c>
      <c r="C25" s="145" t="s">
        <v>198</v>
      </c>
      <c r="D25" s="59" t="s">
        <v>28</v>
      </c>
      <c r="E25" s="4"/>
      <c r="F25" s="90">
        <v>18</v>
      </c>
      <c r="G25" s="60"/>
      <c r="H25" s="59"/>
      <c r="I25" s="4"/>
      <c r="J25" s="60"/>
      <c r="K25" s="4"/>
      <c r="L25" s="59"/>
      <c r="M25" s="4"/>
    </row>
    <row r="26" spans="1:13" ht="14.25">
      <c r="A26" s="15"/>
      <c r="B26" s="15"/>
      <c r="C26" s="21" t="s">
        <v>29</v>
      </c>
      <c r="D26" s="14" t="s">
        <v>30</v>
      </c>
      <c r="E26" s="14">
        <f>2.06+0.87</f>
        <v>2.93</v>
      </c>
      <c r="F26" s="14">
        <f>E26*F25</f>
        <v>52.74</v>
      </c>
      <c r="G26" s="79"/>
      <c r="H26" s="79">
        <f>F26*G26</f>
        <v>0</v>
      </c>
      <c r="I26" s="80"/>
      <c r="J26" s="80"/>
      <c r="K26" s="80"/>
      <c r="L26" s="80"/>
      <c r="M26" s="80">
        <f>H26</f>
        <v>0</v>
      </c>
    </row>
    <row r="27" spans="1:13" ht="42.75">
      <c r="A27" s="69"/>
      <c r="B27" s="48"/>
      <c r="C27" s="93" t="s">
        <v>197</v>
      </c>
      <c r="D27" s="70" t="s">
        <v>35</v>
      </c>
      <c r="E27" s="5"/>
      <c r="F27" s="71">
        <f>F25*1.8</f>
        <v>32.4</v>
      </c>
      <c r="G27" s="72"/>
      <c r="H27" s="70"/>
      <c r="I27" s="5"/>
      <c r="J27" s="72"/>
      <c r="K27" s="5"/>
      <c r="L27" s="70">
        <f>F27*K27</f>
        <v>0</v>
      </c>
      <c r="M27" s="5">
        <f>L27</f>
        <v>0</v>
      </c>
    </row>
    <row r="28" spans="1:13" ht="14.25">
      <c r="A28" s="95">
        <v>4</v>
      </c>
      <c r="B28" s="61" t="s">
        <v>113</v>
      </c>
      <c r="C28" s="62" t="s">
        <v>78</v>
      </c>
      <c r="D28" s="96" t="s">
        <v>28</v>
      </c>
      <c r="E28" s="97"/>
      <c r="F28" s="63">
        <f>F15</f>
        <v>98</v>
      </c>
      <c r="G28" s="97"/>
      <c r="H28" s="97"/>
      <c r="I28" s="97"/>
      <c r="J28" s="97"/>
      <c r="K28" s="97"/>
      <c r="L28" s="97"/>
      <c r="M28" s="97"/>
    </row>
    <row r="29" spans="1:13" ht="14.25">
      <c r="A29" s="52"/>
      <c r="B29" s="52"/>
      <c r="C29" s="21" t="s">
        <v>29</v>
      </c>
      <c r="D29" s="14" t="s">
        <v>30</v>
      </c>
      <c r="E29" s="23">
        <f>3.23/1000</f>
        <v>0.00323</v>
      </c>
      <c r="F29" s="14">
        <f>E29*F28</f>
        <v>0.31654</v>
      </c>
      <c r="G29" s="47"/>
      <c r="H29" s="47">
        <f>F29*G29</f>
        <v>0</v>
      </c>
      <c r="I29" s="43"/>
      <c r="J29" s="43"/>
      <c r="K29" s="43"/>
      <c r="L29" s="43"/>
      <c r="M29" s="47">
        <f>H29</f>
        <v>0</v>
      </c>
    </row>
    <row r="30" spans="1:13" ht="14.25">
      <c r="A30" s="15"/>
      <c r="B30" s="15"/>
      <c r="C30" s="21" t="s">
        <v>77</v>
      </c>
      <c r="D30" s="14" t="s">
        <v>31</v>
      </c>
      <c r="E30" s="50">
        <f>3.62/1000</f>
        <v>0.00362</v>
      </c>
      <c r="F30" s="14">
        <f>E30*F28</f>
        <v>0.35476</v>
      </c>
      <c r="G30" s="14"/>
      <c r="H30" s="14"/>
      <c r="I30" s="14"/>
      <c r="J30" s="14"/>
      <c r="K30" s="14"/>
      <c r="L30" s="14">
        <f>F30*K30</f>
        <v>0</v>
      </c>
      <c r="M30" s="14">
        <f>L30</f>
        <v>0</v>
      </c>
    </row>
    <row r="31" spans="1:13" ht="28.5">
      <c r="A31" s="15"/>
      <c r="B31" s="15"/>
      <c r="C31" s="21" t="s">
        <v>32</v>
      </c>
      <c r="D31" s="14" t="s">
        <v>30</v>
      </c>
      <c r="E31" s="14"/>
      <c r="F31" s="14">
        <f>F30</f>
        <v>0.35476</v>
      </c>
      <c r="G31" s="14"/>
      <c r="H31" s="14">
        <f>F31*G31</f>
        <v>0</v>
      </c>
      <c r="I31" s="14"/>
      <c r="J31" s="14"/>
      <c r="K31" s="18"/>
      <c r="L31" s="18"/>
      <c r="M31" s="14">
        <f>H31</f>
        <v>0</v>
      </c>
    </row>
    <row r="32" spans="1:13" ht="14.25">
      <c r="A32" s="49"/>
      <c r="B32" s="49"/>
      <c r="C32" s="51" t="s">
        <v>39</v>
      </c>
      <c r="D32" s="49" t="s">
        <v>34</v>
      </c>
      <c r="E32" s="74">
        <f>0.18/1000</f>
        <v>0.00017999999999999998</v>
      </c>
      <c r="F32" s="19">
        <f>E32*F28</f>
        <v>0.01764</v>
      </c>
      <c r="G32" s="49"/>
      <c r="H32" s="49"/>
      <c r="I32" s="49"/>
      <c r="J32" s="49"/>
      <c r="K32" s="53"/>
      <c r="L32" s="19">
        <f>F32*K32</f>
        <v>0</v>
      </c>
      <c r="M32" s="19">
        <f>L32</f>
        <v>0</v>
      </c>
    </row>
    <row r="33" spans="1:13" ht="28.5">
      <c r="A33" s="58">
        <v>5</v>
      </c>
      <c r="B33" s="15" t="s">
        <v>138</v>
      </c>
      <c r="C33" s="114" t="s">
        <v>193</v>
      </c>
      <c r="D33" s="58" t="s">
        <v>28</v>
      </c>
      <c r="E33" s="88"/>
      <c r="F33" s="90">
        <v>4</v>
      </c>
      <c r="G33" s="60"/>
      <c r="H33" s="59"/>
      <c r="I33" s="4"/>
      <c r="J33" s="60"/>
      <c r="K33" s="4"/>
      <c r="L33" s="59"/>
      <c r="M33" s="4"/>
    </row>
    <row r="34" spans="1:13" ht="14.25">
      <c r="A34" s="127"/>
      <c r="B34" s="15"/>
      <c r="C34" s="21" t="s">
        <v>29</v>
      </c>
      <c r="D34" s="14" t="s">
        <v>30</v>
      </c>
      <c r="E34" s="4">
        <v>2.12</v>
      </c>
      <c r="F34" s="4">
        <f>E34*F33</f>
        <v>8.48</v>
      </c>
      <c r="G34" s="4"/>
      <c r="H34" s="59">
        <f>F34*G34</f>
        <v>0</v>
      </c>
      <c r="I34" s="4"/>
      <c r="J34" s="60"/>
      <c r="K34" s="4"/>
      <c r="L34" s="59"/>
      <c r="M34" s="4">
        <f>H34</f>
        <v>0</v>
      </c>
    </row>
    <row r="35" spans="1:13" ht="14.25">
      <c r="A35" s="127"/>
      <c r="B35" s="15"/>
      <c r="C35" s="3" t="s">
        <v>39</v>
      </c>
      <c r="D35" s="98" t="s">
        <v>34</v>
      </c>
      <c r="E35" s="23">
        <v>0.101</v>
      </c>
      <c r="F35" s="14">
        <f>E35*F33</f>
        <v>0.404</v>
      </c>
      <c r="G35" s="14"/>
      <c r="H35" s="98"/>
      <c r="I35" s="14"/>
      <c r="K35" s="14"/>
      <c r="L35" s="98">
        <f>F35*K35</f>
        <v>0</v>
      </c>
      <c r="M35" s="14">
        <f>L35</f>
        <v>0</v>
      </c>
    </row>
    <row r="36" spans="1:13" ht="14.25">
      <c r="A36" s="128"/>
      <c r="B36" s="22"/>
      <c r="C36" s="129" t="s">
        <v>139</v>
      </c>
      <c r="D36" s="69" t="s">
        <v>28</v>
      </c>
      <c r="E36" s="19">
        <v>1.1</v>
      </c>
      <c r="F36" s="19">
        <f>E36*F33</f>
        <v>4.4</v>
      </c>
      <c r="G36" s="19"/>
      <c r="H36" s="130"/>
      <c r="I36" s="19"/>
      <c r="J36" s="131">
        <f>F36*I36</f>
        <v>0</v>
      </c>
      <c r="K36" s="19"/>
      <c r="L36" s="130"/>
      <c r="M36" s="19">
        <f>J36</f>
        <v>0</v>
      </c>
    </row>
    <row r="37" spans="1:13" ht="28.5">
      <c r="A37" s="58">
        <v>6</v>
      </c>
      <c r="B37" s="133" t="s">
        <v>195</v>
      </c>
      <c r="C37" s="145" t="s">
        <v>194</v>
      </c>
      <c r="D37" s="58" t="s">
        <v>28</v>
      </c>
      <c r="E37" s="4"/>
      <c r="F37" s="90">
        <v>2.6</v>
      </c>
      <c r="G37" s="60"/>
      <c r="H37" s="59"/>
      <c r="I37" s="4"/>
      <c r="J37" s="60"/>
      <c r="K37" s="4"/>
      <c r="L37" s="59"/>
      <c r="M37" s="4"/>
    </row>
    <row r="38" spans="1:13" ht="14.25">
      <c r="A38" s="52"/>
      <c r="B38" s="15"/>
      <c r="C38" s="18" t="s">
        <v>29</v>
      </c>
      <c r="D38" s="14" t="s">
        <v>30</v>
      </c>
      <c r="E38" s="14">
        <v>1.37</v>
      </c>
      <c r="F38" s="14">
        <f>E38*F37</f>
        <v>3.5620000000000003</v>
      </c>
      <c r="G38" s="47"/>
      <c r="H38" s="47">
        <f>F38*G38</f>
        <v>0</v>
      </c>
      <c r="I38" s="47"/>
      <c r="J38" s="47"/>
      <c r="K38" s="47"/>
      <c r="L38" s="47"/>
      <c r="M38" s="47">
        <f>H38</f>
        <v>0</v>
      </c>
    </row>
    <row r="39" spans="1:13" ht="14.25">
      <c r="A39" s="52"/>
      <c r="B39" s="15"/>
      <c r="C39" s="18" t="s">
        <v>134</v>
      </c>
      <c r="D39" s="14" t="s">
        <v>34</v>
      </c>
      <c r="E39" s="23">
        <v>0.283</v>
      </c>
      <c r="F39" s="14">
        <f>E39*F37</f>
        <v>0.7358</v>
      </c>
      <c r="G39" s="47"/>
      <c r="H39" s="47"/>
      <c r="I39" s="47"/>
      <c r="J39" s="47"/>
      <c r="K39" s="47"/>
      <c r="L39" s="47">
        <f>F39*K39</f>
        <v>0</v>
      </c>
      <c r="M39" s="47">
        <f>L39</f>
        <v>0</v>
      </c>
    </row>
    <row r="40" spans="1:13" ht="14.25">
      <c r="A40" s="52"/>
      <c r="B40" s="15"/>
      <c r="C40" s="18" t="s">
        <v>128</v>
      </c>
      <c r="D40" s="18" t="s">
        <v>28</v>
      </c>
      <c r="E40" s="14">
        <v>1.02</v>
      </c>
      <c r="F40" s="14">
        <f>E40*F37</f>
        <v>2.652</v>
      </c>
      <c r="G40" s="47"/>
      <c r="H40" s="47"/>
      <c r="I40" s="47"/>
      <c r="J40" s="47">
        <f>F40*I40</f>
        <v>0</v>
      </c>
      <c r="K40" s="47"/>
      <c r="L40" s="47"/>
      <c r="M40" s="47">
        <f>J40</f>
        <v>0</v>
      </c>
    </row>
    <row r="41" spans="1:13" ht="14.25">
      <c r="A41" s="49"/>
      <c r="B41" s="22"/>
      <c r="C41" s="20" t="s">
        <v>40</v>
      </c>
      <c r="D41" s="19" t="s">
        <v>34</v>
      </c>
      <c r="E41" s="19">
        <v>0.62</v>
      </c>
      <c r="F41" s="19">
        <f>E41*F37</f>
        <v>1.612</v>
      </c>
      <c r="G41" s="53"/>
      <c r="H41" s="53"/>
      <c r="I41" s="53"/>
      <c r="J41" s="53">
        <f>F41*I41</f>
        <v>0</v>
      </c>
      <c r="K41" s="53"/>
      <c r="L41" s="53"/>
      <c r="M41" s="53">
        <f>J41</f>
        <v>0</v>
      </c>
    </row>
    <row r="42" spans="1:13" ht="42.75">
      <c r="A42" s="58">
        <v>7</v>
      </c>
      <c r="B42" s="133" t="s">
        <v>199</v>
      </c>
      <c r="C42" s="145" t="s">
        <v>196</v>
      </c>
      <c r="D42" s="58" t="s">
        <v>28</v>
      </c>
      <c r="E42" s="4"/>
      <c r="F42" s="90">
        <v>24</v>
      </c>
      <c r="G42" s="60"/>
      <c r="H42" s="59"/>
      <c r="I42" s="4"/>
      <c r="J42" s="60"/>
      <c r="K42" s="4"/>
      <c r="L42" s="59"/>
      <c r="M42" s="4"/>
    </row>
    <row r="43" spans="1:13" ht="14.25">
      <c r="A43" s="58"/>
      <c r="B43" s="133"/>
      <c r="C43" s="21" t="s">
        <v>29</v>
      </c>
      <c r="D43" s="14" t="s">
        <v>30</v>
      </c>
      <c r="E43" s="14">
        <v>5.99</v>
      </c>
      <c r="F43" s="47">
        <f>E43*F42</f>
        <v>143.76</v>
      </c>
      <c r="G43" s="47"/>
      <c r="H43" s="47">
        <f>F43*G43</f>
        <v>0</v>
      </c>
      <c r="I43" s="43"/>
      <c r="J43" s="43"/>
      <c r="K43" s="43"/>
      <c r="L43" s="43"/>
      <c r="M43" s="47">
        <f>H43</f>
        <v>0</v>
      </c>
    </row>
    <row r="44" spans="1:13" ht="14.25">
      <c r="A44" s="58"/>
      <c r="B44" s="133"/>
      <c r="C44" s="140" t="s">
        <v>134</v>
      </c>
      <c r="D44" s="59" t="s">
        <v>34</v>
      </c>
      <c r="E44" s="4">
        <v>1.09</v>
      </c>
      <c r="F44" s="77">
        <f>E44*F42</f>
        <v>26.160000000000004</v>
      </c>
      <c r="G44" s="60"/>
      <c r="H44" s="59"/>
      <c r="I44" s="4"/>
      <c r="J44" s="60"/>
      <c r="K44" s="4"/>
      <c r="L44" s="59">
        <f>F44*K44</f>
        <v>0</v>
      </c>
      <c r="M44" s="4">
        <f>L44</f>
        <v>0</v>
      </c>
    </row>
    <row r="45" spans="1:13" ht="14.25">
      <c r="A45" s="58"/>
      <c r="B45" s="133"/>
      <c r="C45" s="140" t="s">
        <v>128</v>
      </c>
      <c r="D45" s="59" t="s">
        <v>28</v>
      </c>
      <c r="E45" s="149">
        <v>1.015</v>
      </c>
      <c r="F45" s="77">
        <f>E45*F42</f>
        <v>24.36</v>
      </c>
      <c r="G45" s="60"/>
      <c r="H45" s="59"/>
      <c r="I45" s="4"/>
      <c r="J45" s="60">
        <f>F45*I45</f>
        <v>0</v>
      </c>
      <c r="K45" s="4"/>
      <c r="L45" s="59"/>
      <c r="M45" s="4">
        <f>J45</f>
        <v>0</v>
      </c>
    </row>
    <row r="46" spans="1:13" ht="14.25">
      <c r="A46" s="58"/>
      <c r="B46" s="133"/>
      <c r="C46" s="140" t="s">
        <v>205</v>
      </c>
      <c r="D46" s="59" t="s">
        <v>35</v>
      </c>
      <c r="E46" s="150" t="s">
        <v>68</v>
      </c>
      <c r="F46" s="77">
        <v>0.24</v>
      </c>
      <c r="G46" s="60"/>
      <c r="H46" s="59"/>
      <c r="I46" s="4"/>
      <c r="J46" s="60">
        <f>F46*I46</f>
        <v>0</v>
      </c>
      <c r="K46" s="4"/>
      <c r="L46" s="59"/>
      <c r="M46" s="4">
        <f aca="true" t="shared" si="0" ref="M46:M53">J46</f>
        <v>0</v>
      </c>
    </row>
    <row r="47" spans="1:13" ht="14.25">
      <c r="A47" s="58"/>
      <c r="B47" s="133"/>
      <c r="C47" s="140" t="s">
        <v>206</v>
      </c>
      <c r="D47" s="59" t="s">
        <v>35</v>
      </c>
      <c r="E47" s="150" t="s">
        <v>68</v>
      </c>
      <c r="F47" s="77">
        <v>0.1</v>
      </c>
      <c r="G47" s="60"/>
      <c r="H47" s="59"/>
      <c r="I47" s="4"/>
      <c r="J47" s="60">
        <f>F47*I47</f>
        <v>0</v>
      </c>
      <c r="K47" s="4"/>
      <c r="L47" s="59"/>
      <c r="M47" s="4">
        <f t="shared" si="0"/>
        <v>0</v>
      </c>
    </row>
    <row r="48" spans="1:13" ht="14.25">
      <c r="A48" s="58"/>
      <c r="B48" s="133"/>
      <c r="C48" s="140" t="s">
        <v>200</v>
      </c>
      <c r="D48" s="59" t="s">
        <v>58</v>
      </c>
      <c r="E48" s="4">
        <v>1.18</v>
      </c>
      <c r="F48" s="77">
        <f>E48*F42</f>
        <v>28.32</v>
      </c>
      <c r="G48" s="60"/>
      <c r="H48" s="59"/>
      <c r="I48" s="4"/>
      <c r="J48" s="60">
        <f aca="true" t="shared" si="1" ref="J48:J53">F48*I48</f>
        <v>0</v>
      </c>
      <c r="K48" s="4"/>
      <c r="L48" s="59"/>
      <c r="M48" s="4">
        <f t="shared" si="0"/>
        <v>0</v>
      </c>
    </row>
    <row r="49" spans="1:13" ht="14.25">
      <c r="A49" s="58"/>
      <c r="B49" s="133"/>
      <c r="C49" s="140" t="s">
        <v>201</v>
      </c>
      <c r="D49" s="59" t="s">
        <v>202</v>
      </c>
      <c r="E49" s="149">
        <f>0.21/100</f>
        <v>0.0021</v>
      </c>
      <c r="F49" s="77">
        <f>E49*F42</f>
        <v>0.0504</v>
      </c>
      <c r="G49" s="60"/>
      <c r="H49" s="59"/>
      <c r="I49" s="4"/>
      <c r="J49" s="60">
        <f t="shared" si="1"/>
        <v>0</v>
      </c>
      <c r="K49" s="4"/>
      <c r="L49" s="59"/>
      <c r="M49" s="4">
        <f t="shared" si="0"/>
        <v>0</v>
      </c>
    </row>
    <row r="50" spans="1:13" ht="28.5">
      <c r="A50" s="58"/>
      <c r="B50" s="133"/>
      <c r="C50" s="145" t="s">
        <v>203</v>
      </c>
      <c r="D50" s="59" t="s">
        <v>28</v>
      </c>
      <c r="E50" s="4">
        <f>2.78/100</f>
        <v>0.0278</v>
      </c>
      <c r="F50" s="77">
        <f>E50*F42</f>
        <v>0.6672</v>
      </c>
      <c r="G50" s="60"/>
      <c r="H50" s="59"/>
      <c r="I50" s="4"/>
      <c r="J50" s="60">
        <f t="shared" si="1"/>
        <v>0</v>
      </c>
      <c r="K50" s="4"/>
      <c r="L50" s="59"/>
      <c r="M50" s="4">
        <f t="shared" si="0"/>
        <v>0</v>
      </c>
    </row>
    <row r="51" spans="1:13" ht="14.25">
      <c r="A51" s="58"/>
      <c r="B51" s="133"/>
      <c r="C51" s="140" t="s">
        <v>132</v>
      </c>
      <c r="D51" s="59" t="s">
        <v>35</v>
      </c>
      <c r="E51" s="149">
        <f>0.14/100</f>
        <v>0.0014000000000000002</v>
      </c>
      <c r="F51" s="77">
        <f>E51*F42</f>
        <v>0.033600000000000005</v>
      </c>
      <c r="G51" s="60"/>
      <c r="H51" s="59"/>
      <c r="I51" s="4"/>
      <c r="J51" s="60">
        <f t="shared" si="1"/>
        <v>0</v>
      </c>
      <c r="K51" s="4"/>
      <c r="L51" s="59"/>
      <c r="M51" s="4">
        <f t="shared" si="0"/>
        <v>0</v>
      </c>
    </row>
    <row r="52" spans="1:13" ht="14.25">
      <c r="A52" s="58"/>
      <c r="B52" s="133"/>
      <c r="C52" s="140" t="s">
        <v>161</v>
      </c>
      <c r="D52" s="59" t="s">
        <v>35</v>
      </c>
      <c r="E52" s="149">
        <f>0.11/100</f>
        <v>0.0011</v>
      </c>
      <c r="F52" s="77">
        <f>E52*F42</f>
        <v>0.0264</v>
      </c>
      <c r="G52" s="60"/>
      <c r="H52" s="59"/>
      <c r="I52" s="4"/>
      <c r="J52" s="60">
        <f t="shared" si="1"/>
        <v>0</v>
      </c>
      <c r="K52" s="4"/>
      <c r="L52" s="59"/>
      <c r="M52" s="4">
        <f t="shared" si="0"/>
        <v>0</v>
      </c>
    </row>
    <row r="53" spans="1:13" ht="14.25">
      <c r="A53" s="69"/>
      <c r="B53" s="48"/>
      <c r="C53" s="141" t="s">
        <v>76</v>
      </c>
      <c r="D53" s="70" t="s">
        <v>204</v>
      </c>
      <c r="E53" s="5">
        <v>0.32</v>
      </c>
      <c r="F53" s="71">
        <f>E53*F42</f>
        <v>7.68</v>
      </c>
      <c r="G53" s="72"/>
      <c r="H53" s="70"/>
      <c r="I53" s="5"/>
      <c r="J53" s="72">
        <f t="shared" si="1"/>
        <v>0</v>
      </c>
      <c r="K53" s="5"/>
      <c r="L53" s="70"/>
      <c r="M53" s="5">
        <f t="shared" si="0"/>
        <v>0</v>
      </c>
    </row>
    <row r="54" spans="1:13" ht="45" customHeight="1">
      <c r="A54" s="6">
        <v>8</v>
      </c>
      <c r="B54" s="13"/>
      <c r="C54" s="153" t="s">
        <v>207</v>
      </c>
      <c r="D54" s="6"/>
      <c r="E54" s="9"/>
      <c r="F54" s="147"/>
      <c r="G54" s="11"/>
      <c r="H54" s="8"/>
      <c r="I54" s="9"/>
      <c r="J54" s="11"/>
      <c r="K54" s="9"/>
      <c r="L54" s="8"/>
      <c r="M54" s="9"/>
    </row>
    <row r="55" spans="1:13" ht="28.5">
      <c r="A55" s="116"/>
      <c r="B55" s="117" t="s">
        <v>133</v>
      </c>
      <c r="C55" s="21" t="s">
        <v>208</v>
      </c>
      <c r="D55" s="14" t="s">
        <v>58</v>
      </c>
      <c r="E55" s="151"/>
      <c r="F55" s="152">
        <v>68</v>
      </c>
      <c r="G55" s="118"/>
      <c r="H55" s="118"/>
      <c r="I55" s="118"/>
      <c r="J55" s="118"/>
      <c r="K55" s="118"/>
      <c r="L55" s="118"/>
      <c r="M55" s="119"/>
    </row>
    <row r="56" spans="1:13" ht="14.25">
      <c r="A56" s="15"/>
      <c r="B56" s="15"/>
      <c r="C56" s="21" t="s">
        <v>29</v>
      </c>
      <c r="D56" s="14" t="s">
        <v>30</v>
      </c>
      <c r="E56" s="14">
        <v>0.564</v>
      </c>
      <c r="F56" s="14">
        <f>E56*F55</f>
        <v>38.352</v>
      </c>
      <c r="G56" s="47"/>
      <c r="H56" s="47">
        <f>F56*G56</f>
        <v>0</v>
      </c>
      <c r="I56" s="47"/>
      <c r="J56" s="47"/>
      <c r="K56" s="47"/>
      <c r="L56" s="47"/>
      <c r="M56" s="47">
        <f>H56</f>
        <v>0</v>
      </c>
    </row>
    <row r="57" spans="1:13" ht="14.25">
      <c r="A57" s="116"/>
      <c r="B57" s="117"/>
      <c r="C57" s="21" t="s">
        <v>134</v>
      </c>
      <c r="D57" s="14" t="s">
        <v>34</v>
      </c>
      <c r="E57" s="120">
        <f>4.09/100</f>
        <v>0.0409</v>
      </c>
      <c r="F57" s="79">
        <f>E57*F55</f>
        <v>2.7812</v>
      </c>
      <c r="G57" s="118"/>
      <c r="H57" s="118"/>
      <c r="I57" s="118"/>
      <c r="J57" s="118"/>
      <c r="K57" s="118"/>
      <c r="L57" s="118">
        <f>F57*K57</f>
        <v>0</v>
      </c>
      <c r="M57" s="119">
        <f>L57</f>
        <v>0</v>
      </c>
    </row>
    <row r="58" spans="1:13" ht="14.25">
      <c r="A58" s="116"/>
      <c r="B58" s="117"/>
      <c r="C58" s="21" t="s">
        <v>135</v>
      </c>
      <c r="D58" s="14" t="s">
        <v>35</v>
      </c>
      <c r="E58" s="120">
        <f>0.16/100</f>
        <v>0.0016</v>
      </c>
      <c r="F58" s="79">
        <f>E58*F55</f>
        <v>0.10880000000000001</v>
      </c>
      <c r="G58" s="118"/>
      <c r="H58" s="118"/>
      <c r="I58" s="118"/>
      <c r="J58" s="118">
        <f>F58*I58</f>
        <v>0</v>
      </c>
      <c r="K58" s="118"/>
      <c r="L58" s="118"/>
      <c r="M58" s="119">
        <f>J58</f>
        <v>0</v>
      </c>
    </row>
    <row r="59" spans="1:13" ht="14.25">
      <c r="A59" s="116"/>
      <c r="B59" s="117"/>
      <c r="C59" s="21" t="s">
        <v>136</v>
      </c>
      <c r="D59" s="14" t="s">
        <v>35</v>
      </c>
      <c r="E59" s="120">
        <f>0.45/100</f>
        <v>0.0045000000000000005</v>
      </c>
      <c r="F59" s="79">
        <f>E59*F55</f>
        <v>0.30600000000000005</v>
      </c>
      <c r="G59" s="118"/>
      <c r="H59" s="118"/>
      <c r="I59" s="79"/>
      <c r="J59" s="79">
        <f>F59*I59</f>
        <v>0</v>
      </c>
      <c r="K59" s="79"/>
      <c r="L59" s="79"/>
      <c r="M59" s="121">
        <f>J59</f>
        <v>0</v>
      </c>
    </row>
    <row r="60" spans="1:13" ht="14.25">
      <c r="A60" s="116"/>
      <c r="B60" s="117"/>
      <c r="C60" s="21" t="s">
        <v>137</v>
      </c>
      <c r="D60" s="14" t="s">
        <v>28</v>
      </c>
      <c r="E60" s="120">
        <f>0.75/100</f>
        <v>0.0075</v>
      </c>
      <c r="F60" s="79">
        <f>E60*F55</f>
        <v>0.51</v>
      </c>
      <c r="G60" s="118"/>
      <c r="H60" s="118"/>
      <c r="I60" s="79"/>
      <c r="J60" s="79">
        <f>F60*I60</f>
        <v>0</v>
      </c>
      <c r="K60" s="79"/>
      <c r="L60" s="79"/>
      <c r="M60" s="121">
        <f>J60</f>
        <v>0</v>
      </c>
    </row>
    <row r="61" spans="1:13" ht="14.25">
      <c r="A61" s="122"/>
      <c r="B61" s="123"/>
      <c r="C61" s="76" t="s">
        <v>40</v>
      </c>
      <c r="D61" s="19" t="s">
        <v>34</v>
      </c>
      <c r="E61" s="124">
        <f>26.5/100</f>
        <v>0.265</v>
      </c>
      <c r="F61" s="102">
        <f>E61*F55</f>
        <v>18.02</v>
      </c>
      <c r="G61" s="125"/>
      <c r="H61" s="125"/>
      <c r="I61" s="125"/>
      <c r="J61" s="125">
        <f>F61*I61</f>
        <v>0</v>
      </c>
      <c r="K61" s="125"/>
      <c r="L61" s="125"/>
      <c r="M61" s="126">
        <f>J61</f>
        <v>0</v>
      </c>
    </row>
    <row r="62" spans="1:13" ht="14.25">
      <c r="A62" s="58"/>
      <c r="B62" s="133" t="s">
        <v>210</v>
      </c>
      <c r="C62" s="145" t="s">
        <v>209</v>
      </c>
      <c r="D62" s="59" t="s">
        <v>202</v>
      </c>
      <c r="E62" s="4"/>
      <c r="F62" s="90">
        <v>2.6</v>
      </c>
      <c r="G62" s="60"/>
      <c r="H62" s="59"/>
      <c r="I62" s="4"/>
      <c r="J62" s="60"/>
      <c r="K62" s="4"/>
      <c r="L62" s="59"/>
      <c r="M62" s="4"/>
    </row>
    <row r="63" spans="1:13" ht="14.25">
      <c r="A63" s="15"/>
      <c r="B63" s="15"/>
      <c r="C63" s="21" t="s">
        <v>29</v>
      </c>
      <c r="D63" s="14" t="s">
        <v>30</v>
      </c>
      <c r="E63" s="14">
        <v>6.5</v>
      </c>
      <c r="F63" s="14">
        <f>E63*F62</f>
        <v>16.900000000000002</v>
      </c>
      <c r="G63" s="47"/>
      <c r="H63" s="47">
        <f>F63*G63</f>
        <v>0</v>
      </c>
      <c r="I63" s="47"/>
      <c r="J63" s="47"/>
      <c r="K63" s="47"/>
      <c r="L63" s="47"/>
      <c r="M63" s="47">
        <f>H63</f>
        <v>0</v>
      </c>
    </row>
    <row r="64" spans="1:13" ht="14.25">
      <c r="A64" s="92"/>
      <c r="B64" s="89"/>
      <c r="C64" s="91" t="s">
        <v>134</v>
      </c>
      <c r="D64" s="4" t="s">
        <v>34</v>
      </c>
      <c r="E64" s="4">
        <v>2.16</v>
      </c>
      <c r="F64" s="4">
        <f>E64*F62</f>
        <v>5.6160000000000005</v>
      </c>
      <c r="G64" s="4"/>
      <c r="H64" s="4"/>
      <c r="I64" s="4"/>
      <c r="J64" s="4"/>
      <c r="K64" s="4"/>
      <c r="L64" s="4">
        <f>F64*K64</f>
        <v>0</v>
      </c>
      <c r="M64" s="4">
        <f>L64</f>
        <v>0</v>
      </c>
    </row>
    <row r="65" spans="1:13" ht="14.25">
      <c r="A65" s="92"/>
      <c r="B65" s="89"/>
      <c r="C65" s="91" t="s">
        <v>211</v>
      </c>
      <c r="D65" s="14" t="s">
        <v>28</v>
      </c>
      <c r="E65" s="4">
        <v>1.15</v>
      </c>
      <c r="F65" s="4">
        <f>E65*F62</f>
        <v>2.9899999999999998</v>
      </c>
      <c r="G65" s="4"/>
      <c r="H65" s="4"/>
      <c r="I65" s="4"/>
      <c r="J65" s="4">
        <f>F65*I65</f>
        <v>0</v>
      </c>
      <c r="K65" s="4"/>
      <c r="L65" s="4"/>
      <c r="M65" s="4">
        <f>J65</f>
        <v>0</v>
      </c>
    </row>
    <row r="66" spans="1:13" ht="14.25">
      <c r="A66" s="154"/>
      <c r="B66" s="155"/>
      <c r="C66" s="156" t="s">
        <v>76</v>
      </c>
      <c r="D66" s="5" t="s">
        <v>34</v>
      </c>
      <c r="E66" s="5">
        <v>0.02</v>
      </c>
      <c r="F66" s="5">
        <f>E66*F62</f>
        <v>0.052000000000000005</v>
      </c>
      <c r="G66" s="5"/>
      <c r="H66" s="5"/>
      <c r="I66" s="5"/>
      <c r="J66" s="5">
        <f>F66*I66</f>
        <v>0</v>
      </c>
      <c r="K66" s="5"/>
      <c r="L66" s="5"/>
      <c r="M66" s="5">
        <f>J66</f>
        <v>0</v>
      </c>
    </row>
    <row r="67" spans="1:13" ht="14.25">
      <c r="A67" s="18"/>
      <c r="B67" s="61" t="s">
        <v>212</v>
      </c>
      <c r="C67" s="57" t="s">
        <v>213</v>
      </c>
      <c r="D67" s="144" t="s">
        <v>28</v>
      </c>
      <c r="E67" s="14"/>
      <c r="F67" s="24">
        <v>8.8</v>
      </c>
      <c r="G67" s="14"/>
      <c r="H67" s="14"/>
      <c r="I67" s="14"/>
      <c r="J67" s="14"/>
      <c r="K67" s="14"/>
      <c r="L67" s="14"/>
      <c r="M67" s="14"/>
    </row>
    <row r="68" spans="1:13" ht="14.25">
      <c r="A68" s="52"/>
      <c r="B68" s="157"/>
      <c r="C68" s="21" t="s">
        <v>29</v>
      </c>
      <c r="D68" s="148" t="s">
        <v>30</v>
      </c>
      <c r="E68" s="43">
        <v>2.78</v>
      </c>
      <c r="F68" s="4">
        <f>E68*F67</f>
        <v>24.464</v>
      </c>
      <c r="G68" s="47"/>
      <c r="H68" s="47">
        <f>F68*G68</f>
        <v>0</v>
      </c>
      <c r="I68" s="43"/>
      <c r="J68" s="43"/>
      <c r="K68" s="43"/>
      <c r="L68" s="43"/>
      <c r="M68" s="47">
        <f>H68</f>
        <v>0</v>
      </c>
    </row>
    <row r="69" spans="1:13" ht="14.25">
      <c r="A69" s="52"/>
      <c r="B69" s="52"/>
      <c r="C69" s="43" t="s">
        <v>134</v>
      </c>
      <c r="D69" s="52" t="s">
        <v>34</v>
      </c>
      <c r="E69" s="43">
        <f>0.26/100</f>
        <v>0.0026</v>
      </c>
      <c r="F69" s="4">
        <f>E69*F67</f>
        <v>0.02288</v>
      </c>
      <c r="G69" s="43"/>
      <c r="H69" s="43"/>
      <c r="I69" s="43"/>
      <c r="J69" s="43"/>
      <c r="K69" s="47"/>
      <c r="L69" s="132">
        <f>F69*K69</f>
        <v>0</v>
      </c>
      <c r="M69" s="132">
        <f>L69</f>
        <v>0</v>
      </c>
    </row>
    <row r="70" spans="1:13" ht="14.25">
      <c r="A70" s="49"/>
      <c r="B70" s="49"/>
      <c r="C70" s="51" t="s">
        <v>214</v>
      </c>
      <c r="D70" s="19" t="s">
        <v>28</v>
      </c>
      <c r="E70" s="51">
        <v>1.01</v>
      </c>
      <c r="F70" s="5">
        <f>E70*F67</f>
        <v>8.888000000000002</v>
      </c>
      <c r="G70" s="51"/>
      <c r="H70" s="51"/>
      <c r="I70" s="53"/>
      <c r="J70" s="51">
        <f>F70*I70</f>
        <v>0</v>
      </c>
      <c r="K70" s="51"/>
      <c r="L70" s="51"/>
      <c r="M70" s="51">
        <f>J70</f>
        <v>0</v>
      </c>
    </row>
    <row r="71" spans="1:13" ht="28.5">
      <c r="A71" s="18"/>
      <c r="B71" s="15" t="s">
        <v>217</v>
      </c>
      <c r="C71" s="57" t="s">
        <v>216</v>
      </c>
      <c r="D71" s="14" t="s">
        <v>157</v>
      </c>
      <c r="E71" s="14"/>
      <c r="F71" s="24">
        <v>6.5</v>
      </c>
      <c r="G71" s="14"/>
      <c r="H71" s="14"/>
      <c r="I71" s="14"/>
      <c r="J71" s="14"/>
      <c r="K71" s="14"/>
      <c r="L71" s="14"/>
      <c r="M71" s="14"/>
    </row>
    <row r="72" spans="1:13" ht="14.25">
      <c r="A72" s="52"/>
      <c r="B72" s="157"/>
      <c r="C72" s="21" t="s">
        <v>29</v>
      </c>
      <c r="D72" s="148" t="s">
        <v>30</v>
      </c>
      <c r="E72" s="23">
        <v>0.119</v>
      </c>
      <c r="F72" s="4">
        <f>E72*F71</f>
        <v>0.7735</v>
      </c>
      <c r="G72" s="47"/>
      <c r="H72" s="47">
        <f>F72*G72</f>
        <v>0</v>
      </c>
      <c r="I72" s="43"/>
      <c r="J72" s="43"/>
      <c r="K72" s="43"/>
      <c r="L72" s="43"/>
      <c r="M72" s="47">
        <f>H72</f>
        <v>0</v>
      </c>
    </row>
    <row r="73" spans="1:13" ht="14.25">
      <c r="A73" s="92"/>
      <c r="B73" s="89"/>
      <c r="C73" s="91" t="s">
        <v>134</v>
      </c>
      <c r="D73" s="4" t="s">
        <v>34</v>
      </c>
      <c r="E73" s="23">
        <v>0.068</v>
      </c>
      <c r="F73" s="4">
        <f>E73*F71</f>
        <v>0.44200000000000006</v>
      </c>
      <c r="G73" s="4"/>
      <c r="H73" s="4"/>
      <c r="I73" s="4"/>
      <c r="J73" s="4"/>
      <c r="K73" s="4"/>
      <c r="L73" s="4">
        <f>F73*K73</f>
        <v>0</v>
      </c>
      <c r="M73" s="4">
        <f>L73</f>
        <v>0</v>
      </c>
    </row>
    <row r="74" spans="1:13" ht="14.25">
      <c r="A74" s="92"/>
      <c r="B74" s="89"/>
      <c r="C74" s="91" t="s">
        <v>215</v>
      </c>
      <c r="D74" s="4" t="s">
        <v>157</v>
      </c>
      <c r="E74" s="23">
        <v>1.01</v>
      </c>
      <c r="F74" s="4">
        <f>E74*F71</f>
        <v>6.565</v>
      </c>
      <c r="G74" s="4"/>
      <c r="H74" s="4"/>
      <c r="I74" s="4"/>
      <c r="J74" s="4">
        <f>F74*I74</f>
        <v>0</v>
      </c>
      <c r="K74" s="4"/>
      <c r="L74" s="4"/>
      <c r="M74" s="4">
        <f>J74</f>
        <v>0</v>
      </c>
    </row>
    <row r="75" spans="1:13" ht="14.25">
      <c r="A75" s="154"/>
      <c r="B75" s="155"/>
      <c r="C75" s="156" t="s">
        <v>40</v>
      </c>
      <c r="D75" s="5" t="s">
        <v>34</v>
      </c>
      <c r="E75" s="106">
        <v>0.002</v>
      </c>
      <c r="F75" s="5">
        <f>E75*F71</f>
        <v>0.013000000000000001</v>
      </c>
      <c r="G75" s="5"/>
      <c r="H75" s="5"/>
      <c r="I75" s="5"/>
      <c r="J75" s="5">
        <f>F75*I75</f>
        <v>0</v>
      </c>
      <c r="K75" s="5"/>
      <c r="L75" s="5"/>
      <c r="M75" s="5">
        <f>J75</f>
        <v>0</v>
      </c>
    </row>
    <row r="76" spans="1:13" ht="28.5">
      <c r="A76" s="127" t="s">
        <v>182</v>
      </c>
      <c r="B76" s="143" t="s">
        <v>163</v>
      </c>
      <c r="C76" s="3" t="s">
        <v>162</v>
      </c>
      <c r="D76" s="88" t="s">
        <v>28</v>
      </c>
      <c r="E76" s="14"/>
      <c r="F76" s="24">
        <v>64</v>
      </c>
      <c r="G76" s="14"/>
      <c r="H76" s="98"/>
      <c r="I76" s="14"/>
      <c r="K76" s="14"/>
      <c r="L76" s="98"/>
      <c r="M76" s="14"/>
    </row>
    <row r="77" spans="1:13" ht="14.25">
      <c r="A77" s="22"/>
      <c r="B77" s="22"/>
      <c r="C77" s="76" t="s">
        <v>29</v>
      </c>
      <c r="D77" s="19" t="s">
        <v>30</v>
      </c>
      <c r="E77" s="106">
        <v>1.21</v>
      </c>
      <c r="F77" s="19">
        <f>E77*F76</f>
        <v>77.44</v>
      </c>
      <c r="G77" s="19"/>
      <c r="H77" s="19">
        <f>F77*G77</f>
        <v>0</v>
      </c>
      <c r="I77" s="19"/>
      <c r="J77" s="19"/>
      <c r="K77" s="20"/>
      <c r="L77" s="20"/>
      <c r="M77" s="19">
        <f>H77</f>
        <v>0</v>
      </c>
    </row>
    <row r="78" spans="1:13" ht="14.25">
      <c r="A78" s="37"/>
      <c r="B78" s="15"/>
      <c r="C78" s="31" t="s">
        <v>12</v>
      </c>
      <c r="D78" s="27" t="s">
        <v>34</v>
      </c>
      <c r="E78" s="14"/>
      <c r="F78" s="14"/>
      <c r="G78" s="14"/>
      <c r="H78" s="14">
        <f>SUM(H15:H77)</f>
        <v>0</v>
      </c>
      <c r="I78" s="14"/>
      <c r="J78" s="14">
        <f>SUM(J15:J77)</f>
        <v>0</v>
      </c>
      <c r="K78" s="18"/>
      <c r="L78" s="14">
        <f>SUM(L16:L77)</f>
        <v>0</v>
      </c>
      <c r="M78" s="14">
        <f>SUM(M16:M77)</f>
        <v>0</v>
      </c>
    </row>
    <row r="79" spans="1:13" ht="14.25">
      <c r="A79" s="26"/>
      <c r="B79" s="25"/>
      <c r="C79" s="26" t="s">
        <v>36</v>
      </c>
      <c r="D79" s="27" t="s">
        <v>34</v>
      </c>
      <c r="E79" s="28">
        <v>0.1</v>
      </c>
      <c r="F79" s="29"/>
      <c r="G79" s="30"/>
      <c r="H79" s="28">
        <f>E79*H78</f>
        <v>0</v>
      </c>
      <c r="I79" s="28"/>
      <c r="J79" s="28">
        <f>E79*J78</f>
        <v>0</v>
      </c>
      <c r="K79" s="28"/>
      <c r="L79" s="28">
        <f>E79*L78</f>
        <v>0</v>
      </c>
      <c r="M79" s="28">
        <f>SUM(H79:L79)</f>
        <v>0</v>
      </c>
    </row>
    <row r="80" spans="1:13" ht="14.25">
      <c r="A80" s="31"/>
      <c r="B80" s="25"/>
      <c r="C80" s="31" t="s">
        <v>12</v>
      </c>
      <c r="D80" s="27" t="s">
        <v>34</v>
      </c>
      <c r="E80" s="32"/>
      <c r="F80" s="31"/>
      <c r="G80" s="31"/>
      <c r="H80" s="32">
        <f>SUM(H78:H79)</f>
        <v>0</v>
      </c>
      <c r="I80" s="32"/>
      <c r="J80" s="32">
        <f>SUM(J78:J79)</f>
        <v>0</v>
      </c>
      <c r="K80" s="32"/>
      <c r="L80" s="32">
        <f>SUM(L78:L79)</f>
        <v>0</v>
      </c>
      <c r="M80" s="32">
        <f>SUM(H80:L80)</f>
        <v>0</v>
      </c>
    </row>
    <row r="81" spans="1:13" ht="14.25">
      <c r="A81" s="26"/>
      <c r="B81" s="25"/>
      <c r="C81" s="25" t="s">
        <v>37</v>
      </c>
      <c r="D81" s="27" t="s">
        <v>34</v>
      </c>
      <c r="E81" s="28">
        <v>0.08</v>
      </c>
      <c r="F81" s="33"/>
      <c r="G81" s="28"/>
      <c r="H81" s="28">
        <f>E81*H80</f>
        <v>0</v>
      </c>
      <c r="I81" s="28"/>
      <c r="J81" s="28">
        <f>E81*J80</f>
        <v>0</v>
      </c>
      <c r="K81" s="28"/>
      <c r="L81" s="28">
        <f>E81*L80</f>
        <v>0</v>
      </c>
      <c r="M81" s="28">
        <f>SUM(H81:L81)</f>
        <v>0</v>
      </c>
    </row>
    <row r="82" spans="1:13" ht="14.25">
      <c r="A82" s="34"/>
      <c r="B82" s="55"/>
      <c r="C82" s="34" t="s">
        <v>12</v>
      </c>
      <c r="D82" s="35" t="s">
        <v>34</v>
      </c>
      <c r="E82" s="34"/>
      <c r="F82" s="34"/>
      <c r="G82" s="34"/>
      <c r="H82" s="36">
        <f>SUM(H80:H81)</f>
        <v>0</v>
      </c>
      <c r="I82" s="36"/>
      <c r="J82" s="36">
        <f>SUM(J80:J81)</f>
        <v>0</v>
      </c>
      <c r="K82" s="36"/>
      <c r="L82" s="36">
        <f>SUM(L80:L81)</f>
        <v>0</v>
      </c>
      <c r="M82" s="36">
        <f>SUM(H82:L82)</f>
        <v>0</v>
      </c>
    </row>
    <row r="83" ht="14.25"/>
    <row r="84" ht="14.25"/>
    <row r="85" ht="14.25"/>
    <row r="86" ht="14.25"/>
    <row r="87" ht="14.25"/>
  </sheetData>
  <sheetProtection/>
  <mergeCells count="24">
    <mergeCell ref="A1:M1"/>
    <mergeCell ref="A3:M3"/>
    <mergeCell ref="A4:M4"/>
    <mergeCell ref="A5:M5"/>
    <mergeCell ref="A6:M6"/>
    <mergeCell ref="B7:D7"/>
    <mergeCell ref="F7:I7"/>
    <mergeCell ref="B8:C8"/>
    <mergeCell ref="F8:I8"/>
    <mergeCell ref="A10:A13"/>
    <mergeCell ref="B10:B13"/>
    <mergeCell ref="C10:C13"/>
    <mergeCell ref="D10:F11"/>
    <mergeCell ref="D12:D13"/>
    <mergeCell ref="E12:E13"/>
    <mergeCell ref="F12:F13"/>
    <mergeCell ref="G10:H11"/>
    <mergeCell ref="I10:J11"/>
    <mergeCell ref="K10:L10"/>
    <mergeCell ref="M10:M13"/>
    <mergeCell ref="K11:L11"/>
    <mergeCell ref="H12:H13"/>
    <mergeCell ref="J12:J13"/>
    <mergeCell ref="L12:L13"/>
  </mergeCells>
  <printOptions/>
  <pageMargins left="0.5905511811023623" right="0" top="0.5905511811023623" bottom="0.5905511811023623" header="0.5118110236220472" footer="0.5118110236220472"/>
  <pageSetup horizontalDpi="300" verticalDpi="300" orientation="portrait" paperSize="9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N55"/>
  <sheetViews>
    <sheetView tabSelected="1" view="pageBreakPreview" zoomScaleSheetLayoutView="100" zoomScalePageLayoutView="0" workbookViewId="0" topLeftCell="A1">
      <selection activeCell="E47" sqref="E47"/>
    </sheetView>
  </sheetViews>
  <sheetFormatPr defaultColWidth="9.00390625" defaultRowHeight="12.75"/>
  <cols>
    <col min="1" max="1" width="3.8515625" style="1" customWidth="1"/>
    <col min="2" max="2" width="9.7109375" style="2" customWidth="1"/>
    <col min="3" max="3" width="30.7109375" style="2" customWidth="1"/>
    <col min="4" max="4" width="8.28125" style="12" customWidth="1"/>
    <col min="5" max="5" width="9.00390625" style="12" customWidth="1"/>
    <col min="6" max="6" width="9.140625" style="12" customWidth="1"/>
    <col min="7" max="7" width="9.7109375" style="12" customWidth="1"/>
    <col min="8" max="8" width="10.28125" style="12" customWidth="1"/>
    <col min="9" max="9" width="10.00390625" style="12" customWidth="1"/>
    <col min="10" max="10" width="10.28125" style="12" customWidth="1"/>
    <col min="11" max="11" width="8.8515625" style="12" customWidth="1"/>
    <col min="12" max="12" width="10.421875" style="12" customWidth="1"/>
    <col min="13" max="13" width="12.8515625" style="12" customWidth="1"/>
    <col min="14" max="16384" width="9.00390625" style="17" customWidth="1"/>
  </cols>
  <sheetData>
    <row r="1" spans="1:14" ht="24" customHeight="1">
      <c r="A1" s="668" t="s">
        <v>165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56"/>
    </row>
    <row r="2" spans="1:14" ht="1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56"/>
    </row>
    <row r="3" spans="1:13" ht="15.75">
      <c r="A3" s="669" t="s">
        <v>158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</row>
    <row r="4" spans="1:13" ht="15.75">
      <c r="A4" s="669"/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</row>
    <row r="5" spans="1:13" ht="15.75">
      <c r="A5" s="670" t="s">
        <v>307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</row>
    <row r="6" spans="1:13" ht="15.75">
      <c r="A6" s="671"/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</row>
    <row r="7" spans="1:13" ht="15" customHeight="1">
      <c r="A7" s="2"/>
      <c r="B7" s="654"/>
      <c r="C7" s="654"/>
      <c r="D7" s="672"/>
      <c r="E7" s="3"/>
      <c r="F7" s="655" t="s">
        <v>1</v>
      </c>
      <c r="G7" s="655"/>
      <c r="H7" s="655"/>
      <c r="I7" s="655"/>
      <c r="J7" s="3">
        <f>M50/1000</f>
        <v>0</v>
      </c>
      <c r="K7" s="3" t="s">
        <v>0</v>
      </c>
      <c r="L7" s="3"/>
      <c r="M7" s="3"/>
    </row>
    <row r="8" spans="1:13" ht="15.75">
      <c r="A8" s="2"/>
      <c r="B8" s="654"/>
      <c r="C8" s="654"/>
      <c r="D8" s="3"/>
      <c r="E8" s="3"/>
      <c r="F8" s="655"/>
      <c r="G8" s="655"/>
      <c r="H8" s="655"/>
      <c r="I8" s="655"/>
      <c r="J8" s="3"/>
      <c r="K8" s="3"/>
      <c r="L8" s="3"/>
      <c r="M8" s="3"/>
    </row>
    <row r="9" spans="1:13" ht="15.75">
      <c r="A9" s="2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 customHeight="1">
      <c r="A10" s="673" t="s">
        <v>2</v>
      </c>
      <c r="B10" s="675" t="s">
        <v>3</v>
      </c>
      <c r="C10" s="676" t="s">
        <v>27</v>
      </c>
      <c r="D10" s="677" t="s">
        <v>4</v>
      </c>
      <c r="E10" s="677"/>
      <c r="F10" s="677"/>
      <c r="G10" s="677" t="s">
        <v>5</v>
      </c>
      <c r="H10" s="678"/>
      <c r="I10" s="677" t="s">
        <v>6</v>
      </c>
      <c r="J10" s="678"/>
      <c r="K10" s="677" t="s">
        <v>7</v>
      </c>
      <c r="L10" s="678"/>
      <c r="M10" s="677" t="s">
        <v>8</v>
      </c>
    </row>
    <row r="11" spans="1:13" ht="22.5" customHeight="1">
      <c r="A11" s="674"/>
      <c r="B11" s="675"/>
      <c r="C11" s="676"/>
      <c r="D11" s="677"/>
      <c r="E11" s="677"/>
      <c r="F11" s="677"/>
      <c r="G11" s="678"/>
      <c r="H11" s="678"/>
      <c r="I11" s="678"/>
      <c r="J11" s="678"/>
      <c r="K11" s="677" t="s">
        <v>9</v>
      </c>
      <c r="L11" s="678"/>
      <c r="M11" s="678"/>
    </row>
    <row r="12" spans="1:13" ht="15.75">
      <c r="A12" s="674"/>
      <c r="B12" s="675"/>
      <c r="C12" s="676"/>
      <c r="D12" s="677" t="s">
        <v>10</v>
      </c>
      <c r="E12" s="677" t="s">
        <v>11</v>
      </c>
      <c r="F12" s="677" t="s">
        <v>12</v>
      </c>
      <c r="G12" s="9" t="s">
        <v>11</v>
      </c>
      <c r="H12" s="677" t="s">
        <v>12</v>
      </c>
      <c r="I12" s="9" t="s">
        <v>11</v>
      </c>
      <c r="J12" s="677" t="s">
        <v>12</v>
      </c>
      <c r="K12" s="9" t="s">
        <v>11</v>
      </c>
      <c r="L12" s="677" t="s">
        <v>12</v>
      </c>
      <c r="M12" s="678"/>
    </row>
    <row r="13" spans="1:13" ht="15.75">
      <c r="A13" s="674"/>
      <c r="B13" s="675"/>
      <c r="C13" s="676"/>
      <c r="D13" s="677"/>
      <c r="E13" s="677"/>
      <c r="F13" s="677"/>
      <c r="G13" s="9" t="s">
        <v>13</v>
      </c>
      <c r="H13" s="677"/>
      <c r="I13" s="9" t="s">
        <v>13</v>
      </c>
      <c r="J13" s="677"/>
      <c r="K13" s="9" t="s">
        <v>13</v>
      </c>
      <c r="L13" s="677"/>
      <c r="M13" s="678"/>
    </row>
    <row r="14" spans="1:13" ht="15.75">
      <c r="A14" s="174" t="s">
        <v>14</v>
      </c>
      <c r="B14" s="13" t="s">
        <v>15</v>
      </c>
      <c r="C14" s="187" t="s">
        <v>16</v>
      </c>
      <c r="D14" s="9" t="s">
        <v>17</v>
      </c>
      <c r="E14" s="9" t="s">
        <v>18</v>
      </c>
      <c r="F14" s="9" t="s">
        <v>19</v>
      </c>
      <c r="G14" s="9" t="s">
        <v>20</v>
      </c>
      <c r="H14" s="9" t="s">
        <v>21</v>
      </c>
      <c r="I14" s="9" t="s">
        <v>22</v>
      </c>
      <c r="J14" s="9" t="s">
        <v>23</v>
      </c>
      <c r="K14" s="9" t="s">
        <v>24</v>
      </c>
      <c r="L14" s="9" t="s">
        <v>25</v>
      </c>
      <c r="M14" s="9" t="s">
        <v>26</v>
      </c>
    </row>
    <row r="15" spans="1:13" s="54" customFormat="1" ht="78.75">
      <c r="A15" s="174">
        <v>1</v>
      </c>
      <c r="B15" s="188" t="s">
        <v>185</v>
      </c>
      <c r="C15" s="187" t="s">
        <v>218</v>
      </c>
      <c r="D15" s="9" t="s">
        <v>28</v>
      </c>
      <c r="E15" s="9"/>
      <c r="F15" s="189">
        <v>189.8</v>
      </c>
      <c r="G15" s="9"/>
      <c r="H15" s="9"/>
      <c r="I15" s="9"/>
      <c r="J15" s="9"/>
      <c r="K15" s="9"/>
      <c r="L15" s="9"/>
      <c r="M15" s="9"/>
    </row>
    <row r="16" spans="1:13" s="54" customFormat="1" ht="31.5">
      <c r="A16" s="188"/>
      <c r="B16" s="188"/>
      <c r="C16" s="190" t="s">
        <v>29</v>
      </c>
      <c r="D16" s="40" t="s">
        <v>30</v>
      </c>
      <c r="E16" s="40">
        <f>20/1000</f>
        <v>0.02</v>
      </c>
      <c r="F16" s="40">
        <f>E16*F15</f>
        <v>3.7960000000000003</v>
      </c>
      <c r="G16" s="160"/>
      <c r="H16" s="160">
        <f>F16*G16</f>
        <v>0</v>
      </c>
      <c r="I16" s="191"/>
      <c r="J16" s="191"/>
      <c r="K16" s="191"/>
      <c r="L16" s="191"/>
      <c r="M16" s="191">
        <f>H16</f>
        <v>0</v>
      </c>
    </row>
    <row r="17" spans="1:13" s="54" customFormat="1" ht="15.75">
      <c r="A17" s="188"/>
      <c r="B17" s="188"/>
      <c r="C17" s="190" t="s">
        <v>100</v>
      </c>
      <c r="D17" s="40" t="s">
        <v>31</v>
      </c>
      <c r="E17" s="40">
        <f>44.8/1000</f>
        <v>0.0448</v>
      </c>
      <c r="F17" s="40">
        <f>E17*F15</f>
        <v>8.50304</v>
      </c>
      <c r="G17" s="160"/>
      <c r="H17" s="160"/>
      <c r="I17" s="191"/>
      <c r="J17" s="191"/>
      <c r="K17" s="40"/>
      <c r="L17" s="191">
        <f>F17*K17</f>
        <v>0</v>
      </c>
      <c r="M17" s="191">
        <f>L17</f>
        <v>0</v>
      </c>
    </row>
    <row r="18" spans="1:13" s="54" customFormat="1" ht="31.5">
      <c r="A18" s="188"/>
      <c r="B18" s="188"/>
      <c r="C18" s="190" t="s">
        <v>32</v>
      </c>
      <c r="D18" s="40" t="s">
        <v>30</v>
      </c>
      <c r="E18" s="40"/>
      <c r="F18" s="40">
        <f>F17</f>
        <v>8.50304</v>
      </c>
      <c r="G18" s="160"/>
      <c r="H18" s="160">
        <f>F18*G18</f>
        <v>0</v>
      </c>
      <c r="I18" s="191"/>
      <c r="J18" s="191"/>
      <c r="K18" s="191"/>
      <c r="L18" s="191"/>
      <c r="M18" s="191">
        <f>H18</f>
        <v>0</v>
      </c>
    </row>
    <row r="19" spans="1:13" s="54" customFormat="1" ht="15.75">
      <c r="A19" s="188"/>
      <c r="B19" s="188"/>
      <c r="C19" s="190" t="s">
        <v>39</v>
      </c>
      <c r="D19" s="40" t="s">
        <v>34</v>
      </c>
      <c r="E19" s="192">
        <f>2.1/1000</f>
        <v>0.0021000000000000003</v>
      </c>
      <c r="F19" s="40">
        <f>E19*F15</f>
        <v>0.3985800000000001</v>
      </c>
      <c r="G19" s="40"/>
      <c r="H19" s="40"/>
      <c r="I19" s="40"/>
      <c r="J19" s="40"/>
      <c r="K19" s="40"/>
      <c r="L19" s="40">
        <f>F19*K19</f>
        <v>0</v>
      </c>
      <c r="M19" s="40">
        <f>L19</f>
        <v>0</v>
      </c>
    </row>
    <row r="20" spans="1:13" s="54" customFormat="1" ht="31.5">
      <c r="A20" s="174"/>
      <c r="B20" s="13"/>
      <c r="C20" s="187" t="s">
        <v>186</v>
      </c>
      <c r="D20" s="9" t="s">
        <v>35</v>
      </c>
      <c r="E20" s="9"/>
      <c r="F20" s="9">
        <f>F15*1.8</f>
        <v>341.64000000000004</v>
      </c>
      <c r="G20" s="9"/>
      <c r="H20" s="9"/>
      <c r="I20" s="9"/>
      <c r="J20" s="9"/>
      <c r="K20" s="9"/>
      <c r="L20" s="9">
        <f>F20*K20</f>
        <v>0</v>
      </c>
      <c r="M20" s="9">
        <f>L20</f>
        <v>0</v>
      </c>
    </row>
    <row r="21" spans="1:13" s="54" customFormat="1" ht="63">
      <c r="A21" s="174">
        <v>2</v>
      </c>
      <c r="B21" s="158" t="s">
        <v>112</v>
      </c>
      <c r="C21" s="187" t="s">
        <v>219</v>
      </c>
      <c r="D21" s="9" t="s">
        <v>28</v>
      </c>
      <c r="E21" s="9"/>
      <c r="F21" s="189">
        <v>7.5</v>
      </c>
      <c r="G21" s="9"/>
      <c r="H21" s="9"/>
      <c r="I21" s="9"/>
      <c r="J21" s="9"/>
      <c r="K21" s="9"/>
      <c r="L21" s="9"/>
      <c r="M21" s="9"/>
    </row>
    <row r="22" spans="1:13" s="54" customFormat="1" ht="31.5">
      <c r="A22" s="188"/>
      <c r="B22" s="188"/>
      <c r="C22" s="190" t="s">
        <v>29</v>
      </c>
      <c r="D22" s="40" t="s">
        <v>30</v>
      </c>
      <c r="E22" s="40">
        <f>2.06+0.87</f>
        <v>2.93</v>
      </c>
      <c r="F22" s="40">
        <f>E22*F21</f>
        <v>21.975</v>
      </c>
      <c r="G22" s="160"/>
      <c r="H22" s="160">
        <f>F22*G22</f>
        <v>0</v>
      </c>
      <c r="I22" s="191"/>
      <c r="J22" s="191"/>
      <c r="K22" s="191"/>
      <c r="L22" s="191"/>
      <c r="M22" s="191">
        <f>H22</f>
        <v>0</v>
      </c>
    </row>
    <row r="23" spans="1:13" s="54" customFormat="1" ht="31.5">
      <c r="A23" s="174"/>
      <c r="B23" s="13"/>
      <c r="C23" s="187" t="s">
        <v>197</v>
      </c>
      <c r="D23" s="9" t="s">
        <v>35</v>
      </c>
      <c r="E23" s="9"/>
      <c r="F23" s="9">
        <f>F21*1.8</f>
        <v>13.5</v>
      </c>
      <c r="G23" s="9"/>
      <c r="H23" s="9"/>
      <c r="I23" s="9"/>
      <c r="J23" s="9"/>
      <c r="K23" s="9"/>
      <c r="L23" s="9">
        <f>F23*K23</f>
        <v>0</v>
      </c>
      <c r="M23" s="9">
        <f>L23</f>
        <v>0</v>
      </c>
    </row>
    <row r="24" spans="1:13" s="54" customFormat="1" ht="18.75">
      <c r="A24" s="39">
        <v>3</v>
      </c>
      <c r="B24" s="38" t="s">
        <v>113</v>
      </c>
      <c r="C24" s="42" t="s">
        <v>78</v>
      </c>
      <c r="D24" s="40" t="s">
        <v>28</v>
      </c>
      <c r="E24" s="175"/>
      <c r="F24" s="193">
        <f>F15+F21</f>
        <v>197.3</v>
      </c>
      <c r="G24" s="175"/>
      <c r="H24" s="175"/>
      <c r="I24" s="175"/>
      <c r="J24" s="175"/>
      <c r="K24" s="175"/>
      <c r="L24" s="175"/>
      <c r="M24" s="175"/>
    </row>
    <row r="25" spans="1:13" s="54" customFormat="1" ht="31.5">
      <c r="A25" s="175"/>
      <c r="B25" s="175"/>
      <c r="C25" s="190" t="s">
        <v>29</v>
      </c>
      <c r="D25" s="40" t="s">
        <v>30</v>
      </c>
      <c r="E25" s="192">
        <f>3.23/1000</f>
        <v>0.00323</v>
      </c>
      <c r="F25" s="40">
        <f>E25*F24</f>
        <v>0.637279</v>
      </c>
      <c r="G25" s="41"/>
      <c r="H25" s="41">
        <f>F25*G25</f>
        <v>0</v>
      </c>
      <c r="I25" s="39"/>
      <c r="J25" s="39"/>
      <c r="K25" s="39"/>
      <c r="L25" s="39"/>
      <c r="M25" s="41">
        <f>H25</f>
        <v>0</v>
      </c>
    </row>
    <row r="26" spans="1:13" s="54" customFormat="1" ht="15.75">
      <c r="A26" s="188"/>
      <c r="B26" s="188"/>
      <c r="C26" s="190" t="s">
        <v>77</v>
      </c>
      <c r="D26" s="40" t="s">
        <v>31</v>
      </c>
      <c r="E26" s="194">
        <f>3.62/1000</f>
        <v>0.00362</v>
      </c>
      <c r="F26" s="40">
        <f>E26*F24</f>
        <v>0.714226</v>
      </c>
      <c r="G26" s="40"/>
      <c r="H26" s="40"/>
      <c r="I26" s="40"/>
      <c r="J26" s="40"/>
      <c r="K26" s="40"/>
      <c r="L26" s="40">
        <f>F26*K26</f>
        <v>0</v>
      </c>
      <c r="M26" s="40">
        <f>L26</f>
        <v>0</v>
      </c>
    </row>
    <row r="27" spans="1:13" s="54" customFormat="1" ht="31.5">
      <c r="A27" s="188"/>
      <c r="B27" s="188"/>
      <c r="C27" s="190" t="s">
        <v>32</v>
      </c>
      <c r="D27" s="40" t="s">
        <v>30</v>
      </c>
      <c r="E27" s="40"/>
      <c r="F27" s="40">
        <f>F26</f>
        <v>0.714226</v>
      </c>
      <c r="G27" s="40"/>
      <c r="H27" s="40">
        <f>F27*G27</f>
        <v>0</v>
      </c>
      <c r="I27" s="40"/>
      <c r="J27" s="40"/>
      <c r="K27" s="38"/>
      <c r="L27" s="38"/>
      <c r="M27" s="40">
        <f>H27</f>
        <v>0</v>
      </c>
    </row>
    <row r="28" spans="1:13" s="54" customFormat="1" ht="15.75">
      <c r="A28" s="175"/>
      <c r="B28" s="175"/>
      <c r="C28" s="39" t="s">
        <v>39</v>
      </c>
      <c r="D28" s="175" t="s">
        <v>34</v>
      </c>
      <c r="E28" s="176">
        <f>0.18/1000</f>
        <v>0.00017999999999999998</v>
      </c>
      <c r="F28" s="40">
        <f>E28*F24</f>
        <v>0.035514</v>
      </c>
      <c r="G28" s="175"/>
      <c r="H28" s="175"/>
      <c r="I28" s="175"/>
      <c r="J28" s="175"/>
      <c r="K28" s="41"/>
      <c r="L28" s="40">
        <f>F28*K28</f>
        <v>0</v>
      </c>
      <c r="M28" s="40">
        <f>L28</f>
        <v>0</v>
      </c>
    </row>
    <row r="29" spans="1:13" s="54" customFormat="1" ht="31.5">
      <c r="A29" s="174">
        <v>4</v>
      </c>
      <c r="B29" s="188" t="s">
        <v>138</v>
      </c>
      <c r="C29" s="195" t="s">
        <v>156</v>
      </c>
      <c r="D29" s="174" t="s">
        <v>28</v>
      </c>
      <c r="E29" s="174"/>
      <c r="F29" s="189">
        <v>6.3</v>
      </c>
      <c r="G29" s="9"/>
      <c r="H29" s="9"/>
      <c r="I29" s="9"/>
      <c r="J29" s="9"/>
      <c r="K29" s="9"/>
      <c r="L29" s="9"/>
      <c r="M29" s="9"/>
    </row>
    <row r="30" spans="1:13" s="54" customFormat="1" ht="31.5">
      <c r="A30" s="188"/>
      <c r="B30" s="188"/>
      <c r="C30" s="190" t="s">
        <v>29</v>
      </c>
      <c r="D30" s="40" t="s">
        <v>30</v>
      </c>
      <c r="E30" s="9">
        <v>2.12</v>
      </c>
      <c r="F30" s="9">
        <f>E30*F29</f>
        <v>13.356</v>
      </c>
      <c r="G30" s="9"/>
      <c r="H30" s="9">
        <f>F30*G30</f>
        <v>0</v>
      </c>
      <c r="I30" s="9"/>
      <c r="J30" s="9"/>
      <c r="K30" s="9"/>
      <c r="L30" s="9"/>
      <c r="M30" s="9">
        <f>H30</f>
        <v>0</v>
      </c>
    </row>
    <row r="31" spans="1:13" s="54" customFormat="1" ht="15.75">
      <c r="A31" s="188"/>
      <c r="B31" s="188"/>
      <c r="C31" s="190" t="s">
        <v>39</v>
      </c>
      <c r="D31" s="40" t="s">
        <v>34</v>
      </c>
      <c r="E31" s="192">
        <v>0.101</v>
      </c>
      <c r="F31" s="40">
        <f>E31*F29</f>
        <v>0.6363</v>
      </c>
      <c r="G31" s="40"/>
      <c r="H31" s="40"/>
      <c r="I31" s="40"/>
      <c r="J31" s="40"/>
      <c r="K31" s="40"/>
      <c r="L31" s="40">
        <f>F31*K31</f>
        <v>0</v>
      </c>
      <c r="M31" s="40">
        <f>L31</f>
        <v>0</v>
      </c>
    </row>
    <row r="32" spans="1:13" s="54" customFormat="1" ht="18.75">
      <c r="A32" s="188"/>
      <c r="B32" s="188"/>
      <c r="C32" s="190" t="s">
        <v>139</v>
      </c>
      <c r="D32" s="174" t="s">
        <v>28</v>
      </c>
      <c r="E32" s="40">
        <v>1.1</v>
      </c>
      <c r="F32" s="40">
        <f>E32*F29</f>
        <v>6.930000000000001</v>
      </c>
      <c r="G32" s="40"/>
      <c r="H32" s="40"/>
      <c r="I32" s="40"/>
      <c r="J32" s="40">
        <f>F32*I32</f>
        <v>0</v>
      </c>
      <c r="K32" s="40"/>
      <c r="L32" s="40"/>
      <c r="M32" s="40">
        <f>J32</f>
        <v>0</v>
      </c>
    </row>
    <row r="33" spans="1:13" s="54" customFormat="1" ht="63">
      <c r="A33" s="196">
        <v>5</v>
      </c>
      <c r="B33" s="197" t="s">
        <v>220</v>
      </c>
      <c r="C33" s="159" t="s">
        <v>222</v>
      </c>
      <c r="D33" s="160" t="s">
        <v>28</v>
      </c>
      <c r="E33" s="198"/>
      <c r="F33" s="161">
        <f>14*1.5*1*1</f>
        <v>21</v>
      </c>
      <c r="G33" s="160"/>
      <c r="H33" s="160"/>
      <c r="I33" s="160"/>
      <c r="J33" s="160"/>
      <c r="K33" s="160"/>
      <c r="L33" s="160"/>
      <c r="M33" s="160"/>
    </row>
    <row r="34" spans="1:13" s="54" customFormat="1" ht="31.5">
      <c r="A34" s="196"/>
      <c r="B34" s="158"/>
      <c r="C34" s="199" t="s">
        <v>29</v>
      </c>
      <c r="D34" s="160" t="s">
        <v>30</v>
      </c>
      <c r="E34" s="200">
        <v>2.6</v>
      </c>
      <c r="F34" s="160">
        <f>ROUND(F33*E34,2)</f>
        <v>54.6</v>
      </c>
      <c r="G34" s="160"/>
      <c r="H34" s="160">
        <f>F34*G34</f>
        <v>0</v>
      </c>
      <c r="I34" s="160"/>
      <c r="J34" s="160"/>
      <c r="K34" s="160"/>
      <c r="L34" s="160"/>
      <c r="M34" s="160">
        <f>H34</f>
        <v>0</v>
      </c>
    </row>
    <row r="35" spans="1:13" s="54" customFormat="1" ht="18.75">
      <c r="A35" s="196"/>
      <c r="B35" s="175"/>
      <c r="C35" s="199" t="s">
        <v>221</v>
      </c>
      <c r="D35" s="200" t="s">
        <v>28</v>
      </c>
      <c r="E35" s="200">
        <v>1.04</v>
      </c>
      <c r="F35" s="160">
        <f>ROUND(F33*E35,2)</f>
        <v>21.84</v>
      </c>
      <c r="G35" s="160"/>
      <c r="H35" s="160"/>
      <c r="I35" s="160"/>
      <c r="J35" s="160">
        <f>F35*I35</f>
        <v>0</v>
      </c>
      <c r="K35" s="160"/>
      <c r="L35" s="160"/>
      <c r="M35" s="160">
        <f>J35</f>
        <v>0</v>
      </c>
    </row>
    <row r="36" spans="1:13" s="54" customFormat="1" ht="63">
      <c r="A36" s="196">
        <v>6</v>
      </c>
      <c r="B36" s="197" t="s">
        <v>220</v>
      </c>
      <c r="C36" s="159" t="s">
        <v>223</v>
      </c>
      <c r="D36" s="160" t="s">
        <v>28</v>
      </c>
      <c r="E36" s="198"/>
      <c r="F36" s="193">
        <f>23*2*1*1</f>
        <v>46</v>
      </c>
      <c r="G36" s="160"/>
      <c r="H36" s="160"/>
      <c r="I36" s="160"/>
      <c r="J36" s="160"/>
      <c r="K36" s="160"/>
      <c r="L36" s="160"/>
      <c r="M36" s="160"/>
    </row>
    <row r="37" spans="1:13" s="54" customFormat="1" ht="31.5">
      <c r="A37" s="196"/>
      <c r="B37" s="158"/>
      <c r="C37" s="199" t="s">
        <v>29</v>
      </c>
      <c r="D37" s="160" t="s">
        <v>30</v>
      </c>
      <c r="E37" s="200">
        <v>3.1</v>
      </c>
      <c r="F37" s="160">
        <f>ROUND(F36*E37,2)</f>
        <v>142.6</v>
      </c>
      <c r="G37" s="160"/>
      <c r="H37" s="160">
        <f>F37*G37</f>
        <v>0</v>
      </c>
      <c r="I37" s="160"/>
      <c r="J37" s="160"/>
      <c r="K37" s="160"/>
      <c r="L37" s="160"/>
      <c r="M37" s="160">
        <f>H37</f>
        <v>0</v>
      </c>
    </row>
    <row r="38" spans="1:13" s="54" customFormat="1" ht="18.75">
      <c r="A38" s="196"/>
      <c r="B38" s="175"/>
      <c r="C38" s="199" t="s">
        <v>221</v>
      </c>
      <c r="D38" s="200" t="s">
        <v>28</v>
      </c>
      <c r="E38" s="200">
        <v>1.04</v>
      </c>
      <c r="F38" s="160">
        <f>ROUND(F36*E38,2)</f>
        <v>47.84</v>
      </c>
      <c r="G38" s="160"/>
      <c r="H38" s="160"/>
      <c r="I38" s="160"/>
      <c r="J38" s="160">
        <f>F38*I38</f>
        <v>0</v>
      </c>
      <c r="K38" s="160"/>
      <c r="L38" s="160"/>
      <c r="M38" s="160">
        <f>J38</f>
        <v>0</v>
      </c>
    </row>
    <row r="39" spans="1:13" s="54" customFormat="1" ht="15.75">
      <c r="A39" s="188" t="s">
        <v>224</v>
      </c>
      <c r="B39" s="188"/>
      <c r="C39" s="190" t="s">
        <v>225</v>
      </c>
      <c r="D39" s="174" t="s">
        <v>226</v>
      </c>
      <c r="E39" s="40"/>
      <c r="F39" s="40">
        <v>29.1</v>
      </c>
      <c r="G39" s="40"/>
      <c r="H39" s="40"/>
      <c r="I39" s="40"/>
      <c r="J39" s="40"/>
      <c r="K39" s="40"/>
      <c r="L39" s="40"/>
      <c r="M39" s="40"/>
    </row>
    <row r="40" spans="1:13" s="54" customFormat="1" ht="47.25">
      <c r="A40" s="38">
        <v>8</v>
      </c>
      <c r="B40" s="158"/>
      <c r="C40" s="159" t="s">
        <v>227</v>
      </c>
      <c r="D40" s="160" t="s">
        <v>70</v>
      </c>
      <c r="E40" s="40"/>
      <c r="F40" s="161">
        <v>14</v>
      </c>
      <c r="G40" s="160"/>
      <c r="H40" s="160"/>
      <c r="I40" s="160"/>
      <c r="J40" s="160">
        <f>F40*I40</f>
        <v>0</v>
      </c>
      <c r="K40" s="160"/>
      <c r="L40" s="160"/>
      <c r="M40" s="160">
        <f>J40</f>
        <v>0</v>
      </c>
    </row>
    <row r="41" spans="1:13" s="54" customFormat="1" ht="47.25">
      <c r="A41" s="38">
        <v>9</v>
      </c>
      <c r="B41" s="158"/>
      <c r="C41" s="159" t="s">
        <v>228</v>
      </c>
      <c r="D41" s="160" t="s">
        <v>70</v>
      </c>
      <c r="E41" s="40"/>
      <c r="F41" s="161">
        <v>23</v>
      </c>
      <c r="G41" s="160"/>
      <c r="H41" s="160"/>
      <c r="I41" s="160"/>
      <c r="J41" s="160">
        <f>F41*I41</f>
        <v>0</v>
      </c>
      <c r="K41" s="160"/>
      <c r="L41" s="160"/>
      <c r="M41" s="160">
        <f>J41</f>
        <v>0</v>
      </c>
    </row>
    <row r="42" spans="1:13" s="54" customFormat="1" ht="48" customHeight="1">
      <c r="A42" s="174">
        <v>10</v>
      </c>
      <c r="B42" s="201" t="s">
        <v>229</v>
      </c>
      <c r="C42" s="187" t="s">
        <v>230</v>
      </c>
      <c r="D42" s="160" t="s">
        <v>28</v>
      </c>
      <c r="E42" s="9"/>
      <c r="F42" s="189">
        <v>73.5</v>
      </c>
      <c r="G42" s="9"/>
      <c r="H42" s="9"/>
      <c r="I42" s="9"/>
      <c r="J42" s="9"/>
      <c r="K42" s="9"/>
      <c r="L42" s="9"/>
      <c r="M42" s="9"/>
    </row>
    <row r="43" spans="1:13" s="54" customFormat="1" ht="31.5">
      <c r="A43" s="188"/>
      <c r="B43" s="202"/>
      <c r="C43" s="190" t="s">
        <v>29</v>
      </c>
      <c r="D43" s="40" t="s">
        <v>30</v>
      </c>
      <c r="E43" s="203">
        <f>13.7/1000</f>
        <v>0.013699999999999999</v>
      </c>
      <c r="F43" s="160">
        <f>E43*F42</f>
        <v>1.0069499999999998</v>
      </c>
      <c r="G43" s="160"/>
      <c r="H43" s="160">
        <f>F43*G43</f>
        <v>0</v>
      </c>
      <c r="I43" s="191"/>
      <c r="J43" s="191"/>
      <c r="K43" s="191"/>
      <c r="L43" s="191"/>
      <c r="M43" s="191">
        <f>H43</f>
        <v>0</v>
      </c>
    </row>
    <row r="44" spans="1:13" s="54" customFormat="1" ht="15.75">
      <c r="A44" s="188"/>
      <c r="B44" s="188"/>
      <c r="C44" s="190" t="s">
        <v>100</v>
      </c>
      <c r="D44" s="40" t="s">
        <v>31</v>
      </c>
      <c r="E44" s="203">
        <f>30.8/1000</f>
        <v>0.0308</v>
      </c>
      <c r="F44" s="160">
        <f>E44*F42</f>
        <v>2.2638000000000003</v>
      </c>
      <c r="G44" s="160"/>
      <c r="H44" s="160"/>
      <c r="I44" s="191"/>
      <c r="J44" s="191"/>
      <c r="K44" s="40"/>
      <c r="L44" s="191">
        <f>F44*K44</f>
        <v>0</v>
      </c>
      <c r="M44" s="191">
        <f>L44</f>
        <v>0</v>
      </c>
    </row>
    <row r="45" spans="1:13" s="54" customFormat="1" ht="31.5">
      <c r="A45" s="188"/>
      <c r="B45" s="188"/>
      <c r="C45" s="190" t="s">
        <v>32</v>
      </c>
      <c r="D45" s="40" t="s">
        <v>30</v>
      </c>
      <c r="E45" s="160"/>
      <c r="F45" s="160">
        <f>F44</f>
        <v>2.2638000000000003</v>
      </c>
      <c r="G45" s="160"/>
      <c r="H45" s="160">
        <f>F45*G45</f>
        <v>0</v>
      </c>
      <c r="I45" s="191"/>
      <c r="J45" s="191"/>
      <c r="K45" s="191"/>
      <c r="L45" s="191"/>
      <c r="M45" s="191">
        <f>H45</f>
        <v>0</v>
      </c>
    </row>
    <row r="46" spans="1:13" s="54" customFormat="1" ht="15.75">
      <c r="A46" s="204"/>
      <c r="B46" s="188"/>
      <c r="C46" s="205" t="s">
        <v>12</v>
      </c>
      <c r="D46" s="206" t="s">
        <v>34</v>
      </c>
      <c r="E46" s="40"/>
      <c r="F46" s="40"/>
      <c r="G46" s="40"/>
      <c r="H46" s="40">
        <f>SUM(H15:H45)</f>
        <v>0</v>
      </c>
      <c r="I46" s="40"/>
      <c r="J46" s="40">
        <f>SUM(J15:J45)</f>
        <v>0</v>
      </c>
      <c r="K46" s="38"/>
      <c r="L46" s="40">
        <f>SUM(L16:L45)</f>
        <v>0</v>
      </c>
      <c r="M46" s="40">
        <f>SUM(M16:M45)</f>
        <v>0</v>
      </c>
    </row>
    <row r="47" spans="1:13" s="54" customFormat="1" ht="15.75">
      <c r="A47" s="207"/>
      <c r="B47" s="208"/>
      <c r="C47" s="207" t="s">
        <v>326</v>
      </c>
      <c r="D47" s="206" t="s">
        <v>34</v>
      </c>
      <c r="E47" s="209"/>
      <c r="F47" s="210"/>
      <c r="G47" s="211"/>
      <c r="H47" s="209">
        <f>E47*H46</f>
        <v>0</v>
      </c>
      <c r="I47" s="209"/>
      <c r="J47" s="209">
        <f>E47*J46</f>
        <v>0</v>
      </c>
      <c r="K47" s="209"/>
      <c r="L47" s="209">
        <f>E47*L46</f>
        <v>0</v>
      </c>
      <c r="M47" s="209">
        <f>SUM(H47:L47)</f>
        <v>0</v>
      </c>
    </row>
    <row r="48" spans="1:13" s="54" customFormat="1" ht="15.75">
      <c r="A48" s="205"/>
      <c r="B48" s="208"/>
      <c r="C48" s="205" t="s">
        <v>12</v>
      </c>
      <c r="D48" s="206" t="s">
        <v>34</v>
      </c>
      <c r="E48" s="212"/>
      <c r="F48" s="205"/>
      <c r="G48" s="205"/>
      <c r="H48" s="212">
        <f>SUM(H46:H47)</f>
        <v>0</v>
      </c>
      <c r="I48" s="212"/>
      <c r="J48" s="212">
        <f>SUM(J46:J47)</f>
        <v>0</v>
      </c>
      <c r="K48" s="212"/>
      <c r="L48" s="212">
        <f>SUM(L46:L47)</f>
        <v>0</v>
      </c>
      <c r="M48" s="212">
        <f>SUM(H48:L48)</f>
        <v>0</v>
      </c>
    </row>
    <row r="49" spans="1:13" s="54" customFormat="1" ht="15.75">
      <c r="A49" s="207"/>
      <c r="B49" s="208"/>
      <c r="C49" s="208" t="s">
        <v>328</v>
      </c>
      <c r="D49" s="206" t="s">
        <v>34</v>
      </c>
      <c r="E49" s="209"/>
      <c r="F49" s="213"/>
      <c r="G49" s="209"/>
      <c r="H49" s="209">
        <f>E49*H48</f>
        <v>0</v>
      </c>
      <c r="I49" s="209"/>
      <c r="J49" s="209">
        <f>E49*J48</f>
        <v>0</v>
      </c>
      <c r="K49" s="209"/>
      <c r="L49" s="209">
        <f>E49*L48</f>
        <v>0</v>
      </c>
      <c r="M49" s="209">
        <f>SUM(H49:L49)</f>
        <v>0</v>
      </c>
    </row>
    <row r="50" spans="1:13" s="54" customFormat="1" ht="15.75">
      <c r="A50" s="205"/>
      <c r="B50" s="208"/>
      <c r="C50" s="205" t="s">
        <v>12</v>
      </c>
      <c r="D50" s="206" t="s">
        <v>34</v>
      </c>
      <c r="E50" s="205"/>
      <c r="F50" s="205"/>
      <c r="G50" s="205"/>
      <c r="H50" s="214">
        <f>SUM(H48:H49)</f>
        <v>0</v>
      </c>
      <c r="I50" s="214"/>
      <c r="J50" s="214">
        <f>SUM(J48:J49)</f>
        <v>0</v>
      </c>
      <c r="K50" s="214"/>
      <c r="L50" s="214">
        <f>SUM(L48:L49)</f>
        <v>0</v>
      </c>
      <c r="M50" s="214">
        <f>SUM(H50:L50)</f>
        <v>0</v>
      </c>
    </row>
    <row r="51" spans="1:13" s="54" customFormat="1" ht="15.75">
      <c r="A51" s="45"/>
      <c r="B51" s="46"/>
      <c r="C51" s="46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1:13" s="54" customFormat="1" ht="15.75">
      <c r="A52" s="45"/>
      <c r="B52" s="46"/>
      <c r="C52" s="46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1:13" s="54" customFormat="1" ht="15.75">
      <c r="A53" s="45"/>
      <c r="B53" s="46"/>
      <c r="C53" s="46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3" s="54" customFormat="1" ht="15.75">
      <c r="A54" s="45"/>
      <c r="B54" s="46"/>
      <c r="C54" s="46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1:13" s="54" customFormat="1" ht="15.75">
      <c r="A55" s="45"/>
      <c r="B55" s="46"/>
      <c r="C55" s="46"/>
      <c r="D55" s="44"/>
      <c r="E55" s="44"/>
      <c r="F55" s="44"/>
      <c r="G55" s="44"/>
      <c r="H55" s="44"/>
      <c r="I55" s="44"/>
      <c r="J55" s="44"/>
      <c r="K55" s="44"/>
      <c r="L55" s="44"/>
      <c r="M55" s="44"/>
    </row>
  </sheetData>
  <sheetProtection/>
  <mergeCells count="24">
    <mergeCell ref="G10:H11"/>
    <mergeCell ref="I10:J11"/>
    <mergeCell ref="K10:L10"/>
    <mergeCell ref="M10:M13"/>
    <mergeCell ref="K11:L11"/>
    <mergeCell ref="H12:H13"/>
    <mergeCell ref="J12:J13"/>
    <mergeCell ref="L12:L13"/>
    <mergeCell ref="A10:A13"/>
    <mergeCell ref="B10:B13"/>
    <mergeCell ref="C10:C13"/>
    <mergeCell ref="D10:F11"/>
    <mergeCell ref="D12:D13"/>
    <mergeCell ref="E12:E13"/>
    <mergeCell ref="F12:F13"/>
    <mergeCell ref="A6:M6"/>
    <mergeCell ref="B7:D7"/>
    <mergeCell ref="F7:I7"/>
    <mergeCell ref="B8:C8"/>
    <mergeCell ref="F8:I8"/>
    <mergeCell ref="A1:M1"/>
    <mergeCell ref="A3:M3"/>
    <mergeCell ref="A4:M4"/>
    <mergeCell ref="A5:M5"/>
  </mergeCells>
  <conditionalFormatting sqref="D33 D35 E33:M35 D38 A33:C38 E37:M38 D36:E36 G36:M36 A40:M41 D42">
    <cfRule type="cellIs" priority="1" dxfId="0" operator="equal" stopIfTrue="1">
      <formula>8223.307275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N50"/>
  <sheetViews>
    <sheetView view="pageBreakPreview" zoomScale="85" zoomScaleSheetLayoutView="85" zoomScalePageLayoutView="0" workbookViewId="0" topLeftCell="A1">
      <selection activeCell="Q15" sqref="Q15"/>
    </sheetView>
  </sheetViews>
  <sheetFormatPr defaultColWidth="9.00390625" defaultRowHeight="12.75"/>
  <cols>
    <col min="1" max="1" width="3.8515625" style="1" customWidth="1"/>
    <col min="2" max="2" width="9.7109375" style="2" customWidth="1"/>
    <col min="3" max="3" width="30.7109375" style="2" customWidth="1"/>
    <col min="4" max="4" width="8.28125" style="12" customWidth="1"/>
    <col min="5" max="5" width="9.00390625" style="12" customWidth="1"/>
    <col min="6" max="6" width="9.140625" style="12" customWidth="1"/>
    <col min="7" max="7" width="9.7109375" style="12" customWidth="1"/>
    <col min="8" max="8" width="10.28125" style="12" customWidth="1"/>
    <col min="9" max="9" width="10.00390625" style="12" customWidth="1"/>
    <col min="10" max="10" width="10.28125" style="12" customWidth="1"/>
    <col min="11" max="11" width="8.8515625" style="12" customWidth="1"/>
    <col min="12" max="12" width="10.421875" style="12" customWidth="1"/>
    <col min="13" max="13" width="12.28125" style="12" customWidth="1"/>
    <col min="14" max="16384" width="9.00390625" style="17" customWidth="1"/>
  </cols>
  <sheetData>
    <row r="1" spans="1:14" ht="24" customHeight="1">
      <c r="A1" s="668" t="s">
        <v>165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56"/>
    </row>
    <row r="2" spans="1:14" ht="1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56"/>
    </row>
    <row r="3" spans="1:13" ht="15.75">
      <c r="A3" s="669" t="s">
        <v>233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</row>
    <row r="4" spans="1:13" ht="15.75">
      <c r="A4" s="669"/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</row>
    <row r="5" spans="1:13" ht="15.75">
      <c r="A5" s="670" t="s">
        <v>234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</row>
    <row r="6" spans="1:13" ht="15.75">
      <c r="A6" s="671"/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</row>
    <row r="7" spans="1:13" ht="15" customHeight="1">
      <c r="A7" s="2"/>
      <c r="B7" s="654"/>
      <c r="C7" s="654"/>
      <c r="D7" s="672"/>
      <c r="E7" s="3"/>
      <c r="F7" s="655" t="s">
        <v>1</v>
      </c>
      <c r="G7" s="655"/>
      <c r="H7" s="655"/>
      <c r="I7" s="655"/>
      <c r="J7" s="3">
        <f>M45/1000</f>
        <v>0</v>
      </c>
      <c r="K7" s="3" t="s">
        <v>0</v>
      </c>
      <c r="L7" s="3"/>
      <c r="M7" s="3"/>
    </row>
    <row r="8" spans="1:13" ht="15.75">
      <c r="A8" s="2"/>
      <c r="B8" s="654"/>
      <c r="C8" s="654"/>
      <c r="D8" s="3"/>
      <c r="E8" s="3"/>
      <c r="F8" s="655"/>
      <c r="G8" s="655"/>
      <c r="H8" s="655"/>
      <c r="I8" s="655"/>
      <c r="J8" s="3"/>
      <c r="K8" s="3"/>
      <c r="L8" s="3"/>
      <c r="M8" s="3"/>
    </row>
    <row r="9" spans="1:13" ht="15.75">
      <c r="A9" s="2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 customHeight="1">
      <c r="A10" s="656" t="s">
        <v>2</v>
      </c>
      <c r="B10" s="659" t="s">
        <v>3</v>
      </c>
      <c r="C10" s="662" t="s">
        <v>27</v>
      </c>
      <c r="D10" s="641" t="s">
        <v>4</v>
      </c>
      <c r="E10" s="665"/>
      <c r="F10" s="646"/>
      <c r="G10" s="641" t="s">
        <v>5</v>
      </c>
      <c r="H10" s="645"/>
      <c r="I10" s="641" t="s">
        <v>6</v>
      </c>
      <c r="J10" s="642"/>
      <c r="K10" s="641" t="s">
        <v>7</v>
      </c>
      <c r="L10" s="645"/>
      <c r="M10" s="646" t="s">
        <v>8</v>
      </c>
    </row>
    <row r="11" spans="1:13" ht="22.5" customHeight="1">
      <c r="A11" s="657"/>
      <c r="B11" s="660"/>
      <c r="C11" s="663"/>
      <c r="D11" s="650"/>
      <c r="E11" s="666"/>
      <c r="F11" s="667"/>
      <c r="G11" s="643"/>
      <c r="H11" s="651"/>
      <c r="I11" s="643"/>
      <c r="J11" s="644"/>
      <c r="K11" s="650" t="s">
        <v>9</v>
      </c>
      <c r="L11" s="651"/>
      <c r="M11" s="647"/>
    </row>
    <row r="12" spans="1:13" ht="15.75">
      <c r="A12" s="657"/>
      <c r="B12" s="660"/>
      <c r="C12" s="663"/>
      <c r="D12" s="652" t="s">
        <v>10</v>
      </c>
      <c r="E12" s="652" t="s">
        <v>11</v>
      </c>
      <c r="F12" s="652" t="s">
        <v>12</v>
      </c>
      <c r="G12" s="4" t="s">
        <v>11</v>
      </c>
      <c r="H12" s="652" t="s">
        <v>12</v>
      </c>
      <c r="I12" s="4" t="s">
        <v>11</v>
      </c>
      <c r="J12" s="652" t="s">
        <v>12</v>
      </c>
      <c r="K12" s="4" t="s">
        <v>11</v>
      </c>
      <c r="L12" s="652" t="s">
        <v>12</v>
      </c>
      <c r="M12" s="648"/>
    </row>
    <row r="13" spans="1:13" ht="15.75">
      <c r="A13" s="658"/>
      <c r="B13" s="661"/>
      <c r="C13" s="664"/>
      <c r="D13" s="653"/>
      <c r="E13" s="653"/>
      <c r="F13" s="653"/>
      <c r="G13" s="5" t="s">
        <v>13</v>
      </c>
      <c r="H13" s="653"/>
      <c r="I13" s="5" t="s">
        <v>13</v>
      </c>
      <c r="J13" s="653"/>
      <c r="K13" s="5" t="s">
        <v>13</v>
      </c>
      <c r="L13" s="653"/>
      <c r="M13" s="649"/>
    </row>
    <row r="14" spans="1:13" ht="15.75">
      <c r="A14" s="6" t="s">
        <v>14</v>
      </c>
      <c r="B14" s="13" t="s">
        <v>15</v>
      </c>
      <c r="C14" s="7" t="s">
        <v>16</v>
      </c>
      <c r="D14" s="9" t="s">
        <v>17</v>
      </c>
      <c r="E14" s="9" t="s">
        <v>18</v>
      </c>
      <c r="F14" s="10" t="s">
        <v>19</v>
      </c>
      <c r="G14" s="11" t="s">
        <v>20</v>
      </c>
      <c r="H14" s="8" t="s">
        <v>21</v>
      </c>
      <c r="I14" s="9" t="s">
        <v>22</v>
      </c>
      <c r="J14" s="11" t="s">
        <v>23</v>
      </c>
      <c r="K14" s="9" t="s">
        <v>24</v>
      </c>
      <c r="L14" s="8" t="s">
        <v>25</v>
      </c>
      <c r="M14" s="9" t="s">
        <v>26</v>
      </c>
    </row>
    <row r="15" spans="1:13" ht="78.75">
      <c r="A15" s="15" t="s">
        <v>64</v>
      </c>
      <c r="B15" s="89" t="s">
        <v>167</v>
      </c>
      <c r="C15" s="16" t="s">
        <v>235</v>
      </c>
      <c r="D15" s="14" t="s">
        <v>28</v>
      </c>
      <c r="E15" s="14"/>
      <c r="F15" s="24">
        <v>2.16</v>
      </c>
      <c r="G15" s="14"/>
      <c r="H15" s="18"/>
      <c r="I15" s="18"/>
      <c r="J15" s="18"/>
      <c r="K15" s="18"/>
      <c r="L15" s="18"/>
      <c r="M15" s="18"/>
    </row>
    <row r="16" spans="1:13" ht="31.5">
      <c r="A16" s="58"/>
      <c r="B16" s="89"/>
      <c r="C16" s="16" t="s">
        <v>29</v>
      </c>
      <c r="D16" s="14" t="s">
        <v>30</v>
      </c>
      <c r="E16" s="113">
        <v>10.2</v>
      </c>
      <c r="F16" s="77">
        <f>E16*F15</f>
        <v>22.032</v>
      </c>
      <c r="G16" s="60"/>
      <c r="H16" s="59">
        <f>F16*G16</f>
        <v>0</v>
      </c>
      <c r="I16" s="4"/>
      <c r="J16" s="60"/>
      <c r="K16" s="4"/>
      <c r="L16" s="59"/>
      <c r="M16" s="4">
        <f>H16</f>
        <v>0</v>
      </c>
    </row>
    <row r="17" spans="1:13" ht="15.75">
      <c r="A17" s="58"/>
      <c r="B17" s="89"/>
      <c r="C17" s="145" t="s">
        <v>134</v>
      </c>
      <c r="D17" s="146" t="s">
        <v>34</v>
      </c>
      <c r="E17" s="92">
        <v>7.99</v>
      </c>
      <c r="F17" s="77">
        <f>E17*F15</f>
        <v>17.2584</v>
      </c>
      <c r="G17" s="60"/>
      <c r="H17" s="59"/>
      <c r="I17" s="4"/>
      <c r="J17" s="60"/>
      <c r="K17" s="4"/>
      <c r="L17" s="59">
        <f>F17*K17</f>
        <v>0</v>
      </c>
      <c r="M17" s="4">
        <f>L17</f>
        <v>0</v>
      </c>
    </row>
    <row r="18" spans="1:13" ht="63">
      <c r="A18" s="134"/>
      <c r="B18" s="49"/>
      <c r="C18" s="135" t="s">
        <v>149</v>
      </c>
      <c r="D18" s="136" t="s">
        <v>35</v>
      </c>
      <c r="E18" s="74"/>
      <c r="F18" s="137">
        <f>F15*2.4</f>
        <v>5.184</v>
      </c>
      <c r="G18" s="138"/>
      <c r="H18" s="134"/>
      <c r="I18" s="49"/>
      <c r="J18" s="138"/>
      <c r="K18" s="19"/>
      <c r="L18" s="130">
        <f>F18*K18</f>
        <v>0</v>
      </c>
      <c r="M18" s="19">
        <f>L18</f>
        <v>0</v>
      </c>
    </row>
    <row r="19" spans="1:13" ht="18.75">
      <c r="A19" s="15" t="s">
        <v>79</v>
      </c>
      <c r="B19" s="18" t="s">
        <v>150</v>
      </c>
      <c r="C19" s="57" t="s">
        <v>78</v>
      </c>
      <c r="D19" s="14" t="s">
        <v>28</v>
      </c>
      <c r="E19" s="52"/>
      <c r="F19" s="24">
        <f>F15</f>
        <v>2.16</v>
      </c>
      <c r="G19" s="52"/>
      <c r="H19" s="52"/>
      <c r="I19" s="52"/>
      <c r="J19" s="52"/>
      <c r="K19" s="52"/>
      <c r="L19" s="52"/>
      <c r="M19" s="52"/>
    </row>
    <row r="20" spans="1:13" ht="31.5">
      <c r="A20" s="52"/>
      <c r="B20" s="52"/>
      <c r="C20" s="21" t="s">
        <v>29</v>
      </c>
      <c r="D20" s="14" t="s">
        <v>30</v>
      </c>
      <c r="E20" s="23">
        <f>3.52/1000</f>
        <v>0.00352</v>
      </c>
      <c r="F20" s="14">
        <f>E20*F19</f>
        <v>0.007603200000000001</v>
      </c>
      <c r="G20" s="47"/>
      <c r="H20" s="47">
        <f>F20*G20</f>
        <v>0</v>
      </c>
      <c r="I20" s="43"/>
      <c r="J20" s="43"/>
      <c r="K20" s="43"/>
      <c r="L20" s="43"/>
      <c r="M20" s="47">
        <f>H20</f>
        <v>0</v>
      </c>
    </row>
    <row r="21" spans="1:13" ht="15.75">
      <c r="A21" s="15"/>
      <c r="B21" s="15"/>
      <c r="C21" s="21" t="s">
        <v>77</v>
      </c>
      <c r="D21" s="14" t="s">
        <v>31</v>
      </c>
      <c r="E21" s="50">
        <f>3.94/1000</f>
        <v>0.00394</v>
      </c>
      <c r="F21" s="14">
        <f>E21*F19</f>
        <v>0.0085104</v>
      </c>
      <c r="G21" s="14"/>
      <c r="H21" s="14"/>
      <c r="I21" s="14"/>
      <c r="J21" s="14"/>
      <c r="K21" s="14"/>
      <c r="L21" s="14">
        <f>F21*K21</f>
        <v>0</v>
      </c>
      <c r="M21" s="14">
        <f>L21</f>
        <v>0</v>
      </c>
    </row>
    <row r="22" spans="1:13" ht="31.5">
      <c r="A22" s="15"/>
      <c r="B22" s="15"/>
      <c r="C22" s="21" t="s">
        <v>32</v>
      </c>
      <c r="D22" s="14" t="s">
        <v>30</v>
      </c>
      <c r="E22" s="14"/>
      <c r="F22" s="14">
        <f>F21</f>
        <v>0.0085104</v>
      </c>
      <c r="G22" s="14"/>
      <c r="H22" s="14">
        <f>F22*G22</f>
        <v>0</v>
      </c>
      <c r="I22" s="14"/>
      <c r="J22" s="14"/>
      <c r="K22" s="18"/>
      <c r="L22" s="18"/>
      <c r="M22" s="14">
        <f>H22</f>
        <v>0</v>
      </c>
    </row>
    <row r="23" spans="1:13" ht="15.75">
      <c r="A23" s="49"/>
      <c r="B23" s="49"/>
      <c r="C23" s="51" t="s">
        <v>39</v>
      </c>
      <c r="D23" s="49" t="s">
        <v>34</v>
      </c>
      <c r="E23" s="74">
        <f>0.19/1000</f>
        <v>0.00019</v>
      </c>
      <c r="F23" s="19">
        <f>E23*F19</f>
        <v>0.00041040000000000006</v>
      </c>
      <c r="G23" s="49"/>
      <c r="H23" s="49"/>
      <c r="I23" s="49"/>
      <c r="J23" s="49"/>
      <c r="K23" s="53"/>
      <c r="L23" s="19">
        <f>F23*K23</f>
        <v>0</v>
      </c>
      <c r="M23" s="53">
        <f>L23</f>
        <v>0</v>
      </c>
    </row>
    <row r="24" spans="1:13" ht="77.25">
      <c r="A24" s="164">
        <v>3</v>
      </c>
      <c r="B24" s="16" t="s">
        <v>236</v>
      </c>
      <c r="C24" s="91" t="s">
        <v>239</v>
      </c>
      <c r="D24" s="88" t="s">
        <v>28</v>
      </c>
      <c r="E24" s="88"/>
      <c r="F24" s="165">
        <f>19+4.1+2.1</f>
        <v>25.200000000000003</v>
      </c>
      <c r="G24" s="113"/>
      <c r="H24" s="47"/>
      <c r="I24" s="113"/>
      <c r="J24" s="113"/>
      <c r="K24" s="113"/>
      <c r="L24" s="113"/>
      <c r="M24" s="113"/>
    </row>
    <row r="25" spans="1:13" ht="31.5">
      <c r="A25" s="164"/>
      <c r="B25" s="89"/>
      <c r="C25" s="57" t="s">
        <v>29</v>
      </c>
      <c r="D25" s="14" t="s">
        <v>30</v>
      </c>
      <c r="E25" s="4">
        <v>6.6</v>
      </c>
      <c r="F25" s="4">
        <f>E25*F24</f>
        <v>166.32000000000002</v>
      </c>
      <c r="G25" s="113"/>
      <c r="H25" s="113">
        <f>F25*G25</f>
        <v>0</v>
      </c>
      <c r="I25" s="113"/>
      <c r="J25" s="113"/>
      <c r="K25" s="113"/>
      <c r="L25" s="113"/>
      <c r="M25" s="113">
        <f>H25</f>
        <v>0</v>
      </c>
    </row>
    <row r="26" spans="1:13" ht="15.75">
      <c r="A26" s="164"/>
      <c r="B26" s="89"/>
      <c r="C26" s="112" t="s">
        <v>232</v>
      </c>
      <c r="D26" s="14" t="s">
        <v>31</v>
      </c>
      <c r="E26" s="88">
        <f>9.6/100</f>
        <v>0.096</v>
      </c>
      <c r="F26" s="4">
        <f>E26*F24</f>
        <v>2.4192000000000005</v>
      </c>
      <c r="G26" s="113"/>
      <c r="H26" s="113"/>
      <c r="I26" s="113"/>
      <c r="J26" s="113"/>
      <c r="K26" s="4"/>
      <c r="L26" s="113">
        <f>F26*K26</f>
        <v>0</v>
      </c>
      <c r="M26" s="113">
        <f>L26</f>
        <v>0</v>
      </c>
    </row>
    <row r="27" spans="1:13" ht="31.5">
      <c r="A27" s="164"/>
      <c r="B27" s="89"/>
      <c r="C27" s="21" t="s">
        <v>32</v>
      </c>
      <c r="D27" s="14" t="s">
        <v>30</v>
      </c>
      <c r="E27" s="88"/>
      <c r="F27" s="4">
        <f>F26</f>
        <v>2.4192000000000005</v>
      </c>
      <c r="G27" s="4"/>
      <c r="H27" s="4">
        <f>F27*G27</f>
        <v>0</v>
      </c>
      <c r="I27" s="4"/>
      <c r="J27" s="4"/>
      <c r="K27" s="4"/>
      <c r="L27" s="4"/>
      <c r="M27" s="4">
        <f>H27</f>
        <v>0</v>
      </c>
    </row>
    <row r="28" spans="1:13" ht="15.75">
      <c r="A28" s="88"/>
      <c r="B28" s="89"/>
      <c r="C28" s="112" t="s">
        <v>39</v>
      </c>
      <c r="D28" s="88" t="s">
        <v>34</v>
      </c>
      <c r="E28" s="88">
        <v>0.399</v>
      </c>
      <c r="F28" s="4">
        <f>E28*F24</f>
        <v>10.054800000000002</v>
      </c>
      <c r="G28" s="113"/>
      <c r="H28" s="113"/>
      <c r="I28" s="113"/>
      <c r="J28" s="113"/>
      <c r="K28" s="113"/>
      <c r="L28" s="113">
        <f>F28*K28</f>
        <v>0</v>
      </c>
      <c r="M28" s="113">
        <f>L28</f>
        <v>0</v>
      </c>
    </row>
    <row r="29" spans="1:13" ht="18.75">
      <c r="A29" s="58"/>
      <c r="B29" s="89"/>
      <c r="C29" s="114" t="s">
        <v>128</v>
      </c>
      <c r="D29" s="58" t="s">
        <v>28</v>
      </c>
      <c r="E29" s="88">
        <v>1.015</v>
      </c>
      <c r="F29" s="77">
        <f>E29*F24</f>
        <v>25.578</v>
      </c>
      <c r="G29" s="166"/>
      <c r="H29" s="167"/>
      <c r="I29" s="4"/>
      <c r="J29" s="60">
        <f>F29*I29</f>
        <v>0</v>
      </c>
      <c r="K29" s="4"/>
      <c r="L29" s="59"/>
      <c r="M29" s="4">
        <f>J29</f>
        <v>0</v>
      </c>
    </row>
    <row r="30" spans="1:13" ht="18.75">
      <c r="A30" s="58"/>
      <c r="B30" s="89"/>
      <c r="C30" s="114" t="s">
        <v>237</v>
      </c>
      <c r="D30" s="58" t="s">
        <v>28</v>
      </c>
      <c r="E30" s="88">
        <f>2.47/100</f>
        <v>0.024700000000000003</v>
      </c>
      <c r="F30" s="77">
        <f>E30*F24</f>
        <v>0.6224400000000001</v>
      </c>
      <c r="G30" s="166"/>
      <c r="H30" s="167"/>
      <c r="I30" s="4"/>
      <c r="J30" s="60">
        <f aca="true" t="shared" si="0" ref="J30:J36">F30*I30</f>
        <v>0</v>
      </c>
      <c r="K30" s="4"/>
      <c r="L30" s="59"/>
      <c r="M30" s="4">
        <f aca="true" t="shared" si="1" ref="M30:M36">J30</f>
        <v>0</v>
      </c>
    </row>
    <row r="31" spans="1:13" ht="18.75">
      <c r="A31" s="58"/>
      <c r="B31" s="89"/>
      <c r="C31" s="114" t="s">
        <v>129</v>
      </c>
      <c r="D31" s="58" t="s">
        <v>58</v>
      </c>
      <c r="E31" s="88">
        <v>0.39</v>
      </c>
      <c r="F31" s="77">
        <f>E31*F24</f>
        <v>9.828000000000001</v>
      </c>
      <c r="G31" s="166"/>
      <c r="H31" s="167"/>
      <c r="I31" s="4"/>
      <c r="J31" s="60">
        <f t="shared" si="0"/>
        <v>0</v>
      </c>
      <c r="K31" s="4"/>
      <c r="L31" s="59"/>
      <c r="M31" s="4">
        <f t="shared" si="1"/>
        <v>0</v>
      </c>
    </row>
    <row r="32" spans="1:13" ht="18.75">
      <c r="A32" s="58"/>
      <c r="B32" s="89"/>
      <c r="C32" s="114" t="s">
        <v>130</v>
      </c>
      <c r="D32" s="58" t="s">
        <v>28</v>
      </c>
      <c r="E32" s="88">
        <f>4.68/100</f>
        <v>0.046799999999999994</v>
      </c>
      <c r="F32" s="77">
        <f>E32*F24</f>
        <v>1.17936</v>
      </c>
      <c r="G32" s="166"/>
      <c r="H32" s="167"/>
      <c r="I32" s="4"/>
      <c r="J32" s="60">
        <f t="shared" si="0"/>
        <v>0</v>
      </c>
      <c r="K32" s="4"/>
      <c r="L32" s="59"/>
      <c r="M32" s="4">
        <f t="shared" si="1"/>
        <v>0</v>
      </c>
    </row>
    <row r="33" spans="1:13" ht="31.5">
      <c r="A33" s="58"/>
      <c r="B33" s="89"/>
      <c r="C33" s="114" t="s">
        <v>244</v>
      </c>
      <c r="D33" s="58" t="s">
        <v>28</v>
      </c>
      <c r="E33" s="88">
        <f>(7.4+0.53)/100</f>
        <v>0.07930000000000001</v>
      </c>
      <c r="F33" s="77">
        <f>E33*F24</f>
        <v>1.9983600000000004</v>
      </c>
      <c r="G33" s="166"/>
      <c r="H33" s="167"/>
      <c r="I33" s="4"/>
      <c r="J33" s="60">
        <f t="shared" si="0"/>
        <v>0</v>
      </c>
      <c r="K33" s="4"/>
      <c r="L33" s="59"/>
      <c r="M33" s="4">
        <f t="shared" si="1"/>
        <v>0</v>
      </c>
    </row>
    <row r="34" spans="1:13" ht="15.75">
      <c r="A34" s="58"/>
      <c r="B34" s="82"/>
      <c r="C34" s="114" t="s">
        <v>132</v>
      </c>
      <c r="D34" s="58" t="s">
        <v>226</v>
      </c>
      <c r="E34" s="88">
        <v>1.93</v>
      </c>
      <c r="F34" s="77">
        <f>E34*F24</f>
        <v>48.636</v>
      </c>
      <c r="G34" s="166"/>
      <c r="H34" s="167"/>
      <c r="I34" s="4"/>
      <c r="J34" s="60">
        <f t="shared" si="0"/>
        <v>0</v>
      </c>
      <c r="K34" s="4"/>
      <c r="L34" s="59"/>
      <c r="M34" s="4">
        <f t="shared" si="1"/>
        <v>0</v>
      </c>
    </row>
    <row r="35" spans="1:13" ht="15.75">
      <c r="A35" s="58"/>
      <c r="B35" s="82"/>
      <c r="C35" s="114" t="s">
        <v>238</v>
      </c>
      <c r="D35" s="58" t="s">
        <v>226</v>
      </c>
      <c r="E35" s="4">
        <v>11.6</v>
      </c>
      <c r="F35" s="77">
        <f>E35*F24</f>
        <v>292.32000000000005</v>
      </c>
      <c r="G35" s="166"/>
      <c r="H35" s="167"/>
      <c r="I35" s="4"/>
      <c r="J35" s="60">
        <f t="shared" si="0"/>
        <v>0</v>
      </c>
      <c r="K35" s="4"/>
      <c r="L35" s="59"/>
      <c r="M35" s="4">
        <f t="shared" si="1"/>
        <v>0</v>
      </c>
    </row>
    <row r="36" spans="1:13" ht="15.75">
      <c r="A36" s="69"/>
      <c r="B36" s="155"/>
      <c r="C36" s="168" t="s">
        <v>40</v>
      </c>
      <c r="D36" s="69" t="s">
        <v>34</v>
      </c>
      <c r="E36" s="115">
        <v>1.56</v>
      </c>
      <c r="F36" s="71">
        <f>E36*F24</f>
        <v>39.312000000000005</v>
      </c>
      <c r="G36" s="169"/>
      <c r="H36" s="170"/>
      <c r="I36" s="5"/>
      <c r="J36" s="70">
        <f t="shared" si="0"/>
        <v>0</v>
      </c>
      <c r="K36" s="5"/>
      <c r="L36" s="70"/>
      <c r="M36" s="5">
        <f t="shared" si="1"/>
        <v>0</v>
      </c>
    </row>
    <row r="37" spans="1:13" ht="31.5">
      <c r="A37" s="164">
        <v>4</v>
      </c>
      <c r="B37" s="61" t="s">
        <v>212</v>
      </c>
      <c r="C37" s="171" t="s">
        <v>240</v>
      </c>
      <c r="D37" s="96" t="s">
        <v>28</v>
      </c>
      <c r="E37" s="97"/>
      <c r="F37" s="63">
        <v>13.9</v>
      </c>
      <c r="G37" s="97"/>
      <c r="H37" s="97"/>
      <c r="I37" s="97"/>
      <c r="J37" s="97"/>
      <c r="K37" s="97"/>
      <c r="L37" s="97"/>
      <c r="M37" s="97"/>
    </row>
    <row r="38" spans="1:13" ht="31.5">
      <c r="A38" s="52"/>
      <c r="B38" s="157"/>
      <c r="C38" s="21" t="s">
        <v>29</v>
      </c>
      <c r="D38" s="148" t="s">
        <v>30</v>
      </c>
      <c r="E38" s="43">
        <v>2.78</v>
      </c>
      <c r="F38" s="77">
        <f>E38*F37</f>
        <v>38.641999999999996</v>
      </c>
      <c r="G38" s="47"/>
      <c r="H38" s="47">
        <f>F38*G38</f>
        <v>0</v>
      </c>
      <c r="I38" s="43"/>
      <c r="J38" s="43"/>
      <c r="K38" s="43"/>
      <c r="L38" s="43"/>
      <c r="M38" s="47">
        <f>H38</f>
        <v>0</v>
      </c>
    </row>
    <row r="39" spans="1:13" ht="15.75">
      <c r="A39" s="52"/>
      <c r="B39" s="52"/>
      <c r="C39" s="43" t="s">
        <v>134</v>
      </c>
      <c r="D39" s="52" t="s">
        <v>34</v>
      </c>
      <c r="E39" s="43">
        <f>0.26/100</f>
        <v>0.0026</v>
      </c>
      <c r="F39" s="77">
        <f>E39*F37</f>
        <v>0.03614</v>
      </c>
      <c r="G39" s="43"/>
      <c r="H39" s="43"/>
      <c r="I39" s="43"/>
      <c r="J39" s="43"/>
      <c r="K39" s="43"/>
      <c r="L39" s="132">
        <f>F39*K39</f>
        <v>0</v>
      </c>
      <c r="M39" s="132">
        <f>L39</f>
        <v>0</v>
      </c>
    </row>
    <row r="40" spans="1:13" ht="18.75">
      <c r="A40" s="49"/>
      <c r="B40" s="49"/>
      <c r="C40" s="51" t="s">
        <v>241</v>
      </c>
      <c r="D40" s="19" t="s">
        <v>28</v>
      </c>
      <c r="E40" s="51">
        <v>1.01</v>
      </c>
      <c r="F40" s="5">
        <f>E40*F37</f>
        <v>14.039</v>
      </c>
      <c r="G40" s="51"/>
      <c r="H40" s="51"/>
      <c r="I40" s="53"/>
      <c r="J40" s="51">
        <f>F40*I40</f>
        <v>0</v>
      </c>
      <c r="K40" s="51"/>
      <c r="L40" s="51"/>
      <c r="M40" s="51">
        <f>J40</f>
        <v>0</v>
      </c>
    </row>
    <row r="41" spans="1:13" s="54" customFormat="1" ht="15.75">
      <c r="A41" s="37"/>
      <c r="B41" s="15"/>
      <c r="C41" s="31" t="s">
        <v>12</v>
      </c>
      <c r="D41" s="27" t="s">
        <v>34</v>
      </c>
      <c r="E41" s="14"/>
      <c r="F41" s="14"/>
      <c r="G41" s="14"/>
      <c r="H41" s="14">
        <f>SUM(H15:H40)</f>
        <v>0</v>
      </c>
      <c r="I41" s="14"/>
      <c r="J41" s="14">
        <f>SUM(J15:J40)</f>
        <v>0</v>
      </c>
      <c r="K41" s="18"/>
      <c r="L41" s="14">
        <f>SUM(L16:L40)</f>
        <v>0</v>
      </c>
      <c r="M41" s="14">
        <f>SUM(M16:M40)</f>
        <v>0</v>
      </c>
    </row>
    <row r="42" spans="1:13" s="54" customFormat="1" ht="15.75">
      <c r="A42" s="26"/>
      <c r="B42" s="25"/>
      <c r="C42" s="26" t="s">
        <v>36</v>
      </c>
      <c r="D42" s="27" t="s">
        <v>34</v>
      </c>
      <c r="E42" s="28">
        <v>0.1</v>
      </c>
      <c r="F42" s="29"/>
      <c r="G42" s="30"/>
      <c r="H42" s="28">
        <f>E42*H41</f>
        <v>0</v>
      </c>
      <c r="I42" s="28"/>
      <c r="J42" s="28">
        <f>E42*J41</f>
        <v>0</v>
      </c>
      <c r="K42" s="28"/>
      <c r="L42" s="28">
        <f>E42*L41</f>
        <v>0</v>
      </c>
      <c r="M42" s="28">
        <f>SUM(H42:L42)</f>
        <v>0</v>
      </c>
    </row>
    <row r="43" spans="1:13" s="54" customFormat="1" ht="15.75">
      <c r="A43" s="31"/>
      <c r="B43" s="25"/>
      <c r="C43" s="31" t="s">
        <v>12</v>
      </c>
      <c r="D43" s="27" t="s">
        <v>34</v>
      </c>
      <c r="E43" s="32"/>
      <c r="F43" s="31"/>
      <c r="G43" s="31"/>
      <c r="H43" s="32">
        <f>SUM(H41:H42)</f>
        <v>0</v>
      </c>
      <c r="I43" s="32"/>
      <c r="J43" s="32">
        <f>SUM(J41:J42)</f>
        <v>0</v>
      </c>
      <c r="K43" s="32"/>
      <c r="L43" s="32">
        <f>SUM(L41:L42)</f>
        <v>0</v>
      </c>
      <c r="M43" s="32">
        <f>SUM(H43:L43)</f>
        <v>0</v>
      </c>
    </row>
    <row r="44" spans="1:13" s="54" customFormat="1" ht="15.75">
      <c r="A44" s="26"/>
      <c r="B44" s="25"/>
      <c r="C44" s="25" t="s">
        <v>37</v>
      </c>
      <c r="D44" s="27" t="s">
        <v>34</v>
      </c>
      <c r="E44" s="28">
        <v>0.08</v>
      </c>
      <c r="F44" s="33"/>
      <c r="G44" s="28"/>
      <c r="H44" s="28">
        <f>E44*H43</f>
        <v>0</v>
      </c>
      <c r="I44" s="28"/>
      <c r="J44" s="28">
        <f>E44*J43</f>
        <v>0</v>
      </c>
      <c r="K44" s="28"/>
      <c r="L44" s="28">
        <f>E44*L43</f>
        <v>0</v>
      </c>
      <c r="M44" s="28">
        <f>SUM(H44:L44)</f>
        <v>0</v>
      </c>
    </row>
    <row r="45" spans="1:13" s="54" customFormat="1" ht="15.75">
      <c r="A45" s="34"/>
      <c r="B45" s="55"/>
      <c r="C45" s="34" t="s">
        <v>12</v>
      </c>
      <c r="D45" s="35" t="s">
        <v>34</v>
      </c>
      <c r="E45" s="34"/>
      <c r="F45" s="34"/>
      <c r="G45" s="34"/>
      <c r="H45" s="36">
        <f>SUM(H43:H44)</f>
        <v>0</v>
      </c>
      <c r="I45" s="36"/>
      <c r="J45" s="36">
        <f>SUM(J43:J44)</f>
        <v>0</v>
      </c>
      <c r="K45" s="36"/>
      <c r="L45" s="36">
        <f>SUM(L43:L44)</f>
        <v>0</v>
      </c>
      <c r="M45" s="36">
        <f>SUM(H45:L45)</f>
        <v>0</v>
      </c>
    </row>
    <row r="46" spans="1:13" s="54" customFormat="1" ht="15.75">
      <c r="A46" s="45"/>
      <c r="B46" s="46"/>
      <c r="C46" s="46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s="54" customFormat="1" ht="15.75">
      <c r="A47" s="45"/>
      <c r="B47" s="46"/>
      <c r="C47" s="46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3" s="54" customFormat="1" ht="15.75">
      <c r="A48" s="45"/>
      <c r="B48" s="46"/>
      <c r="C48" s="46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s="54" customFormat="1" ht="15.75">
      <c r="A49" s="45"/>
      <c r="B49" s="46"/>
      <c r="C49" s="46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 s="54" customFormat="1" ht="15.75">
      <c r="A50" s="45"/>
      <c r="B50" s="46"/>
      <c r="C50" s="46"/>
      <c r="D50" s="44"/>
      <c r="E50" s="44"/>
      <c r="F50" s="44"/>
      <c r="G50" s="44"/>
      <c r="H50" s="44"/>
      <c r="I50" s="44"/>
      <c r="J50" s="44"/>
      <c r="K50" s="44"/>
      <c r="L50" s="44"/>
      <c r="M50" s="44"/>
    </row>
  </sheetData>
  <sheetProtection/>
  <mergeCells count="24">
    <mergeCell ref="A1:M1"/>
    <mergeCell ref="A3:M3"/>
    <mergeCell ref="A4:M4"/>
    <mergeCell ref="A5:M5"/>
    <mergeCell ref="A6:M6"/>
    <mergeCell ref="B7:D7"/>
    <mergeCell ref="F7:I7"/>
    <mergeCell ref="B8:C8"/>
    <mergeCell ref="F8:I8"/>
    <mergeCell ref="A10:A13"/>
    <mergeCell ref="B10:B13"/>
    <mergeCell ref="C10:C13"/>
    <mergeCell ref="D10:F11"/>
    <mergeCell ref="D12:D13"/>
    <mergeCell ref="E12:E13"/>
    <mergeCell ref="F12:F13"/>
    <mergeCell ref="G10:H11"/>
    <mergeCell ref="I10:J11"/>
    <mergeCell ref="K10:L10"/>
    <mergeCell ref="M10:M13"/>
    <mergeCell ref="K11:L11"/>
    <mergeCell ref="H12:H13"/>
    <mergeCell ref="J12:J13"/>
    <mergeCell ref="L12:L13"/>
  </mergeCells>
  <printOptions/>
  <pageMargins left="0.5905511811023623" right="0" top="0.5905511811023623" bottom="0.5905511811023623" header="0.5118110236220472" footer="0.5118110236220472"/>
  <pageSetup horizontalDpi="300" verticalDpi="3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view="pageBreakPreview" zoomScale="85" zoomScaleSheetLayoutView="85" zoomScalePageLayoutView="0" workbookViewId="0" topLeftCell="A1">
      <selection activeCell="E76" sqref="E76"/>
    </sheetView>
  </sheetViews>
  <sheetFormatPr defaultColWidth="9.00390625" defaultRowHeight="12.75"/>
  <cols>
    <col min="1" max="1" width="3.8515625" style="1" customWidth="1"/>
    <col min="2" max="2" width="9.7109375" style="2" customWidth="1"/>
    <col min="3" max="3" width="30.7109375" style="2" customWidth="1"/>
    <col min="4" max="4" width="8.28125" style="12" customWidth="1"/>
    <col min="5" max="5" width="9.00390625" style="12" customWidth="1"/>
    <col min="6" max="6" width="9.140625" style="12" customWidth="1"/>
    <col min="7" max="7" width="9.7109375" style="12" customWidth="1"/>
    <col min="8" max="8" width="10.28125" style="12" customWidth="1"/>
    <col min="9" max="9" width="10.00390625" style="12" customWidth="1"/>
    <col min="10" max="10" width="10.28125" style="12" customWidth="1"/>
    <col min="11" max="11" width="8.8515625" style="12" customWidth="1"/>
    <col min="12" max="12" width="10.421875" style="12" customWidth="1"/>
    <col min="13" max="13" width="12.28125" style="12" customWidth="1"/>
    <col min="14" max="16384" width="9.00390625" style="17" customWidth="1"/>
  </cols>
  <sheetData>
    <row r="1" spans="1:14" ht="24" customHeight="1">
      <c r="A1" s="668" t="s">
        <v>165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56"/>
    </row>
    <row r="2" spans="1:14" ht="1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56"/>
    </row>
    <row r="3" spans="1:13" ht="14.25">
      <c r="A3" s="669" t="s">
        <v>249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</row>
    <row r="4" spans="1:13" ht="14.25">
      <c r="A4" s="669"/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</row>
    <row r="5" spans="1:13" ht="14.25">
      <c r="A5" s="670" t="s">
        <v>331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</row>
    <row r="6" spans="1:13" ht="14.25">
      <c r="A6" s="671"/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</row>
    <row r="7" spans="1:13" ht="15" customHeight="1">
      <c r="A7" s="2"/>
      <c r="B7" s="654"/>
      <c r="C7" s="654"/>
      <c r="D7" s="672"/>
      <c r="E7" s="3"/>
      <c r="F7" s="655" t="s">
        <v>1</v>
      </c>
      <c r="G7" s="655"/>
      <c r="H7" s="655"/>
      <c r="I7" s="655"/>
      <c r="J7" s="3">
        <f>M79/1000</f>
        <v>0</v>
      </c>
      <c r="K7" s="3" t="s">
        <v>0</v>
      </c>
      <c r="L7" s="3"/>
      <c r="M7" s="3"/>
    </row>
    <row r="8" spans="1:13" ht="14.25">
      <c r="A8" s="2"/>
      <c r="B8" s="654"/>
      <c r="C8" s="654"/>
      <c r="D8" s="3"/>
      <c r="E8" s="3"/>
      <c r="F8" s="655"/>
      <c r="G8" s="655"/>
      <c r="H8" s="655"/>
      <c r="I8" s="655"/>
      <c r="J8" s="3"/>
      <c r="K8" s="3"/>
      <c r="L8" s="3"/>
      <c r="M8" s="3"/>
    </row>
    <row r="9" spans="1:13" ht="14.25">
      <c r="A9" s="2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 customHeight="1">
      <c r="A10" s="656" t="s">
        <v>2</v>
      </c>
      <c r="B10" s="659" t="s">
        <v>3</v>
      </c>
      <c r="C10" s="662" t="s">
        <v>27</v>
      </c>
      <c r="D10" s="641" t="s">
        <v>4</v>
      </c>
      <c r="E10" s="665"/>
      <c r="F10" s="646"/>
      <c r="G10" s="641" t="s">
        <v>5</v>
      </c>
      <c r="H10" s="645"/>
      <c r="I10" s="641" t="s">
        <v>6</v>
      </c>
      <c r="J10" s="642"/>
      <c r="K10" s="641" t="s">
        <v>7</v>
      </c>
      <c r="L10" s="645"/>
      <c r="M10" s="646" t="s">
        <v>8</v>
      </c>
    </row>
    <row r="11" spans="1:13" ht="22.5" customHeight="1">
      <c r="A11" s="657"/>
      <c r="B11" s="660"/>
      <c r="C11" s="663"/>
      <c r="D11" s="650"/>
      <c r="E11" s="666"/>
      <c r="F11" s="667"/>
      <c r="G11" s="643"/>
      <c r="H11" s="651"/>
      <c r="I11" s="643"/>
      <c r="J11" s="644"/>
      <c r="K11" s="650" t="s">
        <v>9</v>
      </c>
      <c r="L11" s="651"/>
      <c r="M11" s="647"/>
    </row>
    <row r="12" spans="1:13" ht="14.25">
      <c r="A12" s="657"/>
      <c r="B12" s="660"/>
      <c r="C12" s="663"/>
      <c r="D12" s="652" t="s">
        <v>10</v>
      </c>
      <c r="E12" s="652" t="s">
        <v>11</v>
      </c>
      <c r="F12" s="652" t="s">
        <v>12</v>
      </c>
      <c r="G12" s="4" t="s">
        <v>11</v>
      </c>
      <c r="H12" s="652" t="s">
        <v>12</v>
      </c>
      <c r="I12" s="4" t="s">
        <v>11</v>
      </c>
      <c r="J12" s="652" t="s">
        <v>12</v>
      </c>
      <c r="K12" s="4" t="s">
        <v>11</v>
      </c>
      <c r="L12" s="652" t="s">
        <v>12</v>
      </c>
      <c r="M12" s="648"/>
    </row>
    <row r="13" spans="1:13" ht="14.25">
      <c r="A13" s="658"/>
      <c r="B13" s="661"/>
      <c r="C13" s="664"/>
      <c r="D13" s="653"/>
      <c r="E13" s="653"/>
      <c r="F13" s="653"/>
      <c r="G13" s="5" t="s">
        <v>13</v>
      </c>
      <c r="H13" s="653"/>
      <c r="I13" s="5" t="s">
        <v>13</v>
      </c>
      <c r="J13" s="653"/>
      <c r="K13" s="5" t="s">
        <v>13</v>
      </c>
      <c r="L13" s="653"/>
      <c r="M13" s="649"/>
    </row>
    <row r="14" spans="1:13" ht="14.25">
      <c r="A14" s="6" t="s">
        <v>14</v>
      </c>
      <c r="B14" s="13" t="s">
        <v>15</v>
      </c>
      <c r="C14" s="7" t="s">
        <v>16</v>
      </c>
      <c r="D14" s="9" t="s">
        <v>17</v>
      </c>
      <c r="E14" s="9" t="s">
        <v>18</v>
      </c>
      <c r="F14" s="10" t="s">
        <v>19</v>
      </c>
      <c r="G14" s="11" t="s">
        <v>20</v>
      </c>
      <c r="H14" s="8" t="s">
        <v>21</v>
      </c>
      <c r="I14" s="9" t="s">
        <v>22</v>
      </c>
      <c r="J14" s="11" t="s">
        <v>23</v>
      </c>
      <c r="K14" s="9" t="s">
        <v>24</v>
      </c>
      <c r="L14" s="8" t="s">
        <v>25</v>
      </c>
      <c r="M14" s="9" t="s">
        <v>26</v>
      </c>
    </row>
    <row r="15" spans="1:13" ht="57">
      <c r="A15" s="127" t="s">
        <v>64</v>
      </c>
      <c r="B15" s="15" t="s">
        <v>250</v>
      </c>
      <c r="C15" s="3" t="s">
        <v>245</v>
      </c>
      <c r="D15" s="59" t="s">
        <v>28</v>
      </c>
      <c r="E15" s="14"/>
      <c r="F15" s="173">
        <v>55.05</v>
      </c>
      <c r="H15" s="98"/>
      <c r="I15" s="14"/>
      <c r="K15" s="18"/>
      <c r="L15" s="163"/>
      <c r="M15" s="14"/>
    </row>
    <row r="16" spans="1:13" ht="14.25">
      <c r="A16" s="15"/>
      <c r="B16" s="15"/>
      <c r="C16" s="21" t="s">
        <v>29</v>
      </c>
      <c r="D16" s="14" t="s">
        <v>30</v>
      </c>
      <c r="E16" s="14">
        <f>13.2/1000</f>
        <v>0.0132</v>
      </c>
      <c r="F16" s="14">
        <f>E16*F15</f>
        <v>0.72666</v>
      </c>
      <c r="G16" s="14"/>
      <c r="H16" s="14">
        <f>F16*G16</f>
        <v>0</v>
      </c>
      <c r="I16" s="14"/>
      <c r="J16" s="14"/>
      <c r="K16" s="18"/>
      <c r="L16" s="18"/>
      <c r="M16" s="14">
        <f>H16</f>
        <v>0</v>
      </c>
    </row>
    <row r="17" spans="1:13" ht="28.5">
      <c r="A17" s="15"/>
      <c r="B17" s="15"/>
      <c r="C17" s="21" t="s">
        <v>252</v>
      </c>
      <c r="D17" s="14" t="s">
        <v>31</v>
      </c>
      <c r="E17" s="14">
        <f>29.5/1000</f>
        <v>0.0295</v>
      </c>
      <c r="F17" s="14">
        <f>E17*F15</f>
        <v>1.6239749999999997</v>
      </c>
      <c r="G17" s="14"/>
      <c r="H17" s="14"/>
      <c r="I17" s="14"/>
      <c r="J17" s="14"/>
      <c r="K17" s="14"/>
      <c r="L17" s="14">
        <f>F17*K17</f>
        <v>0</v>
      </c>
      <c r="M17" s="14">
        <f>L17</f>
        <v>0</v>
      </c>
    </row>
    <row r="18" spans="1:13" ht="28.5">
      <c r="A18" s="15"/>
      <c r="B18" s="15"/>
      <c r="C18" s="21" t="s">
        <v>32</v>
      </c>
      <c r="D18" s="14" t="s">
        <v>30</v>
      </c>
      <c r="E18" s="14"/>
      <c r="F18" s="98">
        <f>F17</f>
        <v>1.6239749999999997</v>
      </c>
      <c r="G18" s="14"/>
      <c r="H18" s="14">
        <f>F18*G18</f>
        <v>0</v>
      </c>
      <c r="I18" s="14"/>
      <c r="J18" s="14"/>
      <c r="K18" s="18"/>
      <c r="L18" s="18"/>
      <c r="M18" s="14">
        <f>H18</f>
        <v>0</v>
      </c>
    </row>
    <row r="19" spans="1:13" ht="14.25">
      <c r="A19" s="15"/>
      <c r="B19" s="15"/>
      <c r="C19" s="21" t="s">
        <v>39</v>
      </c>
      <c r="D19" s="14" t="s">
        <v>34</v>
      </c>
      <c r="E19" s="23">
        <f>2.1/1000</f>
        <v>0.0021000000000000003</v>
      </c>
      <c r="F19" s="98">
        <f>E19*F15</f>
        <v>0.11560500000000001</v>
      </c>
      <c r="G19" s="14"/>
      <c r="H19" s="14"/>
      <c r="I19" s="14"/>
      <c r="J19" s="14"/>
      <c r="K19" s="14"/>
      <c r="L19" s="14">
        <f>F19*K19</f>
        <v>0</v>
      </c>
      <c r="M19" s="14">
        <f>L19</f>
        <v>0</v>
      </c>
    </row>
    <row r="20" spans="1:13" ht="28.5">
      <c r="A20" s="69"/>
      <c r="B20" s="48"/>
      <c r="C20" s="93" t="s">
        <v>251</v>
      </c>
      <c r="D20" s="70" t="s">
        <v>35</v>
      </c>
      <c r="E20" s="5"/>
      <c r="F20" s="71">
        <f>F15*1.8</f>
        <v>99.09</v>
      </c>
      <c r="G20" s="72"/>
      <c r="H20" s="70"/>
      <c r="I20" s="5"/>
      <c r="J20" s="72"/>
      <c r="K20" s="5"/>
      <c r="L20" s="70">
        <f>F20*K20</f>
        <v>0</v>
      </c>
      <c r="M20" s="5">
        <f>L20</f>
        <v>0</v>
      </c>
    </row>
    <row r="21" spans="1:13" ht="42.75">
      <c r="A21" s="58">
        <v>2</v>
      </c>
      <c r="B21" s="78" t="s">
        <v>254</v>
      </c>
      <c r="C21" s="3" t="s">
        <v>253</v>
      </c>
      <c r="D21" s="59" t="s">
        <v>28</v>
      </c>
      <c r="E21" s="4"/>
      <c r="F21" s="90">
        <v>24.2</v>
      </c>
      <c r="G21" s="60"/>
      <c r="H21" s="59"/>
      <c r="I21" s="4"/>
      <c r="J21" s="60"/>
      <c r="K21" s="4"/>
      <c r="L21" s="59"/>
      <c r="M21" s="4"/>
    </row>
    <row r="22" spans="1:13" ht="14.25">
      <c r="A22" s="81"/>
      <c r="B22" s="82"/>
      <c r="C22" s="83" t="s">
        <v>29</v>
      </c>
      <c r="D22" s="79" t="s">
        <v>30</v>
      </c>
      <c r="E22" s="84">
        <f>9.96/1000</f>
        <v>0.00996</v>
      </c>
      <c r="F22" s="79">
        <f>E22*F21</f>
        <v>0.241032</v>
      </c>
      <c r="G22" s="79"/>
      <c r="H22" s="79">
        <f>F22*G22</f>
        <v>0</v>
      </c>
      <c r="I22" s="80"/>
      <c r="J22" s="80"/>
      <c r="K22" s="80"/>
      <c r="L22" s="80"/>
      <c r="M22" s="80">
        <f>H22</f>
        <v>0</v>
      </c>
    </row>
    <row r="23" spans="1:13" ht="14.25">
      <c r="A23" s="85"/>
      <c r="B23" s="15"/>
      <c r="C23" s="83" t="s">
        <v>100</v>
      </c>
      <c r="D23" s="79" t="s">
        <v>31</v>
      </c>
      <c r="E23" s="84">
        <f>22.3/1000</f>
        <v>0.0223</v>
      </c>
      <c r="F23" s="79">
        <f>E23*F21</f>
        <v>0.53966</v>
      </c>
      <c r="G23" s="79"/>
      <c r="H23" s="79"/>
      <c r="I23" s="80"/>
      <c r="J23" s="86"/>
      <c r="K23" s="14"/>
      <c r="L23" s="87">
        <f>F23*K23</f>
        <v>0</v>
      </c>
      <c r="M23" s="80">
        <f>L23</f>
        <v>0</v>
      </c>
    </row>
    <row r="24" spans="1:13" ht="28.5">
      <c r="A24" s="99"/>
      <c r="B24" s="100"/>
      <c r="C24" s="101" t="s">
        <v>32</v>
      </c>
      <c r="D24" s="102" t="s">
        <v>30</v>
      </c>
      <c r="E24" s="102"/>
      <c r="F24" s="102">
        <f>F23</f>
        <v>0.53966</v>
      </c>
      <c r="G24" s="102"/>
      <c r="H24" s="102">
        <f>F24*G24</f>
        <v>0</v>
      </c>
      <c r="I24" s="103"/>
      <c r="J24" s="104"/>
      <c r="K24" s="103"/>
      <c r="L24" s="105"/>
      <c r="M24" s="103">
        <f>H24</f>
        <v>0</v>
      </c>
    </row>
    <row r="25" spans="1:13" ht="57">
      <c r="A25" s="1">
        <v>3</v>
      </c>
      <c r="B25" s="94" t="s">
        <v>246</v>
      </c>
      <c r="C25" s="2" t="s">
        <v>255</v>
      </c>
      <c r="D25" s="14" t="s">
        <v>28</v>
      </c>
      <c r="E25" s="14"/>
      <c r="F25" s="24">
        <v>5.2</v>
      </c>
      <c r="G25" s="14"/>
      <c r="H25" s="14"/>
      <c r="I25" s="14"/>
      <c r="J25" s="14"/>
      <c r="K25" s="14"/>
      <c r="L25" s="14"/>
      <c r="M25" s="14"/>
    </row>
    <row r="26" spans="1:13" ht="14.25">
      <c r="A26" s="15"/>
      <c r="B26" s="15"/>
      <c r="C26" s="21" t="s">
        <v>29</v>
      </c>
      <c r="D26" s="14" t="s">
        <v>30</v>
      </c>
      <c r="E26" s="14">
        <f>2.06+0.87</f>
        <v>2.93</v>
      </c>
      <c r="F26" s="14">
        <f>E26*F25</f>
        <v>15.236</v>
      </c>
      <c r="G26" s="14"/>
      <c r="H26" s="14">
        <f>F26*G26</f>
        <v>0</v>
      </c>
      <c r="I26" s="14"/>
      <c r="J26" s="14"/>
      <c r="K26" s="18"/>
      <c r="L26" s="18"/>
      <c r="M26" s="14">
        <f>H26</f>
        <v>0</v>
      </c>
    </row>
    <row r="27" spans="1:13" ht="28.5">
      <c r="A27" s="69"/>
      <c r="B27" s="48"/>
      <c r="C27" s="93" t="s">
        <v>251</v>
      </c>
      <c r="D27" s="70" t="s">
        <v>35</v>
      </c>
      <c r="E27" s="5"/>
      <c r="F27" s="71">
        <f>F25*1.8</f>
        <v>9.360000000000001</v>
      </c>
      <c r="G27" s="72"/>
      <c r="H27" s="70"/>
      <c r="I27" s="5"/>
      <c r="J27" s="72"/>
      <c r="K27" s="5"/>
      <c r="L27" s="70">
        <f>F27*K27</f>
        <v>0</v>
      </c>
      <c r="M27" s="5">
        <f>L27</f>
        <v>0</v>
      </c>
    </row>
    <row r="28" spans="1:13" ht="14.25">
      <c r="A28" s="57">
        <v>4</v>
      </c>
      <c r="B28" s="61" t="s">
        <v>113</v>
      </c>
      <c r="C28" s="62" t="s">
        <v>78</v>
      </c>
      <c r="D28" s="96" t="s">
        <v>28</v>
      </c>
      <c r="E28" s="97"/>
      <c r="F28" s="63">
        <f>F15+F25</f>
        <v>60.25</v>
      </c>
      <c r="G28" s="97"/>
      <c r="H28" s="97"/>
      <c r="I28" s="97"/>
      <c r="J28" s="97"/>
      <c r="K28" s="97"/>
      <c r="L28" s="97"/>
      <c r="M28" s="97"/>
    </row>
    <row r="29" spans="1:13" ht="14.25">
      <c r="A29" s="52"/>
      <c r="B29" s="52"/>
      <c r="C29" s="21" t="s">
        <v>29</v>
      </c>
      <c r="D29" s="14" t="s">
        <v>30</v>
      </c>
      <c r="E29" s="23">
        <f>3.23/1000</f>
        <v>0.00323</v>
      </c>
      <c r="F29" s="4">
        <f>E29*F28</f>
        <v>0.1946075</v>
      </c>
      <c r="G29" s="47"/>
      <c r="H29" s="47">
        <f>F29*G29</f>
        <v>0</v>
      </c>
      <c r="I29" s="43"/>
      <c r="J29" s="43"/>
      <c r="K29" s="43"/>
      <c r="L29" s="43"/>
      <c r="M29" s="47">
        <f>H29</f>
        <v>0</v>
      </c>
    </row>
    <row r="30" spans="1:13" ht="14.25">
      <c r="A30" s="15"/>
      <c r="B30" s="15"/>
      <c r="C30" s="21" t="s">
        <v>77</v>
      </c>
      <c r="D30" s="14" t="s">
        <v>31</v>
      </c>
      <c r="E30" s="50">
        <f>3.62/1000</f>
        <v>0.00362</v>
      </c>
      <c r="F30" s="4">
        <f>E30*F28</f>
        <v>0.218105</v>
      </c>
      <c r="G30" s="14"/>
      <c r="H30" s="14"/>
      <c r="I30" s="14"/>
      <c r="J30" s="14"/>
      <c r="K30" s="14"/>
      <c r="L30" s="14">
        <f>F30*K30</f>
        <v>0</v>
      </c>
      <c r="M30" s="14">
        <f>L30</f>
        <v>0</v>
      </c>
    </row>
    <row r="31" spans="1:13" ht="28.5">
      <c r="A31" s="15"/>
      <c r="B31" s="15"/>
      <c r="C31" s="21" t="s">
        <v>32</v>
      </c>
      <c r="D31" s="14" t="s">
        <v>30</v>
      </c>
      <c r="E31" s="14"/>
      <c r="F31" s="4">
        <f>F30</f>
        <v>0.218105</v>
      </c>
      <c r="G31" s="14"/>
      <c r="H31" s="14">
        <f>F31*G31</f>
        <v>0</v>
      </c>
      <c r="I31" s="14"/>
      <c r="J31" s="14"/>
      <c r="K31" s="18"/>
      <c r="L31" s="18"/>
      <c r="M31" s="14">
        <f>H31</f>
        <v>0</v>
      </c>
    </row>
    <row r="32" spans="1:13" ht="14.25">
      <c r="A32" s="49"/>
      <c r="B32" s="49"/>
      <c r="C32" s="51" t="s">
        <v>39</v>
      </c>
      <c r="D32" s="49" t="s">
        <v>34</v>
      </c>
      <c r="E32" s="74">
        <f>0.18/1000</f>
        <v>0.00017999999999999998</v>
      </c>
      <c r="F32" s="71">
        <f>E32*F28</f>
        <v>0.010844999999999999</v>
      </c>
      <c r="G32" s="49"/>
      <c r="H32" s="49"/>
      <c r="I32" s="49"/>
      <c r="J32" s="49"/>
      <c r="K32" s="53"/>
      <c r="L32" s="71">
        <f>F32*K32</f>
        <v>0</v>
      </c>
      <c r="M32" s="19">
        <f>L32</f>
        <v>0</v>
      </c>
    </row>
    <row r="33" spans="1:13" ht="42.75">
      <c r="A33" s="57">
        <v>5</v>
      </c>
      <c r="B33" s="15" t="s">
        <v>257</v>
      </c>
      <c r="C33" s="57" t="s">
        <v>256</v>
      </c>
      <c r="D33" s="14" t="s">
        <v>157</v>
      </c>
      <c r="E33" s="179"/>
      <c r="F33" s="90">
        <v>0</v>
      </c>
      <c r="G33" s="52"/>
      <c r="H33" s="52"/>
      <c r="I33" s="52"/>
      <c r="J33" s="52"/>
      <c r="K33" s="47"/>
      <c r="L33" s="77"/>
      <c r="M33" s="14"/>
    </row>
    <row r="34" spans="1:13" ht="14.25">
      <c r="A34" s="58"/>
      <c r="B34" s="133"/>
      <c r="C34" s="21" t="s">
        <v>29</v>
      </c>
      <c r="D34" s="14" t="s">
        <v>30</v>
      </c>
      <c r="E34" s="23">
        <f>0.973*0.6</f>
        <v>0.5838</v>
      </c>
      <c r="F34" s="47">
        <f>E34*F33</f>
        <v>0</v>
      </c>
      <c r="G34" s="47"/>
      <c r="H34" s="47">
        <f>F34*G34</f>
        <v>0</v>
      </c>
      <c r="I34" s="43"/>
      <c r="J34" s="43"/>
      <c r="K34" s="43"/>
      <c r="L34" s="43"/>
      <c r="M34" s="47">
        <f>H34</f>
        <v>0</v>
      </c>
    </row>
    <row r="35" spans="1:13" ht="14.25">
      <c r="A35" s="58"/>
      <c r="B35" s="133"/>
      <c r="C35" s="140" t="s">
        <v>134</v>
      </c>
      <c r="D35" s="59" t="s">
        <v>34</v>
      </c>
      <c r="E35" s="23">
        <f>0.483*0.6</f>
        <v>0.2898</v>
      </c>
      <c r="F35" s="77">
        <f>E35*F33</f>
        <v>0</v>
      </c>
      <c r="G35" s="60"/>
      <c r="H35" s="59"/>
      <c r="I35" s="4"/>
      <c r="J35" s="60"/>
      <c r="K35" s="4"/>
      <c r="L35" s="59">
        <f>F35*K35</f>
        <v>0</v>
      </c>
      <c r="M35" s="4">
        <f>L35</f>
        <v>0</v>
      </c>
    </row>
    <row r="36" spans="1:13" ht="28.5">
      <c r="A36" s="49"/>
      <c r="B36" s="49"/>
      <c r="C36" s="73" t="s">
        <v>258</v>
      </c>
      <c r="D36" s="19" t="s">
        <v>35</v>
      </c>
      <c r="E36" s="74"/>
      <c r="F36" s="71">
        <f>0.153*7</f>
        <v>1.071</v>
      </c>
      <c r="G36" s="49"/>
      <c r="H36" s="49"/>
      <c r="I36" s="49"/>
      <c r="J36" s="49"/>
      <c r="K36" s="19"/>
      <c r="L36" s="71">
        <f>F36*K36</f>
        <v>0</v>
      </c>
      <c r="M36" s="19">
        <f>L36</f>
        <v>0</v>
      </c>
    </row>
    <row r="37" spans="1:13" ht="28.5">
      <c r="A37" s="177" t="s">
        <v>259</v>
      </c>
      <c r="B37" s="15" t="s">
        <v>138</v>
      </c>
      <c r="C37" s="172" t="s">
        <v>247</v>
      </c>
      <c r="D37" s="162" t="s">
        <v>28</v>
      </c>
      <c r="E37" s="162"/>
      <c r="F37" s="178">
        <v>8.08</v>
      </c>
      <c r="G37" s="144"/>
      <c r="H37" s="144"/>
      <c r="I37" s="144"/>
      <c r="J37" s="144"/>
      <c r="K37" s="144"/>
      <c r="L37" s="144"/>
      <c r="M37" s="144"/>
    </row>
    <row r="38" spans="1:13" ht="14.25">
      <c r="A38" s="98"/>
      <c r="B38" s="15"/>
      <c r="C38" s="21" t="s">
        <v>29</v>
      </c>
      <c r="D38" s="14" t="s">
        <v>30</v>
      </c>
      <c r="E38" s="4">
        <v>2.12</v>
      </c>
      <c r="F38" s="4">
        <f>E38*F37</f>
        <v>17.1296</v>
      </c>
      <c r="G38" s="4"/>
      <c r="H38" s="59">
        <f>F38*G38</f>
        <v>0</v>
      </c>
      <c r="I38" s="4"/>
      <c r="J38" s="60"/>
      <c r="K38" s="4"/>
      <c r="L38" s="59"/>
      <c r="M38" s="4">
        <f>H38</f>
        <v>0</v>
      </c>
    </row>
    <row r="39" spans="1:13" ht="14.25">
      <c r="A39" s="98"/>
      <c r="B39" s="15"/>
      <c r="C39" s="3" t="s">
        <v>39</v>
      </c>
      <c r="D39" s="98" t="s">
        <v>34</v>
      </c>
      <c r="E39" s="23">
        <v>0.101</v>
      </c>
      <c r="F39" s="14">
        <f>E39*F37</f>
        <v>0.81608</v>
      </c>
      <c r="G39" s="14"/>
      <c r="H39" s="98"/>
      <c r="I39" s="14"/>
      <c r="K39" s="14"/>
      <c r="L39" s="98">
        <f>F39*K39</f>
        <v>0</v>
      </c>
      <c r="M39" s="14">
        <f>L39</f>
        <v>0</v>
      </c>
    </row>
    <row r="40" spans="1:13" ht="14.25">
      <c r="A40" s="130"/>
      <c r="B40" s="22"/>
      <c r="C40" s="129" t="s">
        <v>139</v>
      </c>
      <c r="D40" s="69" t="s">
        <v>28</v>
      </c>
      <c r="E40" s="19">
        <v>1.22</v>
      </c>
      <c r="F40" s="19">
        <f>E40*F37</f>
        <v>9.8576</v>
      </c>
      <c r="G40" s="19"/>
      <c r="H40" s="130"/>
      <c r="I40" s="19"/>
      <c r="J40" s="131">
        <f>F40*I40</f>
        <v>0</v>
      </c>
      <c r="K40" s="19"/>
      <c r="L40" s="130"/>
      <c r="M40" s="19">
        <f>J40</f>
        <v>0</v>
      </c>
    </row>
    <row r="41" spans="1:15" ht="28.5">
      <c r="A41" s="58">
        <v>7</v>
      </c>
      <c r="B41" s="15" t="s">
        <v>257</v>
      </c>
      <c r="C41" s="140" t="s">
        <v>261</v>
      </c>
      <c r="D41" s="59" t="s">
        <v>157</v>
      </c>
      <c r="E41" s="4"/>
      <c r="F41" s="90">
        <v>25</v>
      </c>
      <c r="G41" s="60"/>
      <c r="H41" s="59"/>
      <c r="I41" s="4"/>
      <c r="J41" s="60"/>
      <c r="K41" s="4"/>
      <c r="L41" s="59"/>
      <c r="M41" s="4"/>
      <c r="O41" s="17" t="s">
        <v>325</v>
      </c>
    </row>
    <row r="42" spans="1:13" ht="14.25">
      <c r="A42" s="58"/>
      <c r="B42" s="133"/>
      <c r="C42" s="21" t="s">
        <v>29</v>
      </c>
      <c r="D42" s="14" t="s">
        <v>30</v>
      </c>
      <c r="E42" s="23">
        <v>0.973</v>
      </c>
      <c r="F42" s="47">
        <f>E42*F41</f>
        <v>24.325</v>
      </c>
      <c r="G42" s="47"/>
      <c r="H42" s="47">
        <f>F42*G42</f>
        <v>0</v>
      </c>
      <c r="I42" s="43"/>
      <c r="J42" s="43"/>
      <c r="K42" s="43"/>
      <c r="L42" s="43"/>
      <c r="M42" s="47">
        <f>H42</f>
        <v>0</v>
      </c>
    </row>
    <row r="43" spans="1:13" ht="14.25">
      <c r="A43" s="58"/>
      <c r="B43" s="133"/>
      <c r="C43" s="140" t="s">
        <v>134</v>
      </c>
      <c r="D43" s="59" t="s">
        <v>34</v>
      </c>
      <c r="E43" s="23">
        <v>0.483</v>
      </c>
      <c r="F43" s="77">
        <f>E43*F41</f>
        <v>12.075</v>
      </c>
      <c r="G43" s="60"/>
      <c r="H43" s="59"/>
      <c r="I43" s="4"/>
      <c r="J43" s="60"/>
      <c r="K43" s="4"/>
      <c r="L43" s="59">
        <f>F43*K43</f>
        <v>0</v>
      </c>
      <c r="M43" s="4">
        <f>L43</f>
        <v>0</v>
      </c>
    </row>
    <row r="44" spans="1:13" ht="14.25">
      <c r="A44" s="58"/>
      <c r="B44" s="133"/>
      <c r="C44" s="140" t="s">
        <v>260</v>
      </c>
      <c r="D44" s="59" t="s">
        <v>157</v>
      </c>
      <c r="E44" s="23">
        <v>0.995</v>
      </c>
      <c r="F44" s="77">
        <f>E44*F41</f>
        <v>24.875</v>
      </c>
      <c r="G44" s="60"/>
      <c r="H44" s="59"/>
      <c r="I44" s="4"/>
      <c r="J44" s="60">
        <f>F44*I44</f>
        <v>0</v>
      </c>
      <c r="K44" s="4"/>
      <c r="L44" s="59"/>
      <c r="M44" s="4">
        <f>J44</f>
        <v>0</v>
      </c>
    </row>
    <row r="45" spans="1:13" ht="14.25">
      <c r="A45" s="69"/>
      <c r="B45" s="48"/>
      <c r="C45" s="141" t="s">
        <v>40</v>
      </c>
      <c r="D45" s="70" t="s">
        <v>34</v>
      </c>
      <c r="E45" s="5">
        <v>0.22</v>
      </c>
      <c r="F45" s="71">
        <f>E45*F41</f>
        <v>5.5</v>
      </c>
      <c r="G45" s="72"/>
      <c r="H45" s="70"/>
      <c r="I45" s="5"/>
      <c r="J45" s="72">
        <f>F45*I45</f>
        <v>0</v>
      </c>
      <c r="K45" s="5"/>
      <c r="L45" s="70"/>
      <c r="M45" s="5">
        <f>J45</f>
        <v>0</v>
      </c>
    </row>
    <row r="46" spans="1:13" ht="42.75">
      <c r="A46" s="116">
        <v>9</v>
      </c>
      <c r="B46" s="117" t="s">
        <v>133</v>
      </c>
      <c r="C46" s="21" t="s">
        <v>262</v>
      </c>
      <c r="D46" s="14" t="s">
        <v>58</v>
      </c>
      <c r="E46" s="151"/>
      <c r="F46" s="152">
        <v>36.8</v>
      </c>
      <c r="G46" s="118"/>
      <c r="H46" s="118"/>
      <c r="I46" s="118"/>
      <c r="J46" s="118"/>
      <c r="K46" s="118"/>
      <c r="L46" s="118"/>
      <c r="M46" s="119"/>
    </row>
    <row r="47" spans="1:13" ht="14.25">
      <c r="A47" s="15"/>
      <c r="B47" s="15"/>
      <c r="C47" s="21" t="s">
        <v>29</v>
      </c>
      <c r="D47" s="14" t="s">
        <v>30</v>
      </c>
      <c r="E47" s="14">
        <v>0.564</v>
      </c>
      <c r="F47" s="14">
        <f>E47*F46</f>
        <v>20.755199999999995</v>
      </c>
      <c r="G47" s="47"/>
      <c r="H47" s="47">
        <f>F47*G47</f>
        <v>0</v>
      </c>
      <c r="I47" s="47"/>
      <c r="J47" s="47"/>
      <c r="K47" s="47"/>
      <c r="L47" s="47"/>
      <c r="M47" s="47">
        <f>H47</f>
        <v>0</v>
      </c>
    </row>
    <row r="48" spans="1:13" ht="14.25">
      <c r="A48" s="116"/>
      <c r="B48" s="117"/>
      <c r="C48" s="21" t="s">
        <v>134</v>
      </c>
      <c r="D48" s="14" t="s">
        <v>34</v>
      </c>
      <c r="E48" s="120">
        <f>4.09/100</f>
        <v>0.0409</v>
      </c>
      <c r="F48" s="79">
        <f>E48*F46</f>
        <v>1.5051199999999998</v>
      </c>
      <c r="G48" s="118"/>
      <c r="H48" s="118"/>
      <c r="I48" s="118"/>
      <c r="J48" s="118"/>
      <c r="K48" s="118"/>
      <c r="L48" s="118">
        <f>F48*K48</f>
        <v>0</v>
      </c>
      <c r="M48" s="119">
        <f>L48</f>
        <v>0</v>
      </c>
    </row>
    <row r="49" spans="1:13" ht="14.25">
      <c r="A49" s="116"/>
      <c r="B49" s="117"/>
      <c r="C49" s="21" t="s">
        <v>135</v>
      </c>
      <c r="D49" s="14" t="s">
        <v>35</v>
      </c>
      <c r="E49" s="120">
        <f>0.16/100</f>
        <v>0.0016</v>
      </c>
      <c r="F49" s="79">
        <f>E49*F46</f>
        <v>0.058879999999999995</v>
      </c>
      <c r="G49" s="118"/>
      <c r="H49" s="118"/>
      <c r="I49" s="118"/>
      <c r="J49" s="118">
        <f>F49*I49</f>
        <v>0</v>
      </c>
      <c r="K49" s="118"/>
      <c r="L49" s="118"/>
      <c r="M49" s="119">
        <f>J49</f>
        <v>0</v>
      </c>
    </row>
    <row r="50" spans="1:13" ht="14.25">
      <c r="A50" s="116"/>
      <c r="B50" s="117"/>
      <c r="C50" s="21" t="s">
        <v>136</v>
      </c>
      <c r="D50" s="14" t="s">
        <v>35</v>
      </c>
      <c r="E50" s="120">
        <f>0.45/100</f>
        <v>0.0045000000000000005</v>
      </c>
      <c r="F50" s="79">
        <f>E50*F46</f>
        <v>0.1656</v>
      </c>
      <c r="G50" s="118"/>
      <c r="H50" s="118"/>
      <c r="I50" s="79"/>
      <c r="J50" s="79">
        <f>F50*I50</f>
        <v>0</v>
      </c>
      <c r="K50" s="79"/>
      <c r="L50" s="79"/>
      <c r="M50" s="121">
        <f>J50</f>
        <v>0</v>
      </c>
    </row>
    <row r="51" spans="1:13" ht="14.25">
      <c r="A51" s="116"/>
      <c r="B51" s="117"/>
      <c r="C51" s="21" t="s">
        <v>137</v>
      </c>
      <c r="D51" s="14" t="s">
        <v>28</v>
      </c>
      <c r="E51" s="120">
        <f>0.75/100</f>
        <v>0.0075</v>
      </c>
      <c r="F51" s="79">
        <f>E51*F46</f>
        <v>0.27599999999999997</v>
      </c>
      <c r="G51" s="118"/>
      <c r="H51" s="118"/>
      <c r="I51" s="79"/>
      <c r="J51" s="79">
        <f>F51*I51</f>
        <v>0</v>
      </c>
      <c r="K51" s="79"/>
      <c r="L51" s="79"/>
      <c r="M51" s="121">
        <f>J51</f>
        <v>0</v>
      </c>
    </row>
    <row r="52" spans="1:13" ht="14.25">
      <c r="A52" s="122"/>
      <c r="B52" s="123"/>
      <c r="C52" s="76" t="s">
        <v>40</v>
      </c>
      <c r="D52" s="19" t="s">
        <v>34</v>
      </c>
      <c r="E52" s="124">
        <f>26.5/100</f>
        <v>0.265</v>
      </c>
      <c r="F52" s="102">
        <f>E52*F46</f>
        <v>9.751999999999999</v>
      </c>
      <c r="G52" s="125"/>
      <c r="H52" s="125"/>
      <c r="I52" s="125"/>
      <c r="J52" s="125">
        <f>F52*I52</f>
        <v>0</v>
      </c>
      <c r="K52" s="125"/>
      <c r="L52" s="125"/>
      <c r="M52" s="126">
        <f>J52</f>
        <v>0</v>
      </c>
    </row>
    <row r="53" spans="1:13" ht="57">
      <c r="A53" s="58">
        <v>10</v>
      </c>
      <c r="B53" s="15" t="s">
        <v>243</v>
      </c>
      <c r="C53" s="140" t="s">
        <v>263</v>
      </c>
      <c r="D53" s="96" t="s">
        <v>28</v>
      </c>
      <c r="E53" s="4"/>
      <c r="F53" s="90">
        <v>35.28</v>
      </c>
      <c r="G53" s="60"/>
      <c r="H53" s="59"/>
      <c r="I53" s="4"/>
      <c r="J53" s="60"/>
      <c r="K53" s="4"/>
      <c r="L53" s="59"/>
      <c r="M53" s="4"/>
    </row>
    <row r="54" spans="1:13" ht="14.25">
      <c r="A54" s="52"/>
      <c r="B54" s="15"/>
      <c r="C54" s="57" t="s">
        <v>29</v>
      </c>
      <c r="D54" s="14" t="s">
        <v>30</v>
      </c>
      <c r="E54" s="113">
        <v>2.81</v>
      </c>
      <c r="F54" s="4">
        <f>E54*F53</f>
        <v>99.13680000000001</v>
      </c>
      <c r="G54" s="113"/>
      <c r="H54" s="113">
        <f>F54*G54</f>
        <v>0</v>
      </c>
      <c r="I54" s="113"/>
      <c r="J54" s="113"/>
      <c r="K54" s="113"/>
      <c r="L54" s="113"/>
      <c r="M54" s="113">
        <f>H54</f>
        <v>0</v>
      </c>
    </row>
    <row r="55" spans="1:13" ht="14.25">
      <c r="A55" s="52"/>
      <c r="B55" s="15"/>
      <c r="C55" s="43" t="s">
        <v>134</v>
      </c>
      <c r="D55" s="18" t="s">
        <v>34</v>
      </c>
      <c r="E55" s="43">
        <v>0.33</v>
      </c>
      <c r="F55" s="14">
        <f>E55*F53</f>
        <v>11.6424</v>
      </c>
      <c r="G55" s="47"/>
      <c r="H55" s="47"/>
      <c r="I55" s="47"/>
      <c r="J55" s="47"/>
      <c r="K55" s="47"/>
      <c r="L55" s="47">
        <f>F55*K55</f>
        <v>0</v>
      </c>
      <c r="M55" s="47">
        <f>L55</f>
        <v>0</v>
      </c>
    </row>
    <row r="56" spans="1:13" ht="14.25">
      <c r="A56" s="52"/>
      <c r="B56" s="89"/>
      <c r="C56" s="43" t="s">
        <v>128</v>
      </c>
      <c r="D56" s="88" t="s">
        <v>28</v>
      </c>
      <c r="E56" s="43">
        <v>1.02</v>
      </c>
      <c r="F56" s="14">
        <f>E56*F53</f>
        <v>35.985600000000005</v>
      </c>
      <c r="G56" s="47"/>
      <c r="H56" s="47"/>
      <c r="I56" s="4"/>
      <c r="J56" s="47">
        <f aca="true" t="shared" si="0" ref="J56:J61">F56*I56</f>
        <v>0</v>
      </c>
      <c r="K56" s="47"/>
      <c r="L56" s="47"/>
      <c r="M56" s="47">
        <f aca="true" t="shared" si="1" ref="M56:M61">J56</f>
        <v>0</v>
      </c>
    </row>
    <row r="57" spans="1:13" ht="14.25">
      <c r="A57" s="52"/>
      <c r="B57" s="89"/>
      <c r="C57" s="91" t="s">
        <v>129</v>
      </c>
      <c r="D57" s="88" t="s">
        <v>58</v>
      </c>
      <c r="E57" s="43">
        <v>0.717</v>
      </c>
      <c r="F57" s="14">
        <f>E57*F53</f>
        <v>25.29576</v>
      </c>
      <c r="G57" s="47"/>
      <c r="H57" s="47"/>
      <c r="I57" s="4"/>
      <c r="J57" s="47">
        <f t="shared" si="0"/>
        <v>0</v>
      </c>
      <c r="K57" s="47"/>
      <c r="L57" s="47"/>
      <c r="M57" s="47">
        <f t="shared" si="1"/>
        <v>0</v>
      </c>
    </row>
    <row r="58" spans="1:13" ht="14.25">
      <c r="A58" s="52"/>
      <c r="B58" s="89"/>
      <c r="C58" s="112" t="s">
        <v>130</v>
      </c>
      <c r="D58" s="88" t="s">
        <v>28</v>
      </c>
      <c r="E58" s="43">
        <f>0.13/100</f>
        <v>0.0013</v>
      </c>
      <c r="F58" s="50">
        <f>E58*F53</f>
        <v>0.045864</v>
      </c>
      <c r="G58" s="47"/>
      <c r="H58" s="47"/>
      <c r="I58" s="4"/>
      <c r="J58" s="47">
        <f t="shared" si="0"/>
        <v>0</v>
      </c>
      <c r="K58" s="47"/>
      <c r="L58" s="47"/>
      <c r="M58" s="47">
        <f t="shared" si="1"/>
        <v>0</v>
      </c>
    </row>
    <row r="59" spans="1:13" ht="28.5">
      <c r="A59" s="52"/>
      <c r="B59" s="89"/>
      <c r="C59" s="91" t="s">
        <v>131</v>
      </c>
      <c r="D59" s="88" t="s">
        <v>28</v>
      </c>
      <c r="E59" s="50">
        <f>1.52/100</f>
        <v>0.0152</v>
      </c>
      <c r="F59" s="50">
        <f>E59*F53</f>
        <v>0.5362560000000001</v>
      </c>
      <c r="G59" s="47"/>
      <c r="H59" s="47"/>
      <c r="I59" s="4"/>
      <c r="J59" s="14">
        <f t="shared" si="0"/>
        <v>0</v>
      </c>
      <c r="K59" s="14"/>
      <c r="L59" s="14"/>
      <c r="M59" s="14">
        <f t="shared" si="1"/>
        <v>0</v>
      </c>
    </row>
    <row r="60" spans="1:13" ht="14.25">
      <c r="A60" s="52"/>
      <c r="B60" s="82"/>
      <c r="C60" s="112" t="s">
        <v>132</v>
      </c>
      <c r="D60" s="88" t="s">
        <v>35</v>
      </c>
      <c r="E60" s="43">
        <f>0.09/100</f>
        <v>0.0009</v>
      </c>
      <c r="F60" s="50">
        <f>E60*F53</f>
        <v>0.031752</v>
      </c>
      <c r="G60" s="47"/>
      <c r="H60" s="47"/>
      <c r="I60" s="47"/>
      <c r="J60" s="47">
        <f t="shared" si="0"/>
        <v>0</v>
      </c>
      <c r="K60" s="47"/>
      <c r="L60" s="47"/>
      <c r="M60" s="47">
        <f t="shared" si="1"/>
        <v>0</v>
      </c>
    </row>
    <row r="61" spans="1:13" ht="14.25">
      <c r="A61" s="49"/>
      <c r="B61" s="22"/>
      <c r="C61" s="142" t="s">
        <v>40</v>
      </c>
      <c r="D61" s="115" t="s">
        <v>34</v>
      </c>
      <c r="E61" s="51">
        <v>0.16</v>
      </c>
      <c r="F61" s="19">
        <f>E61*F53</f>
        <v>5.6448</v>
      </c>
      <c r="G61" s="53"/>
      <c r="H61" s="53"/>
      <c r="I61" s="53"/>
      <c r="J61" s="53">
        <f t="shared" si="0"/>
        <v>0</v>
      </c>
      <c r="K61" s="53"/>
      <c r="L61" s="53"/>
      <c r="M61" s="53">
        <f t="shared" si="1"/>
        <v>0</v>
      </c>
    </row>
    <row r="62" spans="1:13" ht="42.75">
      <c r="A62" s="116">
        <v>11</v>
      </c>
      <c r="B62" s="117" t="s">
        <v>133</v>
      </c>
      <c r="C62" s="21" t="s">
        <v>264</v>
      </c>
      <c r="D62" s="14" t="s">
        <v>58</v>
      </c>
      <c r="E62" s="151"/>
      <c r="F62" s="152">
        <v>78.52</v>
      </c>
      <c r="G62" s="118"/>
      <c r="H62" s="118"/>
      <c r="I62" s="118"/>
      <c r="J62" s="118"/>
      <c r="K62" s="118"/>
      <c r="L62" s="118"/>
      <c r="M62" s="119"/>
    </row>
    <row r="63" spans="1:13" ht="14.25">
      <c r="A63" s="15"/>
      <c r="B63" s="15"/>
      <c r="C63" s="21" t="s">
        <v>29</v>
      </c>
      <c r="D63" s="14" t="s">
        <v>30</v>
      </c>
      <c r="E63" s="14">
        <v>0.564</v>
      </c>
      <c r="F63" s="14">
        <f>E63*F62</f>
        <v>44.28527999999999</v>
      </c>
      <c r="G63" s="47"/>
      <c r="H63" s="47">
        <f>F63*G63</f>
        <v>0</v>
      </c>
      <c r="I63" s="47"/>
      <c r="J63" s="47"/>
      <c r="K63" s="47"/>
      <c r="L63" s="47"/>
      <c r="M63" s="47">
        <f>H63</f>
        <v>0</v>
      </c>
    </row>
    <row r="64" spans="1:13" ht="14.25">
      <c r="A64" s="116"/>
      <c r="B64" s="117"/>
      <c r="C64" s="21" t="s">
        <v>134</v>
      </c>
      <c r="D64" s="14" t="s">
        <v>34</v>
      </c>
      <c r="E64" s="120">
        <f>4.09/100</f>
        <v>0.0409</v>
      </c>
      <c r="F64" s="79">
        <f>E64*F62</f>
        <v>3.2114679999999995</v>
      </c>
      <c r="G64" s="118"/>
      <c r="H64" s="118"/>
      <c r="I64" s="118"/>
      <c r="J64" s="118"/>
      <c r="K64" s="118"/>
      <c r="L64" s="118">
        <f>F64*K64</f>
        <v>0</v>
      </c>
      <c r="M64" s="119">
        <f>L64</f>
        <v>0</v>
      </c>
    </row>
    <row r="65" spans="1:13" ht="14.25">
      <c r="A65" s="116"/>
      <c r="B65" s="117"/>
      <c r="C65" s="21" t="s">
        <v>135</v>
      </c>
      <c r="D65" s="14" t="s">
        <v>35</v>
      </c>
      <c r="E65" s="120">
        <f>0.16/100</f>
        <v>0.0016</v>
      </c>
      <c r="F65" s="79">
        <f>E65*F62</f>
        <v>0.125632</v>
      </c>
      <c r="G65" s="118"/>
      <c r="H65" s="118"/>
      <c r="I65" s="118"/>
      <c r="J65" s="118">
        <f>F65*I65</f>
        <v>0</v>
      </c>
      <c r="K65" s="118"/>
      <c r="L65" s="118"/>
      <c r="M65" s="119">
        <f>J65</f>
        <v>0</v>
      </c>
    </row>
    <row r="66" spans="1:13" ht="14.25">
      <c r="A66" s="116"/>
      <c r="B66" s="117"/>
      <c r="C66" s="21" t="s">
        <v>136</v>
      </c>
      <c r="D66" s="14" t="s">
        <v>35</v>
      </c>
      <c r="E66" s="120">
        <f>0.45/100</f>
        <v>0.0045000000000000005</v>
      </c>
      <c r="F66" s="79">
        <f>E66*F62</f>
        <v>0.35334000000000004</v>
      </c>
      <c r="G66" s="118"/>
      <c r="H66" s="118"/>
      <c r="I66" s="79"/>
      <c r="J66" s="79">
        <f>F66*I66</f>
        <v>0</v>
      </c>
      <c r="K66" s="79"/>
      <c r="L66" s="79"/>
      <c r="M66" s="121">
        <f>J66</f>
        <v>0</v>
      </c>
    </row>
    <row r="67" spans="1:13" s="54" customFormat="1" ht="14.25">
      <c r="A67" s="116"/>
      <c r="B67" s="117"/>
      <c r="C67" s="21" t="s">
        <v>137</v>
      </c>
      <c r="D67" s="14" t="s">
        <v>28</v>
      </c>
      <c r="E67" s="120">
        <f>0.75/100</f>
        <v>0.0075</v>
      </c>
      <c r="F67" s="79">
        <f>E67*F62</f>
        <v>0.5889</v>
      </c>
      <c r="G67" s="118"/>
      <c r="H67" s="118"/>
      <c r="I67" s="79"/>
      <c r="J67" s="79">
        <f>F67*I67</f>
        <v>0</v>
      </c>
      <c r="K67" s="79"/>
      <c r="L67" s="79"/>
      <c r="M67" s="121">
        <f>J67</f>
        <v>0</v>
      </c>
    </row>
    <row r="68" spans="1:13" s="54" customFormat="1" ht="14.25">
      <c r="A68" s="122"/>
      <c r="B68" s="123"/>
      <c r="C68" s="76" t="s">
        <v>40</v>
      </c>
      <c r="D68" s="19" t="s">
        <v>34</v>
      </c>
      <c r="E68" s="124">
        <f>26.5/100</f>
        <v>0.265</v>
      </c>
      <c r="F68" s="102">
        <f>E68*F62</f>
        <v>20.8078</v>
      </c>
      <c r="G68" s="125"/>
      <c r="H68" s="125"/>
      <c r="I68" s="125"/>
      <c r="J68" s="125">
        <f>F68*I68</f>
        <v>0</v>
      </c>
      <c r="K68" s="125"/>
      <c r="L68" s="125"/>
      <c r="M68" s="126">
        <f>J68</f>
        <v>0</v>
      </c>
    </row>
    <row r="69" spans="1:13" s="54" customFormat="1" ht="28.5">
      <c r="A69" s="88">
        <v>12</v>
      </c>
      <c r="B69" s="143" t="s">
        <v>163</v>
      </c>
      <c r="C69" s="91" t="s">
        <v>265</v>
      </c>
      <c r="D69" s="58" t="s">
        <v>28</v>
      </c>
      <c r="E69" s="4"/>
      <c r="F69" s="90">
        <v>11.4</v>
      </c>
      <c r="G69" s="60"/>
      <c r="H69" s="59"/>
      <c r="I69" s="4"/>
      <c r="J69" s="60"/>
      <c r="K69" s="4"/>
      <c r="L69" s="59"/>
      <c r="M69" s="4"/>
    </row>
    <row r="70" spans="1:13" s="54" customFormat="1" ht="14.25">
      <c r="A70" s="22"/>
      <c r="B70" s="22"/>
      <c r="C70" s="76" t="s">
        <v>29</v>
      </c>
      <c r="D70" s="19" t="s">
        <v>30</v>
      </c>
      <c r="E70" s="106">
        <v>1.21</v>
      </c>
      <c r="F70" s="19">
        <f>E70*F69</f>
        <v>13.794</v>
      </c>
      <c r="G70" s="19"/>
      <c r="H70" s="19">
        <f>F70*G70</f>
        <v>0</v>
      </c>
      <c r="I70" s="19"/>
      <c r="J70" s="19"/>
      <c r="K70" s="20"/>
      <c r="L70" s="20"/>
      <c r="M70" s="19">
        <f>H70</f>
        <v>0</v>
      </c>
    </row>
    <row r="71" spans="1:17" s="54" customFormat="1" ht="28.5">
      <c r="A71" s="61">
        <v>13</v>
      </c>
      <c r="B71" s="61"/>
      <c r="C71" s="171" t="s">
        <v>240</v>
      </c>
      <c r="D71" s="96" t="s">
        <v>28</v>
      </c>
      <c r="E71" s="97"/>
      <c r="F71" s="63">
        <v>2.25</v>
      </c>
      <c r="G71" s="97"/>
      <c r="H71" s="97"/>
      <c r="I71" s="97"/>
      <c r="J71" s="97"/>
      <c r="K71" s="97"/>
      <c r="L71" s="97"/>
      <c r="M71" s="97"/>
      <c r="O71" s="185"/>
      <c r="P71" s="185"/>
      <c r="Q71" s="186"/>
    </row>
    <row r="72" spans="1:17" s="54" customFormat="1" ht="14.25">
      <c r="A72" s="52"/>
      <c r="B72" s="157"/>
      <c r="C72" s="21" t="s">
        <v>29</v>
      </c>
      <c r="D72" s="148" t="s">
        <v>30</v>
      </c>
      <c r="E72" s="43">
        <v>2.78</v>
      </c>
      <c r="F72" s="43">
        <f>E72*F71</f>
        <v>6.255</v>
      </c>
      <c r="G72" s="47"/>
      <c r="H72" s="47">
        <f>F72*G72</f>
        <v>0</v>
      </c>
      <c r="I72" s="43"/>
      <c r="J72" s="43"/>
      <c r="K72" s="43"/>
      <c r="L72" s="43"/>
      <c r="M72" s="47">
        <f>H72</f>
        <v>0</v>
      </c>
      <c r="O72" s="185"/>
      <c r="P72" s="185"/>
      <c r="Q72" s="186"/>
    </row>
    <row r="73" spans="1:17" s="54" customFormat="1" ht="14.25">
      <c r="A73" s="52"/>
      <c r="B73" s="52"/>
      <c r="C73" s="43" t="s">
        <v>134</v>
      </c>
      <c r="D73" s="52" t="s">
        <v>34</v>
      </c>
      <c r="E73" s="43">
        <f>0.26/100</f>
        <v>0.0026</v>
      </c>
      <c r="F73" s="43">
        <f>E73*F71</f>
        <v>0.005849999999999999</v>
      </c>
      <c r="G73" s="43"/>
      <c r="H73" s="43"/>
      <c r="I73" s="43"/>
      <c r="J73" s="43"/>
      <c r="K73" s="43"/>
      <c r="L73" s="132">
        <f>F73*K73</f>
        <v>0</v>
      </c>
      <c r="M73" s="132">
        <f>L73</f>
        <v>0</v>
      </c>
      <c r="O73" s="185"/>
      <c r="P73" s="185"/>
      <c r="Q73" s="186"/>
    </row>
    <row r="74" spans="1:17" s="54" customFormat="1" ht="14.25">
      <c r="A74" s="49"/>
      <c r="B74" s="49"/>
      <c r="C74" s="51" t="s">
        <v>241</v>
      </c>
      <c r="D74" s="19" t="s">
        <v>28</v>
      </c>
      <c r="E74" s="51">
        <v>1.01</v>
      </c>
      <c r="F74" s="51">
        <f>E74*F71</f>
        <v>2.2725</v>
      </c>
      <c r="G74" s="51"/>
      <c r="H74" s="51"/>
      <c r="I74" s="53"/>
      <c r="J74" s="51">
        <f>F74*I74</f>
        <v>0</v>
      </c>
      <c r="K74" s="51"/>
      <c r="L74" s="51"/>
      <c r="M74" s="51">
        <f>J74</f>
        <v>0</v>
      </c>
      <c r="O74" s="185"/>
      <c r="P74" s="185"/>
      <c r="Q74" s="186"/>
    </row>
    <row r="75" spans="1:17" s="54" customFormat="1" ht="14.25">
      <c r="A75" s="37"/>
      <c r="B75" s="15"/>
      <c r="C75" s="31" t="s">
        <v>12</v>
      </c>
      <c r="D75" s="27" t="s">
        <v>34</v>
      </c>
      <c r="E75" s="14"/>
      <c r="F75" s="14"/>
      <c r="G75" s="14"/>
      <c r="H75" s="14">
        <f>SUM(H15:H74)</f>
        <v>0</v>
      </c>
      <c r="I75" s="14"/>
      <c r="J75" s="14">
        <f>SUM(J15:J74)</f>
        <v>0</v>
      </c>
      <c r="K75" s="18"/>
      <c r="L75" s="14">
        <f>SUM(L15:L74)</f>
        <v>0</v>
      </c>
      <c r="M75" s="14">
        <f>SUM(M15:M74)</f>
        <v>0</v>
      </c>
      <c r="O75" s="186"/>
      <c r="P75" s="186"/>
      <c r="Q75" s="186"/>
    </row>
    <row r="76" spans="1:17" s="54" customFormat="1" ht="14.25">
      <c r="A76" s="26"/>
      <c r="B76" s="25"/>
      <c r="C76" s="26" t="s">
        <v>326</v>
      </c>
      <c r="D76" s="27" t="s">
        <v>34</v>
      </c>
      <c r="E76" s="28"/>
      <c r="F76" s="29"/>
      <c r="G76" s="30"/>
      <c r="H76" s="28">
        <f>E76*H75</f>
        <v>0</v>
      </c>
      <c r="I76" s="28"/>
      <c r="J76" s="28">
        <f>E76*J75</f>
        <v>0</v>
      </c>
      <c r="K76" s="28"/>
      <c r="L76" s="28">
        <f>E76*L75</f>
        <v>0</v>
      </c>
      <c r="M76" s="28">
        <f>SUM(H76:L76)</f>
        <v>0</v>
      </c>
      <c r="O76" s="186"/>
      <c r="P76" s="186"/>
      <c r="Q76" s="186"/>
    </row>
    <row r="77" spans="1:17" s="54" customFormat="1" ht="14.25">
      <c r="A77" s="31"/>
      <c r="B77" s="25"/>
      <c r="C77" s="31" t="s">
        <v>12</v>
      </c>
      <c r="D77" s="27" t="s">
        <v>34</v>
      </c>
      <c r="E77" s="32"/>
      <c r="F77" s="31"/>
      <c r="G77" s="31"/>
      <c r="H77" s="32">
        <f>SUM(H75:H76)</f>
        <v>0</v>
      </c>
      <c r="I77" s="32"/>
      <c r="J77" s="32">
        <f>SUM(J75:J76)</f>
        <v>0</v>
      </c>
      <c r="K77" s="32"/>
      <c r="L77" s="32">
        <f>SUM(L75:L76)</f>
        <v>0</v>
      </c>
      <c r="M77" s="32">
        <f>SUM(H77:L77)</f>
        <v>0</v>
      </c>
      <c r="O77" s="186"/>
      <c r="P77" s="186"/>
      <c r="Q77" s="186"/>
    </row>
    <row r="78" spans="1:13" s="54" customFormat="1" ht="14.25">
      <c r="A78" s="26"/>
      <c r="B78" s="25"/>
      <c r="C78" s="25" t="s">
        <v>328</v>
      </c>
      <c r="D78" s="27" t="s">
        <v>34</v>
      </c>
      <c r="E78" s="28"/>
      <c r="F78" s="33"/>
      <c r="G78" s="28"/>
      <c r="H78" s="28">
        <f>E78*H77</f>
        <v>0</v>
      </c>
      <c r="I78" s="28"/>
      <c r="J78" s="28">
        <f>E78*J77</f>
        <v>0</v>
      </c>
      <c r="K78" s="28"/>
      <c r="L78" s="28">
        <f>E78*L77</f>
        <v>0</v>
      </c>
      <c r="M78" s="28">
        <f>SUM(H78:L78)</f>
        <v>0</v>
      </c>
    </row>
    <row r="79" spans="1:13" s="54" customFormat="1" ht="14.25">
      <c r="A79" s="34"/>
      <c r="B79" s="55"/>
      <c r="C79" s="34" t="s">
        <v>12</v>
      </c>
      <c r="D79" s="35" t="s">
        <v>34</v>
      </c>
      <c r="E79" s="34"/>
      <c r="F79" s="34"/>
      <c r="G79" s="34"/>
      <c r="H79" s="36">
        <f>SUM(H77:H78)</f>
        <v>0</v>
      </c>
      <c r="I79" s="36"/>
      <c r="J79" s="36">
        <f>SUM(J77:J78)</f>
        <v>0</v>
      </c>
      <c r="K79" s="36"/>
      <c r="L79" s="36">
        <f>SUM(L77:L78)</f>
        <v>0</v>
      </c>
      <c r="M79" s="36">
        <f>SUM(H79:L79)</f>
        <v>0</v>
      </c>
    </row>
    <row r="80" spans="1:13" s="54" customFormat="1" ht="14.25">
      <c r="A80" s="1"/>
      <c r="B80" s="2"/>
      <c r="C80" s="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s="54" customFormat="1" ht="14.25">
      <c r="A81" s="1"/>
      <c r="B81" s="2"/>
      <c r="C81" s="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s="54" customFormat="1" ht="14.25">
      <c r="A82" s="1"/>
      <c r="B82" s="2"/>
      <c r="C82" s="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s="54" customFormat="1" ht="14.25">
      <c r="A83" s="1"/>
      <c r="B83" s="2"/>
      <c r="C83" s="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s="54" customFormat="1" ht="14.25">
      <c r="A84" s="1"/>
      <c r="B84" s="2"/>
      <c r="C84" s="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s="54" customFormat="1" ht="14.25">
      <c r="A85" s="1"/>
      <c r="B85" s="2"/>
      <c r="C85" s="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s="54" customFormat="1" ht="14.25">
      <c r="A86" s="1"/>
      <c r="B86" s="2"/>
      <c r="C86" s="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s="54" customFormat="1" ht="14.25">
      <c r="A87" s="1"/>
      <c r="B87" s="2"/>
      <c r="C87" s="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s="54" customFormat="1" ht="14.25">
      <c r="A88" s="1"/>
      <c r="B88" s="2"/>
      <c r="C88" s="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s="54" customFormat="1" ht="14.25">
      <c r="A89" s="1"/>
      <c r="B89" s="2"/>
      <c r="C89" s="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s="54" customFormat="1" ht="14.25">
      <c r="A90" s="1"/>
      <c r="B90" s="2"/>
      <c r="C90" s="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s="54" customFormat="1" ht="14.25">
      <c r="A91" s="1"/>
      <c r="B91" s="2"/>
      <c r="C91" s="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s="54" customFormat="1" ht="14.25">
      <c r="A92" s="1"/>
      <c r="B92" s="2"/>
      <c r="C92" s="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s="54" customFormat="1" ht="14.25">
      <c r="A93" s="1"/>
      <c r="B93" s="2"/>
      <c r="C93" s="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s="54" customFormat="1" ht="14.25">
      <c r="A94" s="1"/>
      <c r="B94" s="2"/>
      <c r="C94" s="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ht="14.25"/>
    <row r="96" ht="14.25"/>
    <row r="97" ht="14.25"/>
    <row r="98" ht="14.25"/>
    <row r="99" ht="14.25"/>
    <row r="100" ht="14.25"/>
  </sheetData>
  <sheetProtection/>
  <mergeCells count="24">
    <mergeCell ref="G10:H11"/>
    <mergeCell ref="I10:J11"/>
    <mergeCell ref="K10:L10"/>
    <mergeCell ref="M10:M13"/>
    <mergeCell ref="K11:L11"/>
    <mergeCell ref="H12:H13"/>
    <mergeCell ref="J12:J13"/>
    <mergeCell ref="L12:L13"/>
    <mergeCell ref="A10:A13"/>
    <mergeCell ref="B10:B13"/>
    <mergeCell ref="C10:C13"/>
    <mergeCell ref="D10:F11"/>
    <mergeCell ref="D12:D13"/>
    <mergeCell ref="E12:E13"/>
    <mergeCell ref="F12:F13"/>
    <mergeCell ref="A6:M6"/>
    <mergeCell ref="B7:D7"/>
    <mergeCell ref="F7:I7"/>
    <mergeCell ref="B8:C8"/>
    <mergeCell ref="F8:I8"/>
    <mergeCell ref="A1:M1"/>
    <mergeCell ref="A3:M3"/>
    <mergeCell ref="A4:M4"/>
    <mergeCell ref="A5:M5"/>
  </mergeCells>
  <printOptions/>
  <pageMargins left="0.5905511811023623" right="0" top="0.5905511811023623" bottom="0.5905511811023623" header="0.5118110236220472" footer="0.5118110236220472"/>
  <pageSetup horizontalDpi="300" verticalDpi="300" orientation="portrait" paperSize="9" scale="6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38"/>
  <sheetViews>
    <sheetView view="pageBreakPreview" zoomScale="85" zoomScaleSheetLayoutView="85" zoomScalePageLayoutView="0" workbookViewId="0" topLeftCell="A6">
      <selection activeCell="B8" sqref="B8:C8"/>
    </sheetView>
  </sheetViews>
  <sheetFormatPr defaultColWidth="9.00390625" defaultRowHeight="12.75"/>
  <cols>
    <col min="1" max="1" width="3.8515625" style="1" customWidth="1"/>
    <col min="2" max="2" width="9.7109375" style="2" customWidth="1"/>
    <col min="3" max="3" width="30.7109375" style="2" customWidth="1"/>
    <col min="4" max="4" width="8.28125" style="12" customWidth="1"/>
    <col min="5" max="5" width="9.00390625" style="12" customWidth="1"/>
    <col min="6" max="6" width="9.140625" style="12" customWidth="1"/>
    <col min="7" max="7" width="9.7109375" style="12" customWidth="1"/>
    <col min="8" max="8" width="10.28125" style="12" customWidth="1"/>
    <col min="9" max="9" width="10.00390625" style="12" customWidth="1"/>
    <col min="10" max="10" width="10.28125" style="12" customWidth="1"/>
    <col min="11" max="11" width="8.8515625" style="12" customWidth="1"/>
    <col min="12" max="12" width="10.421875" style="12" customWidth="1"/>
    <col min="13" max="13" width="12.28125" style="12" customWidth="1"/>
    <col min="14" max="16384" width="9.00390625" style="17" customWidth="1"/>
  </cols>
  <sheetData>
    <row r="1" spans="1:14" ht="24" customHeight="1">
      <c r="A1" s="668" t="s">
        <v>165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56"/>
    </row>
    <row r="2" spans="1:14" ht="1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56"/>
    </row>
    <row r="3" spans="1:13" ht="15.75">
      <c r="A3" s="669" t="s">
        <v>266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</row>
    <row r="4" spans="1:13" ht="15.75">
      <c r="A4" s="669"/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</row>
    <row r="5" spans="1:13" ht="15.75">
      <c r="A5" s="670" t="s">
        <v>82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</row>
    <row r="6" spans="1:13" ht="15.75">
      <c r="A6" s="671"/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</row>
    <row r="7" spans="1:13" ht="15" customHeight="1">
      <c r="A7" s="2"/>
      <c r="B7" s="654"/>
      <c r="C7" s="654"/>
      <c r="D7" s="672"/>
      <c r="E7" s="3"/>
      <c r="F7" s="655" t="s">
        <v>1</v>
      </c>
      <c r="G7" s="655"/>
      <c r="H7" s="655"/>
      <c r="I7" s="655"/>
      <c r="J7" s="3">
        <f>M38/1000</f>
        <v>0</v>
      </c>
      <c r="K7" s="3" t="s">
        <v>0</v>
      </c>
      <c r="L7" s="3"/>
      <c r="M7" s="3"/>
    </row>
    <row r="8" spans="1:13" ht="15.75">
      <c r="A8" s="2"/>
      <c r="B8" s="654"/>
      <c r="C8" s="654"/>
      <c r="D8" s="3"/>
      <c r="E8" s="3"/>
      <c r="F8" s="655"/>
      <c r="G8" s="655"/>
      <c r="H8" s="655"/>
      <c r="I8" s="655"/>
      <c r="J8" s="3"/>
      <c r="K8" s="3"/>
      <c r="L8" s="3"/>
      <c r="M8" s="3"/>
    </row>
    <row r="9" spans="1:13" ht="15.75">
      <c r="A9" s="2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 customHeight="1">
      <c r="A10" s="656" t="s">
        <v>2</v>
      </c>
      <c r="B10" s="659" t="s">
        <v>3</v>
      </c>
      <c r="C10" s="662" t="s">
        <v>27</v>
      </c>
      <c r="D10" s="641" t="s">
        <v>4</v>
      </c>
      <c r="E10" s="665"/>
      <c r="F10" s="646"/>
      <c r="G10" s="641" t="s">
        <v>5</v>
      </c>
      <c r="H10" s="645"/>
      <c r="I10" s="641" t="s">
        <v>6</v>
      </c>
      <c r="J10" s="642"/>
      <c r="K10" s="641" t="s">
        <v>7</v>
      </c>
      <c r="L10" s="645"/>
      <c r="M10" s="646" t="s">
        <v>8</v>
      </c>
    </row>
    <row r="11" spans="1:13" ht="22.5" customHeight="1">
      <c r="A11" s="657"/>
      <c r="B11" s="660"/>
      <c r="C11" s="663"/>
      <c r="D11" s="650"/>
      <c r="E11" s="666"/>
      <c r="F11" s="667"/>
      <c r="G11" s="643"/>
      <c r="H11" s="651"/>
      <c r="I11" s="643"/>
      <c r="J11" s="644"/>
      <c r="K11" s="650" t="s">
        <v>9</v>
      </c>
      <c r="L11" s="651"/>
      <c r="M11" s="647"/>
    </row>
    <row r="12" spans="1:13" ht="15.75">
      <c r="A12" s="657"/>
      <c r="B12" s="660"/>
      <c r="C12" s="663"/>
      <c r="D12" s="652" t="s">
        <v>10</v>
      </c>
      <c r="E12" s="652" t="s">
        <v>11</v>
      </c>
      <c r="F12" s="652" t="s">
        <v>12</v>
      </c>
      <c r="G12" s="4" t="s">
        <v>11</v>
      </c>
      <c r="H12" s="652" t="s">
        <v>12</v>
      </c>
      <c r="I12" s="4" t="s">
        <v>11</v>
      </c>
      <c r="J12" s="652" t="s">
        <v>12</v>
      </c>
      <c r="K12" s="4" t="s">
        <v>11</v>
      </c>
      <c r="L12" s="652" t="s">
        <v>12</v>
      </c>
      <c r="M12" s="648"/>
    </row>
    <row r="13" spans="1:13" ht="15.75">
      <c r="A13" s="658"/>
      <c r="B13" s="661"/>
      <c r="C13" s="664"/>
      <c r="D13" s="653"/>
      <c r="E13" s="653"/>
      <c r="F13" s="653"/>
      <c r="G13" s="5" t="s">
        <v>13</v>
      </c>
      <c r="H13" s="653"/>
      <c r="I13" s="5" t="s">
        <v>13</v>
      </c>
      <c r="J13" s="653"/>
      <c r="K13" s="5" t="s">
        <v>13</v>
      </c>
      <c r="L13" s="653"/>
      <c r="M13" s="649"/>
    </row>
    <row r="14" spans="1:13" ht="15.75">
      <c r="A14" s="6" t="s">
        <v>14</v>
      </c>
      <c r="B14" s="13" t="s">
        <v>15</v>
      </c>
      <c r="C14" s="7" t="s">
        <v>16</v>
      </c>
      <c r="D14" s="9" t="s">
        <v>17</v>
      </c>
      <c r="E14" s="9" t="s">
        <v>18</v>
      </c>
      <c r="F14" s="10" t="s">
        <v>19</v>
      </c>
      <c r="G14" s="11" t="s">
        <v>20</v>
      </c>
      <c r="H14" s="8" t="s">
        <v>21</v>
      </c>
      <c r="I14" s="9" t="s">
        <v>22</v>
      </c>
      <c r="J14" s="11" t="s">
        <v>23</v>
      </c>
      <c r="K14" s="9" t="s">
        <v>24</v>
      </c>
      <c r="L14" s="8" t="s">
        <v>25</v>
      </c>
      <c r="M14" s="9" t="s">
        <v>26</v>
      </c>
    </row>
    <row r="15" spans="1:13" ht="78.75">
      <c r="A15" s="61">
        <v>1</v>
      </c>
      <c r="B15" s="61" t="s">
        <v>69</v>
      </c>
      <c r="C15" s="62" t="s">
        <v>86</v>
      </c>
      <c r="D15" s="61" t="s">
        <v>70</v>
      </c>
      <c r="E15" s="61"/>
      <c r="F15" s="63">
        <v>36</v>
      </c>
      <c r="G15" s="61"/>
      <c r="H15" s="61"/>
      <c r="I15" s="61"/>
      <c r="J15" s="64"/>
      <c r="K15" s="61"/>
      <c r="L15" s="61"/>
      <c r="M15" s="61"/>
    </row>
    <row r="16" spans="1:13" ht="31.5">
      <c r="A16" s="52"/>
      <c r="B16" s="52"/>
      <c r="C16" s="21" t="s">
        <v>29</v>
      </c>
      <c r="D16" s="14" t="s">
        <v>30</v>
      </c>
      <c r="E16" s="18">
        <v>3.23</v>
      </c>
      <c r="F16" s="18">
        <f>E16*F15</f>
        <v>116.28</v>
      </c>
      <c r="G16" s="14"/>
      <c r="H16" s="14">
        <f>F16*G16</f>
        <v>0</v>
      </c>
      <c r="I16" s="14"/>
      <c r="J16" s="14"/>
      <c r="K16" s="14"/>
      <c r="L16" s="14"/>
      <c r="M16" s="14">
        <f>H16</f>
        <v>0</v>
      </c>
    </row>
    <row r="17" spans="1:13" ht="31.5">
      <c r="A17" s="52"/>
      <c r="B17" s="15"/>
      <c r="C17" s="57" t="s">
        <v>71</v>
      </c>
      <c r="D17" s="14" t="s">
        <v>31</v>
      </c>
      <c r="E17" s="18">
        <v>0.15</v>
      </c>
      <c r="F17" s="14">
        <f>E17*F15</f>
        <v>5.3999999999999995</v>
      </c>
      <c r="G17" s="14"/>
      <c r="H17" s="14"/>
      <c r="I17" s="14"/>
      <c r="J17" s="14"/>
      <c r="K17" s="32"/>
      <c r="L17" s="14">
        <f>F17*K17</f>
        <v>0</v>
      </c>
      <c r="M17" s="14">
        <f>L17</f>
        <v>0</v>
      </c>
    </row>
    <row r="18" spans="1:13" ht="31.5">
      <c r="A18" s="52"/>
      <c r="B18" s="52"/>
      <c r="C18" s="21" t="s">
        <v>32</v>
      </c>
      <c r="D18" s="14" t="s">
        <v>30</v>
      </c>
      <c r="E18" s="18"/>
      <c r="F18" s="14">
        <f>F17</f>
        <v>5.3999999999999995</v>
      </c>
      <c r="G18" s="14"/>
      <c r="H18" s="14">
        <f>F18*G18</f>
        <v>0</v>
      </c>
      <c r="I18" s="14"/>
      <c r="J18" s="14"/>
      <c r="K18" s="14"/>
      <c r="L18" s="14"/>
      <c r="M18" s="14">
        <f>H18</f>
        <v>0</v>
      </c>
    </row>
    <row r="19" spans="1:13" ht="31.5">
      <c r="A19" s="52"/>
      <c r="B19" s="15"/>
      <c r="C19" s="21" t="s">
        <v>72</v>
      </c>
      <c r="D19" s="14" t="s">
        <v>31</v>
      </c>
      <c r="E19" s="18">
        <v>0.286</v>
      </c>
      <c r="F19" s="14">
        <f>E19*F15</f>
        <v>10.296</v>
      </c>
      <c r="G19" s="14"/>
      <c r="H19" s="14"/>
      <c r="I19" s="14"/>
      <c r="J19" s="14"/>
      <c r="K19" s="32"/>
      <c r="L19" s="14">
        <f>F19*K19</f>
        <v>0</v>
      </c>
      <c r="M19" s="14">
        <f>L19</f>
        <v>0</v>
      </c>
    </row>
    <row r="20" spans="1:13" ht="31.5">
      <c r="A20" s="52"/>
      <c r="B20" s="52"/>
      <c r="C20" s="21" t="s">
        <v>32</v>
      </c>
      <c r="D20" s="14" t="s">
        <v>30</v>
      </c>
      <c r="E20" s="18"/>
      <c r="F20" s="14">
        <f>F19</f>
        <v>10.296</v>
      </c>
      <c r="G20" s="32"/>
      <c r="H20" s="14">
        <f>F20*G20</f>
        <v>0</v>
      </c>
      <c r="I20" s="14"/>
      <c r="J20" s="14"/>
      <c r="K20" s="14"/>
      <c r="L20" s="14"/>
      <c r="M20" s="14">
        <f>H20</f>
        <v>0</v>
      </c>
    </row>
    <row r="21" spans="1:13" ht="18.75">
      <c r="A21" s="52"/>
      <c r="B21" s="65"/>
      <c r="C21" s="43" t="s">
        <v>80</v>
      </c>
      <c r="D21" s="18" t="s">
        <v>28</v>
      </c>
      <c r="E21" s="66" t="s">
        <v>68</v>
      </c>
      <c r="F21" s="14">
        <v>16.4</v>
      </c>
      <c r="G21" s="14"/>
      <c r="H21" s="14"/>
      <c r="I21" s="4"/>
      <c r="J21" s="14">
        <f>F21*I21</f>
        <v>0</v>
      </c>
      <c r="K21" s="14"/>
      <c r="L21" s="14"/>
      <c r="M21" s="14">
        <f>J21</f>
        <v>0</v>
      </c>
    </row>
    <row r="22" spans="1:13" ht="31.5">
      <c r="A22" s="52"/>
      <c r="B22" s="52"/>
      <c r="C22" s="57" t="s">
        <v>73</v>
      </c>
      <c r="D22" s="18" t="s">
        <v>70</v>
      </c>
      <c r="E22" s="66" t="s">
        <v>68</v>
      </c>
      <c r="F22" s="14">
        <f>F15</f>
        <v>36</v>
      </c>
      <c r="G22" s="14"/>
      <c r="H22" s="14"/>
      <c r="I22" s="14"/>
      <c r="J22" s="14">
        <f>F22*I22</f>
        <v>0</v>
      </c>
      <c r="K22" s="14"/>
      <c r="L22" s="14"/>
      <c r="M22" s="14">
        <f>J22</f>
        <v>0</v>
      </c>
    </row>
    <row r="23" spans="1:13" ht="15.75">
      <c r="A23" s="52"/>
      <c r="B23" s="52"/>
      <c r="C23" s="43" t="s">
        <v>76</v>
      </c>
      <c r="D23" s="18" t="s">
        <v>34</v>
      </c>
      <c r="E23" s="18">
        <v>0.649</v>
      </c>
      <c r="F23" s="14">
        <f>E23*F15</f>
        <v>23.364</v>
      </c>
      <c r="G23" s="14"/>
      <c r="H23" s="14"/>
      <c r="I23" s="14"/>
      <c r="J23" s="14">
        <f>F23*I23</f>
        <v>0</v>
      </c>
      <c r="K23" s="14"/>
      <c r="L23" s="14"/>
      <c r="M23" s="14">
        <f>J23</f>
        <v>0</v>
      </c>
    </row>
    <row r="24" spans="1:13" ht="15.75">
      <c r="A24" s="52"/>
      <c r="B24" s="52"/>
      <c r="C24" s="43"/>
      <c r="D24" s="18"/>
      <c r="E24" s="18"/>
      <c r="F24" s="14"/>
      <c r="G24" s="14"/>
      <c r="H24" s="14"/>
      <c r="I24" s="14"/>
      <c r="J24" s="14"/>
      <c r="K24" s="14"/>
      <c r="L24" s="14"/>
      <c r="M24" s="14"/>
    </row>
    <row r="25" spans="1:13" ht="39" customHeight="1">
      <c r="A25" s="52"/>
      <c r="B25" s="52"/>
      <c r="C25" s="67" t="s">
        <v>81</v>
      </c>
      <c r="D25" s="18"/>
      <c r="E25" s="66"/>
      <c r="F25" s="14"/>
      <c r="G25" s="14"/>
      <c r="H25" s="14"/>
      <c r="I25" s="14"/>
      <c r="J25" s="14"/>
      <c r="K25" s="14"/>
      <c r="L25" s="14"/>
      <c r="M25" s="14"/>
    </row>
    <row r="26" spans="1:13" ht="15.75">
      <c r="A26" s="52"/>
      <c r="B26" s="52"/>
      <c r="C26" s="67" t="s">
        <v>74</v>
      </c>
      <c r="D26" s="18"/>
      <c r="E26" s="66"/>
      <c r="F26" s="14"/>
      <c r="G26" s="14"/>
      <c r="H26" s="14"/>
      <c r="I26" s="14"/>
      <c r="J26" s="14"/>
      <c r="K26" s="14"/>
      <c r="L26" s="14"/>
      <c r="M26" s="14"/>
    </row>
    <row r="27" spans="1:13" ht="15.75">
      <c r="A27" s="52"/>
      <c r="B27" s="52"/>
      <c r="C27" s="57" t="s">
        <v>75</v>
      </c>
      <c r="D27" s="18" t="s">
        <v>70</v>
      </c>
      <c r="E27" s="66" t="s">
        <v>68</v>
      </c>
      <c r="F27" s="14">
        <v>9</v>
      </c>
      <c r="G27" s="14"/>
      <c r="H27" s="14"/>
      <c r="I27" s="14"/>
      <c r="J27" s="14">
        <f>F27*I27</f>
        <v>0</v>
      </c>
      <c r="K27" s="14"/>
      <c r="L27" s="14"/>
      <c r="M27" s="14">
        <f>J27</f>
        <v>0</v>
      </c>
    </row>
    <row r="28" spans="1:13" ht="15.75">
      <c r="A28" s="52"/>
      <c r="B28" s="52"/>
      <c r="C28" s="57"/>
      <c r="D28" s="18"/>
      <c r="E28" s="66"/>
      <c r="F28" s="14"/>
      <c r="G28" s="14"/>
      <c r="H28" s="14"/>
      <c r="I28" s="14"/>
      <c r="J28" s="14"/>
      <c r="K28" s="14"/>
      <c r="L28" s="14"/>
      <c r="M28" s="14"/>
    </row>
    <row r="29" spans="1:13" ht="15.75">
      <c r="A29" s="52"/>
      <c r="B29" s="52"/>
      <c r="C29" s="67" t="s">
        <v>267</v>
      </c>
      <c r="D29" s="18"/>
      <c r="E29" s="66"/>
      <c r="F29" s="14"/>
      <c r="G29" s="14"/>
      <c r="H29" s="14"/>
      <c r="I29" s="14"/>
      <c r="J29" s="14"/>
      <c r="K29" s="14"/>
      <c r="L29" s="14"/>
      <c r="M29" s="14"/>
    </row>
    <row r="30" spans="1:13" ht="15.75">
      <c r="A30" s="52"/>
      <c r="B30" s="52"/>
      <c r="C30" s="57" t="s">
        <v>75</v>
      </c>
      <c r="D30" s="18" t="s">
        <v>70</v>
      </c>
      <c r="E30" s="66" t="s">
        <v>68</v>
      </c>
      <c r="F30" s="14">
        <v>6</v>
      </c>
      <c r="G30" s="14"/>
      <c r="H30" s="14"/>
      <c r="I30" s="14"/>
      <c r="J30" s="14">
        <f>F30*I30</f>
        <v>0</v>
      </c>
      <c r="K30" s="14"/>
      <c r="L30" s="14"/>
      <c r="M30" s="14">
        <f>J30</f>
        <v>0</v>
      </c>
    </row>
    <row r="31" spans="1:13" ht="15.75">
      <c r="A31" s="52"/>
      <c r="B31" s="52"/>
      <c r="C31" s="57"/>
      <c r="D31" s="18"/>
      <c r="E31" s="66"/>
      <c r="F31" s="14"/>
      <c r="G31" s="14"/>
      <c r="H31" s="14"/>
      <c r="I31" s="14"/>
      <c r="J31" s="14"/>
      <c r="K31" s="14"/>
      <c r="L31" s="14"/>
      <c r="M31" s="14"/>
    </row>
    <row r="32" spans="1:13" ht="15.75">
      <c r="A32" s="52"/>
      <c r="B32" s="52"/>
      <c r="C32" s="67" t="s">
        <v>83</v>
      </c>
      <c r="D32" s="18"/>
      <c r="E32" s="66"/>
      <c r="F32" s="14"/>
      <c r="G32" s="14"/>
      <c r="H32" s="14"/>
      <c r="I32" s="14"/>
      <c r="J32" s="14"/>
      <c r="K32" s="14"/>
      <c r="L32" s="14"/>
      <c r="M32" s="14"/>
    </row>
    <row r="33" spans="1:13" ht="15.75">
      <c r="A33" s="49"/>
      <c r="B33" s="49"/>
      <c r="C33" s="73" t="s">
        <v>84</v>
      </c>
      <c r="D33" s="20" t="s">
        <v>70</v>
      </c>
      <c r="E33" s="75" t="s">
        <v>68</v>
      </c>
      <c r="F33" s="19">
        <v>18</v>
      </c>
      <c r="G33" s="19"/>
      <c r="H33" s="19"/>
      <c r="I33" s="19"/>
      <c r="J33" s="19">
        <f>F33*I33</f>
        <v>0</v>
      </c>
      <c r="K33" s="19"/>
      <c r="L33" s="19"/>
      <c r="M33" s="19">
        <f>J33</f>
        <v>0</v>
      </c>
    </row>
    <row r="34" spans="1:13" ht="15.75">
      <c r="A34" s="37"/>
      <c r="B34" s="15"/>
      <c r="C34" s="31" t="s">
        <v>12</v>
      </c>
      <c r="D34" s="27" t="s">
        <v>34</v>
      </c>
      <c r="E34" s="14"/>
      <c r="F34" s="14"/>
      <c r="G34" s="14"/>
      <c r="H34" s="14">
        <f>SUM(H15:H33)</f>
        <v>0</v>
      </c>
      <c r="I34" s="14"/>
      <c r="J34" s="14">
        <f>SUM(J15:J33)</f>
        <v>0</v>
      </c>
      <c r="K34" s="18"/>
      <c r="L34" s="14">
        <f>SUM(L16:L33)</f>
        <v>0</v>
      </c>
      <c r="M34" s="14">
        <f>SUM(M16:M33)</f>
        <v>0</v>
      </c>
    </row>
    <row r="35" spans="1:13" ht="15.75">
      <c r="A35" s="26"/>
      <c r="B35" s="25"/>
      <c r="C35" s="26" t="s">
        <v>326</v>
      </c>
      <c r="D35" s="27" t="s">
        <v>34</v>
      </c>
      <c r="E35" s="28"/>
      <c r="F35" s="29"/>
      <c r="G35" s="30"/>
      <c r="H35" s="28">
        <f>E35*H34</f>
        <v>0</v>
      </c>
      <c r="I35" s="28"/>
      <c r="J35" s="28">
        <f>E35*J34</f>
        <v>0</v>
      </c>
      <c r="K35" s="28"/>
      <c r="L35" s="28">
        <f>E35*L34</f>
        <v>0</v>
      </c>
      <c r="M35" s="28">
        <f>SUM(H35:L35)</f>
        <v>0</v>
      </c>
    </row>
    <row r="36" spans="1:13" ht="15.75">
      <c r="A36" s="31"/>
      <c r="B36" s="25"/>
      <c r="C36" s="31" t="s">
        <v>12</v>
      </c>
      <c r="D36" s="27" t="s">
        <v>34</v>
      </c>
      <c r="E36" s="32"/>
      <c r="F36" s="31"/>
      <c r="G36" s="31"/>
      <c r="H36" s="32">
        <f>SUM(H34:H35)</f>
        <v>0</v>
      </c>
      <c r="I36" s="32"/>
      <c r="J36" s="32">
        <f>SUM(J34:J35)</f>
        <v>0</v>
      </c>
      <c r="K36" s="32"/>
      <c r="L36" s="32">
        <f>SUM(L34:L35)</f>
        <v>0</v>
      </c>
      <c r="M36" s="32">
        <f>SUM(H36:L36)</f>
        <v>0</v>
      </c>
    </row>
    <row r="37" spans="1:13" ht="15.75">
      <c r="A37" s="26"/>
      <c r="B37" s="25"/>
      <c r="C37" s="25" t="s">
        <v>328</v>
      </c>
      <c r="D37" s="27" t="s">
        <v>34</v>
      </c>
      <c r="E37" s="28"/>
      <c r="F37" s="33"/>
      <c r="G37" s="28"/>
      <c r="H37" s="28">
        <f>E37*H36</f>
        <v>0</v>
      </c>
      <c r="I37" s="28"/>
      <c r="J37" s="28">
        <f>E37*J36</f>
        <v>0</v>
      </c>
      <c r="K37" s="28"/>
      <c r="L37" s="28">
        <f>E37*L36</f>
        <v>0</v>
      </c>
      <c r="M37" s="28">
        <f>SUM(H37:L37)</f>
        <v>0</v>
      </c>
    </row>
    <row r="38" spans="1:13" ht="15.75">
      <c r="A38" s="34"/>
      <c r="B38" s="55"/>
      <c r="C38" s="34" t="s">
        <v>12</v>
      </c>
      <c r="D38" s="35" t="s">
        <v>34</v>
      </c>
      <c r="E38" s="34"/>
      <c r="F38" s="34"/>
      <c r="G38" s="34"/>
      <c r="H38" s="36">
        <f>SUM(H36:H37)</f>
        <v>0</v>
      </c>
      <c r="I38" s="36"/>
      <c r="J38" s="36">
        <f>SUM(J36:J37)</f>
        <v>0</v>
      </c>
      <c r="K38" s="36"/>
      <c r="L38" s="36">
        <f>SUM(L36:L37)</f>
        <v>0</v>
      </c>
      <c r="M38" s="36">
        <f>SUM(H38:L38)</f>
        <v>0</v>
      </c>
    </row>
  </sheetData>
  <sheetProtection/>
  <mergeCells count="24">
    <mergeCell ref="A1:M1"/>
    <mergeCell ref="A4:M4"/>
    <mergeCell ref="A5:M5"/>
    <mergeCell ref="A6:M6"/>
    <mergeCell ref="A3:M3"/>
    <mergeCell ref="B7:D7"/>
    <mergeCell ref="F7:I7"/>
    <mergeCell ref="B8:C8"/>
    <mergeCell ref="F8:I8"/>
    <mergeCell ref="A10:A13"/>
    <mergeCell ref="B10:B13"/>
    <mergeCell ref="C10:C13"/>
    <mergeCell ref="D10:F11"/>
    <mergeCell ref="G10:H11"/>
    <mergeCell ref="I10:J11"/>
    <mergeCell ref="M10:M13"/>
    <mergeCell ref="K11:L11"/>
    <mergeCell ref="D12:D13"/>
    <mergeCell ref="E12:E13"/>
    <mergeCell ref="F12:F13"/>
    <mergeCell ref="H12:H13"/>
    <mergeCell ref="J12:J13"/>
    <mergeCell ref="L12:L13"/>
    <mergeCell ref="K10:L10"/>
  </mergeCells>
  <printOptions/>
  <pageMargins left="0.5905511811023623" right="0" top="0.5905511811023623" bottom="0.5905511811023623" header="0.5118110236220472" footer="0.5118110236220472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Aleksandre Gogsadze</cp:lastModifiedBy>
  <cp:lastPrinted>2018-07-16T11:39:40Z</cp:lastPrinted>
  <dcterms:created xsi:type="dcterms:W3CDTF">1996-10-08T23:32:33Z</dcterms:created>
  <dcterms:modified xsi:type="dcterms:W3CDTF">2019-12-05T11:05:09Z</dcterms:modified>
  <cp:category/>
  <cp:version/>
  <cp:contentType/>
  <cp:contentStatus/>
</cp:coreProperties>
</file>