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295" activeTab="0"/>
  </bookViews>
  <sheets>
    <sheet name="nakrebi" sheetId="1" r:id="rId1"/>
    <sheet name="x.a.1" sheetId="2" r:id="rId2"/>
    <sheet name="x.a.2" sheetId="3" r:id="rId3"/>
    <sheet name="x.a.3" sheetId="4" r:id="rId4"/>
    <sheet name="x.a.4" sheetId="5" r:id="rId5"/>
    <sheet name="x.a.5" sheetId="6" r:id="rId6"/>
    <sheet name="x.a.6" sheetId="7" r:id="rId7"/>
    <sheet name="x.a.7" sheetId="8" r:id="rId8"/>
  </sheets>
  <definedNames>
    <definedName name="_xlnm.Print_Area" localSheetId="0">'nakrebi'!$A$1:$N$50</definedName>
    <definedName name="_xlnm.Print_Area" localSheetId="1">'x.a.1'!$A$1:$M$21</definedName>
    <definedName name="_xlnm.Print_Area" localSheetId="2">'x.a.2'!$A$1:$M$87</definedName>
    <definedName name="_xlnm.Print_Area" localSheetId="3">'x.a.3'!$A$1:$M$70</definedName>
    <definedName name="_xlnm.Print_Area" localSheetId="4">'x.a.4'!$A$1:$M$69</definedName>
    <definedName name="_xlnm.Print_Area" localSheetId="5">'x.a.5'!$A$1:$M$58</definedName>
    <definedName name="_xlnm.Print_Area" localSheetId="6">'x.a.6'!$A$1:$M$27</definedName>
    <definedName name="_xlnm.Print_Area" localSheetId="7">'x.a.7'!$A$1:$M$101</definedName>
    <definedName name="_xlnm.Print_Titles" localSheetId="0">'nakrebi'!$14:$14</definedName>
    <definedName name="_xlnm.Print_Titles" localSheetId="1">'x.a.1'!$12:$12</definedName>
    <definedName name="_xlnm.Print_Titles" localSheetId="2">'x.a.2'!$12:$12</definedName>
    <definedName name="_xlnm.Print_Titles" localSheetId="3">'x.a.3'!$12:$12</definedName>
    <definedName name="_xlnm.Print_Titles" localSheetId="4">'x.a.4'!$12:$12</definedName>
  </definedNames>
  <calcPr fullCalcOnLoad="1"/>
</workbook>
</file>

<file path=xl/sharedStrings.xml><?xml version="1.0" encoding="utf-8"?>
<sst xmlns="http://schemas.openxmlformats.org/spreadsheetml/2006/main" count="1047" uniqueCount="239">
  <si>
    <t>aT.lari</t>
  </si>
  <si>
    <t>saxarjTaRricxvo Rirebuleba</t>
  </si>
  <si>
    <t>#</t>
  </si>
  <si>
    <t>safuZveli</t>
  </si>
  <si>
    <t xml:space="preserve">   normatiuli  resursi</t>
  </si>
  <si>
    <t xml:space="preserve">   xelfasi</t>
  </si>
  <si>
    <t xml:space="preserve">     masala</t>
  </si>
  <si>
    <t xml:space="preserve">   samSeneblo </t>
  </si>
  <si>
    <t>jami</t>
  </si>
  <si>
    <t xml:space="preserve">   meqanizmebi</t>
  </si>
  <si>
    <t>ganz.</t>
  </si>
  <si>
    <t>erT.</t>
  </si>
  <si>
    <t>sul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</si>
  <si>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</si>
  <si>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</si>
  <si>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</si>
  <si>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</si>
  <si>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</si>
  <si>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</si>
  <si>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</si>
  <si>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</si>
  <si>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</si>
  <si>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</si>
  <si>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</si>
  <si>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</si>
  <si>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</si>
  <si>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</si>
  <si>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samuSaoebis, resursebis   dasaxeleba</t>
  </si>
  <si>
    <t>safuZveli: samuSaoTa moculobebis uwyisi</t>
  </si>
  <si>
    <t>normatiuli Sromatevadoba</t>
  </si>
  <si>
    <t>kac/sT</t>
  </si>
  <si>
    <t>manq/sT</t>
  </si>
  <si>
    <t>mosarwyav-mosarecxi manqana 6000l</t>
  </si>
  <si>
    <t>lari</t>
  </si>
  <si>
    <t>t</t>
  </si>
  <si>
    <t>g.m.</t>
  </si>
  <si>
    <t>sxva manqanebi</t>
  </si>
  <si>
    <t>sxva masalebi</t>
  </si>
  <si>
    <t xml:space="preserve">mSeneblobis Rirebulebis </t>
  </si>
  <si>
    <t xml:space="preserve">nakrebi saxarjTaRricxvo angariSi </t>
  </si>
  <si>
    <t>##</t>
  </si>
  <si>
    <t>xarjTa-Rricx-vebis angari-Sebis ##</t>
  </si>
  <si>
    <t>Tavebis, obieqtebis, samuSaoebis da danaxarjebis dasaxeleba</t>
  </si>
  <si>
    <t>saxarjTaRricxvo Rirebuleba  aT.lari</t>
  </si>
  <si>
    <t>saerTo   saxajTaR-ricxvo   Rirebuleba,   aT.lari</t>
  </si>
  <si>
    <t>samSeneblo samuSaoe-bis</t>
  </si>
  <si>
    <t>samontaJo samu-Saoebis</t>
  </si>
  <si>
    <t>mowyobilo-bebis, inven-taris</t>
  </si>
  <si>
    <t>sxva dana-xarjebis</t>
  </si>
  <si>
    <t>x.a.#1</t>
  </si>
  <si>
    <t>sul Tavi I</t>
  </si>
  <si>
    <t>x.a.#2</t>
  </si>
  <si>
    <t>dRg 18%</t>
  </si>
  <si>
    <t>sul mSeneblobis Rirebulebis nakrebi saxarjTaRrivxvo angariSiT</t>
  </si>
  <si>
    <t>wyali</t>
  </si>
  <si>
    <t>satkepni sagzao TviTmavali gluvi 5t</t>
  </si>
  <si>
    <t>igive, 10t</t>
  </si>
  <si>
    <t>x.a.#3</t>
  </si>
  <si>
    <t>proeqtiT</t>
  </si>
  <si>
    <t>sxva masala</t>
  </si>
  <si>
    <t>buldozeri 79 kvt</t>
  </si>
  <si>
    <t>27-63-1</t>
  </si>
  <si>
    <t>avtogudronatori 3500 l</t>
  </si>
  <si>
    <t xml:space="preserve">  bitumis emulsia </t>
  </si>
  <si>
    <t>asfaltobetonis damgebi</t>
  </si>
  <si>
    <t>2</t>
  </si>
  <si>
    <t>Tavi I</t>
  </si>
  <si>
    <t>mSeneblobis teritoriis momzadeba</t>
  </si>
  <si>
    <t>sagzao samosi</t>
  </si>
  <si>
    <t>sul Tavi III</t>
  </si>
  <si>
    <t>Tavi III</t>
  </si>
  <si>
    <t>gzis kuTvnileba da keTilmowyoba</t>
  </si>
  <si>
    <t>eqskavatori</t>
  </si>
  <si>
    <t>1-22-15</t>
  </si>
  <si>
    <t>1-25-2</t>
  </si>
  <si>
    <t>buldozeri 79kvt</t>
  </si>
  <si>
    <t>msxvilmarcvlovani asfaltobetoni</t>
  </si>
  <si>
    <t>27-39-1,2                 27-40-1,2</t>
  </si>
  <si>
    <t>8</t>
  </si>
  <si>
    <t>manqanebi</t>
  </si>
  <si>
    <t>x.a.#4</t>
  </si>
  <si>
    <t>x.a.#5</t>
  </si>
  <si>
    <t>avtogreideri saSualo tipis 79kvt</t>
  </si>
  <si>
    <t xml:space="preserve">nayarSi muSaoba </t>
  </si>
  <si>
    <t>27-7-4</t>
  </si>
  <si>
    <t>satkepni sagzao TviTmavali pnevmosvlaze 18t</t>
  </si>
  <si>
    <t>RorRi (0-40 mm)</t>
  </si>
  <si>
    <t>6</t>
  </si>
  <si>
    <t>27-39-1                    27-40-1</t>
  </si>
  <si>
    <t>miwis vakisis mowyoba</t>
  </si>
  <si>
    <t xml:space="preserve"> lokaluri  xarjTaRricxva # 3</t>
  </si>
  <si>
    <t>Tavi II</t>
  </si>
  <si>
    <t>miwis samuSaoebi</t>
  </si>
  <si>
    <t>sul Tavi II</t>
  </si>
  <si>
    <t xml:space="preserve">nawiburebis CaWra xerxiT </t>
  </si>
  <si>
    <t>safaris qveda fenis mowyoba msxvilmarcvlovani a/betoniT sisqiT 6 sm</t>
  </si>
  <si>
    <t>mierTebebis mowyoba</t>
  </si>
  <si>
    <t xml:space="preserve"> lokaluri  xarjTaRricxva #1</t>
  </si>
  <si>
    <t>mosamzadebeli samuSaoebi</t>
  </si>
  <si>
    <t>transportireba nayarSi 5 km-mde</t>
  </si>
  <si>
    <t xml:space="preserve"> lokaluri  xarjTaRricxva #2 </t>
  </si>
  <si>
    <t>1-80-3         r1-3</t>
  </si>
  <si>
    <t>asfaltbetonis safaris mowyoba</t>
  </si>
  <si>
    <t>Txevadi bitumis mosxma nawiburebze 0,35 l grZiv metrze</t>
  </si>
  <si>
    <t xml:space="preserve">asfaltbetonis safaris mowyoba                                                                                                                                                                      </t>
  </si>
  <si>
    <t>Tavi IV</t>
  </si>
  <si>
    <t xml:space="preserve"> lokaluri  xarjTaRricxva #4</t>
  </si>
  <si>
    <t xml:space="preserve"> lokaluri  xarjTaRricxva #5</t>
  </si>
  <si>
    <t>sul Tavi IV</t>
  </si>
  <si>
    <t xml:space="preserve">wvrilmarcvlovani asfaltobetoni </t>
  </si>
  <si>
    <t>III kategoriis gruntis moxsna meqanizmebiT datvirTva a/TviTmclelebze da zidva nayarSi 5 km-mde</t>
  </si>
  <si>
    <t>III kategoriis gruntis moxsna xeliT datvirTva a/TviTmclelebze da zidva nayarSi 5 km-mde</t>
  </si>
  <si>
    <t>sagzao niSanis mowyoba</t>
  </si>
  <si>
    <t>27-46-3</t>
  </si>
  <si>
    <t xml:space="preserve">  sagzao niSanis dayeneba liTonis dgarebze sigrZiT  3,50 m  dabetonebiT, miwis samuSaoebisa da dgarebis SeRebvis gaTvaliswinebiT</t>
  </si>
  <si>
    <t>c</t>
  </si>
  <si>
    <t xml:space="preserve">avtoamwe saburRi mowyobilobiT </t>
  </si>
  <si>
    <t>amwe saavtomobilo svlaze             3 t</t>
  </si>
  <si>
    <t>liTonis dgari sigrZiT 3,50 m        Ǿ76 mm</t>
  </si>
  <si>
    <t>prioritetis</t>
  </si>
  <si>
    <t>samkuTxa 700X700X700 mm</t>
  </si>
  <si>
    <t>27-28-1misad</t>
  </si>
  <si>
    <t>СЦИР-82, გვ. 557, ცხრ. 17</t>
  </si>
  <si>
    <t>ობიექტის აღდგენა და დამაგრება</t>
  </si>
  <si>
    <t>კმ</t>
  </si>
  <si>
    <t>შრომითი დანახარჯები</t>
  </si>
  <si>
    <t>კაც/სთ</t>
  </si>
  <si>
    <t xml:space="preserve">safaris zeda fenis mowyoba wvrilmarcvlovani a/betoniT sisqiT 4 sm </t>
  </si>
  <si>
    <t>ჯამი</t>
  </si>
  <si>
    <r>
      <t>m</t>
    </r>
    <r>
      <rPr>
        <vertAlign val="superscript"/>
        <sz val="11"/>
        <color indexed="8"/>
        <rFont val="AcadNusx"/>
        <family val="0"/>
      </rPr>
      <t>3</t>
    </r>
  </si>
  <si>
    <r>
      <t>m</t>
    </r>
    <r>
      <rPr>
        <vertAlign val="superscript"/>
        <sz val="11"/>
        <rFont val="AcadNusx"/>
        <family val="0"/>
      </rPr>
      <t>3</t>
    </r>
  </si>
  <si>
    <t>7</t>
  </si>
  <si>
    <r>
      <t>Txevadi bitumis mosxma safuZvlis  fenaze 0,7 l/m</t>
    </r>
    <r>
      <rPr>
        <b/>
        <vertAlign val="superscript"/>
        <sz val="11"/>
        <rFont val="AcadNusx"/>
        <family val="0"/>
      </rPr>
      <t>2</t>
    </r>
    <r>
      <rPr>
        <b/>
        <sz val="11"/>
        <rFont val="AcadNusx"/>
        <family val="0"/>
      </rPr>
      <t>-ze</t>
    </r>
  </si>
  <si>
    <r>
      <t>m</t>
    </r>
    <r>
      <rPr>
        <vertAlign val="superscript"/>
        <sz val="11"/>
        <rFont val="AcadNusx"/>
        <family val="0"/>
      </rPr>
      <t>2</t>
    </r>
  </si>
  <si>
    <r>
      <t>Txevadi bitumis mosxma safaris qveda fenaze 0,35 l/m</t>
    </r>
    <r>
      <rPr>
        <b/>
        <vertAlign val="superscript"/>
        <sz val="11"/>
        <rFont val="AcadNusx"/>
        <family val="0"/>
      </rPr>
      <t>2</t>
    </r>
    <r>
      <rPr>
        <b/>
        <sz val="11"/>
        <rFont val="AcadNusx"/>
        <family val="0"/>
      </rPr>
      <t>-ze</t>
    </r>
  </si>
  <si>
    <r>
      <t>betoni</t>
    </r>
    <r>
      <rPr>
        <sz val="11"/>
        <color indexed="8"/>
        <rFont val="Calibri"/>
        <family val="2"/>
      </rPr>
      <t xml:space="preserve"> B20  F200  W6  </t>
    </r>
  </si>
  <si>
    <t>27-7-2</t>
  </si>
  <si>
    <t>satkepni sagzao TviTmavali pnevmosvlaze 18 t</t>
  </si>
  <si>
    <t>qviSa-xreSovani narevi</t>
  </si>
  <si>
    <t>ezoebSi Sesasvlebis mowyoba</t>
  </si>
  <si>
    <r>
      <t>m</t>
    </r>
    <r>
      <rPr>
        <vertAlign val="superscript"/>
        <sz val="12"/>
        <color indexed="8"/>
        <rFont val="AcadNusx"/>
        <family val="0"/>
      </rPr>
      <t>3</t>
    </r>
  </si>
  <si>
    <t xml:space="preserve">Semasworebeli fenis mowyoba qviSa-xreSovani (0-70 mm) nareviT, sisqiT 10 sm </t>
  </si>
  <si>
    <t>safuZvlis zeda fenis mowyoba fraqciuli RorRiT 0-40 mm, sisqiT 15 sm</t>
  </si>
  <si>
    <r>
      <t>Txevadi bitumis mosxma safuZvlis zeda fenaze          0,7 l/m</t>
    </r>
    <r>
      <rPr>
        <b/>
        <vertAlign val="superscript"/>
        <sz val="12"/>
        <color indexed="8"/>
        <rFont val="AcadNusx"/>
        <family val="0"/>
      </rPr>
      <t>2</t>
    </r>
    <r>
      <rPr>
        <b/>
        <sz val="12"/>
        <color indexed="8"/>
        <rFont val="AcadNusx"/>
        <family val="0"/>
      </rPr>
      <t>-ze</t>
    </r>
  </si>
  <si>
    <t>27-39-1,2               27-40-1,2</t>
  </si>
  <si>
    <t xml:space="preserve">safaris zeda fenis mowyoba wvrilmarcvlovani a/betoniT sisqiT 5 sm  </t>
  </si>
  <si>
    <r>
      <t>m</t>
    </r>
    <r>
      <rPr>
        <vertAlign val="superscript"/>
        <sz val="12"/>
        <color indexed="8"/>
        <rFont val="AcadNusx"/>
        <family val="0"/>
      </rPr>
      <t>2</t>
    </r>
  </si>
  <si>
    <t>wvrilmarcvlovani asfaltobetoni</t>
  </si>
  <si>
    <t>betoni</t>
  </si>
  <si>
    <t xml:space="preserve"> lokaluri  xarjTaRricxva #7 </t>
  </si>
  <si>
    <t xml:space="preserve"> lokaluri  xarjTaRricxva #6</t>
  </si>
  <si>
    <t>x.a.#6</t>
  </si>
  <si>
    <t>ezoSi Sesasvlelebis mowyoba</t>
  </si>
  <si>
    <t>x.a.#7</t>
  </si>
  <si>
    <t>xelovnuri nagebobebi</t>
  </si>
  <si>
    <t>sul Tavi I_V</t>
  </si>
  <si>
    <t>Tavi V</t>
  </si>
  <si>
    <t>sul Tavi V</t>
  </si>
  <si>
    <t xml:space="preserve">misayreli gverdulebis mowyoba qviSa-xreSovani nareviT 0-70mm </t>
  </si>
  <si>
    <t>III kat. Ggruntis damuSaveba meqanizmebiT, farTis 90%-ze, saS. sisqiT 40 sm-ze datvirTva a/TviTmclelebze da zidva nayarSi 5 km-mde</t>
  </si>
  <si>
    <t>III kat. Ggruntis damuSaveba xeliT, farTis 10%-ze, saS. sisqiT 40 sm-ze datvirTva a/TviTmclelebze da zidva nayarSi 5 km-mde</t>
  </si>
  <si>
    <t>liTonis milis mowyoba</t>
  </si>
  <si>
    <t>III kat. gruntis damuSaveba meqanizmebiT, datvirTva a/TviTmclelebze da zidva nayarSi 5km-mde</t>
  </si>
  <si>
    <t>III kat. gruntis damuSaveba xeliT, datvirTva a/TviTmclelebze da zidva nayarSi 5km-mde</t>
  </si>
  <si>
    <t xml:space="preserve">22-5-11   </t>
  </si>
  <si>
    <t xml:space="preserve">liTonis milis Ǿ530 mm </t>
  </si>
  <si>
    <t>liTonis mili Ǿ530 mm kedlis sisqiT 12mm</t>
  </si>
  <si>
    <t>30-3-2</t>
  </si>
  <si>
    <t>milis qveS qvesagebi fenis mowyoba qviSa-xreSovani nareviT</t>
  </si>
  <si>
    <t>30-51-3</t>
  </si>
  <si>
    <t>milis wasacxebi hidroizolacia (2 fena)</t>
  </si>
  <si>
    <t>asbesti</t>
  </si>
  <si>
    <t>bitumi navTobis</t>
  </si>
  <si>
    <t>cementis xsnari M150</t>
  </si>
  <si>
    <t>6-11-1</t>
  </si>
  <si>
    <t>fari ficris, yalibis</t>
  </si>
  <si>
    <t xml:space="preserve">Zeli </t>
  </si>
  <si>
    <t xml:space="preserve">ficari Camoganuli III xarisxis, 40-60 mm </t>
  </si>
  <si>
    <t>WanWiki</t>
  </si>
  <si>
    <t>vibraciuli satkepni</t>
  </si>
  <si>
    <t>traqtori 79kvt</t>
  </si>
  <si>
    <t>9</t>
  </si>
  <si>
    <r>
      <t>m</t>
    </r>
    <r>
      <rPr>
        <u val="single"/>
        <vertAlign val="superscript"/>
        <sz val="11"/>
        <rFont val="AcadNusx"/>
        <family val="0"/>
      </rPr>
      <t>3</t>
    </r>
  </si>
  <si>
    <t>eqskavatori  0.5</t>
  </si>
  <si>
    <t>meqanizmebze momsaxure personalis xelfasi</t>
  </si>
  <si>
    <t>transportireba 5 km-mde nayarSi</t>
  </si>
  <si>
    <t>ტ</t>
  </si>
  <si>
    <t>1-80- 3  vzer1-3</t>
  </si>
  <si>
    <t xml:space="preserve">III kategoriis gruntis moxsna xeliT datvirTva a/TviTmclelebze </t>
  </si>
  <si>
    <t>transportireba nayarSi 5 km manძილზe</t>
  </si>
  <si>
    <t xml:space="preserve">RorRi </t>
  </si>
  <si>
    <t xml:space="preserve"> qvesagebi baliSis mowyoba qviSa-xreSovani sagebiT, sisqiT 10sm</t>
  </si>
  <si>
    <t>qviSa-xreSovani sagebi</t>
  </si>
  <si>
    <t>6-11-3</t>
  </si>
  <si>
    <r>
      <t>armatura</t>
    </r>
    <r>
      <rPr>
        <sz val="11"/>
        <rFont val="Calibri"/>
        <family val="2"/>
      </rPr>
      <t xml:space="preserve"> AI Ǿ8</t>
    </r>
  </si>
  <si>
    <t>armatura</t>
  </si>
  <si>
    <t>eleqtrodi</t>
  </si>
  <si>
    <t>1-11-15</t>
  </si>
  <si>
    <t>ტრანშეას Sevseba qviSa-xreSovani nareviT</t>
  </si>
  <si>
    <t>14</t>
  </si>
  <si>
    <t>1-118-5,6</t>
  </si>
  <si>
    <t xml:space="preserve">qviSa-xreSovani narevis  datkepna vibraciuli satkepniT fenebad     </t>
  </si>
  <si>
    <t>9-17-5</t>
  </si>
  <si>
    <t>rkinabetonis  kiuvetis gadaxurva liTonis cxauriT</t>
  </si>
  <si>
    <t>foladis zolovana 60X6</t>
  </si>
  <si>
    <t>kg</t>
  </si>
  <si>
    <t>foladis kvadrati 10X10</t>
  </si>
  <si>
    <t>kuTxovana 65X65X5</t>
  </si>
  <si>
    <t>III kat. gruntis moxsna meqanizmebiT gruntis kiuvetis mosawyobad, datvirTva a/TviTmclelebze da zidva nayarSi 5 km-mde</t>
  </si>
  <si>
    <t>liTonis cxauriT gadaxuruli rk/betonis kiuvetis mowyoba sigrZiT 8m</t>
  </si>
  <si>
    <t xml:space="preserve">safuZvlis qveda fenis mowyoba qviSa-xreSovani (0-70 mm) nareviT, sisqiT 20sm. </t>
  </si>
  <si>
    <t>safuZvlis zeda fenis mowyoba fraqciuli RorRiT 0-40 mm, sisqiT 15 sm.</t>
  </si>
  <si>
    <t xml:space="preserve">III kat. gruntis moxsna meqanizmebiT, farTis 90%-ze, saS. sisqiT 30 sm-ze da datvirTva a/TviTmclelebze </t>
  </si>
  <si>
    <t xml:space="preserve">III kat. gruntis moxsna xeliT, farTis 10%-ze, saS. sisqiT             30 sm-ze da datvirTva a/TviTmclelebze </t>
  </si>
  <si>
    <t>liTonis milebis mowyoba</t>
  </si>
  <si>
    <t>portaluri kedlis monoliTuri betoni</t>
  </si>
  <si>
    <t>betonis nagebobisTvis xreSis sagebi</t>
  </si>
  <si>
    <t>wyalmimRebi Wis monoliTuri betoni</t>
  </si>
  <si>
    <t>qvesagebi baliSis mowyoba WisaTvis qviSa-xreSovani masaliT</t>
  </si>
  <si>
    <t>betonis nagebobisTvis wasacxebi hidroizolacia</t>
  </si>
  <si>
    <t>1-123-8</t>
  </si>
  <si>
    <t>qvis risberma</t>
  </si>
  <si>
    <t>riyis qva</t>
  </si>
  <si>
    <t>gruntis ukuCayra</t>
  </si>
  <si>
    <t xml:space="preserve">adgilobrivi gruntis  datkepna vibraciuli satkepniT fenebad     </t>
  </si>
  <si>
    <t xml:space="preserve">mcxeTis municipalitetSi, sofel qsovrisSi Sida saavtomobilo gzebis sareabilitacio samuSaoebi </t>
  </si>
  <si>
    <t>5</t>
  </si>
  <si>
    <t>11</t>
  </si>
  <si>
    <r>
      <t xml:space="preserve">monoliTuri rkina-betonis kiuvetis mowyoba                         </t>
    </r>
    <r>
      <rPr>
        <b/>
        <sz val="11"/>
        <rFont val="Calibri"/>
        <family val="2"/>
      </rPr>
      <t>B30 F200 W6</t>
    </r>
  </si>
  <si>
    <r>
      <t xml:space="preserve">portaluri kedlis tanisa da saZirkvlis mowyoba </t>
    </r>
    <r>
      <rPr>
        <b/>
        <sz val="11"/>
        <rFont val="Calibri"/>
        <family val="2"/>
      </rPr>
      <t xml:space="preserve">B22,5, F200, W6 </t>
    </r>
    <r>
      <rPr>
        <b/>
        <sz val="11"/>
        <rFont val="AcadNusx"/>
        <family val="0"/>
      </rPr>
      <t>betoniT</t>
    </r>
  </si>
  <si>
    <r>
      <t xml:space="preserve">wyalmimRebi Wis Ziris da kedlebis mowyoba </t>
    </r>
    <r>
      <rPr>
        <b/>
        <sz val="11"/>
        <rFont val="Calibri"/>
        <family val="2"/>
      </rPr>
      <t xml:space="preserve">B22,5, F200, W6 </t>
    </r>
    <r>
      <rPr>
        <b/>
        <sz val="11"/>
        <rFont val="AcadNusx"/>
        <family val="0"/>
      </rPr>
      <t>betoniT</t>
    </r>
  </si>
  <si>
    <t>III kat. gruntis damuSaveba eqskavatooriT qvabulis Sesaqmnelad adgilze dayriT</t>
  </si>
  <si>
    <r>
      <rPr>
        <sz val="11"/>
        <rFont val="AcadNusx"/>
        <family val="0"/>
      </rPr>
      <t>gauTvaliswinebeli xarjebi</t>
    </r>
    <r>
      <rPr>
        <sz val="11"/>
        <rFont val="Sylfaen"/>
        <family val="1"/>
      </rPr>
      <t xml:space="preserve">  - ფიქსირებული თანხა 9441 ლარი</t>
    </r>
  </si>
  <si>
    <t xml:space="preserve">gegmiuri mogeba   </t>
  </si>
  <si>
    <t xml:space="preserve">zednadebi xarjebi   </t>
  </si>
  <si>
    <t>masalebis transportireba    masalebis Rirebulebidan</t>
  </si>
  <si>
    <t xml:space="preserve">zednadebi xarjebi  </t>
  </si>
  <si>
    <t xml:space="preserve">gegmiuri mogeba  </t>
  </si>
  <si>
    <t xml:space="preserve">gegmiuri mogeba    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</si>
</sst>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\ &quot;₾&quot;;\-#,##0\ &quot;₾&quot;"/>
    <numFmt numFmtId="173" formatCode="#,##0\ &quot;₾&quot;;[Red]\-#,##0\ &quot;₾&quot;"/>
    <numFmt numFmtId="174" formatCode="#,##0.00\ &quot;₾&quot;;\-#,##0.00\ &quot;₾&quot;"/>
    <numFmt numFmtId="175" formatCode="#,##0.00\ &quot;₾&quot;;[Red]\-#,##0.00\ &quot;₾&quot;"/>
    <numFmt numFmtId="176" formatCode="_-* #,##0\ &quot;₾&quot;_-;\-* #,##0\ &quot;₾&quot;_-;_-* &quot;-&quot;\ &quot;₾&quot;_-;_-@_-"/>
    <numFmt numFmtId="177" formatCode="_-* #,##0\ _₾_-;\-* #,##0\ _₾_-;_-* &quot;-&quot;\ _₾_-;_-@_-"/>
    <numFmt numFmtId="178" formatCode="_-* #,##0.00\ &quot;₾&quot;_-;\-* #,##0.00\ &quot;₾&quot;_-;_-* &quot;-&quot;??\ &quot;₾&quot;_-;_-@_-"/>
    <numFmt numFmtId="179" formatCode="_-* #,##0.00\ _₾_-;\-* #,##0.00\ _₾_-;_-* &quot;-&quot;??\ _₾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0.0"/>
    <numFmt numFmtId="199" formatCode="0.000"/>
    <numFmt numFmtId="200" formatCode="0.0000"/>
    <numFmt numFmtId="201" formatCode="0.00000"/>
    <numFmt numFmtId="202" formatCode="[$-FC19]d\ mmmm\ yyyy\ &quot;г.&quot;"/>
    <numFmt numFmtId="203" formatCode="0;[Red]0"/>
    <numFmt numFmtId="204" formatCode="_(* #,##0.00_);_(* \(#,##0.00\);_(* &quot;-&quot;???_);_(@_)"/>
    <numFmt numFmtId="205" formatCode="_(* #,##0.0_);_(* \(#,##0.0\);_(* &quot;-&quot;???_);_(@_)"/>
    <numFmt numFmtId="206" formatCode="_(* #,##0_);_(* \(#,##0\);_(* &quot;-&quot;???_);_(@_)"/>
    <numFmt numFmtId="207" formatCode="_(* #,##0.000_);_(* \(#,##0.000\);_(* &quot;-&quot;???_);_(@_)"/>
    <numFmt numFmtId="208" formatCode="0.000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%"/>
    <numFmt numFmtId="214" formatCode="0.0000000"/>
    <numFmt numFmtId="215" formatCode="#,##0.000"/>
    <numFmt numFmtId="216" formatCode="0.00000000"/>
    <numFmt numFmtId="217" formatCode="0.000000000"/>
  </numFmts>
  <fonts count="94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b/>
      <sz val="14"/>
      <name val="Arachveulebrivi Thin"/>
      <family val="2"/>
    </font>
    <font>
      <sz val="14"/>
      <name val="Arachveulebrivi Thin"/>
      <family val="2"/>
    </font>
    <font>
      <b/>
      <sz val="11"/>
      <name val="AcadNusx"/>
      <family val="0"/>
    </font>
    <font>
      <sz val="11"/>
      <name val="AcadNusx"/>
      <family val="0"/>
    </font>
    <font>
      <b/>
      <sz val="14"/>
      <name val="AcadNusx"/>
      <family val="0"/>
    </font>
    <font>
      <sz val="14"/>
      <name val="AcadNusx"/>
      <family val="0"/>
    </font>
    <font>
      <vertAlign val="superscript"/>
      <sz val="11"/>
      <color indexed="8"/>
      <name val="AcadNusx"/>
      <family val="0"/>
    </font>
    <font>
      <vertAlign val="superscript"/>
      <sz val="11"/>
      <name val="AcadNusx"/>
      <family val="0"/>
    </font>
    <font>
      <b/>
      <u val="single"/>
      <sz val="11"/>
      <name val="AcadNusx"/>
      <family val="0"/>
    </font>
    <font>
      <b/>
      <sz val="12"/>
      <name val="AcadNusx"/>
      <family val="0"/>
    </font>
    <font>
      <b/>
      <sz val="11"/>
      <name val="Arachveulebrivi Thin"/>
      <family val="2"/>
    </font>
    <font>
      <sz val="11"/>
      <name val="Arachveulebrivi Thin"/>
      <family val="2"/>
    </font>
    <font>
      <sz val="10"/>
      <name val="AcadNusx"/>
      <family val="0"/>
    </font>
    <font>
      <b/>
      <vertAlign val="superscript"/>
      <sz val="11"/>
      <name val="AcadNusx"/>
      <family val="0"/>
    </font>
    <font>
      <vertAlign val="superscript"/>
      <sz val="12"/>
      <color indexed="8"/>
      <name val="AcadNusx"/>
      <family val="0"/>
    </font>
    <font>
      <b/>
      <vertAlign val="superscript"/>
      <sz val="12"/>
      <color indexed="8"/>
      <name val="AcadNusx"/>
      <family val="0"/>
    </font>
    <font>
      <b/>
      <sz val="12"/>
      <color indexed="8"/>
      <name val="AcadNusx"/>
      <family val="0"/>
    </font>
    <font>
      <sz val="12"/>
      <name val="Sylfaen"/>
      <family val="1"/>
    </font>
    <font>
      <b/>
      <i/>
      <sz val="11"/>
      <name val="AcadNusx"/>
      <family val="0"/>
    </font>
    <font>
      <u val="single"/>
      <sz val="11"/>
      <name val="AcadNusx"/>
      <family val="0"/>
    </font>
    <font>
      <b/>
      <sz val="11"/>
      <name val="Calibri"/>
      <family val="2"/>
    </font>
    <font>
      <u val="single"/>
      <vertAlign val="superscript"/>
      <sz val="11"/>
      <name val="AcadNusx"/>
      <family val="0"/>
    </font>
    <font>
      <sz val="11"/>
      <name val="Calibri"/>
      <family val="2"/>
    </font>
    <font>
      <sz val="9"/>
      <name val="AcadNusx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cadNusx"/>
      <family val="0"/>
    </font>
    <font>
      <sz val="11"/>
      <color indexed="8"/>
      <name val="AcadNusx"/>
      <family val="0"/>
    </font>
    <font>
      <sz val="11"/>
      <color indexed="8"/>
      <name val="Sylfaen"/>
      <family val="1"/>
    </font>
    <font>
      <b/>
      <sz val="11"/>
      <color indexed="8"/>
      <name val="Arial"/>
      <family val="2"/>
    </font>
    <font>
      <b/>
      <sz val="11"/>
      <color indexed="8"/>
      <name val="Sylfaen"/>
      <family val="1"/>
    </font>
    <font>
      <strike/>
      <sz val="11"/>
      <color indexed="8"/>
      <name val="Sylfaen"/>
      <family val="1"/>
    </font>
    <font>
      <sz val="11"/>
      <color indexed="8"/>
      <name val="Arial"/>
      <family val="2"/>
    </font>
    <font>
      <sz val="11"/>
      <color indexed="8"/>
      <name val="Arachveulebrivi Thin"/>
      <family val="2"/>
    </font>
    <font>
      <sz val="9"/>
      <color indexed="8"/>
      <name val="AcadNusx"/>
      <family val="0"/>
    </font>
    <font>
      <b/>
      <u val="single"/>
      <sz val="11"/>
      <color indexed="8"/>
      <name val="AcadNusx"/>
      <family val="0"/>
    </font>
    <font>
      <b/>
      <i/>
      <sz val="11"/>
      <color indexed="8"/>
      <name val="AcadNusx"/>
      <family val="0"/>
    </font>
    <font>
      <b/>
      <sz val="12"/>
      <color indexed="8"/>
      <name val="Arachveulebrivi Thin"/>
      <family val="2"/>
    </font>
    <font>
      <sz val="12"/>
      <color indexed="8"/>
      <name val="Arachveulebrivi Thin"/>
      <family val="2"/>
    </font>
    <font>
      <sz val="12"/>
      <color indexed="8"/>
      <name val="AcadNusx"/>
      <family val="0"/>
    </font>
    <font>
      <b/>
      <u val="single"/>
      <sz val="12"/>
      <color indexed="8"/>
      <name val="AcadNusx"/>
      <family val="0"/>
    </font>
    <font>
      <sz val="10"/>
      <color indexed="8"/>
      <name val="AcadNusx"/>
      <family val="0"/>
    </font>
    <font>
      <sz val="11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cadNusx"/>
      <family val="0"/>
    </font>
    <font>
      <sz val="11"/>
      <color theme="1"/>
      <name val="AcadNusx"/>
      <family val="0"/>
    </font>
    <font>
      <sz val="11"/>
      <color theme="1"/>
      <name val="Sylfaen"/>
      <family val="1"/>
    </font>
    <font>
      <b/>
      <sz val="11"/>
      <color theme="1"/>
      <name val="Arial"/>
      <family val="2"/>
    </font>
    <font>
      <b/>
      <sz val="11"/>
      <color theme="1"/>
      <name val="Sylfaen"/>
      <family val="1"/>
    </font>
    <font>
      <strike/>
      <sz val="11"/>
      <color theme="1"/>
      <name val="Sylfaen"/>
      <family val="1"/>
    </font>
    <font>
      <sz val="11"/>
      <color theme="1"/>
      <name val="Arial"/>
      <family val="2"/>
    </font>
    <font>
      <sz val="11"/>
      <color theme="1"/>
      <name val="Arachveulebrivi Thin"/>
      <family val="2"/>
    </font>
    <font>
      <sz val="9"/>
      <color theme="1"/>
      <name val="AcadNusx"/>
      <family val="0"/>
    </font>
    <font>
      <b/>
      <u val="single"/>
      <sz val="11"/>
      <color theme="1"/>
      <name val="AcadNusx"/>
      <family val="0"/>
    </font>
    <font>
      <b/>
      <i/>
      <sz val="11"/>
      <color theme="1"/>
      <name val="AcadNusx"/>
      <family val="0"/>
    </font>
    <font>
      <b/>
      <sz val="12"/>
      <color theme="1"/>
      <name val="Arachveulebrivi Thin"/>
      <family val="2"/>
    </font>
    <font>
      <sz val="12"/>
      <color theme="1"/>
      <name val="Arachveulebrivi Thin"/>
      <family val="2"/>
    </font>
    <font>
      <sz val="12"/>
      <color theme="1"/>
      <name val="AcadNusx"/>
      <family val="0"/>
    </font>
    <font>
      <b/>
      <sz val="12"/>
      <color theme="1"/>
      <name val="AcadNusx"/>
      <family val="0"/>
    </font>
    <font>
      <b/>
      <u val="single"/>
      <sz val="12"/>
      <color theme="1"/>
      <name val="AcadNusx"/>
      <family val="0"/>
    </font>
    <font>
      <sz val="10"/>
      <color theme="1"/>
      <name val="AcadNusx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29" borderId="1" applyNumberFormat="0" applyAlignment="0" applyProtection="0"/>
    <xf numFmtId="0" fontId="71" fillId="0" borderId="6" applyNumberFormat="0" applyFill="0" applyAlignment="0" applyProtection="0"/>
    <xf numFmtId="0" fontId="7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73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0" fillId="0" borderId="0">
      <alignment/>
      <protection/>
    </xf>
  </cellStyleXfs>
  <cellXfs count="506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2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2" fontId="8" fillId="0" borderId="0" xfId="0" applyNumberFormat="1" applyFont="1" applyFill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 wrapText="1"/>
    </xf>
    <xf numFmtId="0" fontId="77" fillId="32" borderId="0" xfId="0" applyFont="1" applyFill="1" applyAlignment="1">
      <alignment vertical="center" wrapText="1"/>
    </xf>
    <xf numFmtId="0" fontId="78" fillId="32" borderId="0" xfId="0" applyFont="1" applyFill="1" applyBorder="1" applyAlignment="1">
      <alignment/>
    </xf>
    <xf numFmtId="0" fontId="78" fillId="32" borderId="0" xfId="0" applyFont="1" applyFill="1" applyBorder="1" applyAlignment="1">
      <alignment horizontal="center" vertical="center" wrapText="1"/>
    </xf>
    <xf numFmtId="2" fontId="78" fillId="32" borderId="0" xfId="0" applyNumberFormat="1" applyFont="1" applyFill="1" applyBorder="1" applyAlignment="1">
      <alignment horizontal="center" vertical="center" wrapText="1"/>
    </xf>
    <xf numFmtId="2" fontId="78" fillId="32" borderId="15" xfId="64" applyNumberFormat="1" applyFont="1" applyFill="1" applyBorder="1" applyAlignment="1">
      <alignment horizontal="center" vertical="center"/>
      <protection/>
    </xf>
    <xf numFmtId="2" fontId="78" fillId="32" borderId="16" xfId="64" applyNumberFormat="1" applyFont="1" applyFill="1" applyBorder="1" applyAlignment="1">
      <alignment horizontal="center" vertical="center"/>
      <protection/>
    </xf>
    <xf numFmtId="0" fontId="78" fillId="32" borderId="11" xfId="64" applyFont="1" applyFill="1" applyBorder="1" applyAlignment="1">
      <alignment horizontal="center" vertical="center"/>
      <protection/>
    </xf>
    <xf numFmtId="49" fontId="78" fillId="32" borderId="10" xfId="64" applyNumberFormat="1" applyFont="1" applyFill="1" applyBorder="1" applyAlignment="1">
      <alignment horizontal="center" vertical="center" wrapText="1"/>
      <protection/>
    </xf>
    <xf numFmtId="0" fontId="78" fillId="32" borderId="13" xfId="64" applyFont="1" applyFill="1" applyBorder="1" applyAlignment="1">
      <alignment horizontal="center" vertical="center" wrapText="1"/>
      <protection/>
    </xf>
    <xf numFmtId="2" fontId="78" fillId="32" borderId="11" xfId="64" applyNumberFormat="1" applyFont="1" applyFill="1" applyBorder="1" applyAlignment="1">
      <alignment horizontal="center" vertical="center"/>
      <protection/>
    </xf>
    <xf numFmtId="2" fontId="78" fillId="32" borderId="10" xfId="64" applyNumberFormat="1" applyFont="1" applyFill="1" applyBorder="1" applyAlignment="1">
      <alignment horizontal="center" vertical="center"/>
      <protection/>
    </xf>
    <xf numFmtId="2" fontId="78" fillId="32" borderId="13" xfId="64" applyNumberFormat="1" applyFont="1" applyFill="1" applyBorder="1" applyAlignment="1">
      <alignment horizontal="center" vertical="center"/>
      <protection/>
    </xf>
    <xf numFmtId="2" fontId="78" fillId="32" borderId="12" xfId="64" applyNumberFormat="1" applyFont="1" applyFill="1" applyBorder="1" applyAlignment="1">
      <alignment horizontal="center" vertical="center"/>
      <protection/>
    </xf>
    <xf numFmtId="0" fontId="78" fillId="32" borderId="17" xfId="64" applyFont="1" applyFill="1" applyBorder="1" applyAlignment="1">
      <alignment horizontal="center" vertical="center"/>
      <protection/>
    </xf>
    <xf numFmtId="0" fontId="79" fillId="32" borderId="10" xfId="0" applyFont="1" applyFill="1" applyBorder="1" applyAlignment="1">
      <alignment vertical="center" wrapText="1"/>
    </xf>
    <xf numFmtId="2" fontId="80" fillId="32" borderId="10" xfId="0" applyNumberFormat="1" applyFont="1" applyFill="1" applyBorder="1" applyAlignment="1">
      <alignment horizontal="left" vertical="center" wrapText="1"/>
    </xf>
    <xf numFmtId="2" fontId="80" fillId="32" borderId="10" xfId="0" applyNumberFormat="1" applyFont="1" applyFill="1" applyBorder="1" applyAlignment="1">
      <alignment horizontal="center" vertical="center" wrapText="1"/>
    </xf>
    <xf numFmtId="4" fontId="81" fillId="32" borderId="10" xfId="0" applyNumberFormat="1" applyFont="1" applyFill="1" applyBorder="1" applyAlignment="1">
      <alignment horizontal="center" vertical="center"/>
    </xf>
    <xf numFmtId="215" fontId="81" fillId="32" borderId="10" xfId="0" applyNumberFormat="1" applyFont="1" applyFill="1" applyBorder="1" applyAlignment="1">
      <alignment horizontal="center" vertical="center"/>
    </xf>
    <xf numFmtId="4" fontId="79" fillId="32" borderId="10" xfId="0" applyNumberFormat="1" applyFont="1" applyFill="1" applyBorder="1" applyAlignment="1">
      <alignment horizontal="center" vertical="center"/>
    </xf>
    <xf numFmtId="4" fontId="82" fillId="32" borderId="10" xfId="0" applyNumberFormat="1" applyFont="1" applyFill="1" applyBorder="1" applyAlignment="1">
      <alignment horizontal="center" vertical="center"/>
    </xf>
    <xf numFmtId="0" fontId="79" fillId="32" borderId="10" xfId="0" applyFont="1" applyFill="1" applyBorder="1" applyAlignment="1">
      <alignment horizontal="center" vertical="center" wrapText="1"/>
    </xf>
    <xf numFmtId="2" fontId="83" fillId="32" borderId="10" xfId="0" applyNumberFormat="1" applyFont="1" applyFill="1" applyBorder="1" applyAlignment="1">
      <alignment horizontal="left" vertical="center"/>
    </xf>
    <xf numFmtId="49" fontId="83" fillId="32" borderId="10" xfId="0" applyNumberFormat="1" applyFont="1" applyFill="1" applyBorder="1" applyAlignment="1">
      <alignment horizontal="center" vertical="center"/>
    </xf>
    <xf numFmtId="0" fontId="79" fillId="32" borderId="0" xfId="0" applyFont="1" applyFill="1" applyAlignment="1">
      <alignment horizontal="center" vertical="center"/>
    </xf>
    <xf numFmtId="2" fontId="78" fillId="32" borderId="15" xfId="0" applyNumberFormat="1" applyFont="1" applyFill="1" applyBorder="1" applyAlignment="1">
      <alignment horizontal="center" vertical="center"/>
    </xf>
    <xf numFmtId="0" fontId="78" fillId="32" borderId="15" xfId="0" applyFont="1" applyFill="1" applyBorder="1" applyAlignment="1">
      <alignment horizontal="center"/>
    </xf>
    <xf numFmtId="0" fontId="78" fillId="32" borderId="15" xfId="0" applyFont="1" applyFill="1" applyBorder="1" applyAlignment="1">
      <alignment horizontal="center" vertical="center"/>
    </xf>
    <xf numFmtId="0" fontId="78" fillId="32" borderId="15" xfId="0" applyFont="1" applyFill="1" applyBorder="1" applyAlignment="1">
      <alignment horizontal="center" vertical="center" wrapText="1"/>
    </xf>
    <xf numFmtId="0" fontId="78" fillId="32" borderId="15" xfId="0" applyFont="1" applyFill="1" applyBorder="1" applyAlignment="1">
      <alignment/>
    </xf>
    <xf numFmtId="2" fontId="78" fillId="32" borderId="15" xfId="0" applyNumberFormat="1" applyFont="1" applyFill="1" applyBorder="1" applyAlignment="1">
      <alignment horizontal="center" vertical="center" wrapText="1"/>
    </xf>
    <xf numFmtId="49" fontId="78" fillId="32" borderId="15" xfId="0" applyNumberFormat="1" applyFont="1" applyFill="1" applyBorder="1" applyAlignment="1">
      <alignment horizontal="center" vertical="center"/>
    </xf>
    <xf numFmtId="2" fontId="78" fillId="32" borderId="0" xfId="0" applyNumberFormat="1" applyFont="1" applyFill="1" applyBorder="1" applyAlignment="1">
      <alignment horizontal="center" vertical="center"/>
    </xf>
    <xf numFmtId="49" fontId="78" fillId="32" borderId="15" xfId="0" applyNumberFormat="1" applyFont="1" applyFill="1" applyBorder="1" applyAlignment="1">
      <alignment horizontal="center"/>
    </xf>
    <xf numFmtId="0" fontId="78" fillId="32" borderId="15" xfId="55" applyFont="1" applyFill="1" applyBorder="1" applyAlignment="1">
      <alignment horizontal="center"/>
      <protection/>
    </xf>
    <xf numFmtId="9" fontId="78" fillId="32" borderId="15" xfId="68" applyFont="1" applyFill="1" applyBorder="1" applyAlignment="1">
      <alignment horizontal="center" vertical="center"/>
    </xf>
    <xf numFmtId="2" fontId="77" fillId="32" borderId="15" xfId="0" applyNumberFormat="1" applyFont="1" applyFill="1" applyBorder="1" applyAlignment="1">
      <alignment horizontal="center" vertical="center"/>
    </xf>
    <xf numFmtId="0" fontId="78" fillId="32" borderId="15" xfId="55" applyFont="1" applyFill="1" applyBorder="1" applyAlignment="1">
      <alignment horizontal="center" wrapText="1"/>
      <protection/>
    </xf>
    <xf numFmtId="0" fontId="78" fillId="32" borderId="15" xfId="55" applyFont="1" applyFill="1" applyBorder="1" applyAlignment="1">
      <alignment horizontal="center" vertical="center" wrapText="1"/>
      <protection/>
    </xf>
    <xf numFmtId="2" fontId="78" fillId="32" borderId="15" xfId="55" applyNumberFormat="1" applyFont="1" applyFill="1" applyBorder="1" applyAlignment="1">
      <alignment horizontal="center" vertical="center" wrapText="1"/>
      <protection/>
    </xf>
    <xf numFmtId="49" fontId="78" fillId="32" borderId="15" xfId="55" applyNumberFormat="1" applyFont="1" applyFill="1" applyBorder="1" applyAlignment="1">
      <alignment horizontal="center" vertical="center" wrapText="1"/>
      <protection/>
    </xf>
    <xf numFmtId="199" fontId="78" fillId="32" borderId="15" xfId="55" applyNumberFormat="1" applyFont="1" applyFill="1" applyBorder="1" applyAlignment="1">
      <alignment horizontal="center" wrapText="1"/>
      <protection/>
    </xf>
    <xf numFmtId="2" fontId="78" fillId="32" borderId="15" xfId="55" applyNumberFormat="1" applyFont="1" applyFill="1" applyBorder="1" applyAlignment="1">
      <alignment horizontal="center" wrapText="1"/>
      <protection/>
    </xf>
    <xf numFmtId="2" fontId="78" fillId="32" borderId="15" xfId="55" applyNumberFormat="1" applyFont="1" applyFill="1" applyBorder="1" applyAlignment="1">
      <alignment horizontal="center" vertical="center"/>
      <protection/>
    </xf>
    <xf numFmtId="199" fontId="78" fillId="32" borderId="15" xfId="55" applyNumberFormat="1" applyFont="1" applyFill="1" applyBorder="1" applyAlignment="1">
      <alignment horizontal="center" vertical="center" wrapText="1"/>
      <protection/>
    </xf>
    <xf numFmtId="0" fontId="78" fillId="32" borderId="16" xfId="55" applyFont="1" applyFill="1" applyBorder="1" applyAlignment="1">
      <alignment horizontal="center"/>
      <protection/>
    </xf>
    <xf numFmtId="49" fontId="78" fillId="32" borderId="16" xfId="55" applyNumberFormat="1" applyFont="1" applyFill="1" applyBorder="1" applyAlignment="1">
      <alignment horizontal="center" vertical="center" wrapText="1"/>
      <protection/>
    </xf>
    <xf numFmtId="9" fontId="78" fillId="32" borderId="16" xfId="68" applyFont="1" applyFill="1" applyBorder="1" applyAlignment="1">
      <alignment horizontal="center" vertical="center"/>
    </xf>
    <xf numFmtId="2" fontId="78" fillId="32" borderId="16" xfId="55" applyNumberFormat="1" applyFont="1" applyFill="1" applyBorder="1" applyAlignment="1">
      <alignment horizontal="center"/>
      <protection/>
    </xf>
    <xf numFmtId="0" fontId="78" fillId="32" borderId="0" xfId="0" applyFont="1" applyFill="1" applyBorder="1" applyAlignment="1">
      <alignment horizontal="center" vertical="center"/>
    </xf>
    <xf numFmtId="0" fontId="84" fillId="32" borderId="0" xfId="0" applyFont="1" applyFill="1" applyBorder="1" applyAlignment="1">
      <alignment horizontal="center" vertical="center"/>
    </xf>
    <xf numFmtId="0" fontId="84" fillId="32" borderId="0" xfId="0" applyFont="1" applyFill="1" applyBorder="1" applyAlignment="1">
      <alignment horizontal="center" vertical="center" wrapText="1"/>
    </xf>
    <xf numFmtId="2" fontId="84" fillId="32" borderId="0" xfId="0" applyNumberFormat="1" applyFont="1" applyFill="1" applyBorder="1" applyAlignment="1">
      <alignment horizontal="center" vertical="center"/>
    </xf>
    <xf numFmtId="0" fontId="84" fillId="32" borderId="0" xfId="0" applyFont="1" applyFill="1" applyBorder="1" applyAlignment="1">
      <alignment/>
    </xf>
    <xf numFmtId="0" fontId="78" fillId="32" borderId="14" xfId="0" applyFont="1" applyFill="1" applyBorder="1" applyAlignment="1">
      <alignment horizontal="center" vertical="center"/>
    </xf>
    <xf numFmtId="2" fontId="78" fillId="32" borderId="14" xfId="0" applyNumberFormat="1" applyFont="1" applyFill="1" applyBorder="1" applyAlignment="1">
      <alignment horizontal="center" vertical="center"/>
    </xf>
    <xf numFmtId="0" fontId="78" fillId="32" borderId="14" xfId="0" applyFont="1" applyFill="1" applyBorder="1" applyAlignment="1">
      <alignment/>
    </xf>
    <xf numFmtId="0" fontId="77" fillId="32" borderId="14" xfId="0" applyFont="1" applyFill="1" applyBorder="1" applyAlignment="1">
      <alignment horizontal="center" vertical="center" wrapText="1"/>
    </xf>
    <xf numFmtId="199" fontId="78" fillId="32" borderId="0" xfId="0" applyNumberFormat="1" applyFont="1" applyFill="1" applyBorder="1" applyAlignment="1">
      <alignment horizontal="center" vertical="center" wrapText="1"/>
    </xf>
    <xf numFmtId="200" fontId="78" fillId="32" borderId="14" xfId="0" applyNumberFormat="1" applyFont="1" applyFill="1" applyBorder="1" applyAlignment="1">
      <alignment horizontal="center" vertical="center"/>
    </xf>
    <xf numFmtId="0" fontId="78" fillId="32" borderId="15" xfId="0" applyFont="1" applyFill="1" applyBorder="1" applyAlignment="1">
      <alignment vertical="center"/>
    </xf>
    <xf numFmtId="0" fontId="85" fillId="32" borderId="15" xfId="0" applyFont="1" applyFill="1" applyBorder="1" applyAlignment="1">
      <alignment horizontal="center" vertical="center"/>
    </xf>
    <xf numFmtId="0" fontId="6" fillId="0" borderId="17" xfId="64" applyFont="1" applyFill="1" applyBorder="1" applyAlignment="1">
      <alignment horizontal="center" vertical="center"/>
      <protection/>
    </xf>
    <xf numFmtId="2" fontId="6" fillId="0" borderId="17" xfId="64" applyNumberFormat="1" applyFont="1" applyFill="1" applyBorder="1" applyAlignment="1">
      <alignment horizontal="center" vertical="center"/>
      <protection/>
    </xf>
    <xf numFmtId="2" fontId="6" fillId="0" borderId="15" xfId="64" applyNumberFormat="1" applyFont="1" applyFill="1" applyBorder="1" applyAlignment="1">
      <alignment horizontal="center" vertical="center"/>
      <protection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/>
    </xf>
    <xf numFmtId="200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/>
    </xf>
    <xf numFmtId="2" fontId="11" fillId="0" borderId="18" xfId="64" applyNumberFormat="1" applyFont="1" applyFill="1" applyBorder="1" applyAlignment="1">
      <alignment horizontal="center" vertical="center"/>
      <protection/>
    </xf>
    <xf numFmtId="2" fontId="86" fillId="32" borderId="14" xfId="0" applyNumberFormat="1" applyFont="1" applyFill="1" applyBorder="1" applyAlignment="1">
      <alignment horizontal="center" vertical="center"/>
    </xf>
    <xf numFmtId="0" fontId="77" fillId="32" borderId="15" xfId="0" applyFont="1" applyFill="1" applyBorder="1" applyAlignment="1">
      <alignment horizontal="center"/>
    </xf>
    <xf numFmtId="0" fontId="87" fillId="32" borderId="14" xfId="0" applyFont="1" applyFill="1" applyBorder="1" applyAlignment="1">
      <alignment horizontal="center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6" fillId="0" borderId="19" xfId="64" applyNumberFormat="1" applyFont="1" applyFill="1" applyBorder="1" applyAlignment="1">
      <alignment horizontal="center" vertical="center"/>
      <protection/>
    </xf>
    <xf numFmtId="2" fontId="6" fillId="0" borderId="20" xfId="64" applyNumberFormat="1" applyFont="1" applyFill="1" applyBorder="1" applyAlignment="1">
      <alignment horizontal="center" vertical="center"/>
      <protection/>
    </xf>
    <xf numFmtId="2" fontId="6" fillId="0" borderId="21" xfId="64" applyNumberFormat="1" applyFont="1" applyFill="1" applyBorder="1" applyAlignment="1">
      <alignment horizontal="center" vertical="center"/>
      <protection/>
    </xf>
    <xf numFmtId="2" fontId="6" fillId="0" borderId="16" xfId="64" applyNumberFormat="1" applyFont="1" applyFill="1" applyBorder="1" applyAlignment="1">
      <alignment horizontal="center" vertical="center"/>
      <protection/>
    </xf>
    <xf numFmtId="0" fontId="6" fillId="0" borderId="11" xfId="64" applyFont="1" applyFill="1" applyBorder="1" applyAlignment="1">
      <alignment horizontal="center" vertical="center"/>
      <protection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0" fontId="6" fillId="0" borderId="13" xfId="64" applyFont="1" applyFill="1" applyBorder="1" applyAlignment="1">
      <alignment horizontal="center" vertical="center" wrapText="1"/>
      <protection/>
    </xf>
    <xf numFmtId="2" fontId="6" fillId="0" borderId="11" xfId="64" applyNumberFormat="1" applyFont="1" applyFill="1" applyBorder="1" applyAlignment="1">
      <alignment horizontal="center" vertical="center"/>
      <protection/>
    </xf>
    <xf numFmtId="2" fontId="6" fillId="0" borderId="10" xfId="64" applyNumberFormat="1" applyFont="1" applyFill="1" applyBorder="1" applyAlignment="1">
      <alignment horizontal="center" vertical="center"/>
      <protection/>
    </xf>
    <xf numFmtId="2" fontId="6" fillId="0" borderId="13" xfId="64" applyNumberFormat="1" applyFont="1" applyFill="1" applyBorder="1" applyAlignment="1">
      <alignment horizontal="center" vertical="center"/>
      <protection/>
    </xf>
    <xf numFmtId="2" fontId="6" fillId="0" borderId="12" xfId="64" applyNumberFormat="1" applyFont="1" applyFill="1" applyBorder="1" applyAlignment="1">
      <alignment horizontal="center" vertical="center"/>
      <protection/>
    </xf>
    <xf numFmtId="0" fontId="5" fillId="0" borderId="18" xfId="64" applyFont="1" applyFill="1" applyBorder="1" applyAlignment="1">
      <alignment horizontal="center" vertical="center" wrapText="1"/>
      <protection/>
    </xf>
    <xf numFmtId="2" fontId="6" fillId="0" borderId="0" xfId="64" applyNumberFormat="1" applyFont="1" applyFill="1" applyBorder="1" applyAlignment="1">
      <alignment horizontal="center" vertical="center"/>
      <protection/>
    </xf>
    <xf numFmtId="199" fontId="6" fillId="0" borderId="15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6" fillId="0" borderId="19" xfId="64" applyFont="1" applyFill="1" applyBorder="1" applyAlignment="1">
      <alignment horizontal="center" vertical="center"/>
      <protection/>
    </xf>
    <xf numFmtId="49" fontId="6" fillId="0" borderId="16" xfId="64" applyNumberFormat="1" applyFont="1" applyFill="1" applyBorder="1" applyAlignment="1">
      <alignment horizontal="center" vertical="center" wrapText="1"/>
      <protection/>
    </xf>
    <xf numFmtId="0" fontId="6" fillId="0" borderId="21" xfId="64" applyFont="1" applyFill="1" applyBorder="1" applyAlignment="1">
      <alignment horizontal="center" vertical="center" wrapText="1"/>
      <protection/>
    </xf>
    <xf numFmtId="49" fontId="6" fillId="0" borderId="14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/>
    </xf>
    <xf numFmtId="1" fontId="6" fillId="0" borderId="15" xfId="64" applyNumberFormat="1" applyFont="1" applyFill="1" applyBorder="1" applyAlignment="1">
      <alignment horizontal="center" vertical="center"/>
      <protection/>
    </xf>
    <xf numFmtId="1" fontId="6" fillId="0" borderId="15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/>
    </xf>
    <xf numFmtId="2" fontId="11" fillId="0" borderId="14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/>
    </xf>
    <xf numFmtId="2" fontId="6" fillId="0" borderId="15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201" fontId="6" fillId="0" borderId="16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vertical="center"/>
    </xf>
    <xf numFmtId="199" fontId="6" fillId="0" borderId="16" xfId="0" applyNumberFormat="1" applyFont="1" applyFill="1" applyBorder="1" applyAlignment="1">
      <alignment horizontal="center" vertical="center"/>
    </xf>
    <xf numFmtId="0" fontId="6" fillId="0" borderId="15" xfId="64" applyFont="1" applyFill="1" applyBorder="1" applyAlignment="1">
      <alignment horizontal="center" vertical="center"/>
      <protection/>
    </xf>
    <xf numFmtId="0" fontId="5" fillId="0" borderId="15" xfId="64" applyFont="1" applyFill="1" applyBorder="1" applyAlignment="1">
      <alignment horizontal="center" vertical="center" wrapText="1"/>
      <protection/>
    </xf>
    <xf numFmtId="199" fontId="11" fillId="0" borderId="15" xfId="64" applyNumberFormat="1" applyFont="1" applyFill="1" applyBorder="1" applyAlignment="1">
      <alignment horizontal="center" vertical="center"/>
      <protection/>
    </xf>
    <xf numFmtId="49" fontId="5" fillId="0" borderId="15" xfId="0" applyNumberFormat="1" applyFont="1" applyFill="1" applyBorder="1" applyAlignment="1">
      <alignment horizontal="center" vertical="center" wrapText="1"/>
    </xf>
    <xf numFmtId="2" fontId="11" fillId="0" borderId="15" xfId="0" applyNumberFormat="1" applyFont="1" applyFill="1" applyBorder="1" applyAlignment="1">
      <alignment horizontal="center" vertical="center"/>
    </xf>
    <xf numFmtId="2" fontId="6" fillId="0" borderId="15" xfId="55" applyNumberFormat="1" applyFont="1" applyFill="1" applyBorder="1" applyAlignment="1">
      <alignment horizontal="center" vertical="center"/>
      <protection/>
    </xf>
    <xf numFmtId="49" fontId="6" fillId="0" borderId="15" xfId="0" applyNumberFormat="1" applyFont="1" applyFill="1" applyBorder="1" applyAlignment="1">
      <alignment horizontal="center"/>
    </xf>
    <xf numFmtId="0" fontId="6" fillId="0" borderId="15" xfId="55" applyFont="1" applyFill="1" applyBorder="1" applyAlignment="1">
      <alignment horizontal="center"/>
      <protection/>
    </xf>
    <xf numFmtId="9" fontId="6" fillId="0" borderId="15" xfId="68" applyFont="1" applyFill="1" applyBorder="1" applyAlignment="1">
      <alignment horizontal="center" vertical="center"/>
    </xf>
    <xf numFmtId="0" fontId="6" fillId="0" borderId="15" xfId="55" applyFont="1" applyFill="1" applyBorder="1" applyAlignment="1">
      <alignment horizontal="center" wrapText="1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2" fontId="6" fillId="0" borderId="15" xfId="55" applyNumberFormat="1" applyFont="1" applyFill="1" applyBorder="1" applyAlignment="1">
      <alignment horizontal="center" vertical="center" wrapText="1"/>
      <protection/>
    </xf>
    <xf numFmtId="49" fontId="6" fillId="0" borderId="15" xfId="55" applyNumberFormat="1" applyFont="1" applyFill="1" applyBorder="1" applyAlignment="1">
      <alignment horizontal="center" vertical="center" wrapText="1"/>
      <protection/>
    </xf>
    <xf numFmtId="199" fontId="6" fillId="0" borderId="15" xfId="55" applyNumberFormat="1" applyFont="1" applyFill="1" applyBorder="1" applyAlignment="1">
      <alignment horizontal="center" wrapText="1"/>
      <protection/>
    </xf>
    <xf numFmtId="2" fontId="6" fillId="0" borderId="15" xfId="55" applyNumberFormat="1" applyFont="1" applyFill="1" applyBorder="1" applyAlignment="1">
      <alignment horizontal="center" wrapText="1"/>
      <protection/>
    </xf>
    <xf numFmtId="199" fontId="6" fillId="0" borderId="15" xfId="55" applyNumberFormat="1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center"/>
      <protection/>
    </xf>
    <xf numFmtId="49" fontId="6" fillId="0" borderId="16" xfId="55" applyNumberFormat="1" applyFont="1" applyFill="1" applyBorder="1" applyAlignment="1">
      <alignment horizontal="center" vertical="center" wrapText="1"/>
      <protection/>
    </xf>
    <xf numFmtId="9" fontId="6" fillId="0" borderId="16" xfId="68" applyFont="1" applyFill="1" applyBorder="1" applyAlignment="1">
      <alignment horizontal="center" vertical="center"/>
    </xf>
    <xf numFmtId="2" fontId="6" fillId="0" borderId="16" xfId="55" applyNumberFormat="1" applyFont="1" applyFill="1" applyBorder="1" applyAlignment="1">
      <alignment horizontal="center"/>
      <protection/>
    </xf>
    <xf numFmtId="2" fontId="5" fillId="0" borderId="16" xfId="55" applyNumberFormat="1" applyFont="1" applyFill="1" applyBorder="1" applyAlignment="1">
      <alignment horizontal="center"/>
      <protection/>
    </xf>
    <xf numFmtId="2" fontId="6" fillId="0" borderId="0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/>
    </xf>
    <xf numFmtId="0" fontId="6" fillId="0" borderId="14" xfId="55" applyFont="1" applyFill="1" applyBorder="1" applyAlignment="1">
      <alignment horizontal="center"/>
      <protection/>
    </xf>
    <xf numFmtId="9" fontId="6" fillId="0" borderId="14" xfId="68" applyFont="1" applyFill="1" applyBorder="1" applyAlignment="1">
      <alignment horizontal="center" vertical="center"/>
    </xf>
    <xf numFmtId="2" fontId="11" fillId="0" borderId="15" xfId="64" applyNumberFormat="1" applyFont="1" applyFill="1" applyBorder="1" applyAlignment="1">
      <alignment horizontal="center" vertical="center"/>
      <protection/>
    </xf>
    <xf numFmtId="2" fontId="78" fillId="32" borderId="16" xfId="64" applyNumberFormat="1" applyFont="1" applyFill="1" applyBorder="1" applyAlignment="1">
      <alignment horizontal="center" vertical="center"/>
      <protection/>
    </xf>
    <xf numFmtId="0" fontId="78" fillId="32" borderId="15" xfId="0" applyFont="1" applyFill="1" applyBorder="1" applyAlignment="1">
      <alignment horizontal="center" vertical="center"/>
    </xf>
    <xf numFmtId="2" fontId="78" fillId="32" borderId="15" xfId="0" applyNumberFormat="1" applyFont="1" applyFill="1" applyBorder="1" applyAlignment="1">
      <alignment horizontal="center" vertical="center"/>
    </xf>
    <xf numFmtId="2" fontId="78" fillId="32" borderId="16" xfId="0" applyNumberFormat="1" applyFont="1" applyFill="1" applyBorder="1" applyAlignment="1">
      <alignment horizontal="center" vertical="center"/>
    </xf>
    <xf numFmtId="200" fontId="12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6" fillId="0" borderId="22" xfId="64" applyNumberFormat="1" applyFont="1" applyFill="1" applyBorder="1" applyAlignment="1">
      <alignment horizontal="center" vertical="center"/>
      <protection/>
    </xf>
    <xf numFmtId="2" fontId="6" fillId="0" borderId="19" xfId="0" applyNumberFormat="1" applyFont="1" applyFill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2" fontId="6" fillId="0" borderId="14" xfId="64" applyNumberFormat="1" applyFont="1" applyFill="1" applyBorder="1" applyAlignment="1">
      <alignment horizontal="center" vertical="center"/>
      <protection/>
    </xf>
    <xf numFmtId="2" fontId="6" fillId="0" borderId="23" xfId="64" applyNumberFormat="1" applyFont="1" applyFill="1" applyBorder="1" applyAlignment="1">
      <alignment horizontal="center" vertical="center"/>
      <protection/>
    </xf>
    <xf numFmtId="0" fontId="88" fillId="32" borderId="0" xfId="0" applyFont="1" applyFill="1" applyAlignment="1">
      <alignment vertical="center" wrapText="1"/>
    </xf>
    <xf numFmtId="0" fontId="89" fillId="32" borderId="0" xfId="0" applyFont="1" applyFill="1" applyBorder="1" applyAlignment="1">
      <alignment/>
    </xf>
    <xf numFmtId="0" fontId="90" fillId="32" borderId="0" xfId="0" applyFont="1" applyFill="1" applyBorder="1" applyAlignment="1">
      <alignment horizontal="center" vertical="center" wrapText="1"/>
    </xf>
    <xf numFmtId="2" fontId="90" fillId="32" borderId="0" xfId="0" applyNumberFormat="1" applyFont="1" applyFill="1" applyBorder="1" applyAlignment="1">
      <alignment horizontal="center" vertical="center" wrapText="1"/>
    </xf>
    <xf numFmtId="2" fontId="90" fillId="32" borderId="15" xfId="64" applyNumberFormat="1" applyFont="1" applyFill="1" applyBorder="1" applyAlignment="1">
      <alignment horizontal="center" vertical="center"/>
      <protection/>
    </xf>
    <xf numFmtId="2" fontId="90" fillId="32" borderId="16" xfId="64" applyNumberFormat="1" applyFont="1" applyFill="1" applyBorder="1" applyAlignment="1">
      <alignment horizontal="center" vertical="center"/>
      <protection/>
    </xf>
    <xf numFmtId="0" fontId="90" fillId="32" borderId="11" xfId="64" applyFont="1" applyFill="1" applyBorder="1" applyAlignment="1">
      <alignment horizontal="center" vertical="center"/>
      <protection/>
    </xf>
    <xf numFmtId="49" fontId="90" fillId="32" borderId="10" xfId="64" applyNumberFormat="1" applyFont="1" applyFill="1" applyBorder="1" applyAlignment="1">
      <alignment horizontal="center" vertical="center" wrapText="1"/>
      <protection/>
    </xf>
    <xf numFmtId="0" fontId="90" fillId="32" borderId="13" xfId="64" applyFont="1" applyFill="1" applyBorder="1" applyAlignment="1">
      <alignment horizontal="center" vertical="center" wrapText="1"/>
      <protection/>
    </xf>
    <xf numFmtId="2" fontId="90" fillId="32" borderId="11" xfId="64" applyNumberFormat="1" applyFont="1" applyFill="1" applyBorder="1" applyAlignment="1">
      <alignment horizontal="center" vertical="center"/>
      <protection/>
    </xf>
    <xf numFmtId="2" fontId="90" fillId="32" borderId="10" xfId="64" applyNumberFormat="1" applyFont="1" applyFill="1" applyBorder="1" applyAlignment="1">
      <alignment horizontal="center" vertical="center"/>
      <protection/>
    </xf>
    <xf numFmtId="2" fontId="90" fillId="32" borderId="13" xfId="64" applyNumberFormat="1" applyFont="1" applyFill="1" applyBorder="1" applyAlignment="1">
      <alignment horizontal="center" vertical="center"/>
      <protection/>
    </xf>
    <xf numFmtId="2" fontId="90" fillId="32" borderId="12" xfId="64" applyNumberFormat="1" applyFont="1" applyFill="1" applyBorder="1" applyAlignment="1">
      <alignment horizontal="center" vertical="center"/>
      <protection/>
    </xf>
    <xf numFmtId="0" fontId="90" fillId="32" borderId="17" xfId="64" applyFont="1" applyFill="1" applyBorder="1" applyAlignment="1">
      <alignment horizontal="center" vertical="center"/>
      <protection/>
    </xf>
    <xf numFmtId="49" fontId="90" fillId="32" borderId="15" xfId="0" applyNumberFormat="1" applyFont="1" applyFill="1" applyBorder="1" applyAlignment="1">
      <alignment horizontal="center" vertical="center"/>
    </xf>
    <xf numFmtId="0" fontId="91" fillId="32" borderId="18" xfId="64" applyFont="1" applyFill="1" applyBorder="1" applyAlignment="1">
      <alignment horizontal="center" vertical="center" wrapText="1"/>
      <protection/>
    </xf>
    <xf numFmtId="2" fontId="90" fillId="32" borderId="15" xfId="0" applyNumberFormat="1" applyFont="1" applyFill="1" applyBorder="1" applyAlignment="1">
      <alignment horizontal="center" vertical="center"/>
    </xf>
    <xf numFmtId="0" fontId="90" fillId="32" borderId="15" xfId="0" applyFont="1" applyFill="1" applyBorder="1" applyAlignment="1">
      <alignment/>
    </xf>
    <xf numFmtId="2" fontId="90" fillId="32" borderId="0" xfId="64" applyNumberFormat="1" applyFont="1" applyFill="1" applyBorder="1" applyAlignment="1">
      <alignment horizontal="center" vertical="center"/>
      <protection/>
    </xf>
    <xf numFmtId="2" fontId="90" fillId="32" borderId="17" xfId="64" applyNumberFormat="1" applyFont="1" applyFill="1" applyBorder="1" applyAlignment="1">
      <alignment horizontal="center" vertical="center"/>
      <protection/>
    </xf>
    <xf numFmtId="2" fontId="90" fillId="32" borderId="15" xfId="0" applyNumberFormat="1" applyFont="1" applyFill="1" applyBorder="1" applyAlignment="1">
      <alignment horizontal="center" vertical="center" wrapText="1"/>
    </xf>
    <xf numFmtId="199" fontId="90" fillId="32" borderId="15" xfId="0" applyNumberFormat="1" applyFont="1" applyFill="1" applyBorder="1" applyAlignment="1">
      <alignment horizontal="center" vertical="center"/>
    </xf>
    <xf numFmtId="2" fontId="90" fillId="32" borderId="17" xfId="0" applyNumberFormat="1" applyFont="1" applyFill="1" applyBorder="1" applyAlignment="1">
      <alignment horizontal="center" vertical="center"/>
    </xf>
    <xf numFmtId="0" fontId="90" fillId="32" borderId="19" xfId="64" applyFont="1" applyFill="1" applyBorder="1" applyAlignment="1">
      <alignment horizontal="center" vertical="center"/>
      <protection/>
    </xf>
    <xf numFmtId="49" fontId="90" fillId="32" borderId="16" xfId="64" applyNumberFormat="1" applyFont="1" applyFill="1" applyBorder="1" applyAlignment="1">
      <alignment horizontal="center" vertical="center" wrapText="1"/>
      <protection/>
    </xf>
    <xf numFmtId="0" fontId="90" fillId="32" borderId="21" xfId="64" applyFont="1" applyFill="1" applyBorder="1" applyAlignment="1">
      <alignment horizontal="center" vertical="center" wrapText="1"/>
      <protection/>
    </xf>
    <xf numFmtId="2" fontId="90" fillId="32" borderId="19" xfId="64" applyNumberFormat="1" applyFont="1" applyFill="1" applyBorder="1" applyAlignment="1">
      <alignment horizontal="center" vertical="center"/>
      <protection/>
    </xf>
    <xf numFmtId="2" fontId="90" fillId="32" borderId="21" xfId="64" applyNumberFormat="1" applyFont="1" applyFill="1" applyBorder="1" applyAlignment="1">
      <alignment horizontal="center" vertical="center"/>
      <protection/>
    </xf>
    <xf numFmtId="2" fontId="90" fillId="32" borderId="20" xfId="64" applyNumberFormat="1" applyFont="1" applyFill="1" applyBorder="1" applyAlignment="1">
      <alignment horizontal="center" vertical="center"/>
      <protection/>
    </xf>
    <xf numFmtId="49" fontId="90" fillId="32" borderId="14" xfId="0" applyNumberFormat="1" applyFont="1" applyFill="1" applyBorder="1" applyAlignment="1">
      <alignment horizontal="center" vertical="center" wrapText="1"/>
    </xf>
    <xf numFmtId="1" fontId="90" fillId="32" borderId="15" xfId="0" applyNumberFormat="1" applyFont="1" applyFill="1" applyBorder="1" applyAlignment="1">
      <alignment horizontal="center" vertical="center"/>
    </xf>
    <xf numFmtId="1" fontId="90" fillId="32" borderId="15" xfId="64" applyNumberFormat="1" applyFont="1" applyFill="1" applyBorder="1" applyAlignment="1">
      <alignment horizontal="center" vertical="center"/>
      <protection/>
    </xf>
    <xf numFmtId="1" fontId="90" fillId="32" borderId="15" xfId="0" applyNumberFormat="1" applyFont="1" applyFill="1" applyBorder="1" applyAlignment="1">
      <alignment horizontal="center" vertical="center" wrapText="1"/>
    </xf>
    <xf numFmtId="0" fontId="90" fillId="32" borderId="14" xfId="0" applyFont="1" applyFill="1" applyBorder="1" applyAlignment="1">
      <alignment horizontal="center" vertical="center"/>
    </xf>
    <xf numFmtId="0" fontId="91" fillId="32" borderId="14" xfId="0" applyFont="1" applyFill="1" applyBorder="1" applyAlignment="1">
      <alignment horizontal="center" vertical="center" wrapText="1"/>
    </xf>
    <xf numFmtId="2" fontId="90" fillId="32" borderId="14" xfId="0" applyNumberFormat="1" applyFont="1" applyFill="1" applyBorder="1" applyAlignment="1">
      <alignment horizontal="center" vertical="center"/>
    </xf>
    <xf numFmtId="0" fontId="90" fillId="32" borderId="14" xfId="0" applyFont="1" applyFill="1" applyBorder="1" applyAlignment="1">
      <alignment/>
    </xf>
    <xf numFmtId="2" fontId="90" fillId="32" borderId="15" xfId="0" applyNumberFormat="1" applyFont="1" applyFill="1" applyBorder="1" applyAlignment="1">
      <alignment horizontal="center"/>
    </xf>
    <xf numFmtId="0" fontId="90" fillId="32" borderId="15" xfId="0" applyFont="1" applyFill="1" applyBorder="1" applyAlignment="1">
      <alignment horizontal="center"/>
    </xf>
    <xf numFmtId="200" fontId="90" fillId="32" borderId="15" xfId="0" applyNumberFormat="1" applyFont="1" applyFill="1" applyBorder="1" applyAlignment="1">
      <alignment horizontal="center" vertical="center"/>
    </xf>
    <xf numFmtId="0" fontId="90" fillId="32" borderId="16" xfId="0" applyFont="1" applyFill="1" applyBorder="1" applyAlignment="1">
      <alignment/>
    </xf>
    <xf numFmtId="0" fontId="90" fillId="32" borderId="16" xfId="0" applyFont="1" applyFill="1" applyBorder="1" applyAlignment="1">
      <alignment horizontal="center"/>
    </xf>
    <xf numFmtId="201" fontId="90" fillId="32" borderId="16" xfId="0" applyNumberFormat="1" applyFont="1" applyFill="1" applyBorder="1" applyAlignment="1">
      <alignment horizontal="center" vertical="center"/>
    </xf>
    <xf numFmtId="2" fontId="90" fillId="32" borderId="16" xfId="0" applyNumberFormat="1" applyFont="1" applyFill="1" applyBorder="1" applyAlignment="1">
      <alignment horizontal="center" vertical="center"/>
    </xf>
    <xf numFmtId="2" fontId="90" fillId="32" borderId="16" xfId="0" applyNumberFormat="1" applyFont="1" applyFill="1" applyBorder="1" applyAlignment="1">
      <alignment horizontal="center"/>
    </xf>
    <xf numFmtId="49" fontId="90" fillId="32" borderId="15" xfId="0" applyNumberFormat="1" applyFont="1" applyFill="1" applyBorder="1" applyAlignment="1">
      <alignment horizontal="center" vertical="center" wrapText="1"/>
    </xf>
    <xf numFmtId="0" fontId="90" fillId="32" borderId="15" xfId="0" applyFont="1" applyFill="1" applyBorder="1" applyAlignment="1">
      <alignment horizontal="center" vertical="center"/>
    </xf>
    <xf numFmtId="49" fontId="90" fillId="32" borderId="16" xfId="0" applyNumberFormat="1" applyFont="1" applyFill="1" applyBorder="1" applyAlignment="1">
      <alignment horizontal="center" vertical="center"/>
    </xf>
    <xf numFmtId="49" fontId="90" fillId="32" borderId="16" xfId="0" applyNumberFormat="1" applyFont="1" applyFill="1" applyBorder="1" applyAlignment="1">
      <alignment horizontal="center" vertical="center" wrapText="1"/>
    </xf>
    <xf numFmtId="0" fontId="90" fillId="32" borderId="16" xfId="0" applyFont="1" applyFill="1" applyBorder="1" applyAlignment="1">
      <alignment horizontal="center" vertical="center"/>
    </xf>
    <xf numFmtId="49" fontId="90" fillId="32" borderId="14" xfId="0" applyNumberFormat="1" applyFont="1" applyFill="1" applyBorder="1" applyAlignment="1">
      <alignment horizontal="center" vertical="center"/>
    </xf>
    <xf numFmtId="199" fontId="90" fillId="32" borderId="16" xfId="0" applyNumberFormat="1" applyFont="1" applyFill="1" applyBorder="1" applyAlignment="1">
      <alignment horizontal="center" vertical="center"/>
    </xf>
    <xf numFmtId="2" fontId="90" fillId="32" borderId="0" xfId="0" applyNumberFormat="1" applyFont="1" applyFill="1" applyBorder="1" applyAlignment="1">
      <alignment horizontal="center" vertical="center"/>
    </xf>
    <xf numFmtId="49" fontId="90" fillId="32" borderId="15" xfId="0" applyNumberFormat="1" applyFont="1" applyFill="1" applyBorder="1" applyAlignment="1">
      <alignment horizontal="center"/>
    </xf>
    <xf numFmtId="0" fontId="90" fillId="32" borderId="15" xfId="55" applyFont="1" applyFill="1" applyBorder="1" applyAlignment="1">
      <alignment horizontal="center"/>
      <protection/>
    </xf>
    <xf numFmtId="9" fontId="90" fillId="32" borderId="15" xfId="68" applyFont="1" applyFill="1" applyBorder="1" applyAlignment="1">
      <alignment horizontal="center" vertical="center"/>
    </xf>
    <xf numFmtId="0" fontId="90" fillId="32" borderId="15" xfId="55" applyFont="1" applyFill="1" applyBorder="1" applyAlignment="1">
      <alignment horizontal="center" wrapText="1"/>
      <protection/>
    </xf>
    <xf numFmtId="0" fontId="90" fillId="32" borderId="15" xfId="55" applyFont="1" applyFill="1" applyBorder="1" applyAlignment="1">
      <alignment horizontal="center" vertical="center" wrapText="1"/>
      <protection/>
    </xf>
    <xf numFmtId="2" fontId="90" fillId="32" borderId="15" xfId="55" applyNumberFormat="1" applyFont="1" applyFill="1" applyBorder="1" applyAlignment="1">
      <alignment horizontal="center" vertical="center" wrapText="1"/>
      <protection/>
    </xf>
    <xf numFmtId="49" fontId="90" fillId="32" borderId="15" xfId="55" applyNumberFormat="1" applyFont="1" applyFill="1" applyBorder="1" applyAlignment="1">
      <alignment horizontal="center" vertical="center" wrapText="1"/>
      <protection/>
    </xf>
    <xf numFmtId="199" fontId="90" fillId="32" borderId="15" xfId="55" applyNumberFormat="1" applyFont="1" applyFill="1" applyBorder="1" applyAlignment="1">
      <alignment horizontal="center" wrapText="1"/>
      <protection/>
    </xf>
    <xf numFmtId="2" fontId="90" fillId="32" borderId="15" xfId="55" applyNumberFormat="1" applyFont="1" applyFill="1" applyBorder="1" applyAlignment="1">
      <alignment horizontal="center" wrapText="1"/>
      <protection/>
    </xf>
    <xf numFmtId="2" fontId="90" fillId="32" borderId="15" xfId="55" applyNumberFormat="1" applyFont="1" applyFill="1" applyBorder="1" applyAlignment="1">
      <alignment horizontal="center" vertical="center"/>
      <protection/>
    </xf>
    <xf numFmtId="199" fontId="90" fillId="32" borderId="15" xfId="55" applyNumberFormat="1" applyFont="1" applyFill="1" applyBorder="1" applyAlignment="1">
      <alignment horizontal="center" vertical="center" wrapText="1"/>
      <protection/>
    </xf>
    <xf numFmtId="0" fontId="90" fillId="32" borderId="16" xfId="55" applyFont="1" applyFill="1" applyBorder="1" applyAlignment="1">
      <alignment horizontal="center"/>
      <protection/>
    </xf>
    <xf numFmtId="49" fontId="90" fillId="32" borderId="16" xfId="55" applyNumberFormat="1" applyFont="1" applyFill="1" applyBorder="1" applyAlignment="1">
      <alignment horizontal="center" vertical="center" wrapText="1"/>
      <protection/>
    </xf>
    <xf numFmtId="9" fontId="90" fillId="32" borderId="16" xfId="68" applyFont="1" applyFill="1" applyBorder="1" applyAlignment="1">
      <alignment horizontal="center" vertical="center"/>
    </xf>
    <xf numFmtId="2" fontId="90" fillId="32" borderId="16" xfId="55" applyNumberFormat="1" applyFont="1" applyFill="1" applyBorder="1" applyAlignment="1">
      <alignment horizontal="center"/>
      <protection/>
    </xf>
    <xf numFmtId="2" fontId="91" fillId="32" borderId="16" xfId="55" applyNumberFormat="1" applyFont="1" applyFill="1" applyBorder="1" applyAlignment="1">
      <alignment horizontal="center"/>
      <protection/>
    </xf>
    <xf numFmtId="0" fontId="90" fillId="32" borderId="0" xfId="0" applyFont="1" applyFill="1" applyBorder="1" applyAlignment="1">
      <alignment horizontal="center" vertical="center"/>
    </xf>
    <xf numFmtId="2" fontId="92" fillId="32" borderId="15" xfId="0" applyNumberFormat="1" applyFont="1" applyFill="1" applyBorder="1" applyAlignment="1">
      <alignment horizontal="center" vertical="center"/>
    </xf>
    <xf numFmtId="2" fontId="92" fillId="32" borderId="14" xfId="0" applyNumberFormat="1" applyFont="1" applyFill="1" applyBorder="1" applyAlignment="1">
      <alignment horizontal="center" vertical="center"/>
    </xf>
    <xf numFmtId="199" fontId="92" fillId="32" borderId="18" xfId="64" applyNumberFormat="1" applyFont="1" applyFill="1" applyBorder="1" applyAlignment="1">
      <alignment horizontal="center" vertical="center"/>
      <protection/>
    </xf>
    <xf numFmtId="2" fontId="92" fillId="32" borderId="18" xfId="64" applyNumberFormat="1" applyFont="1" applyFill="1" applyBorder="1" applyAlignment="1">
      <alignment horizontal="center" vertical="center"/>
      <protection/>
    </xf>
    <xf numFmtId="2" fontId="92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1" fontId="6" fillId="0" borderId="10" xfId="64" applyNumberFormat="1" applyFont="1" applyFill="1" applyBorder="1" applyAlignment="1">
      <alignment horizontal="center" vertical="center"/>
      <protection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6" xfId="55" applyFont="1" applyFill="1" applyBorder="1" applyAlignment="1">
      <alignment horizontal="center" vertical="center" wrapText="1"/>
      <protection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49" fontId="6" fillId="0" borderId="15" xfId="64" applyNumberFormat="1" applyFont="1" applyFill="1" applyBorder="1" applyAlignment="1">
      <alignment horizontal="center" vertical="center" wrapText="1"/>
      <protection/>
    </xf>
    <xf numFmtId="0" fontId="14" fillId="0" borderId="15" xfId="0" applyFont="1" applyFill="1" applyBorder="1" applyAlignment="1">
      <alignment/>
    </xf>
    <xf numFmtId="0" fontId="6" fillId="0" borderId="16" xfId="64" applyFont="1" applyFill="1" applyBorder="1" applyAlignment="1">
      <alignment horizontal="center" vertical="center"/>
      <protection/>
    </xf>
    <xf numFmtId="0" fontId="6" fillId="0" borderId="16" xfId="64" applyFont="1" applyFill="1" applyBorder="1" applyAlignment="1">
      <alignment horizontal="center" vertical="center" wrapText="1"/>
      <protection/>
    </xf>
    <xf numFmtId="199" fontId="6" fillId="0" borderId="16" xfId="64" applyNumberFormat="1" applyFont="1" applyFill="1" applyBorder="1" applyAlignment="1">
      <alignment horizontal="center" vertical="center"/>
      <protection/>
    </xf>
    <xf numFmtId="0" fontId="6" fillId="0" borderId="22" xfId="64" applyFont="1" applyFill="1" applyBorder="1" applyAlignment="1">
      <alignment horizontal="center" vertical="center"/>
      <protection/>
    </xf>
    <xf numFmtId="0" fontId="5" fillId="0" borderId="24" xfId="64" applyFont="1" applyFill="1" applyBorder="1" applyAlignment="1">
      <alignment horizontal="center" vertical="center" wrapText="1"/>
      <protection/>
    </xf>
    <xf numFmtId="2" fontId="11" fillId="0" borderId="24" xfId="64" applyNumberFormat="1" applyFont="1" applyFill="1" applyBorder="1" applyAlignment="1">
      <alignment horizontal="center" vertical="center"/>
      <protection/>
    </xf>
    <xf numFmtId="2" fontId="20" fillId="0" borderId="14" xfId="58" applyNumberFormat="1" applyFont="1" applyFill="1" applyBorder="1" applyAlignment="1">
      <alignment horizontal="center" vertical="center" wrapText="1"/>
      <protection/>
    </xf>
    <xf numFmtId="0" fontId="6" fillId="0" borderId="17" xfId="0" applyFont="1" applyFill="1" applyBorder="1" applyAlignment="1">
      <alignment horizontal="center" vertical="center"/>
    </xf>
    <xf numFmtId="2" fontId="20" fillId="0" borderId="15" xfId="58" applyNumberFormat="1" applyFont="1" applyFill="1" applyBorder="1" applyAlignment="1">
      <alignment horizontal="center" vertical="center" wrapText="1"/>
      <protection/>
    </xf>
    <xf numFmtId="2" fontId="20" fillId="0" borderId="16" xfId="58" applyNumberFormat="1" applyFont="1" applyFill="1" applyBorder="1" applyAlignment="1">
      <alignment horizontal="center" vertical="center" wrapText="1"/>
      <protection/>
    </xf>
    <xf numFmtId="0" fontId="21" fillId="0" borderId="13" xfId="64" applyFont="1" applyFill="1" applyBorder="1" applyAlignment="1">
      <alignment horizontal="center" vertical="center" wrapText="1"/>
      <protection/>
    </xf>
    <xf numFmtId="2" fontId="22" fillId="0" borderId="18" xfId="64" applyNumberFormat="1" applyFont="1" applyFill="1" applyBorder="1" applyAlignment="1">
      <alignment horizontal="center" vertical="center"/>
      <protection/>
    </xf>
    <xf numFmtId="2" fontId="22" fillId="0" borderId="14" xfId="0" applyNumberFormat="1" applyFont="1" applyFill="1" applyBorder="1" applyAlignment="1">
      <alignment horizontal="center" vertical="center"/>
    </xf>
    <xf numFmtId="0" fontId="6" fillId="0" borderId="18" xfId="64" applyFont="1" applyFill="1" applyBorder="1" applyAlignment="1">
      <alignment horizontal="center" vertical="center" wrapText="1"/>
      <protection/>
    </xf>
    <xf numFmtId="2" fontId="6" fillId="0" borderId="18" xfId="64" applyNumberFormat="1" applyFont="1" applyFill="1" applyBorder="1" applyAlignment="1">
      <alignment horizontal="center" vertical="center"/>
      <protection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199" fontId="6" fillId="0" borderId="18" xfId="0" applyNumberFormat="1" applyFont="1" applyFill="1" applyBorder="1" applyAlignment="1">
      <alignment horizontal="center" vertical="center"/>
    </xf>
    <xf numFmtId="2" fontId="6" fillId="0" borderId="15" xfId="63" applyNumberFormat="1" applyFont="1" applyFill="1" applyBorder="1" applyAlignment="1">
      <alignment horizontal="center"/>
      <protection/>
    </xf>
    <xf numFmtId="49" fontId="6" fillId="0" borderId="19" xfId="0" applyNumberFormat="1" applyFont="1" applyFill="1" applyBorder="1" applyAlignment="1">
      <alignment horizontal="center" vertical="center" wrapText="1"/>
    </xf>
    <xf numFmtId="2" fontId="6" fillId="0" borderId="16" xfId="63" applyNumberFormat="1" applyFont="1" applyFill="1" applyBorder="1" applyAlignment="1">
      <alignment horizontal="center"/>
      <protection/>
    </xf>
    <xf numFmtId="49" fontId="6" fillId="0" borderId="15" xfId="64" applyNumberFormat="1" applyFont="1" applyFill="1" applyBorder="1" applyAlignment="1">
      <alignment horizontal="center" vertical="center"/>
      <protection/>
    </xf>
    <xf numFmtId="2" fontId="6" fillId="0" borderId="15" xfId="64" applyNumberFormat="1" applyFont="1" applyFill="1" applyBorder="1" applyAlignment="1">
      <alignment horizontal="center"/>
      <protection/>
    </xf>
    <xf numFmtId="2" fontId="6" fillId="0" borderId="18" xfId="64" applyNumberFormat="1" applyFont="1" applyFill="1" applyBorder="1" applyAlignment="1">
      <alignment horizontal="center"/>
      <protection/>
    </xf>
    <xf numFmtId="2" fontId="6" fillId="0" borderId="17" xfId="64" applyNumberFormat="1" applyFont="1" applyFill="1" applyBorder="1" applyAlignment="1">
      <alignment horizontal="center"/>
      <protection/>
    </xf>
    <xf numFmtId="199" fontId="6" fillId="0" borderId="15" xfId="64" applyNumberFormat="1" applyFont="1" applyFill="1" applyBorder="1" applyAlignment="1">
      <alignment horizontal="center" vertical="center"/>
      <protection/>
    </xf>
    <xf numFmtId="200" fontId="6" fillId="0" borderId="15" xfId="64" applyNumberFormat="1" applyFont="1" applyFill="1" applyBorder="1" applyAlignment="1">
      <alignment horizontal="center" vertical="center"/>
      <protection/>
    </xf>
    <xf numFmtId="49" fontId="6" fillId="0" borderId="16" xfId="64" applyNumberFormat="1" applyFont="1" applyFill="1" applyBorder="1" applyAlignment="1">
      <alignment horizontal="center" vertical="center"/>
      <protection/>
    </xf>
    <xf numFmtId="0" fontId="6" fillId="0" borderId="20" xfId="64" applyFont="1" applyFill="1" applyBorder="1" applyAlignment="1">
      <alignment horizontal="center" wrapText="1"/>
      <protection/>
    </xf>
    <xf numFmtId="2" fontId="6" fillId="0" borderId="20" xfId="64" applyNumberFormat="1" applyFont="1" applyFill="1" applyBorder="1" applyAlignment="1">
      <alignment horizontal="center"/>
      <protection/>
    </xf>
    <xf numFmtId="2" fontId="6" fillId="0" borderId="19" xfId="64" applyNumberFormat="1" applyFont="1" applyFill="1" applyBorder="1" applyAlignment="1">
      <alignment horizontal="center"/>
      <protection/>
    </xf>
    <xf numFmtId="0" fontId="78" fillId="32" borderId="10" xfId="64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 vertical="center" wrapText="1"/>
    </xf>
    <xf numFmtId="201" fontId="6" fillId="0" borderId="10" xfId="0" applyNumberFormat="1" applyFont="1" applyFill="1" applyBorder="1" applyAlignment="1">
      <alignment horizontal="center" vertical="center"/>
    </xf>
    <xf numFmtId="200" fontId="6" fillId="0" borderId="10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2" fontId="22" fillId="0" borderId="15" xfId="0" applyNumberFormat="1" applyFont="1" applyFill="1" applyBorder="1" applyAlignment="1">
      <alignment horizontal="center" vertical="center"/>
    </xf>
    <xf numFmtId="2" fontId="6" fillId="0" borderId="0" xfId="64" applyNumberFormat="1" applyFont="1" applyFill="1" applyAlignment="1">
      <alignment horizontal="center" vertical="center"/>
      <protection/>
    </xf>
    <xf numFmtId="49" fontId="22" fillId="0" borderId="14" xfId="0" applyNumberFormat="1" applyFont="1" applyFill="1" applyBorder="1" applyAlignment="1">
      <alignment horizontal="center" vertical="center" wrapText="1"/>
    </xf>
    <xf numFmtId="2" fontId="22" fillId="0" borderId="17" xfId="64" applyNumberFormat="1" applyFont="1" applyFill="1" applyBorder="1" applyAlignment="1">
      <alignment horizontal="center" vertical="center"/>
      <protection/>
    </xf>
    <xf numFmtId="2" fontId="22" fillId="0" borderId="15" xfId="64" applyNumberFormat="1" applyFont="1" applyFill="1" applyBorder="1" applyAlignment="1">
      <alignment horizontal="center" vertical="center"/>
      <protection/>
    </xf>
    <xf numFmtId="0" fontId="6" fillId="0" borderId="20" xfId="64" applyFont="1" applyFill="1" applyBorder="1" applyAlignment="1">
      <alignment horizontal="center" vertical="center" wrapText="1"/>
      <protection/>
    </xf>
    <xf numFmtId="2" fontId="22" fillId="0" borderId="21" xfId="64" applyNumberFormat="1" applyFont="1" applyFill="1" applyBorder="1" applyAlignment="1">
      <alignment horizontal="center" vertical="center"/>
      <protection/>
    </xf>
    <xf numFmtId="0" fontId="22" fillId="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/>
    </xf>
    <xf numFmtId="1" fontId="6" fillId="0" borderId="14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/>
    </xf>
    <xf numFmtId="200" fontId="6" fillId="0" borderId="16" xfId="0" applyNumberFormat="1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/>
    </xf>
    <xf numFmtId="0" fontId="6" fillId="0" borderId="15" xfId="64" applyFont="1" applyFill="1" applyBorder="1" applyAlignment="1">
      <alignment horizontal="center" vertical="center" wrapText="1"/>
      <protection/>
    </xf>
    <xf numFmtId="0" fontId="6" fillId="0" borderId="15" xfId="64" applyFont="1" applyFill="1" applyBorder="1" applyAlignment="1">
      <alignment horizontal="center" wrapText="1"/>
      <protection/>
    </xf>
    <xf numFmtId="199" fontId="6" fillId="0" borderId="15" xfId="0" applyNumberFormat="1" applyFont="1" applyFill="1" applyBorder="1" applyAlignment="1">
      <alignment horizontal="center"/>
    </xf>
    <xf numFmtId="0" fontId="6" fillId="0" borderId="16" xfId="64" applyFont="1" applyFill="1" applyBorder="1" applyAlignment="1">
      <alignment horizontal="center" wrapText="1"/>
      <protection/>
    </xf>
    <xf numFmtId="200" fontId="6" fillId="0" borderId="15" xfId="0" applyNumberFormat="1" applyFont="1" applyFill="1" applyBorder="1" applyAlignment="1">
      <alignment horizontal="center" vertical="center" wrapText="1"/>
    </xf>
    <xf numFmtId="199" fontId="6" fillId="0" borderId="15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26" fillId="0" borderId="15" xfId="64" applyNumberFormat="1" applyFont="1" applyFill="1" applyBorder="1" applyAlignment="1">
      <alignment horizontal="center" vertical="center"/>
      <protection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0" xfId="64" applyNumberFormat="1" applyFont="1" applyFill="1" applyAlignment="1">
      <alignment horizontal="center"/>
      <protection/>
    </xf>
    <xf numFmtId="0" fontId="6" fillId="0" borderId="0" xfId="64" applyFont="1" applyFill="1" applyAlignment="1">
      <alignment horizontal="center" vertical="center" wrapText="1"/>
      <protection/>
    </xf>
    <xf numFmtId="199" fontId="6" fillId="0" borderId="18" xfId="64" applyNumberFormat="1" applyFont="1" applyFill="1" applyBorder="1" applyAlignment="1">
      <alignment horizontal="center" vertical="center"/>
      <protection/>
    </xf>
    <xf numFmtId="0" fontId="6" fillId="0" borderId="0" xfId="64" applyFont="1" applyFill="1" applyAlignment="1">
      <alignment horizontal="center" wrapText="1"/>
      <protection/>
    </xf>
    <xf numFmtId="0" fontId="6" fillId="0" borderId="17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2" fontId="11" fillId="0" borderId="18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 wrapText="1"/>
    </xf>
    <xf numFmtId="208" fontId="6" fillId="0" borderId="15" xfId="0" applyNumberFormat="1" applyFont="1" applyFill="1" applyBorder="1" applyAlignment="1">
      <alignment horizontal="center" vertical="center"/>
    </xf>
    <xf numFmtId="200" fontId="6" fillId="0" borderId="0" xfId="0" applyNumberFormat="1" applyFont="1" applyFill="1" applyAlignment="1">
      <alignment/>
    </xf>
    <xf numFmtId="2" fontId="11" fillId="0" borderId="15" xfId="0" applyNumberFormat="1" applyFont="1" applyFill="1" applyBorder="1" applyAlignment="1">
      <alignment horizontal="center" vertical="center" wrapText="1"/>
    </xf>
    <xf numFmtId="0" fontId="11" fillId="0" borderId="18" xfId="64" applyFont="1" applyFill="1" applyBorder="1" applyAlignment="1">
      <alignment horizontal="center" vertical="center" wrapText="1"/>
      <protection/>
    </xf>
    <xf numFmtId="2" fontId="11" fillId="0" borderId="17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215" fontId="6" fillId="0" borderId="10" xfId="0" applyNumberFormat="1" applyFont="1" applyFill="1" applyBorder="1" applyAlignment="1">
      <alignment horizontal="center" vertical="center"/>
    </xf>
    <xf numFmtId="215" fontId="6" fillId="0" borderId="12" xfId="0" applyNumberFormat="1" applyFont="1" applyFill="1" applyBorder="1" applyAlignment="1">
      <alignment horizontal="center" vertical="center"/>
    </xf>
    <xf numFmtId="215" fontId="5" fillId="0" borderId="10" xfId="0" applyNumberFormat="1" applyFont="1" applyFill="1" applyBorder="1" applyAlignment="1">
      <alignment horizontal="center"/>
    </xf>
    <xf numFmtId="215" fontId="5" fillId="0" borderId="12" xfId="0" applyNumberFormat="1" applyFont="1" applyFill="1" applyBorder="1" applyAlignment="1">
      <alignment horizontal="center"/>
    </xf>
    <xf numFmtId="215" fontId="6" fillId="0" borderId="10" xfId="0" applyNumberFormat="1" applyFont="1" applyFill="1" applyBorder="1" applyAlignment="1">
      <alignment horizontal="center"/>
    </xf>
    <xf numFmtId="215" fontId="6" fillId="0" borderId="12" xfId="0" applyNumberFormat="1" applyFont="1" applyFill="1" applyBorder="1" applyAlignment="1">
      <alignment horizontal="center"/>
    </xf>
    <xf numFmtId="215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215" fontId="5" fillId="0" borderId="22" xfId="0" applyNumberFormat="1" applyFont="1" applyFill="1" applyBorder="1" applyAlignment="1">
      <alignment horizontal="center" vertical="center" wrapText="1"/>
    </xf>
    <xf numFmtId="215" fontId="5" fillId="0" borderId="19" xfId="0" applyNumberFormat="1" applyFont="1" applyFill="1" applyBorder="1" applyAlignment="1">
      <alignment horizontal="center" vertical="center" wrapText="1"/>
    </xf>
    <xf numFmtId="215" fontId="5" fillId="0" borderId="14" xfId="0" applyNumberFormat="1" applyFont="1" applyFill="1" applyBorder="1" applyAlignment="1">
      <alignment horizontal="center" vertical="center"/>
    </xf>
    <xf numFmtId="215" fontId="5" fillId="0" borderId="16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215" fontId="5" fillId="0" borderId="14" xfId="0" applyNumberFormat="1" applyFont="1" applyFill="1" applyBorder="1" applyAlignment="1">
      <alignment horizontal="center" vertical="center" wrapText="1"/>
    </xf>
    <xf numFmtId="215" fontId="5" fillId="0" borderId="16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77" fillId="32" borderId="0" xfId="0" applyFont="1" applyFill="1" applyAlignment="1">
      <alignment horizontal="center" vertical="center" wrapText="1"/>
    </xf>
    <xf numFmtId="0" fontId="77" fillId="32" borderId="0" xfId="0" applyFont="1" applyFill="1" applyBorder="1" applyAlignment="1">
      <alignment horizontal="center" vertical="center"/>
    </xf>
    <xf numFmtId="0" fontId="78" fillId="32" borderId="0" xfId="0" applyFont="1" applyFill="1" applyBorder="1" applyAlignment="1">
      <alignment horizontal="center" vertical="center"/>
    </xf>
    <xf numFmtId="0" fontId="78" fillId="32" borderId="0" xfId="0" applyFont="1" applyFill="1" applyBorder="1" applyAlignment="1">
      <alignment horizontal="left" vertical="center" wrapText="1"/>
    </xf>
    <xf numFmtId="0" fontId="93" fillId="32" borderId="0" xfId="0" applyFont="1" applyFill="1" applyAlignment="1">
      <alignment vertical="center" wrapText="1"/>
    </xf>
    <xf numFmtId="2" fontId="78" fillId="32" borderId="0" xfId="0" applyNumberFormat="1" applyFont="1" applyFill="1" applyBorder="1" applyAlignment="1">
      <alignment horizontal="center" vertical="center" wrapText="1"/>
    </xf>
    <xf numFmtId="0" fontId="78" fillId="32" borderId="14" xfId="0" applyFont="1" applyFill="1" applyBorder="1" applyAlignment="1">
      <alignment horizontal="center" vertical="center" wrapText="1"/>
    </xf>
    <xf numFmtId="0" fontId="78" fillId="32" borderId="15" xfId="0" applyFont="1" applyFill="1" applyBorder="1" applyAlignment="1">
      <alignment horizontal="center" vertical="center" wrapText="1"/>
    </xf>
    <xf numFmtId="0" fontId="78" fillId="32" borderId="16" xfId="0" applyFont="1" applyFill="1" applyBorder="1" applyAlignment="1">
      <alignment horizontal="center" vertical="center" wrapText="1"/>
    </xf>
    <xf numFmtId="2" fontId="78" fillId="32" borderId="22" xfId="64" applyNumberFormat="1" applyFont="1" applyFill="1" applyBorder="1" applyAlignment="1">
      <alignment horizontal="center" vertical="center"/>
      <protection/>
    </xf>
    <xf numFmtId="2" fontId="78" fillId="32" borderId="23" xfId="64" applyNumberFormat="1" applyFont="1" applyFill="1" applyBorder="1" applyAlignment="1">
      <alignment horizontal="center" vertical="center"/>
      <protection/>
    </xf>
    <xf numFmtId="2" fontId="78" fillId="32" borderId="24" xfId="64" applyNumberFormat="1" applyFont="1" applyFill="1" applyBorder="1" applyAlignment="1">
      <alignment horizontal="center" vertical="center"/>
      <protection/>
    </xf>
    <xf numFmtId="2" fontId="78" fillId="32" borderId="19" xfId="64" applyNumberFormat="1" applyFont="1" applyFill="1" applyBorder="1" applyAlignment="1">
      <alignment horizontal="center" vertical="center"/>
      <protection/>
    </xf>
    <xf numFmtId="2" fontId="78" fillId="32" borderId="20" xfId="64" applyNumberFormat="1" applyFont="1" applyFill="1" applyBorder="1" applyAlignment="1">
      <alignment horizontal="center" vertical="center"/>
      <protection/>
    </xf>
    <xf numFmtId="2" fontId="78" fillId="32" borderId="21" xfId="64" applyNumberFormat="1" applyFont="1" applyFill="1" applyBorder="1" applyAlignment="1">
      <alignment horizontal="center" vertical="center"/>
      <protection/>
    </xf>
    <xf numFmtId="2" fontId="78" fillId="32" borderId="14" xfId="64" applyNumberFormat="1" applyFont="1" applyFill="1" applyBorder="1" applyAlignment="1">
      <alignment horizontal="center" vertical="center"/>
      <protection/>
    </xf>
    <xf numFmtId="2" fontId="78" fillId="32" borderId="16" xfId="64" applyNumberFormat="1" applyFont="1" applyFill="1" applyBorder="1" applyAlignment="1">
      <alignment horizontal="center" vertical="center"/>
      <protection/>
    </xf>
    <xf numFmtId="0" fontId="78" fillId="32" borderId="14" xfId="64" applyFont="1" applyFill="1" applyBorder="1" applyAlignment="1">
      <alignment horizontal="center" vertical="center"/>
      <protection/>
    </xf>
    <xf numFmtId="0" fontId="78" fillId="32" borderId="15" xfId="0" applyFont="1" applyFill="1" applyBorder="1" applyAlignment="1">
      <alignment horizontal="center" vertical="center"/>
    </xf>
    <xf numFmtId="0" fontId="78" fillId="32" borderId="16" xfId="0" applyFont="1" applyFill="1" applyBorder="1" applyAlignment="1">
      <alignment horizontal="center" vertical="center"/>
    </xf>
    <xf numFmtId="49" fontId="78" fillId="32" borderId="14" xfId="64" applyNumberFormat="1" applyFont="1" applyFill="1" applyBorder="1" applyAlignment="1">
      <alignment horizontal="center" vertical="center" textRotation="90" wrapText="1"/>
      <protection/>
    </xf>
    <xf numFmtId="49" fontId="78" fillId="32" borderId="15" xfId="64" applyNumberFormat="1" applyFont="1" applyFill="1" applyBorder="1" applyAlignment="1">
      <alignment horizontal="center" vertical="center" textRotation="90" wrapText="1"/>
      <protection/>
    </xf>
    <xf numFmtId="49" fontId="78" fillId="32" borderId="16" xfId="64" applyNumberFormat="1" applyFont="1" applyFill="1" applyBorder="1" applyAlignment="1">
      <alignment horizontal="center" vertical="center" textRotation="90" wrapText="1"/>
      <protection/>
    </xf>
    <xf numFmtId="2" fontId="78" fillId="32" borderId="24" xfId="0" applyNumberFormat="1" applyFont="1" applyFill="1" applyBorder="1" applyAlignment="1">
      <alignment horizontal="center" vertical="center"/>
    </xf>
    <xf numFmtId="2" fontId="78" fillId="32" borderId="19" xfId="0" applyNumberFormat="1" applyFont="1" applyFill="1" applyBorder="1" applyAlignment="1">
      <alignment horizontal="center" vertical="center"/>
    </xf>
    <xf numFmtId="2" fontId="78" fillId="32" borderId="21" xfId="0" applyNumberFormat="1" applyFont="1" applyFill="1" applyBorder="1" applyAlignment="1">
      <alignment horizontal="center" vertical="center"/>
    </xf>
    <xf numFmtId="2" fontId="78" fillId="32" borderId="23" xfId="0" applyNumberFormat="1" applyFont="1" applyFill="1" applyBorder="1" applyAlignment="1">
      <alignment horizontal="center" vertical="center"/>
    </xf>
    <xf numFmtId="2" fontId="78" fillId="32" borderId="20" xfId="0" applyNumberFormat="1" applyFont="1" applyFill="1" applyBorder="1" applyAlignment="1">
      <alignment horizontal="center" vertical="center"/>
    </xf>
    <xf numFmtId="2" fontId="78" fillId="32" borderId="18" xfId="0" applyNumberFormat="1" applyFont="1" applyFill="1" applyBorder="1" applyAlignment="1">
      <alignment horizontal="center" vertical="center"/>
    </xf>
    <xf numFmtId="2" fontId="78" fillId="32" borderId="15" xfId="0" applyNumberFormat="1" applyFont="1" applyFill="1" applyBorder="1" applyAlignment="1">
      <alignment horizontal="center" vertical="center"/>
    </xf>
    <xf numFmtId="2" fontId="78" fillId="32" borderId="16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0" fontId="6" fillId="0" borderId="1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14" xfId="64" applyFont="1" applyFill="1" applyBorder="1" applyAlignment="1">
      <alignment horizontal="center" vertical="center"/>
      <protection/>
    </xf>
    <xf numFmtId="49" fontId="6" fillId="0" borderId="14" xfId="64" applyNumberFormat="1" applyFont="1" applyFill="1" applyBorder="1" applyAlignment="1">
      <alignment horizontal="center" vertical="center" textRotation="90" wrapText="1"/>
      <protection/>
    </xf>
    <xf numFmtId="49" fontId="6" fillId="0" borderId="15" xfId="64" applyNumberFormat="1" applyFont="1" applyFill="1" applyBorder="1" applyAlignment="1">
      <alignment horizontal="center" vertical="center" textRotation="90" wrapText="1"/>
      <protection/>
    </xf>
    <xf numFmtId="49" fontId="6" fillId="0" borderId="16" xfId="64" applyNumberFormat="1" applyFont="1" applyFill="1" applyBorder="1" applyAlignment="1">
      <alignment horizontal="center" vertical="center" textRotation="90" wrapText="1"/>
      <protection/>
    </xf>
    <xf numFmtId="2" fontId="6" fillId="0" borderId="22" xfId="64" applyNumberFormat="1" applyFont="1" applyFill="1" applyBorder="1" applyAlignment="1">
      <alignment horizontal="center" vertical="center"/>
      <protection/>
    </xf>
    <xf numFmtId="2" fontId="6" fillId="0" borderId="23" xfId="64" applyNumberFormat="1" applyFont="1" applyFill="1" applyBorder="1" applyAlignment="1">
      <alignment horizontal="center" vertical="center"/>
      <protection/>
    </xf>
    <xf numFmtId="2" fontId="6" fillId="0" borderId="24" xfId="64" applyNumberFormat="1" applyFont="1" applyFill="1" applyBorder="1" applyAlignment="1">
      <alignment horizontal="center" vertical="center"/>
      <protection/>
    </xf>
    <xf numFmtId="2" fontId="6" fillId="0" borderId="19" xfId="64" applyNumberFormat="1" applyFont="1" applyFill="1" applyBorder="1" applyAlignment="1">
      <alignment horizontal="center" vertical="center"/>
      <protection/>
    </xf>
    <xf numFmtId="2" fontId="6" fillId="0" borderId="20" xfId="64" applyNumberFormat="1" applyFont="1" applyFill="1" applyBorder="1" applyAlignment="1">
      <alignment horizontal="center" vertical="center"/>
      <protection/>
    </xf>
    <xf numFmtId="2" fontId="6" fillId="0" borderId="21" xfId="64" applyNumberFormat="1" applyFont="1" applyFill="1" applyBorder="1" applyAlignment="1">
      <alignment horizontal="center" vertical="center"/>
      <protection/>
    </xf>
    <xf numFmtId="2" fontId="6" fillId="0" borderId="14" xfId="64" applyNumberFormat="1" applyFont="1" applyFill="1" applyBorder="1" applyAlignment="1">
      <alignment horizontal="center" vertical="center"/>
      <protection/>
    </xf>
    <xf numFmtId="2" fontId="6" fillId="0" borderId="16" xfId="64" applyNumberFormat="1" applyFont="1" applyFill="1" applyBorder="1" applyAlignment="1">
      <alignment horizontal="center" vertical="center"/>
      <protection/>
    </xf>
    <xf numFmtId="2" fontId="6" fillId="0" borderId="24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2" fontId="6" fillId="0" borderId="23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 shrinkToFit="1"/>
    </xf>
    <xf numFmtId="0" fontId="13" fillId="0" borderId="0" xfId="0" applyFont="1" applyFill="1" applyAlignment="1">
      <alignment horizontal="center" vertical="center" wrapText="1"/>
    </xf>
    <xf numFmtId="2" fontId="90" fillId="32" borderId="22" xfId="64" applyNumberFormat="1" applyFont="1" applyFill="1" applyBorder="1" applyAlignment="1">
      <alignment horizontal="center" vertical="center"/>
      <protection/>
    </xf>
    <xf numFmtId="2" fontId="90" fillId="32" borderId="24" xfId="0" applyNumberFormat="1" applyFont="1" applyFill="1" applyBorder="1" applyAlignment="1">
      <alignment horizontal="center" vertical="center"/>
    </xf>
    <xf numFmtId="2" fontId="90" fillId="32" borderId="24" xfId="64" applyNumberFormat="1" applyFont="1" applyFill="1" applyBorder="1" applyAlignment="1">
      <alignment horizontal="center" vertical="center"/>
      <protection/>
    </xf>
    <xf numFmtId="2" fontId="90" fillId="32" borderId="18" xfId="0" applyNumberFormat="1" applyFont="1" applyFill="1" applyBorder="1" applyAlignment="1">
      <alignment horizontal="center" vertical="center"/>
    </xf>
    <xf numFmtId="2" fontId="90" fillId="32" borderId="15" xfId="0" applyNumberFormat="1" applyFont="1" applyFill="1" applyBorder="1" applyAlignment="1">
      <alignment horizontal="center" vertical="center"/>
    </xf>
    <xf numFmtId="2" fontId="90" fillId="32" borderId="16" xfId="0" applyNumberFormat="1" applyFont="1" applyFill="1" applyBorder="1" applyAlignment="1">
      <alignment horizontal="center" vertical="center"/>
    </xf>
    <xf numFmtId="2" fontId="90" fillId="32" borderId="19" xfId="64" applyNumberFormat="1" applyFont="1" applyFill="1" applyBorder="1" applyAlignment="1">
      <alignment horizontal="center" vertical="center"/>
      <protection/>
    </xf>
    <xf numFmtId="2" fontId="90" fillId="32" borderId="21" xfId="0" applyNumberFormat="1" applyFont="1" applyFill="1" applyBorder="1" applyAlignment="1">
      <alignment horizontal="center" vertical="center"/>
    </xf>
    <xf numFmtId="2" fontId="90" fillId="32" borderId="14" xfId="64" applyNumberFormat="1" applyFont="1" applyFill="1" applyBorder="1" applyAlignment="1">
      <alignment horizontal="center" vertical="center"/>
      <protection/>
    </xf>
    <xf numFmtId="2" fontId="90" fillId="32" borderId="16" xfId="64" applyNumberFormat="1" applyFont="1" applyFill="1" applyBorder="1" applyAlignment="1">
      <alignment horizontal="center" vertical="center"/>
      <protection/>
    </xf>
    <xf numFmtId="0" fontId="90" fillId="32" borderId="14" xfId="64" applyFont="1" applyFill="1" applyBorder="1" applyAlignment="1">
      <alignment horizontal="center" vertical="center"/>
      <protection/>
    </xf>
    <xf numFmtId="0" fontId="90" fillId="32" borderId="15" xfId="0" applyFont="1" applyFill="1" applyBorder="1" applyAlignment="1">
      <alignment horizontal="center" vertical="center"/>
    </xf>
    <xf numFmtId="0" fontId="90" fillId="32" borderId="16" xfId="0" applyFont="1" applyFill="1" applyBorder="1" applyAlignment="1">
      <alignment horizontal="center" vertical="center"/>
    </xf>
    <xf numFmtId="49" fontId="90" fillId="32" borderId="14" xfId="64" applyNumberFormat="1" applyFont="1" applyFill="1" applyBorder="1" applyAlignment="1">
      <alignment horizontal="center" vertical="center" textRotation="90" wrapText="1"/>
      <protection/>
    </xf>
    <xf numFmtId="49" fontId="90" fillId="32" borderId="15" xfId="64" applyNumberFormat="1" applyFont="1" applyFill="1" applyBorder="1" applyAlignment="1">
      <alignment horizontal="center" vertical="center" textRotation="90" wrapText="1"/>
      <protection/>
    </xf>
    <xf numFmtId="49" fontId="90" fillId="32" borderId="16" xfId="64" applyNumberFormat="1" applyFont="1" applyFill="1" applyBorder="1" applyAlignment="1">
      <alignment horizontal="center" vertical="center" textRotation="90" wrapText="1"/>
      <protection/>
    </xf>
    <xf numFmtId="0" fontId="90" fillId="32" borderId="14" xfId="0" applyFont="1" applyFill="1" applyBorder="1" applyAlignment="1">
      <alignment horizontal="center" vertical="center" wrapText="1"/>
    </xf>
    <xf numFmtId="0" fontId="90" fillId="32" borderId="15" xfId="0" applyFont="1" applyFill="1" applyBorder="1" applyAlignment="1">
      <alignment horizontal="center" vertical="center" wrapText="1"/>
    </xf>
    <xf numFmtId="0" fontId="90" fillId="32" borderId="16" xfId="0" applyFont="1" applyFill="1" applyBorder="1" applyAlignment="1">
      <alignment horizontal="center" vertical="center" wrapText="1"/>
    </xf>
    <xf numFmtId="2" fontId="90" fillId="32" borderId="23" xfId="64" applyNumberFormat="1" applyFont="1" applyFill="1" applyBorder="1" applyAlignment="1">
      <alignment horizontal="center" vertical="center"/>
      <protection/>
    </xf>
    <xf numFmtId="2" fontId="90" fillId="32" borderId="20" xfId="64" applyNumberFormat="1" applyFont="1" applyFill="1" applyBorder="1" applyAlignment="1">
      <alignment horizontal="center" vertical="center"/>
      <protection/>
    </xf>
    <xf numFmtId="2" fontId="90" fillId="32" borderId="21" xfId="64" applyNumberFormat="1" applyFont="1" applyFill="1" applyBorder="1" applyAlignment="1">
      <alignment horizontal="center" vertical="center"/>
      <protection/>
    </xf>
    <xf numFmtId="2" fontId="90" fillId="32" borderId="19" xfId="0" applyNumberFormat="1" applyFont="1" applyFill="1" applyBorder="1" applyAlignment="1">
      <alignment horizontal="center" vertical="center"/>
    </xf>
    <xf numFmtId="2" fontId="90" fillId="32" borderId="23" xfId="0" applyNumberFormat="1" applyFont="1" applyFill="1" applyBorder="1" applyAlignment="1">
      <alignment horizontal="center" vertical="center"/>
    </xf>
    <xf numFmtId="2" fontId="90" fillId="32" borderId="20" xfId="0" applyNumberFormat="1" applyFont="1" applyFill="1" applyBorder="1" applyAlignment="1">
      <alignment horizontal="center" vertical="center"/>
    </xf>
    <xf numFmtId="0" fontId="88" fillId="32" borderId="0" xfId="0" applyFont="1" applyFill="1" applyAlignment="1">
      <alignment horizontal="center" vertical="center" wrapText="1"/>
    </xf>
    <xf numFmtId="0" fontId="91" fillId="32" borderId="0" xfId="0" applyFont="1" applyFill="1" applyBorder="1" applyAlignment="1">
      <alignment horizontal="center" vertical="center"/>
    </xf>
    <xf numFmtId="0" fontId="90" fillId="32" borderId="0" xfId="0" applyFont="1" applyFill="1" applyBorder="1" applyAlignment="1">
      <alignment horizontal="center" vertical="center"/>
    </xf>
    <xf numFmtId="0" fontId="90" fillId="32" borderId="0" xfId="0" applyFont="1" applyFill="1" applyBorder="1" applyAlignment="1">
      <alignment horizontal="left" vertical="center" wrapText="1"/>
    </xf>
    <xf numFmtId="0" fontId="90" fillId="32" borderId="0" xfId="0" applyFont="1" applyFill="1" applyAlignment="1">
      <alignment vertical="center" wrapText="1"/>
    </xf>
    <xf numFmtId="2" fontId="90" fillId="32" borderId="0" xfId="0" applyNumberFormat="1" applyFont="1" applyFill="1" applyBorder="1" applyAlignment="1">
      <alignment horizontal="center" vertical="center" wrapText="1"/>
    </xf>
    <xf numFmtId="0" fontId="77" fillId="32" borderId="0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 2" xfId="56"/>
    <cellStyle name="Normal 14" xfId="57"/>
    <cellStyle name="Normal 2" xfId="58"/>
    <cellStyle name="Normal 3" xfId="59"/>
    <cellStyle name="Normal 32 3" xfId="60"/>
    <cellStyle name="Normal 33 2" xfId="61"/>
    <cellStyle name="Normal 38" xfId="62"/>
    <cellStyle name="Normal_axalqalaqis skola " xfId="63"/>
    <cellStyle name="Normal_gare wyalsadfenigagarini 2_SMSH2008-IIkv ." xfId="64"/>
    <cellStyle name="Note" xfId="65"/>
    <cellStyle name="Output" xfId="66"/>
    <cellStyle name="Percent" xfId="67"/>
    <cellStyle name="Percent 2" xfId="68"/>
    <cellStyle name="Title" xfId="69"/>
    <cellStyle name="Total" xfId="70"/>
    <cellStyle name="Warning Text" xfId="71"/>
    <cellStyle name="Обычный 4" xfId="72"/>
  </cellStyles>
  <dxfs count="2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SheetLayoutView="100" zoomScalePageLayoutView="0" workbookViewId="0" topLeftCell="A1">
      <selection activeCell="P16" sqref="P16"/>
    </sheetView>
  </sheetViews>
  <sheetFormatPr defaultColWidth="9.140625" defaultRowHeight="12.75"/>
  <cols>
    <col min="1" max="1" width="5.28125" style="32" customWidth="1"/>
    <col min="2" max="2" width="12.7109375" style="32" customWidth="1"/>
    <col min="3" max="3" width="51.140625" style="33" customWidth="1"/>
    <col min="4" max="4" width="8.57421875" style="32" hidden="1" customWidth="1"/>
    <col min="5" max="5" width="8.7109375" style="32" hidden="1" customWidth="1"/>
    <col min="6" max="6" width="8.57421875" style="32" hidden="1" customWidth="1"/>
    <col min="7" max="7" width="9.57421875" style="32" hidden="1" customWidth="1"/>
    <col min="8" max="8" width="3.28125" style="32" hidden="1" customWidth="1"/>
    <col min="9" max="9" width="0.13671875" style="32" hidden="1" customWidth="1"/>
    <col min="10" max="10" width="13.421875" style="32" customWidth="1"/>
    <col min="11" max="11" width="12.00390625" style="32" customWidth="1"/>
    <col min="12" max="12" width="12.7109375" style="34" customWidth="1"/>
    <col min="13" max="13" width="13.8515625" style="32" customWidth="1"/>
    <col min="14" max="14" width="14.7109375" style="32" customWidth="1"/>
    <col min="15" max="15" width="9.140625" style="2" customWidth="1"/>
    <col min="16" max="16" width="12.28125" style="2" bestFit="1" customWidth="1"/>
    <col min="17" max="17" width="15.57421875" style="2" bestFit="1" customWidth="1"/>
    <col min="18" max="18" width="4.140625" style="2" customWidth="1"/>
    <col min="19" max="19" width="9.140625" style="2" customWidth="1"/>
    <col min="20" max="20" width="6.8515625" style="2" customWidth="1"/>
    <col min="21" max="21" width="4.57421875" style="2" customWidth="1"/>
    <col min="22" max="22" width="9.140625" style="2" customWidth="1"/>
    <col min="23" max="23" width="7.140625" style="2" customWidth="1"/>
    <col min="24" max="16384" width="9.140625" style="2" customWidth="1"/>
  </cols>
  <sheetData>
    <row r="1" spans="1:15" ht="21">
      <c r="A1" s="366" t="s">
        <v>38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1"/>
    </row>
    <row r="2" spans="1:15" ht="21">
      <c r="A2" s="366" t="s">
        <v>39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1"/>
    </row>
    <row r="3" spans="1:15" ht="30.75" customHeight="1">
      <c r="A3" s="367" t="s">
        <v>225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"/>
    </row>
    <row r="4" spans="1:15" ht="17.25" customHeight="1">
      <c r="A4" s="366"/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1"/>
    </row>
    <row r="5" spans="1:14" ht="18" customHeight="1">
      <c r="A5" s="6"/>
      <c r="B5" s="365"/>
      <c r="C5" s="365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8.75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9"/>
      <c r="M6" s="7"/>
      <c r="N6" s="7"/>
    </row>
    <row r="7" spans="1:14" ht="18">
      <c r="A7" s="369" t="s">
        <v>40</v>
      </c>
      <c r="B7" s="374" t="s">
        <v>41</v>
      </c>
      <c r="C7" s="390" t="s">
        <v>42</v>
      </c>
      <c r="D7" s="391"/>
      <c r="E7" s="391"/>
      <c r="F7" s="391"/>
      <c r="G7" s="391"/>
      <c r="H7" s="391"/>
      <c r="I7" s="392"/>
      <c r="J7" s="390" t="s">
        <v>43</v>
      </c>
      <c r="K7" s="391"/>
      <c r="L7" s="391"/>
      <c r="M7" s="392"/>
      <c r="N7" s="374" t="s">
        <v>44</v>
      </c>
    </row>
    <row r="8" spans="1:14" ht="18">
      <c r="A8" s="370"/>
      <c r="B8" s="375"/>
      <c r="C8" s="393"/>
      <c r="D8" s="377"/>
      <c r="E8" s="377"/>
      <c r="F8" s="377"/>
      <c r="G8" s="377"/>
      <c r="H8" s="377"/>
      <c r="I8" s="394"/>
      <c r="J8" s="395"/>
      <c r="K8" s="396"/>
      <c r="L8" s="396"/>
      <c r="M8" s="397"/>
      <c r="N8" s="375"/>
    </row>
    <row r="9" spans="1:14" ht="18">
      <c r="A9" s="370"/>
      <c r="B9" s="375"/>
      <c r="C9" s="393"/>
      <c r="D9" s="377"/>
      <c r="E9" s="377"/>
      <c r="F9" s="377"/>
      <c r="G9" s="377"/>
      <c r="H9" s="377"/>
      <c r="I9" s="394"/>
      <c r="J9" s="374" t="s">
        <v>45</v>
      </c>
      <c r="K9" s="374" t="s">
        <v>46</v>
      </c>
      <c r="L9" s="398" t="s">
        <v>47</v>
      </c>
      <c r="M9" s="374" t="s">
        <v>48</v>
      </c>
      <c r="N9" s="375"/>
    </row>
    <row r="10" spans="1:14" ht="18">
      <c r="A10" s="370"/>
      <c r="B10" s="375"/>
      <c r="C10" s="393"/>
      <c r="D10" s="377"/>
      <c r="E10" s="377"/>
      <c r="F10" s="377"/>
      <c r="G10" s="377"/>
      <c r="H10" s="377"/>
      <c r="I10" s="394"/>
      <c r="J10" s="375"/>
      <c r="K10" s="375"/>
      <c r="L10" s="399"/>
      <c r="M10" s="375"/>
      <c r="N10" s="375"/>
    </row>
    <row r="11" spans="1:14" ht="18">
      <c r="A11" s="370"/>
      <c r="B11" s="375"/>
      <c r="C11" s="393"/>
      <c r="D11" s="377"/>
      <c r="E11" s="377"/>
      <c r="F11" s="377"/>
      <c r="G11" s="377"/>
      <c r="H11" s="377"/>
      <c r="I11" s="394"/>
      <c r="J11" s="375"/>
      <c r="K11" s="375"/>
      <c r="L11" s="399"/>
      <c r="M11" s="375"/>
      <c r="N11" s="375"/>
    </row>
    <row r="12" spans="1:14" ht="18">
      <c r="A12" s="370"/>
      <c r="B12" s="375"/>
      <c r="C12" s="393"/>
      <c r="D12" s="377"/>
      <c r="E12" s="377"/>
      <c r="F12" s="377"/>
      <c r="G12" s="377"/>
      <c r="H12" s="377"/>
      <c r="I12" s="394"/>
      <c r="J12" s="375"/>
      <c r="K12" s="375"/>
      <c r="L12" s="399"/>
      <c r="M12" s="375"/>
      <c r="N12" s="375"/>
    </row>
    <row r="13" spans="1:14" ht="18">
      <c r="A13" s="371"/>
      <c r="B13" s="376"/>
      <c r="C13" s="395"/>
      <c r="D13" s="396"/>
      <c r="E13" s="396"/>
      <c r="F13" s="396"/>
      <c r="G13" s="396"/>
      <c r="H13" s="396"/>
      <c r="I13" s="397"/>
      <c r="J13" s="376"/>
      <c r="K13" s="376"/>
      <c r="L13" s="400"/>
      <c r="M13" s="376"/>
      <c r="N13" s="376"/>
    </row>
    <row r="14" spans="1:14" ht="12.75" customHeight="1">
      <c r="A14" s="10">
        <v>1</v>
      </c>
      <c r="B14" s="11">
        <v>2</v>
      </c>
      <c r="C14" s="401">
        <v>3</v>
      </c>
      <c r="D14" s="402"/>
      <c r="E14" s="402"/>
      <c r="F14" s="402"/>
      <c r="G14" s="402"/>
      <c r="H14" s="402"/>
      <c r="I14" s="403"/>
      <c r="J14" s="11">
        <v>4</v>
      </c>
      <c r="K14" s="14">
        <v>5</v>
      </c>
      <c r="L14" s="15">
        <v>6</v>
      </c>
      <c r="M14" s="14">
        <v>7</v>
      </c>
      <c r="N14" s="11">
        <v>8</v>
      </c>
    </row>
    <row r="15" spans="1:14" ht="18.75">
      <c r="A15" s="16"/>
      <c r="B15" s="17"/>
      <c r="C15" s="18" t="s">
        <v>66</v>
      </c>
      <c r="D15" s="19"/>
      <c r="E15" s="19"/>
      <c r="F15" s="19"/>
      <c r="G15" s="19"/>
      <c r="H15" s="19"/>
      <c r="I15" s="20"/>
      <c r="J15" s="17"/>
      <c r="K15" s="21"/>
      <c r="L15" s="22"/>
      <c r="M15" s="21"/>
      <c r="N15" s="17"/>
    </row>
    <row r="16" spans="1:14" ht="18.75">
      <c r="A16" s="16"/>
      <c r="B16" s="17"/>
      <c r="C16" s="18" t="s">
        <v>67</v>
      </c>
      <c r="D16" s="19"/>
      <c r="E16" s="19"/>
      <c r="F16" s="19"/>
      <c r="G16" s="19"/>
      <c r="H16" s="19"/>
      <c r="I16" s="20"/>
      <c r="J16" s="17"/>
      <c r="K16" s="21"/>
      <c r="L16" s="22"/>
      <c r="M16" s="21"/>
      <c r="N16" s="17"/>
    </row>
    <row r="17" spans="1:14" ht="18.75">
      <c r="A17" s="10">
        <v>1</v>
      </c>
      <c r="B17" s="17" t="s">
        <v>49</v>
      </c>
      <c r="C17" s="10" t="s">
        <v>98</v>
      </c>
      <c r="D17" s="12"/>
      <c r="E17" s="12"/>
      <c r="F17" s="12"/>
      <c r="G17" s="12"/>
      <c r="H17" s="12"/>
      <c r="I17" s="13"/>
      <c r="J17" s="358"/>
      <c r="K17" s="359"/>
      <c r="L17" s="358"/>
      <c r="M17" s="359"/>
      <c r="N17" s="358"/>
    </row>
    <row r="18" spans="1:14" ht="18.75">
      <c r="A18" s="16"/>
      <c r="B18" s="17"/>
      <c r="C18" s="18" t="s">
        <v>50</v>
      </c>
      <c r="D18" s="19"/>
      <c r="E18" s="19"/>
      <c r="F18" s="19"/>
      <c r="G18" s="19"/>
      <c r="H18" s="19"/>
      <c r="I18" s="20"/>
      <c r="J18" s="360"/>
      <c r="K18" s="361"/>
      <c r="L18" s="360"/>
      <c r="M18" s="361"/>
      <c r="N18" s="360"/>
    </row>
    <row r="19" spans="1:14" ht="18.75">
      <c r="A19" s="16"/>
      <c r="B19" s="17"/>
      <c r="C19" s="18"/>
      <c r="D19" s="19"/>
      <c r="E19" s="19"/>
      <c r="F19" s="19"/>
      <c r="G19" s="19"/>
      <c r="H19" s="19"/>
      <c r="I19" s="20"/>
      <c r="J19" s="362"/>
      <c r="K19" s="363"/>
      <c r="L19" s="362"/>
      <c r="M19" s="363"/>
      <c r="N19" s="362"/>
    </row>
    <row r="20" spans="1:14" ht="18.75">
      <c r="A20" s="16"/>
      <c r="B20" s="17"/>
      <c r="C20" s="18" t="s">
        <v>91</v>
      </c>
      <c r="D20" s="19"/>
      <c r="E20" s="19"/>
      <c r="F20" s="19"/>
      <c r="G20" s="19"/>
      <c r="H20" s="19"/>
      <c r="I20" s="20"/>
      <c r="J20" s="362"/>
      <c r="K20" s="363"/>
      <c r="L20" s="362"/>
      <c r="M20" s="363"/>
      <c r="N20" s="362"/>
    </row>
    <row r="21" spans="1:14" ht="18.75">
      <c r="A21" s="16"/>
      <c r="B21" s="17"/>
      <c r="C21" s="18" t="s">
        <v>92</v>
      </c>
      <c r="D21" s="19"/>
      <c r="E21" s="19"/>
      <c r="F21" s="19"/>
      <c r="G21" s="19"/>
      <c r="H21" s="19"/>
      <c r="I21" s="20"/>
      <c r="J21" s="362"/>
      <c r="K21" s="363"/>
      <c r="L21" s="362"/>
      <c r="M21" s="363"/>
      <c r="N21" s="362"/>
    </row>
    <row r="22" spans="1:14" ht="18.75">
      <c r="A22" s="16">
        <v>2</v>
      </c>
      <c r="B22" s="17" t="s">
        <v>51</v>
      </c>
      <c r="C22" s="16" t="s">
        <v>89</v>
      </c>
      <c r="D22" s="19"/>
      <c r="E22" s="19"/>
      <c r="F22" s="19"/>
      <c r="G22" s="19"/>
      <c r="H22" s="19"/>
      <c r="I22" s="20"/>
      <c r="J22" s="362"/>
      <c r="K22" s="363"/>
      <c r="L22" s="362"/>
      <c r="M22" s="363"/>
      <c r="N22" s="362"/>
    </row>
    <row r="23" spans="1:14" ht="18.75">
      <c r="A23" s="16"/>
      <c r="B23" s="17"/>
      <c r="C23" s="18" t="s">
        <v>93</v>
      </c>
      <c r="D23" s="19"/>
      <c r="E23" s="19"/>
      <c r="F23" s="19"/>
      <c r="G23" s="19"/>
      <c r="H23" s="19"/>
      <c r="I23" s="20"/>
      <c r="J23" s="360"/>
      <c r="K23" s="361"/>
      <c r="L23" s="360"/>
      <c r="M23" s="361"/>
      <c r="N23" s="360"/>
    </row>
    <row r="24" spans="1:14" ht="18.75">
      <c r="A24" s="16"/>
      <c r="B24" s="17"/>
      <c r="C24" s="18"/>
      <c r="D24" s="19"/>
      <c r="E24" s="19"/>
      <c r="F24" s="19"/>
      <c r="G24" s="19"/>
      <c r="H24" s="19"/>
      <c r="I24" s="20"/>
      <c r="J24" s="362"/>
      <c r="K24" s="363"/>
      <c r="L24" s="362"/>
      <c r="M24" s="363"/>
      <c r="N24" s="362"/>
    </row>
    <row r="25" spans="1:14" ht="18.75">
      <c r="A25" s="16"/>
      <c r="B25" s="17"/>
      <c r="C25" s="18" t="s">
        <v>70</v>
      </c>
      <c r="D25" s="19"/>
      <c r="E25" s="19"/>
      <c r="F25" s="19"/>
      <c r="G25" s="19"/>
      <c r="H25" s="19"/>
      <c r="I25" s="20"/>
      <c r="J25" s="362"/>
      <c r="K25" s="363"/>
      <c r="L25" s="362"/>
      <c r="M25" s="363"/>
      <c r="N25" s="362"/>
    </row>
    <row r="26" spans="1:14" ht="18.75">
      <c r="A26" s="16"/>
      <c r="B26" s="17"/>
      <c r="C26" s="18" t="s">
        <v>68</v>
      </c>
      <c r="D26" s="19"/>
      <c r="E26" s="19"/>
      <c r="F26" s="19"/>
      <c r="G26" s="19"/>
      <c r="H26" s="19"/>
      <c r="I26" s="20"/>
      <c r="J26" s="362"/>
      <c r="K26" s="363"/>
      <c r="L26" s="362"/>
      <c r="M26" s="363"/>
      <c r="N26" s="362"/>
    </row>
    <row r="27" spans="1:14" ht="18.75">
      <c r="A27" s="10">
        <v>3</v>
      </c>
      <c r="B27" s="11" t="s">
        <v>57</v>
      </c>
      <c r="C27" s="23" t="s">
        <v>104</v>
      </c>
      <c r="D27" s="19"/>
      <c r="E27" s="19"/>
      <c r="F27" s="19"/>
      <c r="G27" s="19"/>
      <c r="H27" s="19"/>
      <c r="I27" s="20"/>
      <c r="J27" s="358"/>
      <c r="K27" s="359"/>
      <c r="L27" s="358"/>
      <c r="M27" s="359"/>
      <c r="N27" s="358"/>
    </row>
    <row r="28" spans="1:14" ht="18.75">
      <c r="A28" s="16"/>
      <c r="B28" s="17"/>
      <c r="C28" s="18" t="s">
        <v>69</v>
      </c>
      <c r="D28" s="19"/>
      <c r="E28" s="19"/>
      <c r="F28" s="19"/>
      <c r="G28" s="19"/>
      <c r="H28" s="19"/>
      <c r="I28" s="20"/>
      <c r="J28" s="360"/>
      <c r="K28" s="361"/>
      <c r="L28" s="360"/>
      <c r="M28" s="361"/>
      <c r="N28" s="360"/>
    </row>
    <row r="29" spans="1:14" ht="18.75">
      <c r="A29" s="16"/>
      <c r="B29" s="17"/>
      <c r="C29" s="18"/>
      <c r="D29" s="19"/>
      <c r="E29" s="19"/>
      <c r="F29" s="19"/>
      <c r="G29" s="19"/>
      <c r="H29" s="19"/>
      <c r="I29" s="20"/>
      <c r="J29" s="360"/>
      <c r="K29" s="361"/>
      <c r="L29" s="360"/>
      <c r="M29" s="361"/>
      <c r="N29" s="360"/>
    </row>
    <row r="30" spans="1:14" ht="18.75">
      <c r="A30" s="16"/>
      <c r="B30" s="17"/>
      <c r="C30" s="18" t="s">
        <v>105</v>
      </c>
      <c r="D30" s="19"/>
      <c r="E30" s="19"/>
      <c r="F30" s="19"/>
      <c r="G30" s="19"/>
      <c r="H30" s="19"/>
      <c r="I30" s="20"/>
      <c r="J30" s="360"/>
      <c r="K30" s="361"/>
      <c r="L30" s="360"/>
      <c r="M30" s="361"/>
      <c r="N30" s="360"/>
    </row>
    <row r="31" spans="1:14" ht="18.75">
      <c r="A31" s="16"/>
      <c r="B31" s="17"/>
      <c r="C31" s="18" t="s">
        <v>71</v>
      </c>
      <c r="D31" s="19"/>
      <c r="E31" s="19"/>
      <c r="F31" s="19"/>
      <c r="G31" s="19"/>
      <c r="H31" s="19"/>
      <c r="I31" s="20"/>
      <c r="J31" s="360"/>
      <c r="K31" s="361"/>
      <c r="L31" s="360"/>
      <c r="M31" s="361"/>
      <c r="N31" s="360"/>
    </row>
    <row r="32" spans="1:14" ht="18.75">
      <c r="A32" s="16">
        <v>4</v>
      </c>
      <c r="B32" s="11" t="s">
        <v>80</v>
      </c>
      <c r="C32" s="16" t="s">
        <v>96</v>
      </c>
      <c r="D32" s="19"/>
      <c r="E32" s="19"/>
      <c r="F32" s="19"/>
      <c r="G32" s="19"/>
      <c r="H32" s="19"/>
      <c r="I32" s="20"/>
      <c r="J32" s="362"/>
      <c r="K32" s="363"/>
      <c r="L32" s="362"/>
      <c r="M32" s="363"/>
      <c r="N32" s="362"/>
    </row>
    <row r="33" spans="1:14" ht="18.75">
      <c r="A33" s="16">
        <v>5</v>
      </c>
      <c r="B33" s="11" t="s">
        <v>81</v>
      </c>
      <c r="C33" s="16" t="s">
        <v>152</v>
      </c>
      <c r="D33" s="19"/>
      <c r="E33" s="19"/>
      <c r="F33" s="19"/>
      <c r="G33" s="19"/>
      <c r="H33" s="19"/>
      <c r="I33" s="20"/>
      <c r="J33" s="362"/>
      <c r="K33" s="363"/>
      <c r="L33" s="362"/>
      <c r="M33" s="363"/>
      <c r="N33" s="362"/>
    </row>
    <row r="34" spans="1:14" ht="18.75">
      <c r="A34" s="16">
        <v>6</v>
      </c>
      <c r="B34" s="11" t="s">
        <v>151</v>
      </c>
      <c r="C34" s="16" t="s">
        <v>112</v>
      </c>
      <c r="D34" s="19"/>
      <c r="E34" s="19"/>
      <c r="F34" s="19"/>
      <c r="G34" s="19"/>
      <c r="H34" s="19"/>
      <c r="I34" s="20"/>
      <c r="J34" s="362"/>
      <c r="K34" s="363"/>
      <c r="L34" s="362"/>
      <c r="M34" s="363"/>
      <c r="N34" s="362"/>
    </row>
    <row r="35" spans="1:14" ht="18.75">
      <c r="A35" s="16"/>
      <c r="B35" s="17"/>
      <c r="C35" s="18" t="s">
        <v>108</v>
      </c>
      <c r="D35" s="19"/>
      <c r="E35" s="19"/>
      <c r="F35" s="19"/>
      <c r="G35" s="19"/>
      <c r="H35" s="19"/>
      <c r="I35" s="20"/>
      <c r="J35" s="360"/>
      <c r="K35" s="361"/>
      <c r="L35" s="360"/>
      <c r="M35" s="361"/>
      <c r="N35" s="360"/>
    </row>
    <row r="36" spans="1:14" ht="18.75">
      <c r="A36" s="24"/>
      <c r="B36" s="24"/>
      <c r="C36" s="18"/>
      <c r="D36" s="19"/>
      <c r="E36" s="19"/>
      <c r="F36" s="19"/>
      <c r="G36" s="19"/>
      <c r="H36" s="19"/>
      <c r="I36" s="20"/>
      <c r="J36" s="358"/>
      <c r="K36" s="363"/>
      <c r="L36" s="362"/>
      <c r="M36" s="363"/>
      <c r="N36" s="358"/>
    </row>
    <row r="37" spans="1:14" ht="18.75">
      <c r="A37" s="16"/>
      <c r="B37" s="17"/>
      <c r="C37" s="18" t="s">
        <v>156</v>
      </c>
      <c r="D37" s="19"/>
      <c r="E37" s="19"/>
      <c r="F37" s="19"/>
      <c r="G37" s="19"/>
      <c r="H37" s="19"/>
      <c r="I37" s="20"/>
      <c r="J37" s="360"/>
      <c r="K37" s="361"/>
      <c r="L37" s="360"/>
      <c r="M37" s="361"/>
      <c r="N37" s="360"/>
    </row>
    <row r="38" spans="1:14" ht="18.75">
      <c r="A38" s="16"/>
      <c r="B38" s="17"/>
      <c r="C38" s="18" t="s">
        <v>154</v>
      </c>
      <c r="D38" s="19"/>
      <c r="E38" s="19"/>
      <c r="F38" s="19"/>
      <c r="G38" s="19"/>
      <c r="H38" s="19"/>
      <c r="I38" s="20"/>
      <c r="J38" s="360"/>
      <c r="K38" s="361"/>
      <c r="L38" s="360"/>
      <c r="M38" s="361"/>
      <c r="N38" s="360"/>
    </row>
    <row r="39" spans="1:14" ht="18.75">
      <c r="A39" s="16">
        <v>7</v>
      </c>
      <c r="B39" s="11" t="s">
        <v>153</v>
      </c>
      <c r="C39" s="16" t="s">
        <v>161</v>
      </c>
      <c r="D39" s="19"/>
      <c r="E39" s="19"/>
      <c r="F39" s="19"/>
      <c r="G39" s="19"/>
      <c r="H39" s="19"/>
      <c r="I39" s="20"/>
      <c r="J39" s="362"/>
      <c r="K39" s="363"/>
      <c r="L39" s="362"/>
      <c r="M39" s="363"/>
      <c r="N39" s="362"/>
    </row>
    <row r="40" spans="1:14" ht="18.75">
      <c r="A40" s="16"/>
      <c r="B40" s="17"/>
      <c r="C40" s="18" t="s">
        <v>157</v>
      </c>
      <c r="D40" s="19"/>
      <c r="E40" s="19"/>
      <c r="F40" s="19"/>
      <c r="G40" s="19"/>
      <c r="H40" s="19"/>
      <c r="I40" s="20"/>
      <c r="J40" s="360"/>
      <c r="K40" s="361"/>
      <c r="L40" s="360"/>
      <c r="M40" s="361"/>
      <c r="N40" s="360"/>
    </row>
    <row r="41" spans="1:14" ht="18.75">
      <c r="A41" s="16"/>
      <c r="B41" s="11"/>
      <c r="C41" s="16"/>
      <c r="D41" s="19"/>
      <c r="E41" s="19"/>
      <c r="F41" s="19"/>
      <c r="G41" s="19"/>
      <c r="H41" s="19"/>
      <c r="I41" s="20"/>
      <c r="J41" s="362"/>
      <c r="K41" s="363"/>
      <c r="L41" s="362"/>
      <c r="M41" s="363"/>
      <c r="N41" s="362"/>
    </row>
    <row r="42" spans="1:14" ht="18">
      <c r="A42" s="11"/>
      <c r="B42" s="11"/>
      <c r="C42" s="25" t="s">
        <v>155</v>
      </c>
      <c r="D42" s="14"/>
      <c r="E42" s="14"/>
      <c r="F42" s="14"/>
      <c r="G42" s="14"/>
      <c r="H42" s="14"/>
      <c r="I42" s="26"/>
      <c r="J42" s="364"/>
      <c r="K42" s="364"/>
      <c r="L42" s="364"/>
      <c r="M42" s="364"/>
      <c r="N42" s="364"/>
    </row>
    <row r="43" spans="1:14" ht="18.75">
      <c r="A43" s="16"/>
      <c r="B43" s="17"/>
      <c r="C43" s="18"/>
      <c r="D43" s="19"/>
      <c r="E43" s="19"/>
      <c r="F43" s="19"/>
      <c r="G43" s="19"/>
      <c r="H43" s="19"/>
      <c r="I43" s="20"/>
      <c r="J43" s="360"/>
      <c r="K43" s="361"/>
      <c r="L43" s="360"/>
      <c r="M43" s="361"/>
      <c r="N43" s="360"/>
    </row>
    <row r="44" spans="1:14" ht="48.75" customHeight="1">
      <c r="A44" s="11">
        <v>8</v>
      </c>
      <c r="B44" s="27"/>
      <c r="C44" s="505" t="s">
        <v>232</v>
      </c>
      <c r="D44" s="11"/>
      <c r="E44" s="11"/>
      <c r="F44" s="11"/>
      <c r="G44" s="11"/>
      <c r="H44" s="11"/>
      <c r="I44" s="11"/>
      <c r="J44" s="358"/>
      <c r="K44" s="358"/>
      <c r="L44" s="358"/>
      <c r="M44" s="358"/>
      <c r="N44" s="358"/>
    </row>
    <row r="45" spans="1:14" ht="18">
      <c r="A45" s="11"/>
      <c r="B45" s="27"/>
      <c r="C45" s="368" t="s">
        <v>12</v>
      </c>
      <c r="D45" s="368"/>
      <c r="E45" s="368"/>
      <c r="F45" s="368"/>
      <c r="G45" s="368"/>
      <c r="H45" s="368"/>
      <c r="I45" s="368"/>
      <c r="J45" s="364"/>
      <c r="K45" s="364"/>
      <c r="L45" s="364"/>
      <c r="M45" s="364"/>
      <c r="N45" s="364"/>
    </row>
    <row r="46" spans="1:14" ht="18">
      <c r="A46" s="11"/>
      <c r="B46" s="27"/>
      <c r="C46" s="28"/>
      <c r="D46" s="28"/>
      <c r="E46" s="28"/>
      <c r="F46" s="28"/>
      <c r="G46" s="28"/>
      <c r="H46" s="28"/>
      <c r="I46" s="28"/>
      <c r="J46" s="364"/>
      <c r="K46" s="364"/>
      <c r="L46" s="364"/>
      <c r="M46" s="364"/>
      <c r="N46" s="364"/>
    </row>
    <row r="47" spans="1:14" ht="18">
      <c r="A47" s="11">
        <v>9</v>
      </c>
      <c r="B47" s="27"/>
      <c r="C47" s="24" t="s">
        <v>52</v>
      </c>
      <c r="D47" s="11"/>
      <c r="E47" s="11"/>
      <c r="F47" s="11"/>
      <c r="G47" s="11"/>
      <c r="H47" s="11"/>
      <c r="I47" s="11"/>
      <c r="J47" s="358"/>
      <c r="K47" s="358"/>
      <c r="L47" s="358"/>
      <c r="M47" s="358"/>
      <c r="N47" s="358"/>
    </row>
    <row r="48" spans="1:14" ht="18">
      <c r="A48" s="372"/>
      <c r="B48" s="372"/>
      <c r="C48" s="382" t="s">
        <v>53</v>
      </c>
      <c r="D48" s="383"/>
      <c r="E48" s="383"/>
      <c r="F48" s="383"/>
      <c r="G48" s="383"/>
      <c r="H48" s="383"/>
      <c r="I48" s="384"/>
      <c r="J48" s="388"/>
      <c r="K48" s="378"/>
      <c r="L48" s="378"/>
      <c r="M48" s="378"/>
      <c r="N48" s="380"/>
    </row>
    <row r="49" spans="1:14" ht="20.25" customHeight="1">
      <c r="A49" s="373"/>
      <c r="B49" s="373"/>
      <c r="C49" s="385"/>
      <c r="D49" s="386"/>
      <c r="E49" s="386"/>
      <c r="F49" s="386"/>
      <c r="G49" s="386"/>
      <c r="H49" s="386"/>
      <c r="I49" s="387"/>
      <c r="J49" s="389"/>
      <c r="K49" s="379"/>
      <c r="L49" s="379"/>
      <c r="M49" s="379"/>
      <c r="N49" s="381"/>
    </row>
    <row r="50" spans="1:14" ht="21" customHeight="1">
      <c r="A50" s="377"/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  <c r="N50" s="377"/>
    </row>
    <row r="51" spans="1:14" ht="18.75">
      <c r="A51" s="29"/>
      <c r="B51" s="29"/>
      <c r="C51" s="30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31"/>
    </row>
    <row r="52" spans="1:14" ht="18.75">
      <c r="A52" s="29"/>
      <c r="B52" s="29"/>
      <c r="C52" s="30"/>
      <c r="D52" s="29"/>
      <c r="E52" s="29"/>
      <c r="F52" s="29"/>
      <c r="G52" s="29"/>
      <c r="H52" s="29"/>
      <c r="I52" s="29"/>
      <c r="J52" s="29"/>
      <c r="K52" s="29"/>
      <c r="L52" s="31"/>
      <c r="M52" s="29"/>
      <c r="N52" s="31"/>
    </row>
    <row r="53" spans="1:14" ht="18.75">
      <c r="A53" s="29"/>
      <c r="B53" s="29"/>
      <c r="C53" s="30"/>
      <c r="D53" s="29"/>
      <c r="E53" s="29"/>
      <c r="F53" s="29"/>
      <c r="G53" s="29"/>
      <c r="H53" s="29"/>
      <c r="I53" s="29"/>
      <c r="J53" s="29"/>
      <c r="K53" s="29"/>
      <c r="L53" s="31"/>
      <c r="M53" s="29"/>
      <c r="N53" s="29"/>
    </row>
    <row r="54" spans="1:14" ht="18.75">
      <c r="A54" s="29"/>
      <c r="B54" s="29"/>
      <c r="C54" s="30"/>
      <c r="D54" s="29"/>
      <c r="E54" s="29"/>
      <c r="F54" s="29"/>
      <c r="G54" s="29"/>
      <c r="H54" s="29"/>
      <c r="I54" s="29"/>
      <c r="J54" s="29"/>
      <c r="K54" s="29"/>
      <c r="L54" s="31"/>
      <c r="M54" s="31"/>
      <c r="N54" s="29"/>
    </row>
    <row r="55" spans="1:14" ht="18.75">
      <c r="A55" s="29"/>
      <c r="B55" s="29"/>
      <c r="C55" s="30"/>
      <c r="D55" s="29"/>
      <c r="E55" s="29"/>
      <c r="F55" s="29"/>
      <c r="G55" s="29"/>
      <c r="H55" s="29"/>
      <c r="I55" s="29"/>
      <c r="J55" s="29"/>
      <c r="K55" s="29"/>
      <c r="L55" s="31"/>
      <c r="M55" s="29"/>
      <c r="N55" s="29"/>
    </row>
  </sheetData>
  <sheetProtection/>
  <mergeCells count="25">
    <mergeCell ref="K48:K49"/>
    <mergeCell ref="L48:L49"/>
    <mergeCell ref="B7:B13"/>
    <mergeCell ref="C7:I13"/>
    <mergeCell ref="J7:M8"/>
    <mergeCell ref="L9:L13"/>
    <mergeCell ref="M9:M13"/>
    <mergeCell ref="C14:I14"/>
    <mergeCell ref="A48:A49"/>
    <mergeCell ref="B48:B49"/>
    <mergeCell ref="N7:N13"/>
    <mergeCell ref="J9:J13"/>
    <mergeCell ref="A50:N50"/>
    <mergeCell ref="M48:M49"/>
    <mergeCell ref="N48:N49"/>
    <mergeCell ref="C48:I49"/>
    <mergeCell ref="J48:J49"/>
    <mergeCell ref="K9:K13"/>
    <mergeCell ref="B5:C5"/>
    <mergeCell ref="A4:N4"/>
    <mergeCell ref="A3:N3"/>
    <mergeCell ref="A1:N1"/>
    <mergeCell ref="A2:N2"/>
    <mergeCell ref="C45:I45"/>
    <mergeCell ref="A7:A1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view="pageBreakPreview" zoomScale="115" zoomScaleSheetLayoutView="115" zoomScalePageLayoutView="0" workbookViewId="0" topLeftCell="A1">
      <selection activeCell="E16" sqref="E16:E21"/>
    </sheetView>
  </sheetViews>
  <sheetFormatPr defaultColWidth="9.00390625" defaultRowHeight="12.75"/>
  <cols>
    <col min="1" max="1" width="3.8515625" style="89" customWidth="1"/>
    <col min="2" max="2" width="9.7109375" style="90" customWidth="1"/>
    <col min="3" max="3" width="30.7109375" style="90" customWidth="1"/>
    <col min="4" max="4" width="8.28125" style="91" customWidth="1"/>
    <col min="5" max="5" width="9.57421875" style="91" bestFit="1" customWidth="1"/>
    <col min="6" max="6" width="10.57421875" style="91" customWidth="1"/>
    <col min="7" max="7" width="9.7109375" style="91" customWidth="1"/>
    <col min="8" max="8" width="10.28125" style="91" customWidth="1"/>
    <col min="9" max="9" width="8.8515625" style="91" customWidth="1"/>
    <col min="10" max="10" width="11.28125" style="91" customWidth="1"/>
    <col min="11" max="11" width="8.8515625" style="91" customWidth="1"/>
    <col min="12" max="12" width="10.421875" style="91" customWidth="1"/>
    <col min="13" max="13" width="13.28125" style="91" customWidth="1"/>
    <col min="14" max="16384" width="9.00390625" style="92" customWidth="1"/>
  </cols>
  <sheetData>
    <row r="1" spans="1:14" s="40" customFormat="1" ht="33" customHeight="1">
      <c r="A1" s="404" t="str">
        <f>nakrebi!A3</f>
        <v>mcxeTis municipalitetSi, sofel qsovrisSi Sida saavtomobilo gzebis sareabilitacio samuSaoebi 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39"/>
    </row>
    <row r="2" spans="1:13" s="40" customFormat="1" ht="16.5" customHeight="1">
      <c r="A2" s="405" t="s">
        <v>97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</row>
    <row r="3" spans="1:13" s="40" customFormat="1" ht="15.75">
      <c r="A3" s="405"/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</row>
    <row r="4" spans="1:13" s="40" customFormat="1" ht="15.75">
      <c r="A4" s="405" t="s">
        <v>98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</row>
    <row r="5" spans="1:13" s="40" customFormat="1" ht="15.75">
      <c r="A5" s="406"/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</row>
    <row r="6" spans="1:13" s="40" customFormat="1" ht="15" customHeight="1">
      <c r="A6" s="41"/>
      <c r="B6" s="407" t="s">
        <v>28</v>
      </c>
      <c r="C6" s="407"/>
      <c r="D6" s="408"/>
      <c r="E6" s="42"/>
      <c r="F6" s="409" t="s">
        <v>1</v>
      </c>
      <c r="G6" s="409"/>
      <c r="H6" s="409"/>
      <c r="I6" s="409"/>
      <c r="J6" s="42">
        <f>M21/1000</f>
        <v>0</v>
      </c>
      <c r="K6" s="42" t="s">
        <v>0</v>
      </c>
      <c r="L6" s="42"/>
      <c r="M6" s="42"/>
    </row>
    <row r="7" spans="1:13" s="40" customFormat="1" ht="15.75">
      <c r="A7" s="41"/>
      <c r="B7" s="41"/>
      <c r="C7" s="41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 s="40" customFormat="1" ht="15" customHeight="1">
      <c r="A8" s="421" t="s">
        <v>2</v>
      </c>
      <c r="B8" s="424" t="s">
        <v>3</v>
      </c>
      <c r="C8" s="410" t="s">
        <v>27</v>
      </c>
      <c r="D8" s="413" t="s">
        <v>4</v>
      </c>
      <c r="E8" s="414"/>
      <c r="F8" s="415"/>
      <c r="G8" s="413" t="s">
        <v>5</v>
      </c>
      <c r="H8" s="427"/>
      <c r="I8" s="413" t="s">
        <v>6</v>
      </c>
      <c r="J8" s="430"/>
      <c r="K8" s="413" t="s">
        <v>7</v>
      </c>
      <c r="L8" s="427"/>
      <c r="M8" s="415" t="s">
        <v>8</v>
      </c>
    </row>
    <row r="9" spans="1:13" s="40" customFormat="1" ht="22.5" customHeight="1">
      <c r="A9" s="422"/>
      <c r="B9" s="425"/>
      <c r="C9" s="411"/>
      <c r="D9" s="416"/>
      <c r="E9" s="417"/>
      <c r="F9" s="418"/>
      <c r="G9" s="428"/>
      <c r="H9" s="429"/>
      <c r="I9" s="428"/>
      <c r="J9" s="431"/>
      <c r="K9" s="416" t="s">
        <v>9</v>
      </c>
      <c r="L9" s="429"/>
      <c r="M9" s="432"/>
    </row>
    <row r="10" spans="1:13" s="40" customFormat="1" ht="15.75">
      <c r="A10" s="422"/>
      <c r="B10" s="425"/>
      <c r="C10" s="411"/>
      <c r="D10" s="419" t="s">
        <v>10</v>
      </c>
      <c r="E10" s="419" t="s">
        <v>11</v>
      </c>
      <c r="F10" s="419" t="s">
        <v>12</v>
      </c>
      <c r="G10" s="43" t="s">
        <v>11</v>
      </c>
      <c r="H10" s="419" t="s">
        <v>12</v>
      </c>
      <c r="I10" s="43" t="s">
        <v>11</v>
      </c>
      <c r="J10" s="419" t="s">
        <v>12</v>
      </c>
      <c r="K10" s="43" t="s">
        <v>11</v>
      </c>
      <c r="L10" s="419" t="s">
        <v>12</v>
      </c>
      <c r="M10" s="433"/>
    </row>
    <row r="11" spans="1:13" s="40" customFormat="1" ht="15.75">
      <c r="A11" s="423"/>
      <c r="B11" s="426"/>
      <c r="C11" s="412"/>
      <c r="D11" s="420"/>
      <c r="E11" s="420"/>
      <c r="F11" s="420"/>
      <c r="G11" s="44" t="s">
        <v>13</v>
      </c>
      <c r="H11" s="420"/>
      <c r="I11" s="44" t="s">
        <v>13</v>
      </c>
      <c r="J11" s="420"/>
      <c r="K11" s="44" t="s">
        <v>13</v>
      </c>
      <c r="L11" s="420"/>
      <c r="M11" s="434"/>
    </row>
    <row r="12" spans="1:13" s="40" customFormat="1" ht="15.75">
      <c r="A12" s="45" t="s">
        <v>14</v>
      </c>
      <c r="B12" s="46" t="s">
        <v>15</v>
      </c>
      <c r="C12" s="47" t="s">
        <v>16</v>
      </c>
      <c r="D12" s="48" t="s">
        <v>17</v>
      </c>
      <c r="E12" s="49" t="s">
        <v>18</v>
      </c>
      <c r="F12" s="50" t="s">
        <v>19</v>
      </c>
      <c r="G12" s="51" t="s">
        <v>20</v>
      </c>
      <c r="H12" s="48" t="s">
        <v>21</v>
      </c>
      <c r="I12" s="49" t="s">
        <v>22</v>
      </c>
      <c r="J12" s="51" t="s">
        <v>23</v>
      </c>
      <c r="K12" s="49" t="s">
        <v>24</v>
      </c>
      <c r="L12" s="48" t="s">
        <v>25</v>
      </c>
      <c r="M12" s="49" t="s">
        <v>26</v>
      </c>
    </row>
    <row r="13" spans="1:13" s="40" customFormat="1" ht="60">
      <c r="A13" s="52"/>
      <c r="B13" s="53" t="s">
        <v>122</v>
      </c>
      <c r="C13" s="54" t="s">
        <v>123</v>
      </c>
      <c r="D13" s="55" t="s">
        <v>124</v>
      </c>
      <c r="E13" s="56"/>
      <c r="F13" s="57">
        <v>1.107</v>
      </c>
      <c r="G13" s="58"/>
      <c r="H13" s="58"/>
      <c r="I13" s="59"/>
      <c r="J13" s="59"/>
      <c r="K13" s="59"/>
      <c r="L13" s="59"/>
      <c r="M13" s="59"/>
    </row>
    <row r="14" spans="1:13" s="40" customFormat="1" ht="28.5" customHeight="1">
      <c r="A14" s="313"/>
      <c r="B14" s="60"/>
      <c r="C14" s="61" t="s">
        <v>125</v>
      </c>
      <c r="D14" s="62" t="s">
        <v>126</v>
      </c>
      <c r="E14" s="63">
        <v>93.22</v>
      </c>
      <c r="F14" s="58">
        <f>E14*F13</f>
        <v>103.19454</v>
      </c>
      <c r="G14" s="58"/>
      <c r="H14" s="58"/>
      <c r="I14" s="58"/>
      <c r="J14" s="58"/>
      <c r="K14" s="58"/>
      <c r="L14" s="58"/>
      <c r="M14" s="58"/>
    </row>
    <row r="15" spans="1:13" s="40" customFormat="1" ht="15.75">
      <c r="A15" s="72"/>
      <c r="B15" s="70"/>
      <c r="C15" s="73" t="s">
        <v>12</v>
      </c>
      <c r="D15" s="74" t="s">
        <v>33</v>
      </c>
      <c r="E15" s="94"/>
      <c r="F15" s="64"/>
      <c r="G15" s="64"/>
      <c r="H15" s="75"/>
      <c r="I15" s="64"/>
      <c r="J15" s="75"/>
      <c r="K15" s="64"/>
      <c r="L15" s="75"/>
      <c r="M15" s="75"/>
    </row>
    <row r="16" spans="1:13" s="40" customFormat="1" ht="47.25">
      <c r="A16" s="76"/>
      <c r="B16" s="76"/>
      <c r="C16" s="76" t="s">
        <v>235</v>
      </c>
      <c r="D16" s="74"/>
      <c r="E16" s="77"/>
      <c r="F16" s="77"/>
      <c r="G16" s="77"/>
      <c r="H16" s="77"/>
      <c r="I16" s="77"/>
      <c r="J16" s="78"/>
      <c r="K16" s="77"/>
      <c r="L16" s="77"/>
      <c r="M16" s="78"/>
    </row>
    <row r="17" spans="1:13" s="40" customFormat="1" ht="15.75">
      <c r="A17" s="76"/>
      <c r="B17" s="76"/>
      <c r="C17" s="76" t="s">
        <v>128</v>
      </c>
      <c r="D17" s="74"/>
      <c r="E17" s="77"/>
      <c r="F17" s="77"/>
      <c r="G17" s="77"/>
      <c r="H17" s="78"/>
      <c r="I17" s="77"/>
      <c r="J17" s="78"/>
      <c r="K17" s="77"/>
      <c r="L17" s="78"/>
      <c r="M17" s="78"/>
    </row>
    <row r="18" spans="1:13" s="40" customFormat="1" ht="15.75">
      <c r="A18" s="76"/>
      <c r="B18" s="79"/>
      <c r="C18" s="76" t="s">
        <v>234</v>
      </c>
      <c r="D18" s="74" t="s">
        <v>33</v>
      </c>
      <c r="E18" s="78"/>
      <c r="F18" s="80"/>
      <c r="G18" s="81"/>
      <c r="H18" s="78"/>
      <c r="I18" s="78"/>
      <c r="J18" s="78"/>
      <c r="K18" s="78"/>
      <c r="L18" s="78"/>
      <c r="M18" s="78"/>
    </row>
    <row r="19" spans="1:13" s="40" customFormat="1" ht="15.75">
      <c r="A19" s="73"/>
      <c r="B19" s="79"/>
      <c r="C19" s="73" t="s">
        <v>12</v>
      </c>
      <c r="D19" s="74" t="s">
        <v>33</v>
      </c>
      <c r="E19" s="82"/>
      <c r="F19" s="73"/>
      <c r="G19" s="73"/>
      <c r="H19" s="82"/>
      <c r="I19" s="82"/>
      <c r="J19" s="82"/>
      <c r="K19" s="82"/>
      <c r="L19" s="82"/>
      <c r="M19" s="82"/>
    </row>
    <row r="20" spans="1:13" s="40" customFormat="1" ht="15.75">
      <c r="A20" s="76"/>
      <c r="B20" s="79"/>
      <c r="C20" s="77" t="s">
        <v>233</v>
      </c>
      <c r="D20" s="74" t="s">
        <v>33</v>
      </c>
      <c r="E20" s="78"/>
      <c r="F20" s="83"/>
      <c r="G20" s="78"/>
      <c r="H20" s="78"/>
      <c r="I20" s="78"/>
      <c r="J20" s="78"/>
      <c r="K20" s="78"/>
      <c r="L20" s="78"/>
      <c r="M20" s="78"/>
    </row>
    <row r="21" spans="1:13" s="40" customFormat="1" ht="15.75">
      <c r="A21" s="84"/>
      <c r="B21" s="85"/>
      <c r="C21" s="84" t="s">
        <v>12</v>
      </c>
      <c r="D21" s="86" t="s">
        <v>33</v>
      </c>
      <c r="E21" s="84"/>
      <c r="F21" s="84"/>
      <c r="G21" s="84"/>
      <c r="H21" s="87"/>
      <c r="I21" s="87"/>
      <c r="J21" s="87"/>
      <c r="K21" s="87"/>
      <c r="L21" s="87"/>
      <c r="M21" s="87"/>
    </row>
    <row r="22" spans="1:13" s="40" customFormat="1" ht="15.75">
      <c r="A22" s="88"/>
      <c r="B22" s="41"/>
      <c r="C22" s="41"/>
      <c r="D22" s="71"/>
      <c r="E22" s="71"/>
      <c r="F22" s="71"/>
      <c r="G22" s="71"/>
      <c r="H22" s="71"/>
      <c r="I22" s="71"/>
      <c r="J22" s="71"/>
      <c r="K22" s="71"/>
      <c r="L22" s="71"/>
      <c r="M22" s="71"/>
    </row>
    <row r="23" spans="1:13" s="40" customFormat="1" ht="15.75">
      <c r="A23" s="88"/>
      <c r="B23" s="41"/>
      <c r="C23" s="41"/>
      <c r="D23" s="71"/>
      <c r="E23" s="71"/>
      <c r="F23" s="71"/>
      <c r="G23" s="71"/>
      <c r="H23" s="71"/>
      <c r="I23" s="71"/>
      <c r="J23" s="71"/>
      <c r="K23" s="71"/>
      <c r="L23" s="71"/>
      <c r="M23" s="71"/>
    </row>
  </sheetData>
  <sheetProtection/>
  <mergeCells count="22">
    <mergeCell ref="G8:H9"/>
    <mergeCell ref="I8:J9"/>
    <mergeCell ref="K8:L8"/>
    <mergeCell ref="M8:M11"/>
    <mergeCell ref="K9:L9"/>
    <mergeCell ref="H10:H11"/>
    <mergeCell ref="J10:J11"/>
    <mergeCell ref="L10:L11"/>
    <mergeCell ref="C8:C11"/>
    <mergeCell ref="D8:F9"/>
    <mergeCell ref="D10:D11"/>
    <mergeCell ref="E10:E11"/>
    <mergeCell ref="F10:F11"/>
    <mergeCell ref="A8:A11"/>
    <mergeCell ref="B8:B11"/>
    <mergeCell ref="A1:M1"/>
    <mergeCell ref="A2:M2"/>
    <mergeCell ref="A3:M3"/>
    <mergeCell ref="A4:M4"/>
    <mergeCell ref="A5:M5"/>
    <mergeCell ref="B6:D6"/>
    <mergeCell ref="F6:I6"/>
  </mergeCells>
  <conditionalFormatting sqref="C13:M13 C14:D14 F14:M14">
    <cfRule type="cellIs" priority="4" dxfId="0" operator="equal" stopIfTrue="1">
      <formula>8223.307275</formula>
    </cfRule>
  </conditionalFormatting>
  <conditionalFormatting sqref="B14">
    <cfRule type="cellIs" priority="3" dxfId="0" operator="equal" stopIfTrue="1">
      <formula>8223.307275</formula>
    </cfRule>
  </conditionalFormatting>
  <printOptions/>
  <pageMargins left="0.5905511811023623" right="0" top="0.5905511811023623" bottom="0.5905511811023623" header="0.5118110236220472" footer="0.5118110236220472"/>
  <pageSetup horizontalDpi="600" verticalDpi="600" orientation="portrait" paperSize="9" scale="65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88"/>
  <sheetViews>
    <sheetView view="pageBreakPreview" zoomScaleSheetLayoutView="100" zoomScalePageLayoutView="0" workbookViewId="0" topLeftCell="A73">
      <selection activeCell="E83" sqref="E83:E87"/>
    </sheetView>
  </sheetViews>
  <sheetFormatPr defaultColWidth="9.00390625" defaultRowHeight="12.75"/>
  <cols>
    <col min="1" max="1" width="3.8515625" style="274" customWidth="1"/>
    <col min="2" max="2" width="9.7109375" style="275" customWidth="1"/>
    <col min="3" max="3" width="30.7109375" style="275" customWidth="1"/>
    <col min="4" max="4" width="8.28125" style="276" customWidth="1"/>
    <col min="5" max="5" width="9.57421875" style="276" bestFit="1" customWidth="1"/>
    <col min="6" max="6" width="9.140625" style="276" customWidth="1"/>
    <col min="7" max="7" width="9.7109375" style="276" customWidth="1"/>
    <col min="8" max="8" width="10.28125" style="276" customWidth="1"/>
    <col min="9" max="9" width="10.00390625" style="276" customWidth="1"/>
    <col min="10" max="10" width="10.28125" style="276" customWidth="1"/>
    <col min="11" max="11" width="8.8515625" style="276" customWidth="1"/>
    <col min="12" max="12" width="10.421875" style="276" customWidth="1"/>
    <col min="13" max="13" width="12.28125" style="276" customWidth="1"/>
    <col min="14" max="15" width="9.00390625" style="116" customWidth="1"/>
    <col min="16" max="16" width="17.57421875" style="116" customWidth="1"/>
    <col min="17" max="19" width="9.00390625" style="116" customWidth="1"/>
    <col min="20" max="20" width="16.421875" style="116" customWidth="1"/>
    <col min="21" max="16384" width="9.00390625" style="116" customWidth="1"/>
  </cols>
  <sheetData>
    <row r="1" spans="1:13" s="270" customFormat="1" ht="30" customHeight="1">
      <c r="A1" s="442" t="str">
        <f>'x.a.1'!A1</f>
        <v>mcxeTis municipalitetSi, sofel qsovrisSi Sida saavtomobilo gzebis sareabilitacio samuSaoebi 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</row>
    <row r="2" spans="1:13" s="270" customFormat="1" ht="15.75">
      <c r="A2" s="440" t="s">
        <v>100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</row>
    <row r="3" spans="1:13" s="270" customFormat="1" ht="15.75">
      <c r="A3" s="440"/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</row>
    <row r="4" spans="1:13" s="270" customFormat="1" ht="15.75">
      <c r="A4" s="441" t="s">
        <v>89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</row>
    <row r="5" spans="1:13" s="270" customFormat="1" ht="15.75">
      <c r="A5" s="443"/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</row>
    <row r="6" spans="1:13" s="270" customFormat="1" ht="15" customHeight="1">
      <c r="A6" s="117"/>
      <c r="B6" s="444" t="s">
        <v>28</v>
      </c>
      <c r="C6" s="444"/>
      <c r="D6" s="445"/>
      <c r="E6" s="118"/>
      <c r="F6" s="446" t="s">
        <v>1</v>
      </c>
      <c r="G6" s="446"/>
      <c r="H6" s="446"/>
      <c r="I6" s="446"/>
      <c r="J6" s="118">
        <f>M87/1000</f>
        <v>0</v>
      </c>
      <c r="K6" s="118" t="s">
        <v>0</v>
      </c>
      <c r="L6" s="118"/>
      <c r="M6" s="118"/>
    </row>
    <row r="7" spans="1:13" s="270" customFormat="1" ht="15.75">
      <c r="A7" s="117"/>
      <c r="B7" s="117"/>
      <c r="C7" s="117"/>
      <c r="D7" s="118"/>
      <c r="E7" s="118"/>
      <c r="F7" s="118"/>
      <c r="G7" s="118"/>
      <c r="H7" s="118"/>
      <c r="I7" s="118"/>
      <c r="J7" s="118"/>
      <c r="K7" s="118"/>
      <c r="L7" s="118"/>
      <c r="M7" s="118"/>
    </row>
    <row r="8" spans="1:13" s="270" customFormat="1" ht="15" customHeight="1">
      <c r="A8" s="447" t="s">
        <v>2</v>
      </c>
      <c r="B8" s="448" t="s">
        <v>3</v>
      </c>
      <c r="C8" s="374" t="s">
        <v>27</v>
      </c>
      <c r="D8" s="451" t="s">
        <v>4</v>
      </c>
      <c r="E8" s="452"/>
      <c r="F8" s="453"/>
      <c r="G8" s="451" t="s">
        <v>5</v>
      </c>
      <c r="H8" s="459"/>
      <c r="I8" s="451" t="s">
        <v>6</v>
      </c>
      <c r="J8" s="465"/>
      <c r="K8" s="451" t="s">
        <v>7</v>
      </c>
      <c r="L8" s="459"/>
      <c r="M8" s="453" t="s">
        <v>8</v>
      </c>
    </row>
    <row r="9" spans="1:13" s="270" customFormat="1" ht="22.5" customHeight="1">
      <c r="A9" s="370"/>
      <c r="B9" s="449"/>
      <c r="C9" s="375"/>
      <c r="D9" s="454"/>
      <c r="E9" s="455"/>
      <c r="F9" s="456"/>
      <c r="G9" s="464"/>
      <c r="H9" s="463"/>
      <c r="I9" s="464"/>
      <c r="J9" s="466"/>
      <c r="K9" s="454" t="s">
        <v>9</v>
      </c>
      <c r="L9" s="463"/>
      <c r="M9" s="460"/>
    </row>
    <row r="10" spans="1:13" s="270" customFormat="1" ht="15.75">
      <c r="A10" s="370"/>
      <c r="B10" s="449"/>
      <c r="C10" s="375"/>
      <c r="D10" s="457" t="s">
        <v>10</v>
      </c>
      <c r="E10" s="457" t="s">
        <v>11</v>
      </c>
      <c r="F10" s="457" t="s">
        <v>12</v>
      </c>
      <c r="G10" s="103" t="s">
        <v>11</v>
      </c>
      <c r="H10" s="457" t="s">
        <v>12</v>
      </c>
      <c r="I10" s="103" t="s">
        <v>11</v>
      </c>
      <c r="J10" s="457" t="s">
        <v>12</v>
      </c>
      <c r="K10" s="103" t="s">
        <v>11</v>
      </c>
      <c r="L10" s="457" t="s">
        <v>12</v>
      </c>
      <c r="M10" s="461"/>
    </row>
    <row r="11" spans="1:13" s="270" customFormat="1" ht="15.75">
      <c r="A11" s="371"/>
      <c r="B11" s="450"/>
      <c r="C11" s="376"/>
      <c r="D11" s="458"/>
      <c r="E11" s="458"/>
      <c r="F11" s="458"/>
      <c r="G11" s="122" t="s">
        <v>13</v>
      </c>
      <c r="H11" s="458"/>
      <c r="I11" s="122" t="s">
        <v>13</v>
      </c>
      <c r="J11" s="458"/>
      <c r="K11" s="122" t="s">
        <v>13</v>
      </c>
      <c r="L11" s="458"/>
      <c r="M11" s="462"/>
    </row>
    <row r="12" spans="1:13" s="270" customFormat="1" ht="15.75">
      <c r="A12" s="15">
        <v>1</v>
      </c>
      <c r="B12" s="271" t="s">
        <v>65</v>
      </c>
      <c r="C12" s="272">
        <v>3</v>
      </c>
      <c r="D12" s="271">
        <v>4</v>
      </c>
      <c r="E12" s="271">
        <v>5</v>
      </c>
      <c r="F12" s="271">
        <v>6</v>
      </c>
      <c r="G12" s="271">
        <v>7</v>
      </c>
      <c r="H12" s="271">
        <v>8</v>
      </c>
      <c r="I12" s="271">
        <v>9</v>
      </c>
      <c r="J12" s="271">
        <v>10</v>
      </c>
      <c r="K12" s="271">
        <v>11</v>
      </c>
      <c r="L12" s="271">
        <v>12</v>
      </c>
      <c r="M12" s="15">
        <v>13</v>
      </c>
    </row>
    <row r="13" spans="1:13" s="270" customFormat="1" ht="78.75">
      <c r="A13" s="101">
        <v>1</v>
      </c>
      <c r="B13" s="104" t="s">
        <v>73</v>
      </c>
      <c r="C13" s="130" t="s">
        <v>110</v>
      </c>
      <c r="D13" s="103" t="s">
        <v>130</v>
      </c>
      <c r="E13" s="103"/>
      <c r="F13" s="111">
        <v>3202.08</v>
      </c>
      <c r="G13" s="131"/>
      <c r="H13" s="102"/>
      <c r="I13" s="103"/>
      <c r="J13" s="131"/>
      <c r="K13" s="103"/>
      <c r="L13" s="102"/>
      <c r="M13" s="103"/>
    </row>
    <row r="14" spans="1:13" s="270" customFormat="1" ht="31.5">
      <c r="A14" s="104"/>
      <c r="B14" s="104"/>
      <c r="C14" s="38" t="s">
        <v>29</v>
      </c>
      <c r="D14" s="106" t="s">
        <v>30</v>
      </c>
      <c r="E14" s="132">
        <f>20/1000</f>
        <v>0.02</v>
      </c>
      <c r="F14" s="106">
        <f>E14*F13</f>
        <v>64.0416</v>
      </c>
      <c r="G14" s="106"/>
      <c r="H14" s="106"/>
      <c r="I14" s="103"/>
      <c r="J14" s="103"/>
      <c r="K14" s="103"/>
      <c r="L14" s="103"/>
      <c r="M14" s="103"/>
    </row>
    <row r="15" spans="1:13" s="270" customFormat="1" ht="15.75">
      <c r="A15" s="104"/>
      <c r="B15" s="104"/>
      <c r="C15" s="38" t="s">
        <v>72</v>
      </c>
      <c r="D15" s="106" t="s">
        <v>31</v>
      </c>
      <c r="E15" s="107">
        <f>44.8/1000</f>
        <v>0.0448</v>
      </c>
      <c r="F15" s="106">
        <f>E15*F13</f>
        <v>143.453184</v>
      </c>
      <c r="G15" s="106"/>
      <c r="H15" s="106"/>
      <c r="I15" s="103"/>
      <c r="J15" s="131"/>
      <c r="K15" s="106"/>
      <c r="L15" s="102"/>
      <c r="M15" s="103"/>
    </row>
    <row r="16" spans="1:13" s="270" customFormat="1" ht="15.75">
      <c r="A16" s="104"/>
      <c r="B16" s="104"/>
      <c r="C16" s="38" t="s">
        <v>36</v>
      </c>
      <c r="D16" s="106" t="s">
        <v>33</v>
      </c>
      <c r="E16" s="107">
        <f>2.1/1000</f>
        <v>0.0021000000000000003</v>
      </c>
      <c r="F16" s="133">
        <f>E16*F13</f>
        <v>6.724368000000001</v>
      </c>
      <c r="G16" s="106"/>
      <c r="H16" s="106"/>
      <c r="I16" s="106"/>
      <c r="J16" s="106"/>
      <c r="K16" s="106"/>
      <c r="L16" s="106"/>
      <c r="M16" s="106"/>
    </row>
    <row r="17" spans="1:13" s="270" customFormat="1" ht="31.5">
      <c r="A17" s="134"/>
      <c r="B17" s="135"/>
      <c r="C17" s="136" t="s">
        <v>99</v>
      </c>
      <c r="D17" s="119" t="s">
        <v>34</v>
      </c>
      <c r="E17" s="122"/>
      <c r="F17" s="121">
        <f>F13*1.8</f>
        <v>5763.744</v>
      </c>
      <c r="G17" s="120"/>
      <c r="H17" s="119"/>
      <c r="I17" s="122"/>
      <c r="J17" s="120"/>
      <c r="K17" s="122"/>
      <c r="L17" s="119"/>
      <c r="M17" s="122"/>
    </row>
    <row r="18" spans="1:13" s="270" customFormat="1" ht="86.25" customHeight="1">
      <c r="A18" s="101">
        <v>2</v>
      </c>
      <c r="B18" s="137" t="s">
        <v>101</v>
      </c>
      <c r="C18" s="130" t="s">
        <v>111</v>
      </c>
      <c r="D18" s="103" t="s">
        <v>130</v>
      </c>
      <c r="E18" s="103"/>
      <c r="F18" s="111">
        <v>355.79</v>
      </c>
      <c r="G18" s="131"/>
      <c r="H18" s="102"/>
      <c r="I18" s="103"/>
      <c r="J18" s="131"/>
      <c r="K18" s="103"/>
      <c r="L18" s="102"/>
      <c r="M18" s="103"/>
    </row>
    <row r="19" spans="1:13" s="270" customFormat="1" ht="31.5">
      <c r="A19" s="138"/>
      <c r="B19" s="139"/>
      <c r="C19" s="140" t="s">
        <v>29</v>
      </c>
      <c r="D19" s="106" t="s">
        <v>30</v>
      </c>
      <c r="E19" s="103">
        <f>2.06+0.87</f>
        <v>2.93</v>
      </c>
      <c r="F19" s="103">
        <f>E19*F18</f>
        <v>1042.4647000000002</v>
      </c>
      <c r="G19" s="103"/>
      <c r="H19" s="103"/>
      <c r="I19" s="103"/>
      <c r="J19" s="103"/>
      <c r="K19" s="103"/>
      <c r="L19" s="103"/>
      <c r="M19" s="106"/>
    </row>
    <row r="20" spans="1:13" s="270" customFormat="1" ht="31.5">
      <c r="A20" s="134"/>
      <c r="B20" s="135"/>
      <c r="C20" s="136" t="s">
        <v>99</v>
      </c>
      <c r="D20" s="119" t="s">
        <v>34</v>
      </c>
      <c r="E20" s="122"/>
      <c r="F20" s="121">
        <f>F18*1.8</f>
        <v>640.422</v>
      </c>
      <c r="G20" s="120"/>
      <c r="H20" s="119"/>
      <c r="I20" s="122"/>
      <c r="J20" s="120"/>
      <c r="K20" s="122"/>
      <c r="L20" s="119"/>
      <c r="M20" s="122"/>
    </row>
    <row r="21" spans="1:13" s="270" customFormat="1" ht="94.5">
      <c r="A21" s="101">
        <v>3</v>
      </c>
      <c r="B21" s="104" t="s">
        <v>73</v>
      </c>
      <c r="C21" s="130" t="s">
        <v>208</v>
      </c>
      <c r="D21" s="103" t="s">
        <v>130</v>
      </c>
      <c r="E21" s="103"/>
      <c r="F21" s="111">
        <v>1007</v>
      </c>
      <c r="G21" s="131"/>
      <c r="H21" s="102"/>
      <c r="I21" s="103"/>
      <c r="J21" s="131"/>
      <c r="K21" s="103"/>
      <c r="L21" s="102"/>
      <c r="M21" s="103"/>
    </row>
    <row r="22" spans="1:13" s="270" customFormat="1" ht="31.5">
      <c r="A22" s="104"/>
      <c r="B22" s="104"/>
      <c r="C22" s="38" t="s">
        <v>29</v>
      </c>
      <c r="D22" s="106" t="s">
        <v>30</v>
      </c>
      <c r="E22" s="132">
        <f>20/1000</f>
        <v>0.02</v>
      </c>
      <c r="F22" s="106">
        <f>E22*F21</f>
        <v>20.14</v>
      </c>
      <c r="G22" s="106"/>
      <c r="H22" s="106"/>
      <c r="I22" s="103"/>
      <c r="J22" s="103"/>
      <c r="K22" s="103"/>
      <c r="L22" s="103"/>
      <c r="M22" s="103"/>
    </row>
    <row r="23" spans="1:13" s="270" customFormat="1" ht="15.75">
      <c r="A23" s="104"/>
      <c r="B23" s="104"/>
      <c r="C23" s="38" t="s">
        <v>72</v>
      </c>
      <c r="D23" s="106" t="s">
        <v>31</v>
      </c>
      <c r="E23" s="107">
        <f>44.8/1000</f>
        <v>0.0448</v>
      </c>
      <c r="F23" s="106">
        <f>E23*F21</f>
        <v>45.1136</v>
      </c>
      <c r="G23" s="106"/>
      <c r="H23" s="106"/>
      <c r="I23" s="103"/>
      <c r="J23" s="131"/>
      <c r="K23" s="106"/>
      <c r="L23" s="102"/>
      <c r="M23" s="103"/>
    </row>
    <row r="24" spans="1:13" s="270" customFormat="1" ht="15.75">
      <c r="A24" s="104"/>
      <c r="B24" s="104"/>
      <c r="C24" s="38" t="s">
        <v>36</v>
      </c>
      <c r="D24" s="106" t="s">
        <v>33</v>
      </c>
      <c r="E24" s="107">
        <f>2.1/1000</f>
        <v>0.0021000000000000003</v>
      </c>
      <c r="F24" s="133">
        <f>E24*F21</f>
        <v>2.1147000000000005</v>
      </c>
      <c r="G24" s="106"/>
      <c r="H24" s="106"/>
      <c r="I24" s="106"/>
      <c r="J24" s="106"/>
      <c r="K24" s="106"/>
      <c r="L24" s="106"/>
      <c r="M24" s="106"/>
    </row>
    <row r="25" spans="1:13" s="270" customFormat="1" ht="31.5">
      <c r="A25" s="134"/>
      <c r="B25" s="135"/>
      <c r="C25" s="136" t="s">
        <v>99</v>
      </c>
      <c r="D25" s="119" t="s">
        <v>34</v>
      </c>
      <c r="E25" s="122"/>
      <c r="F25" s="121">
        <f>F21*1.8</f>
        <v>1812.6000000000001</v>
      </c>
      <c r="G25" s="120"/>
      <c r="H25" s="119"/>
      <c r="I25" s="122"/>
      <c r="J25" s="120"/>
      <c r="K25" s="122"/>
      <c r="L25" s="119"/>
      <c r="M25" s="122"/>
    </row>
    <row r="26" spans="1:13" s="270" customFormat="1" ht="18">
      <c r="A26" s="35">
        <v>4</v>
      </c>
      <c r="B26" s="35" t="s">
        <v>74</v>
      </c>
      <c r="C26" s="141" t="s">
        <v>83</v>
      </c>
      <c r="D26" s="142" t="s">
        <v>130</v>
      </c>
      <c r="E26" s="143"/>
      <c r="F26" s="144">
        <f>F13+F18+F21</f>
        <v>4564.87</v>
      </c>
      <c r="G26" s="143"/>
      <c r="H26" s="143"/>
      <c r="I26" s="143"/>
      <c r="J26" s="143"/>
      <c r="K26" s="143"/>
      <c r="L26" s="143"/>
      <c r="M26" s="143"/>
    </row>
    <row r="27" spans="1:13" s="270" customFormat="1" ht="31.5">
      <c r="A27" s="145"/>
      <c r="B27" s="145"/>
      <c r="C27" s="38" t="s">
        <v>29</v>
      </c>
      <c r="D27" s="106" t="s">
        <v>30</v>
      </c>
      <c r="E27" s="330">
        <f>3.23/1000</f>
        <v>0.00323</v>
      </c>
      <c r="F27" s="106">
        <f>E27*F26</f>
        <v>14.744530099999999</v>
      </c>
      <c r="G27" s="146"/>
      <c r="H27" s="146"/>
      <c r="I27" s="147"/>
      <c r="J27" s="147"/>
      <c r="K27" s="147"/>
      <c r="L27" s="147"/>
      <c r="M27" s="146"/>
    </row>
    <row r="28" spans="1:13" s="270" customFormat="1" ht="15.75">
      <c r="A28" s="104"/>
      <c r="B28" s="104"/>
      <c r="C28" s="38" t="s">
        <v>60</v>
      </c>
      <c r="D28" s="106" t="s">
        <v>31</v>
      </c>
      <c r="E28" s="352">
        <f>3.62/1000</f>
        <v>0.00362</v>
      </c>
      <c r="F28" s="106">
        <f>E28*F26</f>
        <v>16.524829399999998</v>
      </c>
      <c r="G28" s="106"/>
      <c r="H28" s="106"/>
      <c r="I28" s="106"/>
      <c r="J28" s="106"/>
      <c r="K28" s="106"/>
      <c r="L28" s="106"/>
      <c r="M28" s="106"/>
    </row>
    <row r="29" spans="1:13" s="270" customFormat="1" ht="15.75">
      <c r="A29" s="148"/>
      <c r="B29" s="148"/>
      <c r="C29" s="149" t="s">
        <v>36</v>
      </c>
      <c r="D29" s="148" t="s">
        <v>33</v>
      </c>
      <c r="E29" s="150">
        <f>0.18/1000</f>
        <v>0.00017999999999999998</v>
      </c>
      <c r="F29" s="110">
        <f>E29*F26</f>
        <v>0.8216765999999999</v>
      </c>
      <c r="G29" s="148"/>
      <c r="H29" s="148"/>
      <c r="I29" s="148"/>
      <c r="J29" s="148"/>
      <c r="K29" s="151"/>
      <c r="L29" s="110"/>
      <c r="M29" s="110"/>
    </row>
    <row r="30" spans="1:13" s="29" customFormat="1" ht="66.75" customHeight="1">
      <c r="A30" s="314"/>
      <c r="B30" s="314"/>
      <c r="C30" s="315" t="s">
        <v>209</v>
      </c>
      <c r="D30" s="5"/>
      <c r="E30" s="316"/>
      <c r="F30" s="317"/>
      <c r="G30" s="5"/>
      <c r="H30" s="5"/>
      <c r="I30" s="5"/>
      <c r="J30" s="5"/>
      <c r="K30" s="5"/>
      <c r="L30" s="5"/>
      <c r="M30" s="127"/>
    </row>
    <row r="31" spans="1:13" s="29" customFormat="1" ht="78.75">
      <c r="A31" s="104" t="s">
        <v>226</v>
      </c>
      <c r="B31" s="318" t="s">
        <v>73</v>
      </c>
      <c r="C31" s="354" t="s">
        <v>110</v>
      </c>
      <c r="D31" s="319" t="s">
        <v>182</v>
      </c>
      <c r="E31" s="319"/>
      <c r="F31" s="158">
        <v>4.61</v>
      </c>
      <c r="G31" s="319"/>
      <c r="H31" s="106"/>
      <c r="I31" s="106"/>
      <c r="J31" s="142"/>
      <c r="K31" s="142"/>
      <c r="L31" s="35"/>
      <c r="M31" s="35"/>
    </row>
    <row r="32" spans="1:13" s="29" customFormat="1" ht="31.5">
      <c r="A32" s="104"/>
      <c r="B32" s="104"/>
      <c r="C32" s="38" t="s">
        <v>29</v>
      </c>
      <c r="D32" s="106" t="s">
        <v>30</v>
      </c>
      <c r="E32" s="132">
        <f>20/1000</f>
        <v>0.02</v>
      </c>
      <c r="F32" s="106">
        <f>E32*F31</f>
        <v>0.0922</v>
      </c>
      <c r="G32" s="106"/>
      <c r="H32" s="106"/>
      <c r="I32" s="103"/>
      <c r="J32" s="103"/>
      <c r="K32" s="103"/>
      <c r="L32" s="103"/>
      <c r="M32" s="103"/>
    </row>
    <row r="33" spans="1:16" s="29" customFormat="1" ht="15.75">
      <c r="A33" s="104"/>
      <c r="B33" s="104"/>
      <c r="C33" s="38" t="s">
        <v>183</v>
      </c>
      <c r="D33" s="106" t="s">
        <v>31</v>
      </c>
      <c r="E33" s="107">
        <f>44.8/1000</f>
        <v>0.0448</v>
      </c>
      <c r="F33" s="106">
        <f>E33*F31</f>
        <v>0.20652800000000002</v>
      </c>
      <c r="G33" s="106"/>
      <c r="H33" s="106"/>
      <c r="I33" s="103"/>
      <c r="J33" s="320"/>
      <c r="K33" s="106"/>
      <c r="L33" s="102"/>
      <c r="M33" s="103"/>
      <c r="P33" s="31"/>
    </row>
    <row r="34" spans="1:13" s="29" customFormat="1" ht="31.5">
      <c r="A34" s="104"/>
      <c r="B34" s="104"/>
      <c r="C34" s="38" t="s">
        <v>184</v>
      </c>
      <c r="D34" s="106" t="s">
        <v>30</v>
      </c>
      <c r="E34" s="132"/>
      <c r="F34" s="133">
        <f>F33</f>
        <v>0.20652800000000002</v>
      </c>
      <c r="G34" s="106"/>
      <c r="H34" s="106"/>
      <c r="I34" s="103"/>
      <c r="J34" s="320"/>
      <c r="K34" s="103"/>
      <c r="L34" s="102"/>
      <c r="M34" s="103"/>
    </row>
    <row r="35" spans="1:13" s="29" customFormat="1" ht="15.75">
      <c r="A35" s="104"/>
      <c r="B35" s="104"/>
      <c r="C35" s="38" t="s">
        <v>36</v>
      </c>
      <c r="D35" s="106" t="s">
        <v>33</v>
      </c>
      <c r="E35" s="107">
        <f>2.1/1000</f>
        <v>0.0021000000000000003</v>
      </c>
      <c r="F35" s="133">
        <f>E35*F31</f>
        <v>0.009681000000000002</v>
      </c>
      <c r="G35" s="106"/>
      <c r="H35" s="106"/>
      <c r="I35" s="106"/>
      <c r="J35" s="106"/>
      <c r="K35" s="106"/>
      <c r="L35" s="106"/>
      <c r="M35" s="103"/>
    </row>
    <row r="36" spans="1:13" s="29" customFormat="1" ht="31.5">
      <c r="A36" s="108"/>
      <c r="B36" s="108"/>
      <c r="C36" s="186" t="s">
        <v>185</v>
      </c>
      <c r="D36" s="110" t="s">
        <v>186</v>
      </c>
      <c r="E36" s="153">
        <v>1.8</v>
      </c>
      <c r="F36" s="110">
        <f>F31*1.8</f>
        <v>8.298</v>
      </c>
      <c r="G36" s="110"/>
      <c r="H36" s="110"/>
      <c r="I36" s="110"/>
      <c r="J36" s="110"/>
      <c r="K36" s="37"/>
      <c r="L36" s="110"/>
      <c r="M36" s="122"/>
    </row>
    <row r="37" spans="1:15" s="29" customFormat="1" ht="87" customHeight="1">
      <c r="A37" s="101">
        <v>6</v>
      </c>
      <c r="B37" s="321" t="s">
        <v>187</v>
      </c>
      <c r="C37" s="355" t="s">
        <v>188</v>
      </c>
      <c r="D37" s="322" t="s">
        <v>182</v>
      </c>
      <c r="E37" s="323"/>
      <c r="F37" s="111">
        <v>0.51</v>
      </c>
      <c r="G37" s="320"/>
      <c r="H37" s="102"/>
      <c r="I37" s="103"/>
      <c r="J37" s="320"/>
      <c r="K37" s="103"/>
      <c r="L37" s="102"/>
      <c r="M37" s="103"/>
      <c r="O37" s="353"/>
    </row>
    <row r="38" spans="1:13" s="29" customFormat="1" ht="31.5">
      <c r="A38" s="104"/>
      <c r="B38" s="104"/>
      <c r="C38" s="38" t="s">
        <v>29</v>
      </c>
      <c r="D38" s="106" t="s">
        <v>30</v>
      </c>
      <c r="E38" s="106">
        <f>2.06+0.87</f>
        <v>2.93</v>
      </c>
      <c r="F38" s="106">
        <f>E38*F37</f>
        <v>1.4943000000000002</v>
      </c>
      <c r="G38" s="106"/>
      <c r="H38" s="106"/>
      <c r="I38" s="106"/>
      <c r="J38" s="106"/>
      <c r="K38" s="36"/>
      <c r="L38" s="36"/>
      <c r="M38" s="103"/>
    </row>
    <row r="39" spans="1:13" s="29" customFormat="1" ht="31.5">
      <c r="A39" s="134"/>
      <c r="B39" s="135"/>
      <c r="C39" s="324" t="s">
        <v>189</v>
      </c>
      <c r="D39" s="119" t="s">
        <v>34</v>
      </c>
      <c r="E39" s="153">
        <v>1.8</v>
      </c>
      <c r="F39" s="325">
        <f>F37*1.8</f>
        <v>0.918</v>
      </c>
      <c r="G39" s="120"/>
      <c r="H39" s="110"/>
      <c r="I39" s="122"/>
      <c r="J39" s="120"/>
      <c r="K39" s="122"/>
      <c r="L39" s="119"/>
      <c r="M39" s="122"/>
    </row>
    <row r="40" spans="1:13" s="29" customFormat="1" ht="18">
      <c r="A40" s="101">
        <v>7</v>
      </c>
      <c r="B40" s="326" t="s">
        <v>74</v>
      </c>
      <c r="C40" s="327" t="s">
        <v>83</v>
      </c>
      <c r="D40" s="292" t="s">
        <v>182</v>
      </c>
      <c r="E40" s="328"/>
      <c r="F40" s="292">
        <f>F31+F37</f>
        <v>5.12</v>
      </c>
      <c r="G40" s="143"/>
      <c r="H40" s="143"/>
      <c r="I40" s="143"/>
      <c r="J40" s="329"/>
      <c r="K40" s="143"/>
      <c r="L40" s="143"/>
      <c r="M40" s="143"/>
    </row>
    <row r="41" spans="1:13" s="29" customFormat="1" ht="31.5">
      <c r="A41" s="145"/>
      <c r="B41" s="145"/>
      <c r="C41" s="38" t="s">
        <v>29</v>
      </c>
      <c r="D41" s="106" t="s">
        <v>30</v>
      </c>
      <c r="E41" s="330">
        <f>3.23/1000</f>
        <v>0.00323</v>
      </c>
      <c r="F41" s="106">
        <f>E41*F40</f>
        <v>0.0165376</v>
      </c>
      <c r="G41" s="146"/>
      <c r="H41" s="106"/>
      <c r="I41" s="147"/>
      <c r="J41" s="331"/>
      <c r="K41" s="147"/>
      <c r="L41" s="147"/>
      <c r="M41" s="103"/>
    </row>
    <row r="42" spans="1:13" s="29" customFormat="1" ht="15.75">
      <c r="A42" s="104"/>
      <c r="B42" s="104"/>
      <c r="C42" s="38" t="s">
        <v>60</v>
      </c>
      <c r="D42" s="106" t="s">
        <v>31</v>
      </c>
      <c r="E42" s="330">
        <f>3.62/1000</f>
        <v>0.00362</v>
      </c>
      <c r="F42" s="106">
        <f>E42*F40</f>
        <v>0.0185344</v>
      </c>
      <c r="G42" s="106"/>
      <c r="H42" s="106"/>
      <c r="I42" s="106"/>
      <c r="J42" s="106"/>
      <c r="K42" s="106"/>
      <c r="L42" s="106"/>
      <c r="M42" s="103"/>
    </row>
    <row r="43" spans="1:15" s="29" customFormat="1" ht="31.5">
      <c r="A43" s="104"/>
      <c r="B43" s="104"/>
      <c r="C43" s="38" t="s">
        <v>184</v>
      </c>
      <c r="D43" s="106" t="s">
        <v>30</v>
      </c>
      <c r="E43" s="106"/>
      <c r="F43" s="106">
        <f>F42</f>
        <v>0.0185344</v>
      </c>
      <c r="G43" s="106"/>
      <c r="H43" s="106"/>
      <c r="I43" s="106"/>
      <c r="J43" s="106"/>
      <c r="K43" s="36"/>
      <c r="L43" s="36"/>
      <c r="M43" s="103"/>
      <c r="O43" s="31"/>
    </row>
    <row r="44" spans="1:13" s="29" customFormat="1" ht="15.75">
      <c r="A44" s="145"/>
      <c r="B44" s="145"/>
      <c r="C44" s="147" t="s">
        <v>36</v>
      </c>
      <c r="D44" s="145" t="s">
        <v>33</v>
      </c>
      <c r="E44" s="330">
        <f>0.18/1000</f>
        <v>0.00017999999999999998</v>
      </c>
      <c r="F44" s="106">
        <f>E44*F40</f>
        <v>0.0009216</v>
      </c>
      <c r="G44" s="145"/>
      <c r="H44" s="145"/>
      <c r="I44" s="145"/>
      <c r="J44" s="332"/>
      <c r="K44" s="146"/>
      <c r="L44" s="106"/>
      <c r="M44" s="103"/>
    </row>
    <row r="45" spans="1:13" s="29" customFormat="1" ht="18">
      <c r="A45" s="148"/>
      <c r="B45" s="148"/>
      <c r="C45" s="109" t="s">
        <v>190</v>
      </c>
      <c r="D45" s="110" t="s">
        <v>130</v>
      </c>
      <c r="E45" s="150">
        <f>0.04/1000</f>
        <v>4E-05</v>
      </c>
      <c r="F45" s="333">
        <f>F40*E45</f>
        <v>0.00020480000000000002</v>
      </c>
      <c r="G45" s="110"/>
      <c r="H45" s="110"/>
      <c r="I45" s="110"/>
      <c r="J45" s="110"/>
      <c r="K45" s="110"/>
      <c r="L45" s="110"/>
      <c r="M45" s="122"/>
    </row>
    <row r="46" spans="1:13" s="270" customFormat="1" ht="63">
      <c r="A46" s="101">
        <v>8</v>
      </c>
      <c r="B46" s="104" t="s">
        <v>167</v>
      </c>
      <c r="C46" s="130" t="s">
        <v>191</v>
      </c>
      <c r="D46" s="106" t="s">
        <v>130</v>
      </c>
      <c r="E46" s="103"/>
      <c r="F46" s="179">
        <v>0.56</v>
      </c>
      <c r="G46" s="103"/>
      <c r="H46" s="102"/>
      <c r="I46" s="103"/>
      <c r="J46" s="131"/>
      <c r="K46" s="103"/>
      <c r="L46" s="102"/>
      <c r="M46" s="103"/>
    </row>
    <row r="47" spans="1:13" s="270" customFormat="1" ht="31.5">
      <c r="A47" s="295"/>
      <c r="B47" s="104"/>
      <c r="C47" s="38" t="s">
        <v>29</v>
      </c>
      <c r="D47" s="106" t="s">
        <v>30</v>
      </c>
      <c r="E47" s="103">
        <v>2.12</v>
      </c>
      <c r="F47" s="103">
        <f>E47*F46</f>
        <v>1.1872000000000003</v>
      </c>
      <c r="G47" s="103"/>
      <c r="H47" s="102"/>
      <c r="I47" s="103"/>
      <c r="J47" s="131"/>
      <c r="K47" s="103"/>
      <c r="L47" s="102"/>
      <c r="M47" s="103"/>
    </row>
    <row r="48" spans="1:13" s="270" customFormat="1" ht="15.75">
      <c r="A48" s="295"/>
      <c r="B48" s="104"/>
      <c r="C48" s="118" t="s">
        <v>36</v>
      </c>
      <c r="D48" s="133" t="s">
        <v>33</v>
      </c>
      <c r="E48" s="132">
        <v>0.101</v>
      </c>
      <c r="F48" s="106">
        <f>E48*F46</f>
        <v>0.056560000000000006</v>
      </c>
      <c r="G48" s="106"/>
      <c r="H48" s="133"/>
      <c r="I48" s="106"/>
      <c r="J48" s="175"/>
      <c r="K48" s="106"/>
      <c r="L48" s="133"/>
      <c r="M48" s="106"/>
    </row>
    <row r="49" spans="1:17" s="270" customFormat="1" ht="18">
      <c r="A49" s="296"/>
      <c r="B49" s="108"/>
      <c r="C49" s="297" t="s">
        <v>192</v>
      </c>
      <c r="D49" s="134" t="s">
        <v>130</v>
      </c>
      <c r="E49" s="110">
        <v>1.1</v>
      </c>
      <c r="F49" s="110">
        <f>E49*F46</f>
        <v>0.6160000000000001</v>
      </c>
      <c r="G49" s="110"/>
      <c r="H49" s="189"/>
      <c r="I49" s="110"/>
      <c r="J49" s="191"/>
      <c r="K49" s="110"/>
      <c r="L49" s="189"/>
      <c r="M49" s="110"/>
      <c r="N49" s="435"/>
      <c r="O49" s="436"/>
      <c r="P49" s="436"/>
      <c r="Q49" s="436"/>
    </row>
    <row r="50" spans="1:13" s="270" customFormat="1" ht="62.25">
      <c r="A50" s="104" t="s">
        <v>181</v>
      </c>
      <c r="B50" s="104" t="s">
        <v>193</v>
      </c>
      <c r="C50" s="351" t="s">
        <v>228</v>
      </c>
      <c r="D50" s="106" t="s">
        <v>130</v>
      </c>
      <c r="E50" s="132"/>
      <c r="F50" s="356">
        <v>2.01</v>
      </c>
      <c r="G50" s="146"/>
      <c r="H50" s="146"/>
      <c r="I50" s="146"/>
      <c r="J50" s="146"/>
      <c r="K50" s="146"/>
      <c r="L50" s="146"/>
      <c r="M50" s="146"/>
    </row>
    <row r="51" spans="1:13" s="270" customFormat="1" ht="31.5">
      <c r="A51" s="145"/>
      <c r="B51" s="104"/>
      <c r="C51" s="185" t="s">
        <v>29</v>
      </c>
      <c r="D51" s="106" t="s">
        <v>30</v>
      </c>
      <c r="E51" s="304">
        <v>8.44</v>
      </c>
      <c r="F51" s="103">
        <f>E51*F50</f>
        <v>16.964399999999998</v>
      </c>
      <c r="G51" s="304"/>
      <c r="H51" s="304"/>
      <c r="I51" s="304"/>
      <c r="J51" s="304"/>
      <c r="K51" s="304"/>
      <c r="L51" s="304"/>
      <c r="M51" s="304"/>
    </row>
    <row r="52" spans="1:13" s="270" customFormat="1" ht="15.75">
      <c r="A52" s="145"/>
      <c r="B52" s="104"/>
      <c r="C52" s="147" t="s">
        <v>79</v>
      </c>
      <c r="D52" s="36" t="s">
        <v>33</v>
      </c>
      <c r="E52" s="147">
        <v>1.1</v>
      </c>
      <c r="F52" s="106">
        <f>E52*F50</f>
        <v>2.211</v>
      </c>
      <c r="G52" s="146"/>
      <c r="H52" s="146"/>
      <c r="I52" s="146"/>
      <c r="J52" s="146"/>
      <c r="K52" s="146"/>
      <c r="L52" s="146"/>
      <c r="M52" s="146"/>
    </row>
    <row r="53" spans="1:13" s="270" customFormat="1" ht="18">
      <c r="A53" s="145"/>
      <c r="B53" s="303"/>
      <c r="C53" s="147" t="s">
        <v>148</v>
      </c>
      <c r="D53" s="154" t="s">
        <v>130</v>
      </c>
      <c r="E53" s="147">
        <v>1.015</v>
      </c>
      <c r="F53" s="106">
        <f>E53*F50</f>
        <v>2.0401499999999997</v>
      </c>
      <c r="G53" s="146"/>
      <c r="H53" s="146"/>
      <c r="I53" s="304"/>
      <c r="J53" s="146"/>
      <c r="K53" s="146"/>
      <c r="L53" s="146"/>
      <c r="M53" s="146"/>
    </row>
    <row r="54" spans="1:17" s="270" customFormat="1" ht="15.75">
      <c r="A54" s="145"/>
      <c r="B54" s="104"/>
      <c r="C54" s="147" t="s">
        <v>194</v>
      </c>
      <c r="D54" s="154" t="s">
        <v>34</v>
      </c>
      <c r="E54" s="334" t="s">
        <v>195</v>
      </c>
      <c r="F54" s="132">
        <v>0.06634</v>
      </c>
      <c r="G54" s="146"/>
      <c r="H54" s="146"/>
      <c r="I54" s="304"/>
      <c r="J54" s="146"/>
      <c r="K54" s="146"/>
      <c r="L54" s="146"/>
      <c r="M54" s="146"/>
      <c r="N54" s="437"/>
      <c r="O54" s="438"/>
      <c r="P54" s="438"/>
      <c r="Q54" s="438"/>
    </row>
    <row r="55" spans="1:13" s="270" customFormat="1" ht="18">
      <c r="A55" s="145"/>
      <c r="B55" s="303"/>
      <c r="C55" s="335" t="s">
        <v>175</v>
      </c>
      <c r="D55" s="154" t="s">
        <v>133</v>
      </c>
      <c r="E55" s="147">
        <v>1.84</v>
      </c>
      <c r="F55" s="106">
        <f>E55*F50</f>
        <v>3.6984</v>
      </c>
      <c r="G55" s="146"/>
      <c r="H55" s="146"/>
      <c r="I55" s="103"/>
      <c r="J55" s="146"/>
      <c r="K55" s="146"/>
      <c r="L55" s="146"/>
      <c r="M55" s="146"/>
    </row>
    <row r="56" spans="1:13" s="270" customFormat="1" ht="18">
      <c r="A56" s="145"/>
      <c r="B56" s="303"/>
      <c r="C56" s="336" t="s">
        <v>176</v>
      </c>
      <c r="D56" s="154" t="s">
        <v>130</v>
      </c>
      <c r="E56" s="147">
        <f>0.34/100</f>
        <v>0.0034000000000000002</v>
      </c>
      <c r="F56" s="106">
        <f>E56*F50</f>
        <v>0.006834</v>
      </c>
      <c r="G56" s="146"/>
      <c r="H56" s="146"/>
      <c r="I56" s="103"/>
      <c r="J56" s="146"/>
      <c r="K56" s="146"/>
      <c r="L56" s="146"/>
      <c r="M56" s="146"/>
    </row>
    <row r="57" spans="1:17" s="270" customFormat="1" ht="31.5">
      <c r="A57" s="145"/>
      <c r="B57" s="303"/>
      <c r="C57" s="335" t="s">
        <v>177</v>
      </c>
      <c r="D57" s="154" t="s">
        <v>130</v>
      </c>
      <c r="E57" s="107">
        <f>3.91/100</f>
        <v>0.0391</v>
      </c>
      <c r="F57" s="106">
        <f>E57*F50</f>
        <v>0.078591</v>
      </c>
      <c r="G57" s="146"/>
      <c r="H57" s="146"/>
      <c r="I57" s="103"/>
      <c r="J57" s="106"/>
      <c r="K57" s="106"/>
      <c r="L57" s="106"/>
      <c r="M57" s="106"/>
      <c r="N57" s="435"/>
      <c r="O57" s="436"/>
      <c r="P57" s="436"/>
      <c r="Q57" s="436"/>
    </row>
    <row r="58" spans="1:13" s="270" customFormat="1" ht="15.75">
      <c r="A58" s="145"/>
      <c r="B58" s="303"/>
      <c r="C58" s="336" t="s">
        <v>178</v>
      </c>
      <c r="D58" s="154" t="s">
        <v>34</v>
      </c>
      <c r="E58" s="147">
        <f>0.22/100</f>
        <v>0.0022</v>
      </c>
      <c r="F58" s="132">
        <f>E58*F50</f>
        <v>0.004422</v>
      </c>
      <c r="G58" s="146"/>
      <c r="H58" s="146"/>
      <c r="I58" s="146"/>
      <c r="J58" s="146"/>
      <c r="K58" s="146"/>
      <c r="L58" s="146"/>
      <c r="M58" s="146"/>
    </row>
    <row r="59" spans="1:13" s="270" customFormat="1" ht="15.75">
      <c r="A59" s="145"/>
      <c r="B59" s="303"/>
      <c r="C59" s="336" t="s">
        <v>196</v>
      </c>
      <c r="D59" s="154" t="s">
        <v>34</v>
      </c>
      <c r="E59" s="337">
        <f>0.1/100</f>
        <v>0.001</v>
      </c>
      <c r="F59" s="132">
        <f>E59*F50</f>
        <v>0.0020099999999999996</v>
      </c>
      <c r="G59" s="146"/>
      <c r="H59" s="146"/>
      <c r="I59" s="146"/>
      <c r="J59" s="146"/>
      <c r="K59" s="146"/>
      <c r="L59" s="146"/>
      <c r="M59" s="146"/>
    </row>
    <row r="60" spans="1:13" s="270" customFormat="1" ht="15.75">
      <c r="A60" s="148"/>
      <c r="B60" s="108"/>
      <c r="C60" s="338" t="s">
        <v>37</v>
      </c>
      <c r="D60" s="280" t="s">
        <v>33</v>
      </c>
      <c r="E60" s="149">
        <v>0.46</v>
      </c>
      <c r="F60" s="110">
        <f>E60*F50</f>
        <v>0.9246</v>
      </c>
      <c r="G60" s="151"/>
      <c r="H60" s="151"/>
      <c r="I60" s="151"/>
      <c r="J60" s="151"/>
      <c r="K60" s="151"/>
      <c r="L60" s="151"/>
      <c r="M60" s="151"/>
    </row>
    <row r="61" spans="1:17" s="270" customFormat="1" ht="31.5">
      <c r="A61" s="101">
        <v>10</v>
      </c>
      <c r="B61" s="104" t="s">
        <v>197</v>
      </c>
      <c r="C61" s="130" t="s">
        <v>198</v>
      </c>
      <c r="D61" s="154" t="s">
        <v>130</v>
      </c>
      <c r="E61" s="103"/>
      <c r="F61" s="111">
        <v>0.96</v>
      </c>
      <c r="G61" s="131"/>
      <c r="H61" s="102"/>
      <c r="I61" s="103"/>
      <c r="J61" s="131"/>
      <c r="K61" s="103"/>
      <c r="L61" s="102"/>
      <c r="M61" s="103"/>
      <c r="N61" s="393"/>
      <c r="O61" s="439"/>
      <c r="P61" s="439"/>
      <c r="Q61" s="439"/>
    </row>
    <row r="62" spans="1:13" s="270" customFormat="1" ht="31.5">
      <c r="A62" s="154"/>
      <c r="B62" s="303"/>
      <c r="C62" s="38" t="s">
        <v>29</v>
      </c>
      <c r="D62" s="106" t="s">
        <v>30</v>
      </c>
      <c r="E62" s="107">
        <f>16.5/1000</f>
        <v>0.0165</v>
      </c>
      <c r="F62" s="106">
        <f>E62*F61</f>
        <v>0.01584</v>
      </c>
      <c r="G62" s="106"/>
      <c r="H62" s="106"/>
      <c r="I62" s="103"/>
      <c r="J62" s="103"/>
      <c r="K62" s="103"/>
      <c r="L62" s="103"/>
      <c r="M62" s="103"/>
    </row>
    <row r="63" spans="1:17" s="270" customFormat="1" ht="15.75">
      <c r="A63" s="101"/>
      <c r="B63" s="104"/>
      <c r="C63" s="38" t="s">
        <v>72</v>
      </c>
      <c r="D63" s="106" t="s">
        <v>31</v>
      </c>
      <c r="E63" s="132">
        <f>37/1000</f>
        <v>0.037</v>
      </c>
      <c r="F63" s="106">
        <f>E63*F61</f>
        <v>0.035519999999999996</v>
      </c>
      <c r="G63" s="106"/>
      <c r="H63" s="106"/>
      <c r="I63" s="103"/>
      <c r="J63" s="131"/>
      <c r="K63" s="106"/>
      <c r="L63" s="102"/>
      <c r="M63" s="103"/>
      <c r="N63" s="435"/>
      <c r="O63" s="436"/>
      <c r="P63" s="436"/>
      <c r="Q63" s="436"/>
    </row>
    <row r="64" spans="1:14" s="270" customFormat="1" ht="31.5">
      <c r="A64" s="101"/>
      <c r="B64" s="303"/>
      <c r="C64" s="38" t="s">
        <v>184</v>
      </c>
      <c r="D64" s="106" t="s">
        <v>30</v>
      </c>
      <c r="E64" s="106"/>
      <c r="F64" s="106">
        <f>F63</f>
        <v>0.035519999999999996</v>
      </c>
      <c r="G64" s="106"/>
      <c r="H64" s="106"/>
      <c r="I64" s="103"/>
      <c r="J64" s="131"/>
      <c r="K64" s="103"/>
      <c r="L64" s="102"/>
      <c r="M64" s="103"/>
      <c r="N64" s="349"/>
    </row>
    <row r="65" spans="1:17" s="270" customFormat="1" ht="18">
      <c r="A65" s="280"/>
      <c r="B65" s="309"/>
      <c r="C65" s="186" t="s">
        <v>138</v>
      </c>
      <c r="D65" s="280" t="s">
        <v>130</v>
      </c>
      <c r="E65" s="110">
        <v>1.1</v>
      </c>
      <c r="F65" s="110">
        <f>E65*F61</f>
        <v>1.056</v>
      </c>
      <c r="G65" s="110"/>
      <c r="H65" s="110"/>
      <c r="I65" s="122"/>
      <c r="J65" s="122"/>
      <c r="K65" s="122"/>
      <c r="L65" s="122"/>
      <c r="M65" s="122"/>
      <c r="N65" s="437"/>
      <c r="O65" s="438"/>
      <c r="P65" s="438"/>
      <c r="Q65" s="438"/>
    </row>
    <row r="66" spans="1:15" s="270" customFormat="1" ht="46.5" customHeight="1">
      <c r="A66" s="104" t="s">
        <v>227</v>
      </c>
      <c r="B66" s="104" t="s">
        <v>200</v>
      </c>
      <c r="C66" s="351" t="s">
        <v>201</v>
      </c>
      <c r="D66" s="154" t="s">
        <v>130</v>
      </c>
      <c r="E66" s="106"/>
      <c r="F66" s="158">
        <f>F61</f>
        <v>0.96</v>
      </c>
      <c r="G66" s="106"/>
      <c r="H66" s="106"/>
      <c r="I66" s="106"/>
      <c r="J66" s="106"/>
      <c r="K66" s="36"/>
      <c r="L66" s="106"/>
      <c r="M66" s="106"/>
      <c r="O66" s="349"/>
    </row>
    <row r="67" spans="1:17" s="270" customFormat="1" ht="15.75">
      <c r="A67" s="104"/>
      <c r="B67" s="104"/>
      <c r="C67" s="38" t="s">
        <v>179</v>
      </c>
      <c r="D67" s="106" t="s">
        <v>31</v>
      </c>
      <c r="E67" s="339">
        <f>(1.85-0.21*2)/1000</f>
        <v>0.00143</v>
      </c>
      <c r="F67" s="340">
        <f>E67*F66</f>
        <v>0.0013728</v>
      </c>
      <c r="G67" s="106"/>
      <c r="H67" s="106"/>
      <c r="I67" s="106"/>
      <c r="J67" s="106"/>
      <c r="K67" s="106"/>
      <c r="L67" s="106"/>
      <c r="M67" s="106"/>
      <c r="N67" s="435"/>
      <c r="O67" s="436"/>
      <c r="P67" s="436"/>
      <c r="Q67" s="436"/>
    </row>
    <row r="68" spans="1:13" s="270" customFormat="1" ht="31.5">
      <c r="A68" s="104"/>
      <c r="B68" s="104"/>
      <c r="C68" s="38" t="s">
        <v>184</v>
      </c>
      <c r="D68" s="106" t="s">
        <v>30</v>
      </c>
      <c r="E68" s="106"/>
      <c r="F68" s="132">
        <f>F67</f>
        <v>0.0013728</v>
      </c>
      <c r="G68" s="106"/>
      <c r="H68" s="106"/>
      <c r="I68" s="106"/>
      <c r="J68" s="106"/>
      <c r="K68" s="36"/>
      <c r="L68" s="106"/>
      <c r="M68" s="106"/>
    </row>
    <row r="69" spans="1:17" s="270" customFormat="1" ht="15.75">
      <c r="A69" s="104"/>
      <c r="B69" s="104"/>
      <c r="C69" s="38" t="s">
        <v>75</v>
      </c>
      <c r="D69" s="106" t="s">
        <v>31</v>
      </c>
      <c r="E69" s="132">
        <f>(10.5-1.02*2)/1000</f>
        <v>0.00846</v>
      </c>
      <c r="F69" s="132">
        <f>E69*F66</f>
        <v>0.0081216</v>
      </c>
      <c r="G69" s="106"/>
      <c r="H69" s="106"/>
      <c r="I69" s="106"/>
      <c r="J69" s="106"/>
      <c r="K69" s="106"/>
      <c r="L69" s="106"/>
      <c r="M69" s="106"/>
      <c r="N69" s="435"/>
      <c r="O69" s="436"/>
      <c r="P69" s="436"/>
      <c r="Q69" s="436"/>
    </row>
    <row r="70" spans="1:13" s="270" customFormat="1" ht="31.5">
      <c r="A70" s="104"/>
      <c r="B70" s="104"/>
      <c r="C70" s="38" t="s">
        <v>184</v>
      </c>
      <c r="D70" s="106" t="s">
        <v>30</v>
      </c>
      <c r="E70" s="106"/>
      <c r="F70" s="132">
        <f>F69</f>
        <v>0.0081216</v>
      </c>
      <c r="G70" s="106"/>
      <c r="H70" s="106"/>
      <c r="I70" s="106"/>
      <c r="J70" s="106"/>
      <c r="K70" s="36"/>
      <c r="L70" s="106"/>
      <c r="M70" s="106"/>
    </row>
    <row r="71" spans="1:17" s="270" customFormat="1" ht="15.75">
      <c r="A71" s="104"/>
      <c r="B71" s="104"/>
      <c r="C71" s="38" t="s">
        <v>180</v>
      </c>
      <c r="D71" s="106" t="s">
        <v>31</v>
      </c>
      <c r="E71" s="107">
        <f>(1.85-0.21*2)/1000</f>
        <v>0.00143</v>
      </c>
      <c r="F71" s="132">
        <f>E71*F66</f>
        <v>0.0013728</v>
      </c>
      <c r="G71" s="106"/>
      <c r="H71" s="106"/>
      <c r="I71" s="106"/>
      <c r="J71" s="106"/>
      <c r="K71" s="106"/>
      <c r="L71" s="106"/>
      <c r="M71" s="106"/>
      <c r="N71" s="435"/>
      <c r="O71" s="436"/>
      <c r="P71" s="436"/>
      <c r="Q71" s="436"/>
    </row>
    <row r="72" spans="1:13" s="270" customFormat="1" ht="31.5">
      <c r="A72" s="108"/>
      <c r="B72" s="108"/>
      <c r="C72" s="186" t="s">
        <v>184</v>
      </c>
      <c r="D72" s="110" t="s">
        <v>30</v>
      </c>
      <c r="E72" s="110"/>
      <c r="F72" s="153">
        <f>F71</f>
        <v>0.0013728</v>
      </c>
      <c r="G72" s="110"/>
      <c r="H72" s="110"/>
      <c r="I72" s="110"/>
      <c r="J72" s="110"/>
      <c r="K72" s="37"/>
      <c r="L72" s="110"/>
      <c r="M72" s="110"/>
    </row>
    <row r="73" spans="1:13" s="270" customFormat="1" ht="47.25">
      <c r="A73" s="36">
        <v>12</v>
      </c>
      <c r="B73" s="104" t="s">
        <v>202</v>
      </c>
      <c r="C73" s="357" t="s">
        <v>203</v>
      </c>
      <c r="D73" s="106" t="s">
        <v>34</v>
      </c>
      <c r="E73" s="106"/>
      <c r="F73" s="350">
        <f>(F76+F77+F78)/1000</f>
        <v>0.5611700000000001</v>
      </c>
      <c r="G73" s="106"/>
      <c r="H73" s="106"/>
      <c r="I73" s="106"/>
      <c r="J73" s="106"/>
      <c r="K73" s="106"/>
      <c r="L73" s="106"/>
      <c r="M73" s="106"/>
    </row>
    <row r="74" spans="1:13" s="270" customFormat="1" ht="31.5">
      <c r="A74" s="104"/>
      <c r="B74" s="104"/>
      <c r="C74" s="38" t="s">
        <v>29</v>
      </c>
      <c r="D74" s="106" t="s">
        <v>30</v>
      </c>
      <c r="E74" s="106">
        <v>34.9</v>
      </c>
      <c r="F74" s="192">
        <f>E74*F73</f>
        <v>19.584833</v>
      </c>
      <c r="G74" s="175"/>
      <c r="H74" s="133"/>
      <c r="I74" s="106"/>
      <c r="J74" s="175"/>
      <c r="K74" s="36"/>
      <c r="L74" s="133"/>
      <c r="M74" s="106"/>
    </row>
    <row r="75" spans="1:13" s="270" customFormat="1" ht="15.75">
      <c r="A75" s="104"/>
      <c r="B75" s="104"/>
      <c r="C75" s="341" t="s">
        <v>79</v>
      </c>
      <c r="D75" s="133" t="s">
        <v>33</v>
      </c>
      <c r="E75" s="106">
        <v>4.07</v>
      </c>
      <c r="F75" s="192">
        <f>E75*F73</f>
        <v>2.2839619000000004</v>
      </c>
      <c r="G75" s="175"/>
      <c r="H75" s="133"/>
      <c r="I75" s="106"/>
      <c r="J75" s="175"/>
      <c r="K75" s="106"/>
      <c r="L75" s="133"/>
      <c r="M75" s="106"/>
    </row>
    <row r="76" spans="1:16" s="270" customFormat="1" ht="15.75">
      <c r="A76" s="104"/>
      <c r="B76" s="303"/>
      <c r="C76" s="341" t="s">
        <v>204</v>
      </c>
      <c r="D76" s="133" t="s">
        <v>205</v>
      </c>
      <c r="E76" s="342" t="s">
        <v>58</v>
      </c>
      <c r="F76" s="192">
        <v>445.14</v>
      </c>
      <c r="G76" s="175"/>
      <c r="H76" s="133"/>
      <c r="I76" s="106"/>
      <c r="J76" s="107"/>
      <c r="K76" s="36"/>
      <c r="L76" s="133"/>
      <c r="M76" s="106"/>
      <c r="N76" s="437"/>
      <c r="O76" s="438"/>
      <c r="P76" s="438"/>
    </row>
    <row r="77" spans="1:16" s="270" customFormat="1" ht="15.75">
      <c r="A77" s="104"/>
      <c r="B77" s="303"/>
      <c r="C77" s="341" t="s">
        <v>206</v>
      </c>
      <c r="D77" s="133" t="s">
        <v>205</v>
      </c>
      <c r="E77" s="342" t="s">
        <v>58</v>
      </c>
      <c r="F77" s="192">
        <v>31.91</v>
      </c>
      <c r="G77" s="175"/>
      <c r="H77" s="133"/>
      <c r="I77" s="106"/>
      <c r="J77" s="107"/>
      <c r="K77" s="36"/>
      <c r="L77" s="133"/>
      <c r="M77" s="106"/>
      <c r="N77" s="437"/>
      <c r="O77" s="438"/>
      <c r="P77" s="438"/>
    </row>
    <row r="78" spans="1:16" s="270" customFormat="1" ht="15.75">
      <c r="A78" s="104"/>
      <c r="B78" s="303"/>
      <c r="C78" s="341" t="s">
        <v>207</v>
      </c>
      <c r="D78" s="133" t="s">
        <v>205</v>
      </c>
      <c r="E78" s="342" t="s">
        <v>58</v>
      </c>
      <c r="F78" s="192">
        <v>84.12</v>
      </c>
      <c r="G78" s="175"/>
      <c r="H78" s="133"/>
      <c r="I78" s="106"/>
      <c r="J78" s="107"/>
      <c r="K78" s="36"/>
      <c r="L78" s="133"/>
      <c r="M78" s="106"/>
      <c r="N78" s="437"/>
      <c r="O78" s="438"/>
      <c r="P78" s="438"/>
    </row>
    <row r="79" spans="1:13" s="270" customFormat="1" ht="15.75">
      <c r="A79" s="104"/>
      <c r="B79" s="104"/>
      <c r="C79" s="341" t="s">
        <v>178</v>
      </c>
      <c r="D79" s="133" t="s">
        <v>205</v>
      </c>
      <c r="E79" s="106">
        <v>3.3</v>
      </c>
      <c r="F79" s="192">
        <f>E79*F73</f>
        <v>1.8518610000000002</v>
      </c>
      <c r="G79" s="175"/>
      <c r="H79" s="133"/>
      <c r="I79" s="106"/>
      <c r="J79" s="106"/>
      <c r="K79" s="36"/>
      <c r="L79" s="133"/>
      <c r="M79" s="106"/>
    </row>
    <row r="80" spans="1:13" s="270" customFormat="1" ht="15.75">
      <c r="A80" s="104"/>
      <c r="B80" s="104"/>
      <c r="C80" s="341" t="s">
        <v>196</v>
      </c>
      <c r="D80" s="133" t="s">
        <v>205</v>
      </c>
      <c r="E80" s="106">
        <v>15.2</v>
      </c>
      <c r="F80" s="192">
        <f>E80*F73</f>
        <v>8.529784000000001</v>
      </c>
      <c r="G80" s="175"/>
      <c r="H80" s="133"/>
      <c r="I80" s="106"/>
      <c r="J80" s="106"/>
      <c r="K80" s="36"/>
      <c r="L80" s="133"/>
      <c r="M80" s="106"/>
    </row>
    <row r="81" spans="1:13" s="270" customFormat="1" ht="15.75">
      <c r="A81" s="108"/>
      <c r="B81" s="108"/>
      <c r="C81" s="343" t="s">
        <v>59</v>
      </c>
      <c r="D81" s="110" t="s">
        <v>33</v>
      </c>
      <c r="E81" s="110">
        <v>2.78</v>
      </c>
      <c r="F81" s="190">
        <f>E81*F73</f>
        <v>1.5600526000000001</v>
      </c>
      <c r="G81" s="191"/>
      <c r="H81" s="189"/>
      <c r="I81" s="110"/>
      <c r="J81" s="110"/>
      <c r="K81" s="37"/>
      <c r="L81" s="189"/>
      <c r="M81" s="110"/>
    </row>
    <row r="82" spans="1:13" s="270" customFormat="1" ht="15.75">
      <c r="A82" s="165"/>
      <c r="B82" s="165"/>
      <c r="C82" s="165" t="s">
        <v>12</v>
      </c>
      <c r="D82" s="165" t="s">
        <v>33</v>
      </c>
      <c r="E82" s="165"/>
      <c r="F82" s="165"/>
      <c r="G82" s="165"/>
      <c r="H82" s="165">
        <f>SUM(H13:H81)</f>
        <v>0</v>
      </c>
      <c r="I82" s="165"/>
      <c r="J82" s="165">
        <f>SUM(J13:J81)</f>
        <v>0</v>
      </c>
      <c r="K82" s="165"/>
      <c r="L82" s="165">
        <f>SUM(L13:L81)</f>
        <v>0</v>
      </c>
      <c r="M82" s="165">
        <f>SUM(M13:M81)</f>
        <v>0</v>
      </c>
    </row>
    <row r="83" spans="1:13" s="270" customFormat="1" ht="47.25">
      <c r="A83" s="163"/>
      <c r="B83" s="163"/>
      <c r="C83" s="163" t="s">
        <v>235</v>
      </c>
      <c r="D83" s="162"/>
      <c r="E83" s="164"/>
      <c r="F83" s="164"/>
      <c r="G83" s="164"/>
      <c r="H83" s="164"/>
      <c r="I83" s="164"/>
      <c r="J83" s="165">
        <f>J82*E83</f>
        <v>0</v>
      </c>
      <c r="K83" s="164"/>
      <c r="L83" s="164"/>
      <c r="M83" s="165">
        <f>J82*E83</f>
        <v>0</v>
      </c>
    </row>
    <row r="84" spans="1:13" s="270" customFormat="1" ht="15.75">
      <c r="A84" s="163"/>
      <c r="B84" s="164"/>
      <c r="C84" s="163" t="s">
        <v>236</v>
      </c>
      <c r="D84" s="162" t="s">
        <v>33</v>
      </c>
      <c r="E84" s="165"/>
      <c r="F84" s="167"/>
      <c r="G84" s="168"/>
      <c r="H84" s="165">
        <f>E84*H82</f>
        <v>0</v>
      </c>
      <c r="I84" s="165"/>
      <c r="J84" s="165">
        <f>E84*J82</f>
        <v>0</v>
      </c>
      <c r="K84" s="165"/>
      <c r="L84" s="165">
        <f>E84*L82</f>
        <v>0</v>
      </c>
      <c r="M84" s="165">
        <f>SUM(H84:L84)</f>
        <v>0</v>
      </c>
    </row>
    <row r="85" spans="1:13" s="270" customFormat="1" ht="15.75">
      <c r="A85" s="161"/>
      <c r="B85" s="164"/>
      <c r="C85" s="161" t="s">
        <v>12</v>
      </c>
      <c r="D85" s="162" t="s">
        <v>33</v>
      </c>
      <c r="E85" s="159"/>
      <c r="F85" s="161"/>
      <c r="G85" s="161"/>
      <c r="H85" s="159">
        <f>SUM(H82:H84)</f>
        <v>0</v>
      </c>
      <c r="I85" s="159"/>
      <c r="J85" s="159">
        <f>SUM(J82:J84)</f>
        <v>0</v>
      </c>
      <c r="K85" s="159"/>
      <c r="L85" s="159">
        <f>SUM(L82:L84)</f>
        <v>0</v>
      </c>
      <c r="M85" s="159">
        <f>SUM(H85:L85)</f>
        <v>0</v>
      </c>
    </row>
    <row r="86" spans="1:13" s="270" customFormat="1" ht="15.75">
      <c r="A86" s="163"/>
      <c r="B86" s="164"/>
      <c r="C86" s="164" t="s">
        <v>233</v>
      </c>
      <c r="D86" s="162" t="s">
        <v>33</v>
      </c>
      <c r="E86" s="165"/>
      <c r="F86" s="169"/>
      <c r="G86" s="165"/>
      <c r="H86" s="165">
        <f>E86*H85</f>
        <v>0</v>
      </c>
      <c r="I86" s="165"/>
      <c r="J86" s="165">
        <f>E86*J85</f>
        <v>0</v>
      </c>
      <c r="K86" s="165"/>
      <c r="L86" s="165">
        <f>E86*L85</f>
        <v>0</v>
      </c>
      <c r="M86" s="165">
        <f>SUM(H86:L86)</f>
        <v>0</v>
      </c>
    </row>
    <row r="87" spans="1:13" s="270" customFormat="1" ht="15.75">
      <c r="A87" s="170"/>
      <c r="B87" s="273"/>
      <c r="C87" s="170" t="s">
        <v>12</v>
      </c>
      <c r="D87" s="172" t="s">
        <v>33</v>
      </c>
      <c r="E87" s="170"/>
      <c r="F87" s="170"/>
      <c r="G87" s="170"/>
      <c r="H87" s="173">
        <f>SUM(H85:H86)</f>
        <v>0</v>
      </c>
      <c r="I87" s="173"/>
      <c r="J87" s="173">
        <f>SUM(J85:J86)</f>
        <v>0</v>
      </c>
      <c r="K87" s="173"/>
      <c r="L87" s="173">
        <f>SUM(L85:L86)</f>
        <v>0</v>
      </c>
      <c r="M87" s="174">
        <f>SUM(H87:L87)</f>
        <v>0</v>
      </c>
    </row>
    <row r="88" spans="1:13" s="270" customFormat="1" ht="15.75">
      <c r="A88" s="4"/>
      <c r="B88" s="117"/>
      <c r="C88" s="117"/>
      <c r="D88" s="175"/>
      <c r="E88" s="175"/>
      <c r="F88" s="175"/>
      <c r="G88" s="175"/>
      <c r="H88" s="175"/>
      <c r="I88" s="175"/>
      <c r="J88" s="175"/>
      <c r="K88" s="175"/>
      <c r="L88" s="175"/>
      <c r="M88" s="175"/>
    </row>
  </sheetData>
  <sheetProtection/>
  <mergeCells count="34">
    <mergeCell ref="K8:L8"/>
    <mergeCell ref="M8:M11"/>
    <mergeCell ref="K9:L9"/>
    <mergeCell ref="H10:H11"/>
    <mergeCell ref="J10:J11"/>
    <mergeCell ref="L10:L11"/>
    <mergeCell ref="G8:H9"/>
    <mergeCell ref="I8:J9"/>
    <mergeCell ref="A8:A11"/>
    <mergeCell ref="B8:B11"/>
    <mergeCell ref="C8:C11"/>
    <mergeCell ref="D8:F9"/>
    <mergeCell ref="D10:D11"/>
    <mergeCell ref="E10:E11"/>
    <mergeCell ref="F10:F11"/>
    <mergeCell ref="A2:M2"/>
    <mergeCell ref="A3:M3"/>
    <mergeCell ref="A4:M4"/>
    <mergeCell ref="A1:M1"/>
    <mergeCell ref="A5:M5"/>
    <mergeCell ref="B6:D6"/>
    <mergeCell ref="F6:I6"/>
    <mergeCell ref="N49:Q49"/>
    <mergeCell ref="N54:Q54"/>
    <mergeCell ref="N57:Q57"/>
    <mergeCell ref="N61:Q61"/>
    <mergeCell ref="N63:Q63"/>
    <mergeCell ref="N65:Q65"/>
    <mergeCell ref="N67:Q67"/>
    <mergeCell ref="N69:Q69"/>
    <mergeCell ref="N71:Q71"/>
    <mergeCell ref="N76:P76"/>
    <mergeCell ref="N77:P77"/>
    <mergeCell ref="N78:P78"/>
  </mergeCells>
  <printOptions/>
  <pageMargins left="0.5905511811023623" right="0" top="0.5905511811023623" bottom="0.5905511811023623" header="0.5118110236220472" footer="0.5118110236220472"/>
  <pageSetup horizontalDpi="600" verticalDpi="600" orientation="portrait" paperSize="9" scale="62" r:id="rId1"/>
  <rowBreaks count="1" manualBreakCount="1">
    <brk id="38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70"/>
  <sheetViews>
    <sheetView view="pageBreakPreview" zoomScaleSheetLayoutView="100" zoomScalePageLayoutView="0" workbookViewId="0" topLeftCell="A58">
      <selection activeCell="E66" sqref="E66:E69"/>
    </sheetView>
  </sheetViews>
  <sheetFormatPr defaultColWidth="9.00390625" defaultRowHeight="12.75"/>
  <cols>
    <col min="1" max="1" width="3.8515625" style="4" customWidth="1"/>
    <col min="2" max="2" width="9.7109375" style="117" customWidth="1"/>
    <col min="3" max="3" width="30.7109375" style="117" customWidth="1"/>
    <col min="4" max="4" width="8.28125" style="175" customWidth="1"/>
    <col min="5" max="5" width="9.00390625" style="175" customWidth="1"/>
    <col min="6" max="6" width="10.140625" style="175" customWidth="1"/>
    <col min="7" max="7" width="9.7109375" style="175" customWidth="1"/>
    <col min="8" max="8" width="10.28125" style="175" customWidth="1"/>
    <col min="9" max="9" width="8.8515625" style="175" customWidth="1"/>
    <col min="10" max="10" width="11.28125" style="175" customWidth="1"/>
    <col min="11" max="11" width="8.8515625" style="175" customWidth="1"/>
    <col min="12" max="12" width="10.421875" style="175" customWidth="1"/>
    <col min="13" max="13" width="13.28125" style="175" customWidth="1"/>
    <col min="14" max="17" width="9.00390625" style="116" customWidth="1"/>
    <col min="18" max="18" width="14.28125" style="116" customWidth="1"/>
    <col min="19" max="21" width="9.00390625" style="116" customWidth="1"/>
    <col min="22" max="22" width="6.8515625" style="116" customWidth="1"/>
    <col min="23" max="16384" width="9.00390625" style="116" customWidth="1"/>
  </cols>
  <sheetData>
    <row r="1" spans="1:14" ht="33" customHeight="1">
      <c r="A1" s="442" t="str">
        <f>'x.a.2'!A1</f>
        <v>mcxeTis municipalitetSi, sofel qsovrisSi Sida saavtomobilo gzebis sareabilitacio samuSaoebi 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277"/>
    </row>
    <row r="2" spans="1:13" ht="16.5" customHeight="1">
      <c r="A2" s="440" t="s">
        <v>90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</row>
    <row r="3" spans="1:13" ht="15.75">
      <c r="A3" s="440"/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</row>
    <row r="4" spans="1:13" ht="18.75" customHeight="1">
      <c r="A4" s="467" t="s">
        <v>102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</row>
    <row r="5" spans="1:13" ht="15.75">
      <c r="A5" s="443"/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</row>
    <row r="6" spans="1:13" ht="15" customHeight="1">
      <c r="A6" s="117"/>
      <c r="B6" s="444" t="s">
        <v>28</v>
      </c>
      <c r="C6" s="444"/>
      <c r="D6" s="445"/>
      <c r="E6" s="118"/>
      <c r="F6" s="446" t="s">
        <v>1</v>
      </c>
      <c r="G6" s="446"/>
      <c r="H6" s="446"/>
      <c r="I6" s="446"/>
      <c r="J6" s="118">
        <f>M70/1000</f>
        <v>0</v>
      </c>
      <c r="K6" s="118" t="s">
        <v>0</v>
      </c>
      <c r="L6" s="118"/>
      <c r="M6" s="118"/>
    </row>
    <row r="7" spans="1:13" ht="15.75">
      <c r="A7" s="117"/>
      <c r="D7" s="118"/>
      <c r="E7" s="118"/>
      <c r="F7" s="118"/>
      <c r="G7" s="118"/>
      <c r="H7" s="118"/>
      <c r="I7" s="118"/>
      <c r="J7" s="118"/>
      <c r="K7" s="118"/>
      <c r="L7" s="118"/>
      <c r="M7" s="118"/>
    </row>
    <row r="8" spans="1:13" ht="15" customHeight="1">
      <c r="A8" s="447" t="s">
        <v>2</v>
      </c>
      <c r="B8" s="448" t="s">
        <v>3</v>
      </c>
      <c r="C8" s="374" t="s">
        <v>27</v>
      </c>
      <c r="D8" s="451" t="s">
        <v>4</v>
      </c>
      <c r="E8" s="452"/>
      <c r="F8" s="453"/>
      <c r="G8" s="451" t="s">
        <v>5</v>
      </c>
      <c r="H8" s="459"/>
      <c r="I8" s="451" t="s">
        <v>6</v>
      </c>
      <c r="J8" s="465"/>
      <c r="K8" s="451" t="s">
        <v>7</v>
      </c>
      <c r="L8" s="459"/>
      <c r="M8" s="453" t="s">
        <v>8</v>
      </c>
    </row>
    <row r="9" spans="1:13" ht="22.5" customHeight="1">
      <c r="A9" s="370"/>
      <c r="B9" s="449"/>
      <c r="C9" s="375"/>
      <c r="D9" s="454"/>
      <c r="E9" s="455"/>
      <c r="F9" s="456"/>
      <c r="G9" s="464"/>
      <c r="H9" s="463"/>
      <c r="I9" s="464"/>
      <c r="J9" s="466"/>
      <c r="K9" s="454" t="s">
        <v>9</v>
      </c>
      <c r="L9" s="463"/>
      <c r="M9" s="460"/>
    </row>
    <row r="10" spans="1:13" ht="15.75">
      <c r="A10" s="370"/>
      <c r="B10" s="449"/>
      <c r="C10" s="375"/>
      <c r="D10" s="457" t="s">
        <v>10</v>
      </c>
      <c r="E10" s="457" t="s">
        <v>11</v>
      </c>
      <c r="F10" s="457" t="s">
        <v>12</v>
      </c>
      <c r="G10" s="103" t="s">
        <v>11</v>
      </c>
      <c r="H10" s="457" t="s">
        <v>12</v>
      </c>
      <c r="I10" s="103" t="s">
        <v>11</v>
      </c>
      <c r="J10" s="457" t="s">
        <v>12</v>
      </c>
      <c r="K10" s="103" t="s">
        <v>11</v>
      </c>
      <c r="L10" s="457" t="s">
        <v>12</v>
      </c>
      <c r="M10" s="461"/>
    </row>
    <row r="11" spans="1:13" ht="15.75">
      <c r="A11" s="371"/>
      <c r="B11" s="450"/>
      <c r="C11" s="376"/>
      <c r="D11" s="458"/>
      <c r="E11" s="458"/>
      <c r="F11" s="458"/>
      <c r="G11" s="122" t="s">
        <v>13</v>
      </c>
      <c r="H11" s="458"/>
      <c r="I11" s="122" t="s">
        <v>13</v>
      </c>
      <c r="J11" s="458"/>
      <c r="K11" s="122" t="s">
        <v>13</v>
      </c>
      <c r="L11" s="458"/>
      <c r="M11" s="462"/>
    </row>
    <row r="12" spans="1:13" ht="15.75">
      <c r="A12" s="123" t="s">
        <v>14</v>
      </c>
      <c r="B12" s="124" t="s">
        <v>15</v>
      </c>
      <c r="C12" s="125" t="s">
        <v>16</v>
      </c>
      <c r="D12" s="126" t="s">
        <v>17</v>
      </c>
      <c r="E12" s="127" t="s">
        <v>18</v>
      </c>
      <c r="F12" s="128" t="s">
        <v>19</v>
      </c>
      <c r="G12" s="129" t="s">
        <v>20</v>
      </c>
      <c r="H12" s="126" t="s">
        <v>21</v>
      </c>
      <c r="I12" s="127" t="s">
        <v>22</v>
      </c>
      <c r="J12" s="129" t="s">
        <v>23</v>
      </c>
      <c r="K12" s="127" t="s">
        <v>24</v>
      </c>
      <c r="L12" s="126" t="s">
        <v>25</v>
      </c>
      <c r="M12" s="127" t="s">
        <v>26</v>
      </c>
    </row>
    <row r="13" spans="1:13" s="279" customFormat="1" ht="31.5">
      <c r="A13" s="154">
        <v>1</v>
      </c>
      <c r="B13" s="278" t="s">
        <v>121</v>
      </c>
      <c r="C13" s="155" t="s">
        <v>94</v>
      </c>
      <c r="D13" s="103" t="s">
        <v>35</v>
      </c>
      <c r="E13" s="103"/>
      <c r="F13" s="179">
        <v>10</v>
      </c>
      <c r="G13" s="103"/>
      <c r="H13" s="103"/>
      <c r="I13" s="103"/>
      <c r="J13" s="103"/>
      <c r="K13" s="103"/>
      <c r="L13" s="103"/>
      <c r="M13" s="103"/>
    </row>
    <row r="14" spans="1:13" s="279" customFormat="1" ht="31.5">
      <c r="A14" s="104"/>
      <c r="B14" s="104"/>
      <c r="C14" s="105" t="s">
        <v>29</v>
      </c>
      <c r="D14" s="106" t="s">
        <v>30</v>
      </c>
      <c r="E14" s="132">
        <f>7.7/100</f>
        <v>0.077</v>
      </c>
      <c r="F14" s="106">
        <f>E14*F13</f>
        <v>0.77</v>
      </c>
      <c r="G14" s="106"/>
      <c r="H14" s="106"/>
      <c r="I14" s="36"/>
      <c r="J14" s="36"/>
      <c r="K14" s="36"/>
      <c r="L14" s="36"/>
      <c r="M14" s="106"/>
    </row>
    <row r="15" spans="1:13" s="279" customFormat="1" ht="15.75">
      <c r="A15" s="280"/>
      <c r="B15" s="135"/>
      <c r="C15" s="281" t="s">
        <v>79</v>
      </c>
      <c r="D15" s="122" t="s">
        <v>33</v>
      </c>
      <c r="E15" s="282">
        <f>6.37/100</f>
        <v>0.0637</v>
      </c>
      <c r="F15" s="122">
        <f>E15*F13</f>
        <v>0.637</v>
      </c>
      <c r="G15" s="122"/>
      <c r="H15" s="122"/>
      <c r="I15" s="122"/>
      <c r="J15" s="122"/>
      <c r="K15" s="122"/>
      <c r="L15" s="122"/>
      <c r="M15" s="122"/>
    </row>
    <row r="16" spans="1:13" s="279" customFormat="1" ht="47.25">
      <c r="A16" s="154">
        <v>2</v>
      </c>
      <c r="B16" s="104" t="s">
        <v>61</v>
      </c>
      <c r="C16" s="155" t="s">
        <v>103</v>
      </c>
      <c r="D16" s="103" t="s">
        <v>34</v>
      </c>
      <c r="E16" s="103"/>
      <c r="F16" s="184">
        <f>F13*0.35/1000</f>
        <v>0.0035</v>
      </c>
      <c r="G16" s="103"/>
      <c r="H16" s="103"/>
      <c r="I16" s="103"/>
      <c r="J16" s="103"/>
      <c r="K16" s="103"/>
      <c r="L16" s="103"/>
      <c r="M16" s="103"/>
    </row>
    <row r="17" spans="1:13" s="279" customFormat="1" ht="15.75">
      <c r="A17" s="104"/>
      <c r="B17" s="104"/>
      <c r="C17" s="105" t="s">
        <v>62</v>
      </c>
      <c r="D17" s="106" t="s">
        <v>31</v>
      </c>
      <c r="E17" s="133">
        <v>0.3</v>
      </c>
      <c r="F17" s="36">
        <f>E17*F16</f>
        <v>0.00105</v>
      </c>
      <c r="G17" s="192"/>
      <c r="H17" s="36"/>
      <c r="I17" s="36"/>
      <c r="J17" s="36"/>
      <c r="K17" s="106"/>
      <c r="L17" s="106"/>
      <c r="M17" s="106"/>
    </row>
    <row r="18" spans="1:13" s="279" customFormat="1" ht="15.75">
      <c r="A18" s="108"/>
      <c r="B18" s="108"/>
      <c r="C18" s="109" t="s">
        <v>63</v>
      </c>
      <c r="D18" s="110" t="s">
        <v>34</v>
      </c>
      <c r="E18" s="110">
        <v>1.03</v>
      </c>
      <c r="F18" s="153">
        <f>E18*F16</f>
        <v>0.003605</v>
      </c>
      <c r="G18" s="110"/>
      <c r="H18" s="37"/>
      <c r="I18" s="110"/>
      <c r="J18" s="110"/>
      <c r="K18" s="110"/>
      <c r="L18" s="110"/>
      <c r="M18" s="110"/>
    </row>
    <row r="19" spans="1:13" ht="63">
      <c r="A19" s="283">
        <v>3</v>
      </c>
      <c r="B19" s="152" t="s">
        <v>136</v>
      </c>
      <c r="C19" s="284" t="s">
        <v>210</v>
      </c>
      <c r="D19" s="142" t="s">
        <v>130</v>
      </c>
      <c r="E19" s="193"/>
      <c r="F19" s="285">
        <v>1294</v>
      </c>
      <c r="G19" s="194"/>
      <c r="H19" s="188"/>
      <c r="I19" s="193"/>
      <c r="J19" s="194"/>
      <c r="K19" s="193"/>
      <c r="L19" s="188"/>
      <c r="M19" s="286"/>
    </row>
    <row r="20" spans="1:13" ht="31.5">
      <c r="A20" s="104"/>
      <c r="B20" s="104"/>
      <c r="C20" s="105" t="s">
        <v>29</v>
      </c>
      <c r="D20" s="106" t="s">
        <v>30</v>
      </c>
      <c r="E20" s="106">
        <v>0.15</v>
      </c>
      <c r="F20" s="106">
        <f>E20*F19</f>
        <v>194.1</v>
      </c>
      <c r="G20" s="106"/>
      <c r="H20" s="106"/>
      <c r="I20" s="36"/>
      <c r="J20" s="36"/>
      <c r="K20" s="36"/>
      <c r="L20" s="287"/>
      <c r="M20" s="288"/>
    </row>
    <row r="21" spans="1:13" ht="31.5">
      <c r="A21" s="104"/>
      <c r="B21" s="104"/>
      <c r="C21" s="105" t="s">
        <v>82</v>
      </c>
      <c r="D21" s="106" t="s">
        <v>31</v>
      </c>
      <c r="E21" s="107">
        <f>2.16/100</f>
        <v>0.0216</v>
      </c>
      <c r="F21" s="106">
        <f>E21*F19</f>
        <v>27.950400000000002</v>
      </c>
      <c r="G21" s="106"/>
      <c r="H21" s="36"/>
      <c r="I21" s="36"/>
      <c r="J21" s="36"/>
      <c r="K21" s="106"/>
      <c r="L21" s="133"/>
      <c r="M21" s="288"/>
    </row>
    <row r="22" spans="1:13" ht="47.25">
      <c r="A22" s="104"/>
      <c r="B22" s="104"/>
      <c r="C22" s="105" t="s">
        <v>137</v>
      </c>
      <c r="D22" s="106" t="s">
        <v>31</v>
      </c>
      <c r="E22" s="107">
        <f>2.73/100</f>
        <v>0.0273</v>
      </c>
      <c r="F22" s="106">
        <f>E22*F19</f>
        <v>35.3262</v>
      </c>
      <c r="G22" s="106"/>
      <c r="H22" s="106"/>
      <c r="I22" s="36"/>
      <c r="J22" s="36"/>
      <c r="K22" s="106"/>
      <c r="L22" s="133"/>
      <c r="M22" s="288"/>
    </row>
    <row r="23" spans="1:13" ht="31.5">
      <c r="A23" s="104"/>
      <c r="B23" s="104"/>
      <c r="C23" s="105" t="s">
        <v>32</v>
      </c>
      <c r="D23" s="106" t="s">
        <v>31</v>
      </c>
      <c r="E23" s="107">
        <f>0.97/100</f>
        <v>0.0097</v>
      </c>
      <c r="F23" s="106">
        <f>E23*F19</f>
        <v>12.5518</v>
      </c>
      <c r="G23" s="106"/>
      <c r="H23" s="106"/>
      <c r="I23" s="36"/>
      <c r="J23" s="36"/>
      <c r="K23" s="106"/>
      <c r="L23" s="133"/>
      <c r="M23" s="288"/>
    </row>
    <row r="24" spans="1:13" ht="18">
      <c r="A24" s="104"/>
      <c r="B24" s="104"/>
      <c r="C24" s="105" t="s">
        <v>138</v>
      </c>
      <c r="D24" s="106" t="s">
        <v>130</v>
      </c>
      <c r="E24" s="106">
        <v>1.22</v>
      </c>
      <c r="F24" s="106">
        <f>E24*F19</f>
        <v>1578.68</v>
      </c>
      <c r="G24" s="106"/>
      <c r="H24" s="106"/>
      <c r="I24" s="106"/>
      <c r="J24" s="106"/>
      <c r="K24" s="106"/>
      <c r="L24" s="133"/>
      <c r="M24" s="288"/>
    </row>
    <row r="25" spans="1:13" ht="18">
      <c r="A25" s="108"/>
      <c r="B25" s="108"/>
      <c r="C25" s="109" t="s">
        <v>54</v>
      </c>
      <c r="D25" s="110" t="s">
        <v>130</v>
      </c>
      <c r="E25" s="110">
        <f>7/100</f>
        <v>0.07</v>
      </c>
      <c r="F25" s="110">
        <f>E25*F19</f>
        <v>90.58000000000001</v>
      </c>
      <c r="G25" s="110"/>
      <c r="H25" s="110"/>
      <c r="I25" s="110"/>
      <c r="J25" s="110"/>
      <c r="K25" s="37"/>
      <c r="L25" s="189"/>
      <c r="M25" s="289"/>
    </row>
    <row r="26" spans="1:13" ht="63">
      <c r="A26" s="101">
        <v>4</v>
      </c>
      <c r="B26" s="152" t="s">
        <v>84</v>
      </c>
      <c r="C26" s="130" t="s">
        <v>211</v>
      </c>
      <c r="D26" s="106" t="s">
        <v>130</v>
      </c>
      <c r="E26" s="103"/>
      <c r="F26" s="111">
        <f>5386*0.15</f>
        <v>807.9</v>
      </c>
      <c r="G26" s="131"/>
      <c r="H26" s="102"/>
      <c r="I26" s="103"/>
      <c r="J26" s="131"/>
      <c r="K26" s="103"/>
      <c r="L26" s="102"/>
      <c r="M26" s="103"/>
    </row>
    <row r="27" spans="1:13" ht="31.5">
      <c r="A27" s="104"/>
      <c r="B27" s="104"/>
      <c r="C27" s="105" t="s">
        <v>29</v>
      </c>
      <c r="D27" s="106" t="s">
        <v>30</v>
      </c>
      <c r="E27" s="132">
        <f>21.6/100</f>
        <v>0.21600000000000003</v>
      </c>
      <c r="F27" s="106">
        <f>E27*F26</f>
        <v>174.5064</v>
      </c>
      <c r="G27" s="106"/>
      <c r="H27" s="106"/>
      <c r="I27" s="36"/>
      <c r="J27" s="36"/>
      <c r="K27" s="36"/>
      <c r="L27" s="36"/>
      <c r="M27" s="106"/>
    </row>
    <row r="28" spans="1:13" ht="31.5">
      <c r="A28" s="104"/>
      <c r="B28" s="104"/>
      <c r="C28" s="105" t="s">
        <v>82</v>
      </c>
      <c r="D28" s="106" t="s">
        <v>31</v>
      </c>
      <c r="E28" s="132">
        <f>1.24/100</f>
        <v>0.0124</v>
      </c>
      <c r="F28" s="106">
        <f>E28*F26</f>
        <v>10.017959999999999</v>
      </c>
      <c r="G28" s="106"/>
      <c r="H28" s="36"/>
      <c r="I28" s="36"/>
      <c r="J28" s="36"/>
      <c r="K28" s="106"/>
      <c r="L28" s="106"/>
      <c r="M28" s="106"/>
    </row>
    <row r="29" spans="1:13" ht="15.75">
      <c r="A29" s="104"/>
      <c r="B29" s="104"/>
      <c r="C29" s="105" t="s">
        <v>75</v>
      </c>
      <c r="D29" s="106" t="s">
        <v>31</v>
      </c>
      <c r="E29" s="132">
        <f>2.58/100</f>
        <v>0.0258</v>
      </c>
      <c r="F29" s="106">
        <f>E29*F26</f>
        <v>20.84382</v>
      </c>
      <c r="G29" s="106"/>
      <c r="H29" s="106"/>
      <c r="I29" s="106"/>
      <c r="J29" s="106"/>
      <c r="K29" s="106"/>
      <c r="L29" s="106"/>
      <c r="M29" s="106"/>
    </row>
    <row r="30" spans="1:13" ht="47.25">
      <c r="A30" s="104"/>
      <c r="B30" s="104"/>
      <c r="C30" s="105" t="s">
        <v>85</v>
      </c>
      <c r="D30" s="106" t="s">
        <v>31</v>
      </c>
      <c r="E30" s="132">
        <f>0.41/100</f>
        <v>0.0040999999999999995</v>
      </c>
      <c r="F30" s="132">
        <f>E30*F26</f>
        <v>3.3123899999999993</v>
      </c>
      <c r="G30" s="106"/>
      <c r="H30" s="106"/>
      <c r="I30" s="106"/>
      <c r="J30" s="106"/>
      <c r="K30" s="106"/>
      <c r="L30" s="106"/>
      <c r="M30" s="106"/>
    </row>
    <row r="31" spans="1:13" ht="31.5">
      <c r="A31" s="104"/>
      <c r="B31" s="104"/>
      <c r="C31" s="105" t="s">
        <v>55</v>
      </c>
      <c r="D31" s="106" t="s">
        <v>31</v>
      </c>
      <c r="E31" s="132">
        <f>7.6/100</f>
        <v>0.076</v>
      </c>
      <c r="F31" s="106">
        <f>E31*F26</f>
        <v>61.4004</v>
      </c>
      <c r="G31" s="106"/>
      <c r="H31" s="106"/>
      <c r="I31" s="106"/>
      <c r="J31" s="106"/>
      <c r="K31" s="106"/>
      <c r="L31" s="106"/>
      <c r="M31" s="106"/>
    </row>
    <row r="32" spans="1:13" ht="15.75">
      <c r="A32" s="104"/>
      <c r="B32" s="104"/>
      <c r="C32" s="105" t="s">
        <v>56</v>
      </c>
      <c r="D32" s="106" t="s">
        <v>31</v>
      </c>
      <c r="E32" s="132">
        <f>15.1/100</f>
        <v>0.151</v>
      </c>
      <c r="F32" s="106">
        <f>E32*F26</f>
        <v>121.99289999999999</v>
      </c>
      <c r="G32" s="106"/>
      <c r="H32" s="106"/>
      <c r="I32" s="106"/>
      <c r="J32" s="106"/>
      <c r="K32" s="106"/>
      <c r="L32" s="106"/>
      <c r="M32" s="106"/>
    </row>
    <row r="33" spans="1:13" ht="31.5">
      <c r="A33" s="104"/>
      <c r="B33" s="104"/>
      <c r="C33" s="105" t="s">
        <v>32</v>
      </c>
      <c r="D33" s="106" t="s">
        <v>31</v>
      </c>
      <c r="E33" s="132">
        <f>0.97/100</f>
        <v>0.0097</v>
      </c>
      <c r="F33" s="106">
        <f>E33*F26</f>
        <v>7.83663</v>
      </c>
      <c r="G33" s="106"/>
      <c r="H33" s="106"/>
      <c r="I33" s="106"/>
      <c r="J33" s="106"/>
      <c r="K33" s="106"/>
      <c r="L33" s="106"/>
      <c r="M33" s="106"/>
    </row>
    <row r="34" spans="1:13" ht="18">
      <c r="A34" s="104"/>
      <c r="B34" s="104"/>
      <c r="C34" s="105" t="s">
        <v>86</v>
      </c>
      <c r="D34" s="106" t="s">
        <v>130</v>
      </c>
      <c r="E34" s="106">
        <v>1.26</v>
      </c>
      <c r="F34" s="106">
        <f>E34*F26</f>
        <v>1017.954</v>
      </c>
      <c r="G34" s="106"/>
      <c r="H34" s="106"/>
      <c r="I34" s="106"/>
      <c r="J34" s="106"/>
      <c r="K34" s="106"/>
      <c r="L34" s="106"/>
      <c r="M34" s="106"/>
    </row>
    <row r="35" spans="1:13" ht="18">
      <c r="A35" s="108"/>
      <c r="B35" s="108"/>
      <c r="C35" s="109" t="s">
        <v>54</v>
      </c>
      <c r="D35" s="110" t="s">
        <v>130</v>
      </c>
      <c r="E35" s="153">
        <f>7/100</f>
        <v>0.07</v>
      </c>
      <c r="F35" s="110">
        <f>E35*F26</f>
        <v>56.553000000000004</v>
      </c>
      <c r="G35" s="110"/>
      <c r="H35" s="110"/>
      <c r="I35" s="110"/>
      <c r="J35" s="110"/>
      <c r="K35" s="110"/>
      <c r="L35" s="110"/>
      <c r="M35" s="110"/>
    </row>
    <row r="36" spans="1:13" ht="49.5">
      <c r="A36" s="154">
        <v>5</v>
      </c>
      <c r="B36" s="104" t="s">
        <v>61</v>
      </c>
      <c r="C36" s="155" t="s">
        <v>132</v>
      </c>
      <c r="D36" s="103" t="s">
        <v>34</v>
      </c>
      <c r="E36" s="103"/>
      <c r="F36" s="156">
        <v>3.487</v>
      </c>
      <c r="G36" s="103"/>
      <c r="H36" s="103"/>
      <c r="I36" s="103"/>
      <c r="J36" s="103"/>
      <c r="K36" s="103"/>
      <c r="L36" s="103"/>
      <c r="M36" s="103"/>
    </row>
    <row r="37" spans="1:13" ht="15.75">
      <c r="A37" s="104"/>
      <c r="B37" s="104"/>
      <c r="C37" s="105" t="s">
        <v>62</v>
      </c>
      <c r="D37" s="106" t="s">
        <v>31</v>
      </c>
      <c r="E37" s="106">
        <v>0.3</v>
      </c>
      <c r="F37" s="106">
        <f>E37*F36</f>
        <v>1.0461</v>
      </c>
      <c r="G37" s="106"/>
      <c r="H37" s="36"/>
      <c r="I37" s="36"/>
      <c r="J37" s="36"/>
      <c r="K37" s="106"/>
      <c r="L37" s="106"/>
      <c r="M37" s="106"/>
    </row>
    <row r="38" spans="1:13" ht="15.75">
      <c r="A38" s="108"/>
      <c r="B38" s="108"/>
      <c r="C38" s="109" t="s">
        <v>63</v>
      </c>
      <c r="D38" s="110" t="s">
        <v>34</v>
      </c>
      <c r="E38" s="110">
        <v>1.03</v>
      </c>
      <c r="F38" s="110">
        <f>E38*F36</f>
        <v>3.59161</v>
      </c>
      <c r="G38" s="110"/>
      <c r="H38" s="37"/>
      <c r="I38" s="110"/>
      <c r="J38" s="110"/>
      <c r="K38" s="110"/>
      <c r="L38" s="110"/>
      <c r="M38" s="110"/>
    </row>
    <row r="39" spans="1:13" ht="63">
      <c r="A39" s="104" t="s">
        <v>87</v>
      </c>
      <c r="B39" s="105" t="s">
        <v>77</v>
      </c>
      <c r="C39" s="157" t="s">
        <v>95</v>
      </c>
      <c r="D39" s="106" t="s">
        <v>133</v>
      </c>
      <c r="E39" s="132"/>
      <c r="F39" s="158">
        <v>4981.5</v>
      </c>
      <c r="G39" s="106"/>
      <c r="H39" s="106"/>
      <c r="I39" s="106"/>
      <c r="J39" s="106"/>
      <c r="K39" s="106"/>
      <c r="L39" s="106"/>
      <c r="M39" s="106"/>
    </row>
    <row r="40" spans="1:13" ht="31.5">
      <c r="A40" s="104"/>
      <c r="B40" s="104"/>
      <c r="C40" s="105" t="s">
        <v>29</v>
      </c>
      <c r="D40" s="106" t="s">
        <v>30</v>
      </c>
      <c r="E40" s="132">
        <f>(3.75+0.007*4)/100</f>
        <v>0.03778</v>
      </c>
      <c r="F40" s="106">
        <f>E40*F39</f>
        <v>188.20107000000002</v>
      </c>
      <c r="G40" s="106"/>
      <c r="H40" s="106"/>
      <c r="I40" s="106"/>
      <c r="J40" s="106"/>
      <c r="K40" s="106"/>
      <c r="L40" s="106"/>
      <c r="M40" s="106"/>
    </row>
    <row r="41" spans="1:13" ht="15.75">
      <c r="A41" s="104"/>
      <c r="B41" s="104"/>
      <c r="C41" s="105" t="s">
        <v>64</v>
      </c>
      <c r="D41" s="106" t="s">
        <v>31</v>
      </c>
      <c r="E41" s="132">
        <f>0.3/100</f>
        <v>0.003</v>
      </c>
      <c r="F41" s="106">
        <f>E41*F39</f>
        <v>14.9445</v>
      </c>
      <c r="G41" s="106"/>
      <c r="H41" s="106"/>
      <c r="I41" s="106"/>
      <c r="J41" s="106"/>
      <c r="K41" s="106"/>
      <c r="L41" s="106"/>
      <c r="M41" s="106"/>
    </row>
    <row r="42" spans="1:13" ht="31.5">
      <c r="A42" s="104"/>
      <c r="B42" s="104"/>
      <c r="C42" s="105" t="s">
        <v>55</v>
      </c>
      <c r="D42" s="106" t="s">
        <v>31</v>
      </c>
      <c r="E42" s="107">
        <f>0.37/100</f>
        <v>0.0037</v>
      </c>
      <c r="F42" s="106">
        <f>E42*F39</f>
        <v>18.43155</v>
      </c>
      <c r="G42" s="106"/>
      <c r="H42" s="106"/>
      <c r="I42" s="106"/>
      <c r="J42" s="106"/>
      <c r="K42" s="106"/>
      <c r="L42" s="106"/>
      <c r="M42" s="106"/>
    </row>
    <row r="43" spans="1:13" ht="15.75">
      <c r="A43" s="104"/>
      <c r="B43" s="104"/>
      <c r="C43" s="105" t="s">
        <v>56</v>
      </c>
      <c r="D43" s="106" t="s">
        <v>31</v>
      </c>
      <c r="E43" s="132">
        <f>1.11/100</f>
        <v>0.0111</v>
      </c>
      <c r="F43" s="106">
        <f>E43*F39</f>
        <v>55.294650000000004</v>
      </c>
      <c r="G43" s="106"/>
      <c r="H43" s="106"/>
      <c r="I43" s="106"/>
      <c r="J43" s="106"/>
      <c r="K43" s="106"/>
      <c r="L43" s="106"/>
      <c r="M43" s="106"/>
    </row>
    <row r="44" spans="1:13" ht="15.75">
      <c r="A44" s="104"/>
      <c r="B44" s="104"/>
      <c r="C44" s="105" t="s">
        <v>36</v>
      </c>
      <c r="D44" s="106" t="s">
        <v>33</v>
      </c>
      <c r="E44" s="107">
        <f>0.23/100</f>
        <v>0.0023</v>
      </c>
      <c r="F44" s="106">
        <f>E44*F39</f>
        <v>11.45745</v>
      </c>
      <c r="G44" s="106"/>
      <c r="H44" s="106"/>
      <c r="I44" s="106"/>
      <c r="J44" s="106"/>
      <c r="K44" s="106"/>
      <c r="L44" s="106"/>
      <c r="M44" s="106"/>
    </row>
    <row r="45" spans="1:13" ht="31.5">
      <c r="A45" s="104"/>
      <c r="B45" s="104"/>
      <c r="C45" s="105" t="s">
        <v>76</v>
      </c>
      <c r="D45" s="106" t="s">
        <v>34</v>
      </c>
      <c r="E45" s="107">
        <f>(9.31+1.16*4)/100</f>
        <v>0.13949999999999999</v>
      </c>
      <c r="F45" s="106">
        <f>E45*F39</f>
        <v>694.9192499999999</v>
      </c>
      <c r="G45" s="106"/>
      <c r="H45" s="106"/>
      <c r="I45" s="106"/>
      <c r="J45" s="106"/>
      <c r="K45" s="110"/>
      <c r="L45" s="110"/>
      <c r="M45" s="110"/>
    </row>
    <row r="46" spans="1:13" ht="15.75">
      <c r="A46" s="108"/>
      <c r="B46" s="108"/>
      <c r="C46" s="109" t="s">
        <v>37</v>
      </c>
      <c r="D46" s="110" t="s">
        <v>33</v>
      </c>
      <c r="E46" s="153">
        <f>(1.45+0.02*4)/100</f>
        <v>0.015300000000000001</v>
      </c>
      <c r="F46" s="110">
        <f>E46*F39</f>
        <v>76.21695000000001</v>
      </c>
      <c r="G46" s="110"/>
      <c r="H46" s="110"/>
      <c r="I46" s="110"/>
      <c r="J46" s="110"/>
      <c r="K46" s="110"/>
      <c r="L46" s="110"/>
      <c r="M46" s="110"/>
    </row>
    <row r="47" spans="1:13" ht="49.5">
      <c r="A47" s="154">
        <v>7</v>
      </c>
      <c r="B47" s="104" t="s">
        <v>61</v>
      </c>
      <c r="C47" s="155" t="s">
        <v>134</v>
      </c>
      <c r="D47" s="103" t="s">
        <v>34</v>
      </c>
      <c r="E47" s="103"/>
      <c r="F47" s="179">
        <f>F36/2</f>
        <v>1.7435</v>
      </c>
      <c r="G47" s="103"/>
      <c r="H47" s="103"/>
      <c r="I47" s="103"/>
      <c r="J47" s="103"/>
      <c r="K47" s="103"/>
      <c r="L47" s="103"/>
      <c r="M47" s="103"/>
    </row>
    <row r="48" spans="1:13" ht="15.75">
      <c r="A48" s="104"/>
      <c r="B48" s="104"/>
      <c r="C48" s="105" t="s">
        <v>62</v>
      </c>
      <c r="D48" s="106" t="s">
        <v>31</v>
      </c>
      <c r="E48" s="106">
        <v>0.3</v>
      </c>
      <c r="F48" s="106">
        <f>E48*F47</f>
        <v>0.52305</v>
      </c>
      <c r="G48" s="106"/>
      <c r="H48" s="36"/>
      <c r="I48" s="36"/>
      <c r="J48" s="36"/>
      <c r="K48" s="106"/>
      <c r="L48" s="106"/>
      <c r="M48" s="106"/>
    </row>
    <row r="49" spans="1:13" ht="15.75">
      <c r="A49" s="108"/>
      <c r="B49" s="108"/>
      <c r="C49" s="109" t="s">
        <v>63</v>
      </c>
      <c r="D49" s="110" t="s">
        <v>34</v>
      </c>
      <c r="E49" s="110">
        <v>1.03</v>
      </c>
      <c r="F49" s="110">
        <f>E49*F47</f>
        <v>1.795805</v>
      </c>
      <c r="G49" s="110"/>
      <c r="H49" s="37"/>
      <c r="I49" s="110"/>
      <c r="J49" s="110"/>
      <c r="K49" s="110"/>
      <c r="L49" s="110"/>
      <c r="M49" s="110"/>
    </row>
    <row r="50" spans="1:13" ht="63">
      <c r="A50" s="104" t="s">
        <v>78</v>
      </c>
      <c r="B50" s="105" t="s">
        <v>88</v>
      </c>
      <c r="C50" s="157" t="s">
        <v>127</v>
      </c>
      <c r="D50" s="106" t="s">
        <v>133</v>
      </c>
      <c r="E50" s="132"/>
      <c r="F50" s="158">
        <f>F39</f>
        <v>4981.5</v>
      </c>
      <c r="G50" s="106"/>
      <c r="H50" s="106"/>
      <c r="I50" s="106"/>
      <c r="J50" s="106"/>
      <c r="K50" s="106"/>
      <c r="L50" s="106"/>
      <c r="M50" s="106"/>
    </row>
    <row r="51" spans="1:13" ht="31.5">
      <c r="A51" s="104"/>
      <c r="B51" s="104"/>
      <c r="C51" s="105" t="s">
        <v>29</v>
      </c>
      <c r="D51" s="106" t="s">
        <v>30</v>
      </c>
      <c r="E51" s="132">
        <f>(3.75-0.007*2)/100</f>
        <v>0.037360000000000004</v>
      </c>
      <c r="F51" s="106">
        <f>E51*F50</f>
        <v>186.10884000000001</v>
      </c>
      <c r="G51" s="106"/>
      <c r="H51" s="106"/>
      <c r="I51" s="106"/>
      <c r="J51" s="106"/>
      <c r="K51" s="106"/>
      <c r="L51" s="106"/>
      <c r="M51" s="106"/>
    </row>
    <row r="52" spans="1:13" ht="15.75">
      <c r="A52" s="104"/>
      <c r="B52" s="104"/>
      <c r="C52" s="105" t="s">
        <v>64</v>
      </c>
      <c r="D52" s="106" t="s">
        <v>31</v>
      </c>
      <c r="E52" s="132">
        <f>0.302/100</f>
        <v>0.00302</v>
      </c>
      <c r="F52" s="106">
        <f>E52*F50</f>
        <v>15.044130000000001</v>
      </c>
      <c r="G52" s="106"/>
      <c r="H52" s="106"/>
      <c r="I52" s="106"/>
      <c r="J52" s="106"/>
      <c r="K52" s="106"/>
      <c r="L52" s="106"/>
      <c r="M52" s="106"/>
    </row>
    <row r="53" spans="1:13" ht="31.5">
      <c r="A53" s="104"/>
      <c r="B53" s="104"/>
      <c r="C53" s="105" t="s">
        <v>55</v>
      </c>
      <c r="D53" s="106" t="s">
        <v>31</v>
      </c>
      <c r="E53" s="132">
        <f>0.37/100</f>
        <v>0.0037</v>
      </c>
      <c r="F53" s="106">
        <f>E53*F50</f>
        <v>18.43155</v>
      </c>
      <c r="G53" s="106"/>
      <c r="H53" s="106"/>
      <c r="I53" s="106"/>
      <c r="J53" s="106"/>
      <c r="K53" s="106"/>
      <c r="L53" s="106"/>
      <c r="M53" s="106"/>
    </row>
    <row r="54" spans="1:13" ht="15.75">
      <c r="A54" s="104"/>
      <c r="B54" s="104"/>
      <c r="C54" s="105" t="s">
        <v>56</v>
      </c>
      <c r="D54" s="106" t="s">
        <v>31</v>
      </c>
      <c r="E54" s="132">
        <f>1.11/100</f>
        <v>0.0111</v>
      </c>
      <c r="F54" s="106">
        <f>E54*F50</f>
        <v>55.294650000000004</v>
      </c>
      <c r="G54" s="106"/>
      <c r="H54" s="106"/>
      <c r="I54" s="106"/>
      <c r="J54" s="106"/>
      <c r="K54" s="106"/>
      <c r="L54" s="106"/>
      <c r="M54" s="106"/>
    </row>
    <row r="55" spans="1:13" ht="15.75">
      <c r="A55" s="104"/>
      <c r="B55" s="104"/>
      <c r="C55" s="105" t="s">
        <v>36</v>
      </c>
      <c r="D55" s="106" t="s">
        <v>33</v>
      </c>
      <c r="E55" s="132">
        <f>0.23/100</f>
        <v>0.0023</v>
      </c>
      <c r="F55" s="106">
        <f>E55*F50</f>
        <v>11.45745</v>
      </c>
      <c r="G55" s="106"/>
      <c r="H55" s="106"/>
      <c r="I55" s="106"/>
      <c r="J55" s="106"/>
      <c r="K55" s="106"/>
      <c r="L55" s="106"/>
      <c r="M55" s="106"/>
    </row>
    <row r="56" spans="1:13" ht="31.5">
      <c r="A56" s="104"/>
      <c r="B56" s="104"/>
      <c r="C56" s="105" t="s">
        <v>109</v>
      </c>
      <c r="D56" s="106" t="s">
        <v>34</v>
      </c>
      <c r="E56" s="107">
        <v>0.0974</v>
      </c>
      <c r="F56" s="106">
        <f>E56*F50</f>
        <v>485.1981</v>
      </c>
      <c r="G56" s="106"/>
      <c r="H56" s="106"/>
      <c r="I56" s="106"/>
      <c r="J56" s="106"/>
      <c r="K56" s="110"/>
      <c r="L56" s="110"/>
      <c r="M56" s="110"/>
    </row>
    <row r="57" spans="1:13" ht="15.75">
      <c r="A57" s="108"/>
      <c r="B57" s="108"/>
      <c r="C57" s="109" t="s">
        <v>37</v>
      </c>
      <c r="D57" s="110" t="s">
        <v>33</v>
      </c>
      <c r="E57" s="153">
        <f>(1.45-0.02*2)/100</f>
        <v>0.0141</v>
      </c>
      <c r="F57" s="110">
        <f>E57*F50</f>
        <v>70.23915</v>
      </c>
      <c r="G57" s="110"/>
      <c r="H57" s="110"/>
      <c r="I57" s="110"/>
      <c r="J57" s="110"/>
      <c r="K57" s="110"/>
      <c r="L57" s="110"/>
      <c r="M57" s="110"/>
    </row>
    <row r="58" spans="1:13" ht="63">
      <c r="A58" s="283">
        <v>9</v>
      </c>
      <c r="B58" s="152" t="s">
        <v>136</v>
      </c>
      <c r="C58" s="284" t="s">
        <v>158</v>
      </c>
      <c r="D58" s="142" t="s">
        <v>130</v>
      </c>
      <c r="E58" s="193"/>
      <c r="F58" s="285">
        <v>89.53</v>
      </c>
      <c r="G58" s="194"/>
      <c r="H58" s="188"/>
      <c r="I58" s="193"/>
      <c r="J58" s="194"/>
      <c r="K58" s="193"/>
      <c r="L58" s="188"/>
      <c r="M58" s="133"/>
    </row>
    <row r="59" spans="1:13" ht="31.5">
      <c r="A59" s="104"/>
      <c r="B59" s="104"/>
      <c r="C59" s="105" t="s">
        <v>29</v>
      </c>
      <c r="D59" s="106" t="s">
        <v>30</v>
      </c>
      <c r="E59" s="106">
        <v>0.15</v>
      </c>
      <c r="F59" s="106">
        <f>E59*F58</f>
        <v>13.429499999999999</v>
      </c>
      <c r="G59" s="106"/>
      <c r="H59" s="106"/>
      <c r="I59" s="36"/>
      <c r="J59" s="36"/>
      <c r="K59" s="36"/>
      <c r="L59" s="287"/>
      <c r="M59" s="133"/>
    </row>
    <row r="60" spans="1:13" ht="31.5">
      <c r="A60" s="104"/>
      <c r="B60" s="104"/>
      <c r="C60" s="105" t="s">
        <v>82</v>
      </c>
      <c r="D60" s="106" t="s">
        <v>31</v>
      </c>
      <c r="E60" s="107">
        <f>2.16/100</f>
        <v>0.0216</v>
      </c>
      <c r="F60" s="106">
        <f>E60*F58</f>
        <v>1.9338480000000002</v>
      </c>
      <c r="G60" s="106"/>
      <c r="H60" s="36"/>
      <c r="I60" s="36"/>
      <c r="J60" s="36"/>
      <c r="K60" s="106"/>
      <c r="L60" s="133"/>
      <c r="M60" s="133"/>
    </row>
    <row r="61" spans="1:13" ht="47.25">
      <c r="A61" s="104"/>
      <c r="B61" s="104"/>
      <c r="C61" s="105" t="s">
        <v>137</v>
      </c>
      <c r="D61" s="106" t="s">
        <v>31</v>
      </c>
      <c r="E61" s="107">
        <f>2.73/100</f>
        <v>0.0273</v>
      </c>
      <c r="F61" s="106">
        <f>E61*F58</f>
        <v>2.444169</v>
      </c>
      <c r="G61" s="106"/>
      <c r="H61" s="106"/>
      <c r="I61" s="36"/>
      <c r="J61" s="36"/>
      <c r="K61" s="106"/>
      <c r="L61" s="133"/>
      <c r="M61" s="133"/>
    </row>
    <row r="62" spans="1:13" ht="31.5">
      <c r="A62" s="104"/>
      <c r="B62" s="104"/>
      <c r="C62" s="105" t="s">
        <v>32</v>
      </c>
      <c r="D62" s="106" t="s">
        <v>31</v>
      </c>
      <c r="E62" s="107">
        <f>0.97/100</f>
        <v>0.0097</v>
      </c>
      <c r="F62" s="106">
        <f>E62*F58</f>
        <v>0.868441</v>
      </c>
      <c r="G62" s="106"/>
      <c r="H62" s="106"/>
      <c r="I62" s="36"/>
      <c r="J62" s="36"/>
      <c r="K62" s="106"/>
      <c r="L62" s="133"/>
      <c r="M62" s="133"/>
    </row>
    <row r="63" spans="1:13" ht="18">
      <c r="A63" s="104"/>
      <c r="B63" s="104"/>
      <c r="C63" s="105" t="s">
        <v>138</v>
      </c>
      <c r="D63" s="106" t="s">
        <v>130</v>
      </c>
      <c r="E63" s="106">
        <v>1.22</v>
      </c>
      <c r="F63" s="106">
        <f>E63*F58</f>
        <v>109.2266</v>
      </c>
      <c r="G63" s="106"/>
      <c r="H63" s="106"/>
      <c r="I63" s="106"/>
      <c r="J63" s="106"/>
      <c r="K63" s="106"/>
      <c r="L63" s="133"/>
      <c r="M63" s="133"/>
    </row>
    <row r="64" spans="1:13" ht="18">
      <c r="A64" s="108"/>
      <c r="B64" s="108"/>
      <c r="C64" s="109" t="s">
        <v>54</v>
      </c>
      <c r="D64" s="110" t="s">
        <v>130</v>
      </c>
      <c r="E64" s="110">
        <f>7/100</f>
        <v>0.07</v>
      </c>
      <c r="F64" s="110">
        <f>E64*F58</f>
        <v>6.267100000000001</v>
      </c>
      <c r="G64" s="110"/>
      <c r="H64" s="110"/>
      <c r="I64" s="110"/>
      <c r="J64" s="110"/>
      <c r="K64" s="37"/>
      <c r="L64" s="189"/>
      <c r="M64" s="133"/>
    </row>
    <row r="65" spans="1:13" ht="15.75">
      <c r="A65" s="160"/>
      <c r="B65" s="104"/>
      <c r="C65" s="161" t="s">
        <v>12</v>
      </c>
      <c r="D65" s="162" t="s">
        <v>33</v>
      </c>
      <c r="E65" s="106"/>
      <c r="F65" s="106"/>
      <c r="G65" s="106"/>
      <c r="H65" s="106">
        <f>SUM(H14:H64)</f>
        <v>0</v>
      </c>
      <c r="I65" s="106"/>
      <c r="J65" s="106">
        <f>SUM(J14:J64)</f>
        <v>0</v>
      </c>
      <c r="K65" s="142"/>
      <c r="L65" s="142">
        <f>SUM(L14:L64)</f>
        <v>0</v>
      </c>
      <c r="M65" s="142">
        <f>SUM(M14:M64)</f>
        <v>0</v>
      </c>
    </row>
    <row r="66" spans="1:13" ht="47.25">
      <c r="A66" s="163"/>
      <c r="B66" s="163"/>
      <c r="C66" s="163" t="s">
        <v>235</v>
      </c>
      <c r="D66" s="162"/>
      <c r="E66" s="164"/>
      <c r="F66" s="164"/>
      <c r="G66" s="164"/>
      <c r="H66" s="164"/>
      <c r="I66" s="164"/>
      <c r="J66" s="165">
        <f>J65*E66</f>
        <v>0</v>
      </c>
      <c r="K66" s="164"/>
      <c r="L66" s="164"/>
      <c r="M66" s="165">
        <f>J65*E66</f>
        <v>0</v>
      </c>
    </row>
    <row r="67" spans="1:13" ht="15.75">
      <c r="A67" s="163"/>
      <c r="B67" s="166"/>
      <c r="C67" s="163" t="s">
        <v>234</v>
      </c>
      <c r="D67" s="162" t="s">
        <v>33</v>
      </c>
      <c r="E67" s="165"/>
      <c r="F67" s="167"/>
      <c r="G67" s="168"/>
      <c r="H67" s="165">
        <f>E67*H65</f>
        <v>0</v>
      </c>
      <c r="I67" s="165"/>
      <c r="J67" s="165">
        <f>E67*J65</f>
        <v>0</v>
      </c>
      <c r="K67" s="165"/>
      <c r="L67" s="165">
        <f>E67*L65</f>
        <v>0</v>
      </c>
      <c r="M67" s="165">
        <f>SUM(H67:L67)</f>
        <v>0</v>
      </c>
    </row>
    <row r="68" spans="1:13" ht="15.75">
      <c r="A68" s="161"/>
      <c r="B68" s="166"/>
      <c r="C68" s="161" t="s">
        <v>12</v>
      </c>
      <c r="D68" s="162" t="s">
        <v>33</v>
      </c>
      <c r="E68" s="159"/>
      <c r="F68" s="161"/>
      <c r="G68" s="161"/>
      <c r="H68" s="159">
        <f>SUM(H65:H67)</f>
        <v>0</v>
      </c>
      <c r="I68" s="159"/>
      <c r="J68" s="159">
        <f>SUM(J65:J67)</f>
        <v>0</v>
      </c>
      <c r="K68" s="159"/>
      <c r="L68" s="159">
        <f>SUM(L65:L67)</f>
        <v>0</v>
      </c>
      <c r="M68" s="159">
        <f>SUM(H68:L68)</f>
        <v>0</v>
      </c>
    </row>
    <row r="69" spans="1:13" ht="15.75">
      <c r="A69" s="163"/>
      <c r="B69" s="166"/>
      <c r="C69" s="164" t="s">
        <v>233</v>
      </c>
      <c r="D69" s="162" t="s">
        <v>33</v>
      </c>
      <c r="E69" s="165"/>
      <c r="F69" s="169"/>
      <c r="G69" s="165"/>
      <c r="H69" s="165">
        <f>E69*H68</f>
        <v>0</v>
      </c>
      <c r="I69" s="165"/>
      <c r="J69" s="165">
        <f>E69*J68</f>
        <v>0</v>
      </c>
      <c r="K69" s="165"/>
      <c r="L69" s="165">
        <f>E69*L68</f>
        <v>0</v>
      </c>
      <c r="M69" s="165">
        <f>SUM(H69:L69)</f>
        <v>0</v>
      </c>
    </row>
    <row r="70" spans="1:13" ht="15.75">
      <c r="A70" s="170"/>
      <c r="B70" s="171"/>
      <c r="C70" s="170" t="s">
        <v>12</v>
      </c>
      <c r="D70" s="172" t="s">
        <v>33</v>
      </c>
      <c r="E70" s="170"/>
      <c r="F70" s="170"/>
      <c r="G70" s="170"/>
      <c r="H70" s="173">
        <f>SUM(H68:H69)</f>
        <v>0</v>
      </c>
      <c r="I70" s="173"/>
      <c r="J70" s="173">
        <f>SUM(J68:J69)</f>
        <v>0</v>
      </c>
      <c r="K70" s="173"/>
      <c r="L70" s="173">
        <f>SUM(L68:L69)</f>
        <v>0</v>
      </c>
      <c r="M70" s="174">
        <f>SUM(H70:L70)</f>
        <v>0</v>
      </c>
    </row>
  </sheetData>
  <sheetProtection/>
  <mergeCells count="22">
    <mergeCell ref="A5:M5"/>
    <mergeCell ref="B6:D6"/>
    <mergeCell ref="F6:I6"/>
    <mergeCell ref="A2:M2"/>
    <mergeCell ref="A3:M3"/>
    <mergeCell ref="A4:M4"/>
    <mergeCell ref="A1:M1"/>
    <mergeCell ref="A8:A11"/>
    <mergeCell ref="B8:B11"/>
    <mergeCell ref="C8:C11"/>
    <mergeCell ref="D8:F9"/>
    <mergeCell ref="D10:D11"/>
    <mergeCell ref="E10:E11"/>
    <mergeCell ref="F10:F11"/>
    <mergeCell ref="G8:H9"/>
    <mergeCell ref="I8:J9"/>
    <mergeCell ref="K8:L8"/>
    <mergeCell ref="M8:M11"/>
    <mergeCell ref="K9:L9"/>
    <mergeCell ref="H10:H11"/>
    <mergeCell ref="J10:J11"/>
    <mergeCell ref="L10:L11"/>
  </mergeCells>
  <printOptions/>
  <pageMargins left="0.5905511811023623" right="0" top="0.5905511811023623" bottom="0.5905511811023623" header="0.5118110236220472" footer="0.5118110236220472"/>
  <pageSetup horizontalDpi="600" verticalDpi="600" orientation="portrait" paperSize="9" scale="67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69"/>
  <sheetViews>
    <sheetView view="pageBreakPreview" zoomScale="85" zoomScaleSheetLayoutView="85" zoomScalePageLayoutView="0" workbookViewId="0" topLeftCell="A61">
      <selection activeCell="E65" sqref="E65:E69"/>
    </sheetView>
  </sheetViews>
  <sheetFormatPr defaultColWidth="9.00390625" defaultRowHeight="12.75"/>
  <cols>
    <col min="1" max="1" width="3.8515625" style="4" customWidth="1"/>
    <col min="2" max="2" width="9.7109375" style="117" customWidth="1"/>
    <col min="3" max="3" width="30.7109375" style="117" customWidth="1"/>
    <col min="4" max="4" width="8.28125" style="175" customWidth="1"/>
    <col min="5" max="5" width="9.00390625" style="175" customWidth="1"/>
    <col min="6" max="6" width="10.140625" style="175" customWidth="1"/>
    <col min="7" max="7" width="9.7109375" style="175" customWidth="1"/>
    <col min="8" max="8" width="10.28125" style="175" customWidth="1"/>
    <col min="9" max="9" width="8.8515625" style="175" customWidth="1"/>
    <col min="10" max="10" width="11.28125" style="175" customWidth="1"/>
    <col min="11" max="11" width="8.8515625" style="175" customWidth="1"/>
    <col min="12" max="12" width="10.421875" style="175" customWidth="1"/>
    <col min="13" max="13" width="13.28125" style="175" customWidth="1"/>
    <col min="14" max="16384" width="9.00390625" style="116" customWidth="1"/>
  </cols>
  <sheetData>
    <row r="1" spans="1:14" ht="24.75" customHeight="1">
      <c r="A1" s="468" t="str">
        <f>'x.a.3'!A1</f>
        <v>mcxeTis municipalitetSi, sofel qsovrisSi Sida saavtomobilo gzebis sareabilitacio samuSaoebi 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115"/>
    </row>
    <row r="2" spans="1:13" ht="16.5" customHeight="1">
      <c r="A2" s="440" t="s">
        <v>106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</row>
    <row r="3" spans="1:13" ht="15.75">
      <c r="A3" s="440"/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</row>
    <row r="4" spans="1:13" ht="15.75">
      <c r="A4" s="440" t="s">
        <v>96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</row>
    <row r="5" spans="1:13" ht="15.75">
      <c r="A5" s="443"/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</row>
    <row r="6" spans="1:13" ht="15" customHeight="1">
      <c r="A6" s="117"/>
      <c r="B6" s="444" t="s">
        <v>28</v>
      </c>
      <c r="C6" s="444"/>
      <c r="D6" s="445"/>
      <c r="E6" s="118"/>
      <c r="F6" s="446" t="s">
        <v>1</v>
      </c>
      <c r="G6" s="446"/>
      <c r="H6" s="446"/>
      <c r="I6" s="446"/>
      <c r="J6" s="118">
        <f>M69/1000</f>
        <v>0</v>
      </c>
      <c r="K6" s="118" t="s">
        <v>0</v>
      </c>
      <c r="L6" s="118"/>
      <c r="M6" s="118"/>
    </row>
    <row r="7" spans="1:13" ht="15.75">
      <c r="A7" s="117"/>
      <c r="D7" s="118"/>
      <c r="E7" s="118"/>
      <c r="F7" s="118"/>
      <c r="G7" s="118"/>
      <c r="H7" s="118"/>
      <c r="I7" s="118"/>
      <c r="J7" s="118"/>
      <c r="K7" s="118"/>
      <c r="L7" s="118"/>
      <c r="M7" s="118"/>
    </row>
    <row r="8" spans="1:13" ht="15" customHeight="1">
      <c r="A8" s="447" t="s">
        <v>2</v>
      </c>
      <c r="B8" s="448" t="s">
        <v>3</v>
      </c>
      <c r="C8" s="374" t="s">
        <v>27</v>
      </c>
      <c r="D8" s="451" t="s">
        <v>4</v>
      </c>
      <c r="E8" s="452"/>
      <c r="F8" s="453"/>
      <c r="G8" s="451" t="s">
        <v>5</v>
      </c>
      <c r="H8" s="459"/>
      <c r="I8" s="451" t="s">
        <v>6</v>
      </c>
      <c r="J8" s="465"/>
      <c r="K8" s="451" t="s">
        <v>7</v>
      </c>
      <c r="L8" s="459"/>
      <c r="M8" s="453" t="s">
        <v>8</v>
      </c>
    </row>
    <row r="9" spans="1:13" ht="22.5" customHeight="1">
      <c r="A9" s="370"/>
      <c r="B9" s="449"/>
      <c r="C9" s="375"/>
      <c r="D9" s="454"/>
      <c r="E9" s="455"/>
      <c r="F9" s="456"/>
      <c r="G9" s="464"/>
      <c r="H9" s="463"/>
      <c r="I9" s="464"/>
      <c r="J9" s="466"/>
      <c r="K9" s="454" t="s">
        <v>9</v>
      </c>
      <c r="L9" s="463"/>
      <c r="M9" s="460"/>
    </row>
    <row r="10" spans="1:13" ht="15.75">
      <c r="A10" s="370"/>
      <c r="B10" s="449"/>
      <c r="C10" s="375"/>
      <c r="D10" s="457" t="s">
        <v>10</v>
      </c>
      <c r="E10" s="457" t="s">
        <v>11</v>
      </c>
      <c r="F10" s="457" t="s">
        <v>12</v>
      </c>
      <c r="G10" s="103" t="s">
        <v>11</v>
      </c>
      <c r="H10" s="457" t="s">
        <v>12</v>
      </c>
      <c r="I10" s="103" t="s">
        <v>11</v>
      </c>
      <c r="J10" s="457" t="s">
        <v>12</v>
      </c>
      <c r="K10" s="103" t="s">
        <v>11</v>
      </c>
      <c r="L10" s="457" t="s">
        <v>12</v>
      </c>
      <c r="M10" s="461"/>
    </row>
    <row r="11" spans="1:13" ht="15.75">
      <c r="A11" s="371"/>
      <c r="B11" s="450"/>
      <c r="C11" s="376"/>
      <c r="D11" s="458"/>
      <c r="E11" s="458"/>
      <c r="F11" s="458"/>
      <c r="G11" s="122" t="s">
        <v>13</v>
      </c>
      <c r="H11" s="458"/>
      <c r="I11" s="122" t="s">
        <v>13</v>
      </c>
      <c r="J11" s="458"/>
      <c r="K11" s="122" t="s">
        <v>13</v>
      </c>
      <c r="L11" s="458"/>
      <c r="M11" s="462"/>
    </row>
    <row r="12" spans="1:13" ht="15.75">
      <c r="A12" s="123" t="s">
        <v>14</v>
      </c>
      <c r="B12" s="124" t="s">
        <v>15</v>
      </c>
      <c r="C12" s="125" t="s">
        <v>16</v>
      </c>
      <c r="D12" s="126" t="s">
        <v>17</v>
      </c>
      <c r="E12" s="127" t="s">
        <v>18</v>
      </c>
      <c r="F12" s="128" t="s">
        <v>19</v>
      </c>
      <c r="G12" s="129" t="s">
        <v>20</v>
      </c>
      <c r="H12" s="126" t="s">
        <v>21</v>
      </c>
      <c r="I12" s="127" t="s">
        <v>22</v>
      </c>
      <c r="J12" s="129" t="s">
        <v>23</v>
      </c>
      <c r="K12" s="127" t="s">
        <v>24</v>
      </c>
      <c r="L12" s="126" t="s">
        <v>25</v>
      </c>
      <c r="M12" s="127" t="s">
        <v>26</v>
      </c>
    </row>
    <row r="13" spans="1:13" ht="110.25">
      <c r="A13" s="101">
        <v>1</v>
      </c>
      <c r="B13" s="104" t="s">
        <v>73</v>
      </c>
      <c r="C13" s="130" t="s">
        <v>159</v>
      </c>
      <c r="D13" s="106" t="s">
        <v>130</v>
      </c>
      <c r="E13" s="103"/>
      <c r="F13" s="111">
        <v>111.6</v>
      </c>
      <c r="G13" s="131"/>
      <c r="H13" s="102"/>
      <c r="I13" s="103"/>
      <c r="J13" s="131"/>
      <c r="K13" s="103"/>
      <c r="L13" s="102"/>
      <c r="M13" s="103"/>
    </row>
    <row r="14" spans="1:13" ht="31.5">
      <c r="A14" s="104"/>
      <c r="B14" s="104"/>
      <c r="C14" s="38" t="s">
        <v>29</v>
      </c>
      <c r="D14" s="106" t="s">
        <v>30</v>
      </c>
      <c r="E14" s="132">
        <f>20/1000</f>
        <v>0.02</v>
      </c>
      <c r="F14" s="106">
        <f>E14*F13</f>
        <v>2.2319999999999998</v>
      </c>
      <c r="G14" s="106"/>
      <c r="H14" s="106"/>
      <c r="I14" s="103"/>
      <c r="J14" s="103"/>
      <c r="K14" s="103"/>
      <c r="L14" s="103"/>
      <c r="M14" s="103"/>
    </row>
    <row r="15" spans="1:13" ht="15.75">
      <c r="A15" s="104"/>
      <c r="B15" s="104"/>
      <c r="C15" s="38" t="s">
        <v>72</v>
      </c>
      <c r="D15" s="106" t="s">
        <v>31</v>
      </c>
      <c r="E15" s="132">
        <f>44.8/1000</f>
        <v>0.0448</v>
      </c>
      <c r="F15" s="106">
        <f>E15*F13</f>
        <v>4.99968</v>
      </c>
      <c r="G15" s="106"/>
      <c r="H15" s="106"/>
      <c r="I15" s="103"/>
      <c r="J15" s="131"/>
      <c r="K15" s="106"/>
      <c r="L15" s="102"/>
      <c r="M15" s="103"/>
    </row>
    <row r="16" spans="1:13" ht="15.75">
      <c r="A16" s="104"/>
      <c r="B16" s="104"/>
      <c r="C16" s="38" t="s">
        <v>36</v>
      </c>
      <c r="D16" s="106" t="s">
        <v>33</v>
      </c>
      <c r="E16" s="132">
        <f>2.1/1000</f>
        <v>0.0021000000000000003</v>
      </c>
      <c r="F16" s="133">
        <f>E16*F13</f>
        <v>0.23436</v>
      </c>
      <c r="G16" s="106"/>
      <c r="H16" s="106"/>
      <c r="I16" s="106"/>
      <c r="J16" s="106"/>
      <c r="K16" s="106"/>
      <c r="L16" s="106"/>
      <c r="M16" s="106"/>
    </row>
    <row r="17" spans="1:13" ht="31.5">
      <c r="A17" s="134"/>
      <c r="B17" s="135"/>
      <c r="C17" s="136" t="s">
        <v>99</v>
      </c>
      <c r="D17" s="119" t="s">
        <v>34</v>
      </c>
      <c r="E17" s="122"/>
      <c r="F17" s="121">
        <f>F13*1.8</f>
        <v>200.88</v>
      </c>
      <c r="G17" s="120"/>
      <c r="H17" s="119"/>
      <c r="I17" s="122"/>
      <c r="J17" s="120"/>
      <c r="K17" s="122"/>
      <c r="L17" s="119"/>
      <c r="M17" s="122"/>
    </row>
    <row r="18" spans="1:13" ht="110.25">
      <c r="A18" s="101">
        <v>2</v>
      </c>
      <c r="B18" s="137" t="s">
        <v>101</v>
      </c>
      <c r="C18" s="130" t="s">
        <v>160</v>
      </c>
      <c r="D18" s="106" t="s">
        <v>130</v>
      </c>
      <c r="E18" s="103"/>
      <c r="F18" s="111">
        <v>12.4</v>
      </c>
      <c r="G18" s="131"/>
      <c r="H18" s="102"/>
      <c r="I18" s="103"/>
      <c r="J18" s="131"/>
      <c r="K18" s="103"/>
      <c r="L18" s="102"/>
      <c r="M18" s="103"/>
    </row>
    <row r="19" spans="1:13" ht="31.5">
      <c r="A19" s="138"/>
      <c r="B19" s="139"/>
      <c r="C19" s="140" t="s">
        <v>29</v>
      </c>
      <c r="D19" s="106" t="s">
        <v>30</v>
      </c>
      <c r="E19" s="103">
        <f>2.06+0.87</f>
        <v>2.93</v>
      </c>
      <c r="F19" s="103">
        <f>E19*F18</f>
        <v>36.332</v>
      </c>
      <c r="G19" s="103"/>
      <c r="H19" s="103"/>
      <c r="I19" s="103"/>
      <c r="J19" s="103"/>
      <c r="K19" s="103"/>
      <c r="L19" s="103"/>
      <c r="M19" s="106"/>
    </row>
    <row r="20" spans="1:13" ht="31.5">
      <c r="A20" s="134"/>
      <c r="B20" s="135"/>
      <c r="C20" s="136" t="s">
        <v>99</v>
      </c>
      <c r="D20" s="119" t="s">
        <v>34</v>
      </c>
      <c r="E20" s="122"/>
      <c r="F20" s="121">
        <f>F18*1.8</f>
        <v>22.32</v>
      </c>
      <c r="G20" s="120"/>
      <c r="H20" s="119"/>
      <c r="I20" s="122"/>
      <c r="J20" s="120"/>
      <c r="K20" s="122"/>
      <c r="L20" s="119"/>
      <c r="M20" s="122"/>
    </row>
    <row r="21" spans="1:13" ht="18">
      <c r="A21" s="35">
        <v>3</v>
      </c>
      <c r="B21" s="35" t="s">
        <v>74</v>
      </c>
      <c r="C21" s="141" t="s">
        <v>83</v>
      </c>
      <c r="D21" s="142" t="s">
        <v>130</v>
      </c>
      <c r="E21" s="143"/>
      <c r="F21" s="144">
        <f>F13+F18</f>
        <v>124</v>
      </c>
      <c r="G21" s="143"/>
      <c r="H21" s="143"/>
      <c r="I21" s="143"/>
      <c r="J21" s="143"/>
      <c r="K21" s="143"/>
      <c r="L21" s="143"/>
      <c r="M21" s="143"/>
    </row>
    <row r="22" spans="1:13" ht="31.5">
      <c r="A22" s="145"/>
      <c r="B22" s="145"/>
      <c r="C22" s="38" t="s">
        <v>29</v>
      </c>
      <c r="D22" s="106" t="s">
        <v>30</v>
      </c>
      <c r="E22" s="132">
        <f>3.23/1000</f>
        <v>0.00323</v>
      </c>
      <c r="F22" s="106">
        <f>E22*F21</f>
        <v>0.40052</v>
      </c>
      <c r="G22" s="146"/>
      <c r="H22" s="146"/>
      <c r="I22" s="147"/>
      <c r="J22" s="147"/>
      <c r="K22" s="147"/>
      <c r="L22" s="147"/>
      <c r="M22" s="146"/>
    </row>
    <row r="23" spans="1:13" ht="15.75">
      <c r="A23" s="104"/>
      <c r="B23" s="104"/>
      <c r="C23" s="38" t="s">
        <v>60</v>
      </c>
      <c r="D23" s="106" t="s">
        <v>31</v>
      </c>
      <c r="E23" s="107">
        <f>3.62/1000</f>
        <v>0.00362</v>
      </c>
      <c r="F23" s="106">
        <f>E23*F21</f>
        <v>0.44888</v>
      </c>
      <c r="G23" s="106"/>
      <c r="H23" s="106"/>
      <c r="I23" s="106"/>
      <c r="J23" s="106"/>
      <c r="K23" s="106"/>
      <c r="L23" s="106"/>
      <c r="M23" s="106"/>
    </row>
    <row r="24" spans="1:13" ht="15.75">
      <c r="A24" s="148"/>
      <c r="B24" s="148"/>
      <c r="C24" s="149" t="s">
        <v>36</v>
      </c>
      <c r="D24" s="148" t="s">
        <v>33</v>
      </c>
      <c r="E24" s="150">
        <f>0.18/1000</f>
        <v>0.00017999999999999998</v>
      </c>
      <c r="F24" s="110">
        <f>E24*F21</f>
        <v>0.02232</v>
      </c>
      <c r="G24" s="148"/>
      <c r="H24" s="148"/>
      <c r="I24" s="148"/>
      <c r="J24" s="148"/>
      <c r="K24" s="151"/>
      <c r="L24" s="110"/>
      <c r="M24" s="110"/>
    </row>
    <row r="25" spans="1:13" ht="63">
      <c r="A25" s="283">
        <v>4</v>
      </c>
      <c r="B25" s="152" t="s">
        <v>136</v>
      </c>
      <c r="C25" s="284" t="s">
        <v>210</v>
      </c>
      <c r="D25" s="142" t="s">
        <v>130</v>
      </c>
      <c r="E25" s="193"/>
      <c r="F25" s="285">
        <v>65.72</v>
      </c>
      <c r="G25" s="194"/>
      <c r="H25" s="188"/>
      <c r="I25" s="193"/>
      <c r="J25" s="194"/>
      <c r="K25" s="193"/>
      <c r="L25" s="188"/>
      <c r="M25" s="286"/>
    </row>
    <row r="26" spans="1:13" ht="31.5">
      <c r="A26" s="104"/>
      <c r="B26" s="104"/>
      <c r="C26" s="105" t="s">
        <v>29</v>
      </c>
      <c r="D26" s="106" t="s">
        <v>30</v>
      </c>
      <c r="E26" s="106">
        <v>0.15</v>
      </c>
      <c r="F26" s="106">
        <f>E26*F25</f>
        <v>9.857999999999999</v>
      </c>
      <c r="G26" s="106"/>
      <c r="H26" s="106"/>
      <c r="I26" s="36"/>
      <c r="J26" s="36"/>
      <c r="K26" s="36"/>
      <c r="L26" s="287"/>
      <c r="M26" s="288"/>
    </row>
    <row r="27" spans="1:13" ht="31.5">
      <c r="A27" s="104"/>
      <c r="B27" s="104"/>
      <c r="C27" s="105" t="s">
        <v>82</v>
      </c>
      <c r="D27" s="106" t="s">
        <v>31</v>
      </c>
      <c r="E27" s="107">
        <f>2.16/100</f>
        <v>0.0216</v>
      </c>
      <c r="F27" s="106">
        <f>E27*F25</f>
        <v>1.4195520000000001</v>
      </c>
      <c r="G27" s="106"/>
      <c r="H27" s="36"/>
      <c r="I27" s="36"/>
      <c r="J27" s="36"/>
      <c r="K27" s="106"/>
      <c r="L27" s="133"/>
      <c r="M27" s="288"/>
    </row>
    <row r="28" spans="1:13" ht="47.25">
      <c r="A28" s="104"/>
      <c r="B28" s="104"/>
      <c r="C28" s="105" t="s">
        <v>137</v>
      </c>
      <c r="D28" s="106" t="s">
        <v>31</v>
      </c>
      <c r="E28" s="107">
        <f>2.73/100</f>
        <v>0.0273</v>
      </c>
      <c r="F28" s="106">
        <f>E28*F25</f>
        <v>1.794156</v>
      </c>
      <c r="G28" s="106"/>
      <c r="H28" s="106"/>
      <c r="I28" s="36"/>
      <c r="J28" s="36"/>
      <c r="K28" s="106"/>
      <c r="L28" s="133"/>
      <c r="M28" s="288"/>
    </row>
    <row r="29" spans="1:13" ht="31.5">
      <c r="A29" s="104"/>
      <c r="B29" s="104"/>
      <c r="C29" s="105" t="s">
        <v>32</v>
      </c>
      <c r="D29" s="106" t="s">
        <v>31</v>
      </c>
      <c r="E29" s="107">
        <f>0.97/100</f>
        <v>0.0097</v>
      </c>
      <c r="F29" s="106">
        <f>E29*F25</f>
        <v>0.637484</v>
      </c>
      <c r="G29" s="106"/>
      <c r="H29" s="106"/>
      <c r="I29" s="36"/>
      <c r="J29" s="36"/>
      <c r="K29" s="106"/>
      <c r="L29" s="133"/>
      <c r="M29" s="288"/>
    </row>
    <row r="30" spans="1:13" ht="18">
      <c r="A30" s="104"/>
      <c r="B30" s="104"/>
      <c r="C30" s="105" t="s">
        <v>138</v>
      </c>
      <c r="D30" s="106" t="s">
        <v>130</v>
      </c>
      <c r="E30" s="106">
        <v>1.22</v>
      </c>
      <c r="F30" s="106">
        <f>E30*F25</f>
        <v>80.1784</v>
      </c>
      <c r="G30" s="106"/>
      <c r="H30" s="106"/>
      <c r="I30" s="106"/>
      <c r="J30" s="106"/>
      <c r="K30" s="106"/>
      <c r="L30" s="133"/>
      <c r="M30" s="288"/>
    </row>
    <row r="31" spans="1:13" ht="18">
      <c r="A31" s="108"/>
      <c r="B31" s="108"/>
      <c r="C31" s="109" t="s">
        <v>54</v>
      </c>
      <c r="D31" s="110" t="s">
        <v>130</v>
      </c>
      <c r="E31" s="110">
        <f>7/100</f>
        <v>0.07</v>
      </c>
      <c r="F31" s="110">
        <f>E31*F25</f>
        <v>4.6004000000000005</v>
      </c>
      <c r="G31" s="110"/>
      <c r="H31" s="110"/>
      <c r="I31" s="110"/>
      <c r="J31" s="110"/>
      <c r="K31" s="37"/>
      <c r="L31" s="189"/>
      <c r="M31" s="289"/>
    </row>
    <row r="32" spans="1:13" ht="63">
      <c r="A32" s="101">
        <v>5</v>
      </c>
      <c r="B32" s="152" t="s">
        <v>84</v>
      </c>
      <c r="C32" s="130" t="s">
        <v>211</v>
      </c>
      <c r="D32" s="106" t="s">
        <v>130</v>
      </c>
      <c r="E32" s="103"/>
      <c r="F32" s="111">
        <f>325.5*0.15</f>
        <v>48.824999999999996</v>
      </c>
      <c r="G32" s="131"/>
      <c r="H32" s="102"/>
      <c r="I32" s="103"/>
      <c r="J32" s="131"/>
      <c r="K32" s="103"/>
      <c r="L32" s="102"/>
      <c r="M32" s="103"/>
    </row>
    <row r="33" spans="1:13" ht="31.5">
      <c r="A33" s="104"/>
      <c r="B33" s="104"/>
      <c r="C33" s="105" t="s">
        <v>29</v>
      </c>
      <c r="D33" s="106" t="s">
        <v>30</v>
      </c>
      <c r="E33" s="132">
        <f>21.6/100</f>
        <v>0.21600000000000003</v>
      </c>
      <c r="F33" s="106">
        <f>E33*F32</f>
        <v>10.5462</v>
      </c>
      <c r="G33" s="106"/>
      <c r="H33" s="106"/>
      <c r="I33" s="36"/>
      <c r="J33" s="36"/>
      <c r="K33" s="36"/>
      <c r="L33" s="36"/>
      <c r="M33" s="106"/>
    </row>
    <row r="34" spans="1:13" ht="31.5">
      <c r="A34" s="104"/>
      <c r="B34" s="104"/>
      <c r="C34" s="105" t="s">
        <v>82</v>
      </c>
      <c r="D34" s="106" t="s">
        <v>31</v>
      </c>
      <c r="E34" s="132">
        <f>1.24/100</f>
        <v>0.0124</v>
      </c>
      <c r="F34" s="106">
        <f>E34*F32</f>
        <v>0.6054299999999999</v>
      </c>
      <c r="G34" s="106"/>
      <c r="H34" s="36"/>
      <c r="I34" s="36"/>
      <c r="J34" s="36"/>
      <c r="K34" s="106"/>
      <c r="L34" s="106"/>
      <c r="M34" s="106"/>
    </row>
    <row r="35" spans="1:13" ht="15.75">
      <c r="A35" s="104"/>
      <c r="B35" s="104"/>
      <c r="C35" s="105" t="s">
        <v>75</v>
      </c>
      <c r="D35" s="106" t="s">
        <v>31</v>
      </c>
      <c r="E35" s="132">
        <f>2.58/100</f>
        <v>0.0258</v>
      </c>
      <c r="F35" s="106">
        <f>E35*F32</f>
        <v>1.259685</v>
      </c>
      <c r="G35" s="106"/>
      <c r="H35" s="106"/>
      <c r="I35" s="106"/>
      <c r="J35" s="106"/>
      <c r="K35" s="106"/>
      <c r="L35" s="106"/>
      <c r="M35" s="106"/>
    </row>
    <row r="36" spans="1:13" ht="47.25">
      <c r="A36" s="104"/>
      <c r="B36" s="104"/>
      <c r="C36" s="105" t="s">
        <v>85</v>
      </c>
      <c r="D36" s="106" t="s">
        <v>31</v>
      </c>
      <c r="E36" s="132">
        <f>0.41/100</f>
        <v>0.0040999999999999995</v>
      </c>
      <c r="F36" s="132">
        <f>E36*F32</f>
        <v>0.20018249999999996</v>
      </c>
      <c r="G36" s="106"/>
      <c r="H36" s="106"/>
      <c r="I36" s="106"/>
      <c r="J36" s="106"/>
      <c r="K36" s="106"/>
      <c r="L36" s="106"/>
      <c r="M36" s="106"/>
    </row>
    <row r="37" spans="1:13" ht="31.5">
      <c r="A37" s="104"/>
      <c r="B37" s="104"/>
      <c r="C37" s="105" t="s">
        <v>55</v>
      </c>
      <c r="D37" s="106" t="s">
        <v>31</v>
      </c>
      <c r="E37" s="132">
        <f>7.6/100</f>
        <v>0.076</v>
      </c>
      <c r="F37" s="106">
        <f>E37*F32</f>
        <v>3.7106999999999997</v>
      </c>
      <c r="G37" s="106"/>
      <c r="H37" s="106"/>
      <c r="I37" s="106"/>
      <c r="J37" s="106"/>
      <c r="K37" s="106"/>
      <c r="L37" s="106"/>
      <c r="M37" s="106"/>
    </row>
    <row r="38" spans="1:13" ht="15.75">
      <c r="A38" s="104"/>
      <c r="B38" s="104"/>
      <c r="C38" s="105" t="s">
        <v>56</v>
      </c>
      <c r="D38" s="106" t="s">
        <v>31</v>
      </c>
      <c r="E38" s="132">
        <f>15.1/100</f>
        <v>0.151</v>
      </c>
      <c r="F38" s="106">
        <f>E38*F32</f>
        <v>7.372574999999999</v>
      </c>
      <c r="G38" s="106"/>
      <c r="H38" s="106"/>
      <c r="I38" s="106"/>
      <c r="J38" s="106"/>
      <c r="K38" s="106"/>
      <c r="L38" s="106"/>
      <c r="M38" s="106"/>
    </row>
    <row r="39" spans="1:13" ht="31.5">
      <c r="A39" s="104"/>
      <c r="B39" s="104"/>
      <c r="C39" s="105" t="s">
        <v>32</v>
      </c>
      <c r="D39" s="106" t="s">
        <v>31</v>
      </c>
      <c r="E39" s="132">
        <f>0.97/100</f>
        <v>0.0097</v>
      </c>
      <c r="F39" s="106">
        <f>E39*F32</f>
        <v>0.4736025</v>
      </c>
      <c r="G39" s="106"/>
      <c r="H39" s="106"/>
      <c r="I39" s="106"/>
      <c r="J39" s="106"/>
      <c r="K39" s="106"/>
      <c r="L39" s="106"/>
      <c r="M39" s="106"/>
    </row>
    <row r="40" spans="1:13" ht="18">
      <c r="A40" s="104"/>
      <c r="B40" s="104"/>
      <c r="C40" s="105" t="s">
        <v>86</v>
      </c>
      <c r="D40" s="106" t="s">
        <v>130</v>
      </c>
      <c r="E40" s="106">
        <v>1.26</v>
      </c>
      <c r="F40" s="106">
        <f>E40*F32</f>
        <v>61.519499999999994</v>
      </c>
      <c r="G40" s="106"/>
      <c r="H40" s="106"/>
      <c r="I40" s="106"/>
      <c r="J40" s="106"/>
      <c r="K40" s="106"/>
      <c r="L40" s="106"/>
      <c r="M40" s="106"/>
    </row>
    <row r="41" spans="1:13" ht="18">
      <c r="A41" s="108"/>
      <c r="B41" s="108"/>
      <c r="C41" s="109" t="s">
        <v>54</v>
      </c>
      <c r="D41" s="110" t="s">
        <v>130</v>
      </c>
      <c r="E41" s="153">
        <f>7/100</f>
        <v>0.07</v>
      </c>
      <c r="F41" s="110">
        <f>E41*F32</f>
        <v>3.41775</v>
      </c>
      <c r="G41" s="110"/>
      <c r="H41" s="110"/>
      <c r="I41" s="110"/>
      <c r="J41" s="110"/>
      <c r="K41" s="110"/>
      <c r="L41" s="110"/>
      <c r="M41" s="110"/>
    </row>
    <row r="42" spans="1:13" ht="49.5">
      <c r="A42" s="154">
        <v>6</v>
      </c>
      <c r="B42" s="104" t="s">
        <v>61</v>
      </c>
      <c r="C42" s="155" t="s">
        <v>132</v>
      </c>
      <c r="D42" s="103" t="s">
        <v>34</v>
      </c>
      <c r="E42" s="103"/>
      <c r="F42" s="156">
        <v>0.22</v>
      </c>
      <c r="G42" s="103"/>
      <c r="H42" s="103"/>
      <c r="I42" s="103"/>
      <c r="J42" s="103"/>
      <c r="K42" s="103"/>
      <c r="L42" s="103"/>
      <c r="M42" s="103"/>
    </row>
    <row r="43" spans="1:13" ht="15.75">
      <c r="A43" s="104"/>
      <c r="B43" s="104"/>
      <c r="C43" s="105" t="s">
        <v>62</v>
      </c>
      <c r="D43" s="106" t="s">
        <v>31</v>
      </c>
      <c r="E43" s="106">
        <v>0.3</v>
      </c>
      <c r="F43" s="106">
        <f>E43*F42</f>
        <v>0.066</v>
      </c>
      <c r="G43" s="106"/>
      <c r="H43" s="36"/>
      <c r="I43" s="36"/>
      <c r="J43" s="36"/>
      <c r="K43" s="106"/>
      <c r="L43" s="106"/>
      <c r="M43" s="106"/>
    </row>
    <row r="44" spans="1:13" ht="15.75">
      <c r="A44" s="108"/>
      <c r="B44" s="108"/>
      <c r="C44" s="109" t="s">
        <v>63</v>
      </c>
      <c r="D44" s="110" t="s">
        <v>34</v>
      </c>
      <c r="E44" s="110">
        <v>1.03</v>
      </c>
      <c r="F44" s="110">
        <f>E44*F42</f>
        <v>0.2266</v>
      </c>
      <c r="G44" s="110"/>
      <c r="H44" s="37"/>
      <c r="I44" s="110"/>
      <c r="J44" s="110"/>
      <c r="K44" s="110"/>
      <c r="L44" s="110"/>
      <c r="M44" s="110"/>
    </row>
    <row r="45" spans="1:13" ht="63">
      <c r="A45" s="104" t="s">
        <v>131</v>
      </c>
      <c r="B45" s="105" t="s">
        <v>77</v>
      </c>
      <c r="C45" s="157" t="s">
        <v>95</v>
      </c>
      <c r="D45" s="106" t="s">
        <v>133</v>
      </c>
      <c r="E45" s="132"/>
      <c r="F45" s="158">
        <v>310</v>
      </c>
      <c r="G45" s="106"/>
      <c r="H45" s="106"/>
      <c r="I45" s="106"/>
      <c r="J45" s="106"/>
      <c r="K45" s="106"/>
      <c r="L45" s="106"/>
      <c r="M45" s="106"/>
    </row>
    <row r="46" spans="1:13" ht="31.5">
      <c r="A46" s="104"/>
      <c r="B46" s="104"/>
      <c r="C46" s="105" t="s">
        <v>29</v>
      </c>
      <c r="D46" s="106" t="s">
        <v>30</v>
      </c>
      <c r="E46" s="132">
        <f>(3.75+0.007*4)/100</f>
        <v>0.03778</v>
      </c>
      <c r="F46" s="106">
        <f>E46*F45</f>
        <v>11.7118</v>
      </c>
      <c r="G46" s="106"/>
      <c r="H46" s="106"/>
      <c r="I46" s="106"/>
      <c r="J46" s="106"/>
      <c r="K46" s="106"/>
      <c r="L46" s="106"/>
      <c r="M46" s="106"/>
    </row>
    <row r="47" spans="1:13" ht="15.75">
      <c r="A47" s="104"/>
      <c r="B47" s="104"/>
      <c r="C47" s="105" t="s">
        <v>64</v>
      </c>
      <c r="D47" s="106" t="s">
        <v>31</v>
      </c>
      <c r="E47" s="132">
        <f>0.3/100</f>
        <v>0.003</v>
      </c>
      <c r="F47" s="106">
        <f>E47*F45</f>
        <v>0.93</v>
      </c>
      <c r="G47" s="106"/>
      <c r="H47" s="106"/>
      <c r="I47" s="106"/>
      <c r="J47" s="106"/>
      <c r="K47" s="106"/>
      <c r="L47" s="106"/>
      <c r="M47" s="106"/>
    </row>
    <row r="48" spans="1:13" ht="31.5">
      <c r="A48" s="104"/>
      <c r="B48" s="104"/>
      <c r="C48" s="105" t="s">
        <v>55</v>
      </c>
      <c r="D48" s="106" t="s">
        <v>31</v>
      </c>
      <c r="E48" s="107">
        <f>0.37/100</f>
        <v>0.0037</v>
      </c>
      <c r="F48" s="106">
        <f>E48*F45</f>
        <v>1.147</v>
      </c>
      <c r="G48" s="106"/>
      <c r="H48" s="106"/>
      <c r="I48" s="106"/>
      <c r="J48" s="106"/>
      <c r="K48" s="106"/>
      <c r="L48" s="106"/>
      <c r="M48" s="106"/>
    </row>
    <row r="49" spans="1:13" ht="15.75">
      <c r="A49" s="104"/>
      <c r="B49" s="104"/>
      <c r="C49" s="105" t="s">
        <v>56</v>
      </c>
      <c r="D49" s="106" t="s">
        <v>31</v>
      </c>
      <c r="E49" s="132">
        <f>1.11/100</f>
        <v>0.0111</v>
      </c>
      <c r="F49" s="106">
        <f>E49*F45</f>
        <v>3.4410000000000003</v>
      </c>
      <c r="G49" s="106"/>
      <c r="H49" s="106"/>
      <c r="I49" s="106"/>
      <c r="J49" s="106"/>
      <c r="K49" s="106"/>
      <c r="L49" s="106"/>
      <c r="M49" s="106"/>
    </row>
    <row r="50" spans="1:13" ht="15.75">
      <c r="A50" s="104"/>
      <c r="B50" s="104"/>
      <c r="C50" s="105" t="s">
        <v>36</v>
      </c>
      <c r="D50" s="106" t="s">
        <v>33</v>
      </c>
      <c r="E50" s="107">
        <f>0.23/100</f>
        <v>0.0023</v>
      </c>
      <c r="F50" s="106">
        <f>E50*F45</f>
        <v>0.713</v>
      </c>
      <c r="G50" s="106"/>
      <c r="H50" s="106"/>
      <c r="I50" s="106"/>
      <c r="J50" s="106"/>
      <c r="K50" s="106"/>
      <c r="L50" s="106"/>
      <c r="M50" s="106"/>
    </row>
    <row r="51" spans="1:13" ht="31.5">
      <c r="A51" s="104"/>
      <c r="B51" s="104"/>
      <c r="C51" s="105" t="s">
        <v>76</v>
      </c>
      <c r="D51" s="106" t="s">
        <v>34</v>
      </c>
      <c r="E51" s="107">
        <f>(9.31+1.16*4)/100</f>
        <v>0.13949999999999999</v>
      </c>
      <c r="F51" s="106">
        <f>E51*F45</f>
        <v>43.245</v>
      </c>
      <c r="G51" s="106"/>
      <c r="H51" s="106"/>
      <c r="I51" s="106"/>
      <c r="J51" s="106"/>
      <c r="K51" s="110"/>
      <c r="L51" s="110"/>
      <c r="M51" s="110"/>
    </row>
    <row r="52" spans="1:13" ht="15.75">
      <c r="A52" s="108"/>
      <c r="B52" s="108"/>
      <c r="C52" s="109" t="s">
        <v>37</v>
      </c>
      <c r="D52" s="110" t="s">
        <v>33</v>
      </c>
      <c r="E52" s="153">
        <f>(1.45+0.02*4)/100</f>
        <v>0.015300000000000001</v>
      </c>
      <c r="F52" s="110">
        <f>E52*F45</f>
        <v>4.743</v>
      </c>
      <c r="G52" s="110"/>
      <c r="H52" s="110"/>
      <c r="I52" s="110"/>
      <c r="J52" s="110"/>
      <c r="K52" s="110"/>
      <c r="L52" s="110"/>
      <c r="M52" s="110"/>
    </row>
    <row r="53" spans="1:13" ht="49.5">
      <c r="A53" s="154">
        <v>8</v>
      </c>
      <c r="B53" s="104" t="s">
        <v>61</v>
      </c>
      <c r="C53" s="155" t="s">
        <v>134</v>
      </c>
      <c r="D53" s="103" t="s">
        <v>34</v>
      </c>
      <c r="E53" s="103"/>
      <c r="F53" s="179">
        <f>F42/2</f>
        <v>0.11</v>
      </c>
      <c r="G53" s="103"/>
      <c r="H53" s="103"/>
      <c r="I53" s="103"/>
      <c r="J53" s="103"/>
      <c r="K53" s="103"/>
      <c r="L53" s="103"/>
      <c r="M53" s="103"/>
    </row>
    <row r="54" spans="1:13" ht="15.75">
      <c r="A54" s="104"/>
      <c r="B54" s="104"/>
      <c r="C54" s="105" t="s">
        <v>62</v>
      </c>
      <c r="D54" s="106" t="s">
        <v>31</v>
      </c>
      <c r="E54" s="106">
        <v>0.3</v>
      </c>
      <c r="F54" s="106">
        <f>E54*F53</f>
        <v>0.033</v>
      </c>
      <c r="G54" s="106"/>
      <c r="H54" s="36"/>
      <c r="I54" s="36"/>
      <c r="J54" s="36"/>
      <c r="K54" s="106"/>
      <c r="L54" s="106"/>
      <c r="M54" s="106"/>
    </row>
    <row r="55" spans="1:13" ht="15.75">
      <c r="A55" s="108"/>
      <c r="B55" s="108"/>
      <c r="C55" s="109" t="s">
        <v>63</v>
      </c>
      <c r="D55" s="110" t="s">
        <v>34</v>
      </c>
      <c r="E55" s="110">
        <v>1.03</v>
      </c>
      <c r="F55" s="110">
        <f>E55*F53</f>
        <v>0.1133</v>
      </c>
      <c r="G55" s="110"/>
      <c r="H55" s="37"/>
      <c r="I55" s="110"/>
      <c r="J55" s="110"/>
      <c r="K55" s="110"/>
      <c r="L55" s="110"/>
      <c r="M55" s="110"/>
    </row>
    <row r="56" spans="1:13" ht="63">
      <c r="A56" s="104" t="s">
        <v>181</v>
      </c>
      <c r="B56" s="105" t="s">
        <v>88</v>
      </c>
      <c r="C56" s="157" t="s">
        <v>127</v>
      </c>
      <c r="D56" s="106" t="s">
        <v>133</v>
      </c>
      <c r="E56" s="132"/>
      <c r="F56" s="158">
        <f>F45</f>
        <v>310</v>
      </c>
      <c r="G56" s="106"/>
      <c r="H56" s="106"/>
      <c r="I56" s="106"/>
      <c r="J56" s="106"/>
      <c r="K56" s="106"/>
      <c r="L56" s="106"/>
      <c r="M56" s="106"/>
    </row>
    <row r="57" spans="1:13" ht="31.5">
      <c r="A57" s="104"/>
      <c r="B57" s="104"/>
      <c r="C57" s="105" t="s">
        <v>29</v>
      </c>
      <c r="D57" s="106" t="s">
        <v>30</v>
      </c>
      <c r="E57" s="132">
        <f>(3.75-0.007*2)/100</f>
        <v>0.037360000000000004</v>
      </c>
      <c r="F57" s="106">
        <f>E57*F56</f>
        <v>11.581600000000002</v>
      </c>
      <c r="G57" s="106"/>
      <c r="H57" s="106"/>
      <c r="I57" s="106"/>
      <c r="J57" s="106"/>
      <c r="K57" s="106"/>
      <c r="L57" s="106"/>
      <c r="M57" s="106"/>
    </row>
    <row r="58" spans="1:13" ht="15.75">
      <c r="A58" s="104"/>
      <c r="B58" s="104"/>
      <c r="C58" s="105" t="s">
        <v>64</v>
      </c>
      <c r="D58" s="106" t="s">
        <v>31</v>
      </c>
      <c r="E58" s="132">
        <f>0.302/100</f>
        <v>0.00302</v>
      </c>
      <c r="F58" s="106">
        <f>E58*F56</f>
        <v>0.9362</v>
      </c>
      <c r="G58" s="106"/>
      <c r="H58" s="106"/>
      <c r="I58" s="106"/>
      <c r="J58" s="106"/>
      <c r="K58" s="106"/>
      <c r="L58" s="106"/>
      <c r="M58" s="106"/>
    </row>
    <row r="59" spans="1:13" ht="31.5">
      <c r="A59" s="104"/>
      <c r="B59" s="104"/>
      <c r="C59" s="105" t="s">
        <v>55</v>
      </c>
      <c r="D59" s="106" t="s">
        <v>31</v>
      </c>
      <c r="E59" s="132">
        <f>0.37/100</f>
        <v>0.0037</v>
      </c>
      <c r="F59" s="106">
        <f>E59*F56</f>
        <v>1.147</v>
      </c>
      <c r="G59" s="106"/>
      <c r="H59" s="106"/>
      <c r="I59" s="106"/>
      <c r="J59" s="106"/>
      <c r="K59" s="106"/>
      <c r="L59" s="106"/>
      <c r="M59" s="106"/>
    </row>
    <row r="60" spans="1:13" ht="15.75">
      <c r="A60" s="104"/>
      <c r="B60" s="104"/>
      <c r="C60" s="105" t="s">
        <v>56</v>
      </c>
      <c r="D60" s="106" t="s">
        <v>31</v>
      </c>
      <c r="E60" s="132">
        <f>1.11/100</f>
        <v>0.0111</v>
      </c>
      <c r="F60" s="106">
        <f>E60*F56</f>
        <v>3.4410000000000003</v>
      </c>
      <c r="G60" s="106"/>
      <c r="H60" s="106"/>
      <c r="I60" s="106"/>
      <c r="J60" s="106"/>
      <c r="K60" s="106"/>
      <c r="L60" s="106"/>
      <c r="M60" s="106"/>
    </row>
    <row r="61" spans="1:13" ht="15.75">
      <c r="A61" s="104"/>
      <c r="B61" s="104"/>
      <c r="C61" s="105" t="s">
        <v>36</v>
      </c>
      <c r="D61" s="106" t="s">
        <v>33</v>
      </c>
      <c r="E61" s="132">
        <f>0.23/100</f>
        <v>0.0023</v>
      </c>
      <c r="F61" s="106">
        <f>E61*F56</f>
        <v>0.713</v>
      </c>
      <c r="G61" s="106"/>
      <c r="H61" s="106"/>
      <c r="I61" s="106"/>
      <c r="J61" s="106"/>
      <c r="K61" s="106"/>
      <c r="L61" s="106"/>
      <c r="M61" s="106"/>
    </row>
    <row r="62" spans="1:13" ht="31.5">
      <c r="A62" s="104"/>
      <c r="B62" s="104"/>
      <c r="C62" s="105" t="s">
        <v>109</v>
      </c>
      <c r="D62" s="106" t="s">
        <v>34</v>
      </c>
      <c r="E62" s="107">
        <v>0.0974</v>
      </c>
      <c r="F62" s="106">
        <f>E62*F56</f>
        <v>30.194</v>
      </c>
      <c r="G62" s="106"/>
      <c r="H62" s="106"/>
      <c r="I62" s="106"/>
      <c r="J62" s="106"/>
      <c r="K62" s="110"/>
      <c r="L62" s="110"/>
      <c r="M62" s="110"/>
    </row>
    <row r="63" spans="1:13" ht="15.75">
      <c r="A63" s="108"/>
      <c r="B63" s="108"/>
      <c r="C63" s="109" t="s">
        <v>37</v>
      </c>
      <c r="D63" s="110" t="s">
        <v>33</v>
      </c>
      <c r="E63" s="153">
        <f>(1.45-0.02*2)/100</f>
        <v>0.0141</v>
      </c>
      <c r="F63" s="110">
        <f>E63*F56</f>
        <v>4.3709999999999996</v>
      </c>
      <c r="G63" s="110"/>
      <c r="H63" s="110"/>
      <c r="I63" s="110"/>
      <c r="J63" s="110"/>
      <c r="K63" s="110"/>
      <c r="L63" s="110"/>
      <c r="M63" s="110"/>
    </row>
    <row r="64" spans="1:13" ht="15.75">
      <c r="A64" s="160"/>
      <c r="B64" s="104"/>
      <c r="C64" s="161" t="s">
        <v>12</v>
      </c>
      <c r="D64" s="162" t="s">
        <v>33</v>
      </c>
      <c r="E64" s="106"/>
      <c r="F64" s="106"/>
      <c r="G64" s="106"/>
      <c r="H64" s="106"/>
      <c r="I64" s="106"/>
      <c r="J64" s="106"/>
      <c r="K64" s="35"/>
      <c r="L64" s="142"/>
      <c r="M64" s="142"/>
    </row>
    <row r="65" spans="1:13" ht="47.25">
      <c r="A65" s="163"/>
      <c r="B65" s="163"/>
      <c r="C65" s="163" t="s">
        <v>235</v>
      </c>
      <c r="D65" s="162"/>
      <c r="E65" s="164"/>
      <c r="F65" s="164"/>
      <c r="G65" s="164"/>
      <c r="H65" s="164"/>
      <c r="I65" s="164"/>
      <c r="J65" s="165"/>
      <c r="K65" s="164"/>
      <c r="L65" s="164"/>
      <c r="M65" s="165"/>
    </row>
    <row r="66" spans="1:13" ht="15.75">
      <c r="A66" s="163"/>
      <c r="B66" s="166"/>
      <c r="C66" s="163" t="s">
        <v>234</v>
      </c>
      <c r="D66" s="162" t="s">
        <v>33</v>
      </c>
      <c r="E66" s="165"/>
      <c r="F66" s="167"/>
      <c r="G66" s="168"/>
      <c r="H66" s="165"/>
      <c r="I66" s="165"/>
      <c r="J66" s="165"/>
      <c r="K66" s="165"/>
      <c r="L66" s="165"/>
      <c r="M66" s="165"/>
    </row>
    <row r="67" spans="1:13" ht="15.75">
      <c r="A67" s="161"/>
      <c r="B67" s="166"/>
      <c r="C67" s="161" t="s">
        <v>12</v>
      </c>
      <c r="D67" s="162" t="s">
        <v>33</v>
      </c>
      <c r="E67" s="159"/>
      <c r="F67" s="161"/>
      <c r="G67" s="161"/>
      <c r="H67" s="159"/>
      <c r="I67" s="159"/>
      <c r="J67" s="159"/>
      <c r="K67" s="159"/>
      <c r="L67" s="159"/>
      <c r="M67" s="159"/>
    </row>
    <row r="68" spans="1:13" ht="15.75">
      <c r="A68" s="163"/>
      <c r="B68" s="166"/>
      <c r="C68" s="164" t="s">
        <v>233</v>
      </c>
      <c r="D68" s="162" t="s">
        <v>33</v>
      </c>
      <c r="E68" s="165"/>
      <c r="F68" s="169"/>
      <c r="G68" s="165"/>
      <c r="H68" s="165"/>
      <c r="I68" s="165"/>
      <c r="J68" s="165"/>
      <c r="K68" s="165"/>
      <c r="L68" s="165"/>
      <c r="M68" s="165"/>
    </row>
    <row r="69" spans="1:13" ht="15.75">
      <c r="A69" s="170"/>
      <c r="B69" s="171"/>
      <c r="C69" s="170" t="s">
        <v>12</v>
      </c>
      <c r="D69" s="172" t="s">
        <v>33</v>
      </c>
      <c r="E69" s="170"/>
      <c r="F69" s="170"/>
      <c r="G69" s="170"/>
      <c r="H69" s="173"/>
      <c r="I69" s="173"/>
      <c r="J69" s="173"/>
      <c r="K69" s="173"/>
      <c r="L69" s="173"/>
      <c r="M69" s="174"/>
    </row>
  </sheetData>
  <sheetProtection/>
  <mergeCells count="22">
    <mergeCell ref="G8:H9"/>
    <mergeCell ref="I8:J9"/>
    <mergeCell ref="K8:L8"/>
    <mergeCell ref="M8:M11"/>
    <mergeCell ref="K9:L9"/>
    <mergeCell ref="H10:H11"/>
    <mergeCell ref="J10:J11"/>
    <mergeCell ref="L10:L11"/>
    <mergeCell ref="A8:A11"/>
    <mergeCell ref="B8:B11"/>
    <mergeCell ref="C8:C11"/>
    <mergeCell ref="D8:F9"/>
    <mergeCell ref="D10:D11"/>
    <mergeCell ref="E10:E11"/>
    <mergeCell ref="F10:F11"/>
    <mergeCell ref="A1:M1"/>
    <mergeCell ref="A2:M2"/>
    <mergeCell ref="A3:M3"/>
    <mergeCell ref="A4:M4"/>
    <mergeCell ref="A5:M5"/>
    <mergeCell ref="B6:D6"/>
    <mergeCell ref="F6:I6"/>
  </mergeCells>
  <printOptions/>
  <pageMargins left="0.5905511811023623" right="0" top="0.5905511811023623" bottom="0.5905511811023623" header="0.5118110236220472" footer="0.5118110236220472"/>
  <pageSetup horizontalDpi="600" verticalDpi="600" orientation="portrait" paperSize="9" scale="58" r:id="rId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58"/>
  <sheetViews>
    <sheetView view="pageBreakPreview" zoomScale="79" zoomScaleNormal="85" zoomScaleSheetLayoutView="79" zoomScalePageLayoutView="0" workbookViewId="0" topLeftCell="A39">
      <selection activeCell="E54" sqref="E54:E58"/>
    </sheetView>
  </sheetViews>
  <sheetFormatPr defaultColWidth="9.00390625" defaultRowHeight="12.75"/>
  <cols>
    <col min="1" max="1" width="3.8515625" style="264" customWidth="1"/>
    <col min="2" max="2" width="12.8515625" style="197" customWidth="1"/>
    <col min="3" max="3" width="30.7109375" style="197" customWidth="1"/>
    <col min="4" max="4" width="8.28125" style="247" customWidth="1"/>
    <col min="5" max="5" width="12.8515625" style="247" customWidth="1"/>
    <col min="6" max="6" width="9.140625" style="247" customWidth="1"/>
    <col min="7" max="7" width="9.7109375" style="247" customWidth="1"/>
    <col min="8" max="8" width="10.28125" style="247" customWidth="1"/>
    <col min="9" max="9" width="11.140625" style="247" customWidth="1"/>
    <col min="10" max="10" width="11.28125" style="247" customWidth="1"/>
    <col min="11" max="11" width="8.8515625" style="247" customWidth="1"/>
    <col min="12" max="12" width="10.421875" style="247" customWidth="1"/>
    <col min="13" max="13" width="13.28125" style="247" customWidth="1"/>
    <col min="14" max="16384" width="9.00390625" style="196" customWidth="1"/>
  </cols>
  <sheetData>
    <row r="1" spans="1:14" ht="30.75" customHeight="1">
      <c r="A1" s="494" t="str">
        <f>'x.a.4'!A1</f>
        <v>mcxeTis municipalitetSi, sofel qsovrisSi Sida saavtomobilo gzebis sareabilitacio samuSaoebi 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195"/>
    </row>
    <row r="2" spans="1:13" ht="16.5" customHeight="1">
      <c r="A2" s="495" t="s">
        <v>107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</row>
    <row r="3" spans="1:13" ht="16.5">
      <c r="A3" s="495"/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</row>
    <row r="4" spans="1:13" ht="16.5">
      <c r="A4" s="495" t="s">
        <v>139</v>
      </c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</row>
    <row r="5" spans="1:13" ht="16.5">
      <c r="A5" s="496"/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</row>
    <row r="6" spans="1:13" ht="15" customHeight="1">
      <c r="A6" s="197"/>
      <c r="B6" s="497" t="s">
        <v>28</v>
      </c>
      <c r="C6" s="497"/>
      <c r="D6" s="498"/>
      <c r="E6" s="198"/>
      <c r="F6" s="499" t="s">
        <v>1</v>
      </c>
      <c r="G6" s="499"/>
      <c r="H6" s="499"/>
      <c r="I6" s="499"/>
      <c r="J6" s="198">
        <f>M58/1000</f>
        <v>0</v>
      </c>
      <c r="K6" s="198" t="s">
        <v>0</v>
      </c>
      <c r="L6" s="198"/>
      <c r="M6" s="198"/>
    </row>
    <row r="7" spans="1:13" ht="16.5">
      <c r="A7" s="197"/>
      <c r="D7" s="198"/>
      <c r="E7" s="198"/>
      <c r="F7" s="198"/>
      <c r="G7" s="198"/>
      <c r="H7" s="198"/>
      <c r="I7" s="198"/>
      <c r="J7" s="198"/>
      <c r="K7" s="198"/>
      <c r="L7" s="198"/>
      <c r="M7" s="198"/>
    </row>
    <row r="8" spans="1:13" ht="15" customHeight="1">
      <c r="A8" s="479" t="s">
        <v>2</v>
      </c>
      <c r="B8" s="482" t="s">
        <v>3</v>
      </c>
      <c r="C8" s="485" t="s">
        <v>27</v>
      </c>
      <c r="D8" s="469" t="s">
        <v>4</v>
      </c>
      <c r="E8" s="488"/>
      <c r="F8" s="471"/>
      <c r="G8" s="469" t="s">
        <v>5</v>
      </c>
      <c r="H8" s="470"/>
      <c r="I8" s="469" t="s">
        <v>6</v>
      </c>
      <c r="J8" s="492"/>
      <c r="K8" s="469" t="s">
        <v>7</v>
      </c>
      <c r="L8" s="470"/>
      <c r="M8" s="471" t="s">
        <v>8</v>
      </c>
    </row>
    <row r="9" spans="1:13" ht="22.5" customHeight="1">
      <c r="A9" s="480"/>
      <c r="B9" s="483"/>
      <c r="C9" s="486"/>
      <c r="D9" s="475"/>
      <c r="E9" s="489"/>
      <c r="F9" s="490"/>
      <c r="G9" s="491"/>
      <c r="H9" s="476"/>
      <c r="I9" s="491"/>
      <c r="J9" s="493"/>
      <c r="K9" s="475" t="s">
        <v>9</v>
      </c>
      <c r="L9" s="476"/>
      <c r="M9" s="472"/>
    </row>
    <row r="10" spans="1:13" ht="16.5">
      <c r="A10" s="480"/>
      <c r="B10" s="483"/>
      <c r="C10" s="486"/>
      <c r="D10" s="477" t="s">
        <v>10</v>
      </c>
      <c r="E10" s="477" t="s">
        <v>11</v>
      </c>
      <c r="F10" s="477" t="s">
        <v>12</v>
      </c>
      <c r="G10" s="199" t="s">
        <v>11</v>
      </c>
      <c r="H10" s="477" t="s">
        <v>12</v>
      </c>
      <c r="I10" s="199" t="s">
        <v>11</v>
      </c>
      <c r="J10" s="477" t="s">
        <v>12</v>
      </c>
      <c r="K10" s="199" t="s">
        <v>11</v>
      </c>
      <c r="L10" s="477" t="s">
        <v>12</v>
      </c>
      <c r="M10" s="473"/>
    </row>
    <row r="11" spans="1:13" ht="16.5">
      <c r="A11" s="481"/>
      <c r="B11" s="484"/>
      <c r="C11" s="487"/>
      <c r="D11" s="478"/>
      <c r="E11" s="478"/>
      <c r="F11" s="478"/>
      <c r="G11" s="200" t="s">
        <v>13</v>
      </c>
      <c r="H11" s="478"/>
      <c r="I11" s="200" t="s">
        <v>13</v>
      </c>
      <c r="J11" s="478"/>
      <c r="K11" s="200" t="s">
        <v>13</v>
      </c>
      <c r="L11" s="478"/>
      <c r="M11" s="474"/>
    </row>
    <row r="12" spans="1:13" ht="16.5">
      <c r="A12" s="201" t="s">
        <v>14</v>
      </c>
      <c r="B12" s="202" t="s">
        <v>15</v>
      </c>
      <c r="C12" s="203" t="s">
        <v>16</v>
      </c>
      <c r="D12" s="204" t="s">
        <v>17</v>
      </c>
      <c r="E12" s="205" t="s">
        <v>18</v>
      </c>
      <c r="F12" s="206" t="s">
        <v>19</v>
      </c>
      <c r="G12" s="207" t="s">
        <v>20</v>
      </c>
      <c r="H12" s="204" t="s">
        <v>21</v>
      </c>
      <c r="I12" s="205" t="s">
        <v>22</v>
      </c>
      <c r="J12" s="207" t="s">
        <v>23</v>
      </c>
      <c r="K12" s="205" t="s">
        <v>24</v>
      </c>
      <c r="L12" s="204" t="s">
        <v>25</v>
      </c>
      <c r="M12" s="205" t="s">
        <v>26</v>
      </c>
    </row>
    <row r="13" spans="1:13" ht="99">
      <c r="A13" s="208">
        <v>1</v>
      </c>
      <c r="B13" s="209" t="s">
        <v>73</v>
      </c>
      <c r="C13" s="210" t="s">
        <v>212</v>
      </c>
      <c r="D13" s="211" t="s">
        <v>140</v>
      </c>
      <c r="E13" s="212"/>
      <c r="F13" s="265">
        <v>77.22</v>
      </c>
      <c r="G13" s="213"/>
      <c r="H13" s="214"/>
      <c r="I13" s="199"/>
      <c r="J13" s="213"/>
      <c r="K13" s="199"/>
      <c r="L13" s="214"/>
      <c r="M13" s="199"/>
    </row>
    <row r="14" spans="1:13" ht="33">
      <c r="A14" s="209"/>
      <c r="B14" s="209"/>
      <c r="C14" s="215" t="s">
        <v>29</v>
      </c>
      <c r="D14" s="211" t="s">
        <v>30</v>
      </c>
      <c r="E14" s="216">
        <f>20/1000</f>
        <v>0.02</v>
      </c>
      <c r="F14" s="211">
        <f>E14*F13</f>
        <v>1.5444</v>
      </c>
      <c r="G14" s="211"/>
      <c r="H14" s="211"/>
      <c r="I14" s="199"/>
      <c r="J14" s="199"/>
      <c r="K14" s="199"/>
      <c r="L14" s="199"/>
      <c r="M14" s="199"/>
    </row>
    <row r="15" spans="1:13" ht="16.5">
      <c r="A15" s="209"/>
      <c r="B15" s="209"/>
      <c r="C15" s="215" t="s">
        <v>72</v>
      </c>
      <c r="D15" s="211" t="s">
        <v>31</v>
      </c>
      <c r="E15" s="216">
        <f>44.8/1000</f>
        <v>0.0448</v>
      </c>
      <c r="F15" s="211">
        <f>E15*F13</f>
        <v>3.459456</v>
      </c>
      <c r="G15" s="211"/>
      <c r="H15" s="211"/>
      <c r="I15" s="199"/>
      <c r="J15" s="213"/>
      <c r="K15" s="182"/>
      <c r="L15" s="214"/>
      <c r="M15" s="199"/>
    </row>
    <row r="16" spans="1:13" ht="16.5">
      <c r="A16" s="209"/>
      <c r="B16" s="209"/>
      <c r="C16" s="215" t="s">
        <v>36</v>
      </c>
      <c r="D16" s="211" t="s">
        <v>33</v>
      </c>
      <c r="E16" s="216">
        <f>2.1/1000</f>
        <v>0.0021000000000000003</v>
      </c>
      <c r="F16" s="217">
        <f>E16*F13</f>
        <v>0.16216200000000003</v>
      </c>
      <c r="G16" s="211"/>
      <c r="H16" s="211"/>
      <c r="I16" s="211"/>
      <c r="J16" s="211"/>
      <c r="K16" s="182"/>
      <c r="L16" s="211"/>
      <c r="M16" s="211"/>
    </row>
    <row r="17" spans="1:13" ht="33">
      <c r="A17" s="218"/>
      <c r="B17" s="219"/>
      <c r="C17" s="220" t="s">
        <v>99</v>
      </c>
      <c r="D17" s="221" t="s">
        <v>34</v>
      </c>
      <c r="E17" s="200"/>
      <c r="F17" s="222">
        <f>F13*1.8</f>
        <v>138.996</v>
      </c>
      <c r="G17" s="223"/>
      <c r="H17" s="221"/>
      <c r="I17" s="200"/>
      <c r="J17" s="223"/>
      <c r="K17" s="180"/>
      <c r="L17" s="221"/>
      <c r="M17" s="200"/>
    </row>
    <row r="18" spans="1:13" ht="99">
      <c r="A18" s="208">
        <v>2</v>
      </c>
      <c r="B18" s="224" t="s">
        <v>101</v>
      </c>
      <c r="C18" s="210" t="s">
        <v>213</v>
      </c>
      <c r="D18" s="211" t="s">
        <v>140</v>
      </c>
      <c r="E18" s="212"/>
      <c r="F18" s="265">
        <v>8.58</v>
      </c>
      <c r="G18" s="213"/>
      <c r="H18" s="214"/>
      <c r="I18" s="199"/>
      <c r="J18" s="213"/>
      <c r="K18" s="199"/>
      <c r="L18" s="214"/>
      <c r="M18" s="199"/>
    </row>
    <row r="19" spans="1:13" ht="33">
      <c r="A19" s="225"/>
      <c r="B19" s="226"/>
      <c r="C19" s="227" t="s">
        <v>29</v>
      </c>
      <c r="D19" s="211" t="s">
        <v>30</v>
      </c>
      <c r="E19" s="199">
        <f>2.06+0.87</f>
        <v>2.93</v>
      </c>
      <c r="F19" s="199">
        <f>E19*F18</f>
        <v>25.139400000000002</v>
      </c>
      <c r="G19" s="199"/>
      <c r="H19" s="199"/>
      <c r="I19" s="199"/>
      <c r="J19" s="199"/>
      <c r="K19" s="199"/>
      <c r="L19" s="199"/>
      <c r="M19" s="211"/>
    </row>
    <row r="20" spans="1:13" ht="33">
      <c r="A20" s="218"/>
      <c r="B20" s="219"/>
      <c r="C20" s="220" t="s">
        <v>99</v>
      </c>
      <c r="D20" s="221" t="s">
        <v>34</v>
      </c>
      <c r="E20" s="200"/>
      <c r="F20" s="222">
        <f>F18*1.8</f>
        <v>15.444</v>
      </c>
      <c r="G20" s="223"/>
      <c r="H20" s="221"/>
      <c r="I20" s="200"/>
      <c r="J20" s="223"/>
      <c r="K20" s="180"/>
      <c r="L20" s="221"/>
      <c r="M20" s="200"/>
    </row>
    <row r="21" spans="1:13" ht="20.25">
      <c r="A21" s="228">
        <v>3</v>
      </c>
      <c r="B21" s="228" t="s">
        <v>74</v>
      </c>
      <c r="C21" s="229" t="s">
        <v>83</v>
      </c>
      <c r="D21" s="230" t="s">
        <v>140</v>
      </c>
      <c r="E21" s="231"/>
      <c r="F21" s="269">
        <f>F13+F18</f>
        <v>85.8</v>
      </c>
      <c r="G21" s="231"/>
      <c r="H21" s="231"/>
      <c r="I21" s="231"/>
      <c r="J21" s="231"/>
      <c r="K21" s="231"/>
      <c r="L21" s="231"/>
      <c r="M21" s="231"/>
    </row>
    <row r="22" spans="1:13" ht="33">
      <c r="A22" s="212"/>
      <c r="B22" s="212"/>
      <c r="C22" s="215" t="s">
        <v>29</v>
      </c>
      <c r="D22" s="211" t="s">
        <v>30</v>
      </c>
      <c r="E22" s="216">
        <f>3.23/1000</f>
        <v>0.00323</v>
      </c>
      <c r="F22" s="211">
        <f>E22*F21</f>
        <v>0.277134</v>
      </c>
      <c r="G22" s="232"/>
      <c r="H22" s="232"/>
      <c r="I22" s="233"/>
      <c r="J22" s="233"/>
      <c r="K22" s="233"/>
      <c r="L22" s="233"/>
      <c r="M22" s="232"/>
    </row>
    <row r="23" spans="1:13" ht="16.5">
      <c r="A23" s="209"/>
      <c r="B23" s="209"/>
      <c r="C23" s="215" t="s">
        <v>60</v>
      </c>
      <c r="D23" s="211" t="s">
        <v>31</v>
      </c>
      <c r="E23" s="234">
        <f>3.62/1000</f>
        <v>0.00362</v>
      </c>
      <c r="F23" s="211">
        <f>E23*F21</f>
        <v>0.310596</v>
      </c>
      <c r="G23" s="211"/>
      <c r="H23" s="211"/>
      <c r="I23" s="211"/>
      <c r="J23" s="211"/>
      <c r="K23" s="182"/>
      <c r="L23" s="211"/>
      <c r="M23" s="211"/>
    </row>
    <row r="24" spans="1:13" ht="16.5">
      <c r="A24" s="235"/>
      <c r="B24" s="235"/>
      <c r="C24" s="236" t="s">
        <v>36</v>
      </c>
      <c r="D24" s="235" t="s">
        <v>33</v>
      </c>
      <c r="E24" s="237">
        <f>0.18/1000</f>
        <v>0.00017999999999999998</v>
      </c>
      <c r="F24" s="238">
        <f>E24*F21</f>
        <v>0.015443999999999998</v>
      </c>
      <c r="G24" s="235"/>
      <c r="H24" s="235"/>
      <c r="I24" s="235"/>
      <c r="J24" s="235"/>
      <c r="K24" s="239"/>
      <c r="L24" s="238"/>
      <c r="M24" s="238"/>
    </row>
    <row r="25" spans="1:13" ht="66">
      <c r="A25" s="208">
        <v>4</v>
      </c>
      <c r="B25" s="209" t="s">
        <v>136</v>
      </c>
      <c r="C25" s="210" t="s">
        <v>141</v>
      </c>
      <c r="D25" s="230" t="s">
        <v>140</v>
      </c>
      <c r="E25" s="231"/>
      <c r="F25" s="266">
        <v>31.83</v>
      </c>
      <c r="G25" s="213"/>
      <c r="H25" s="214"/>
      <c r="I25" s="199"/>
      <c r="J25" s="213"/>
      <c r="K25" s="199"/>
      <c r="L25" s="214"/>
      <c r="M25" s="199"/>
    </row>
    <row r="26" spans="1:13" ht="33" customHeight="1">
      <c r="A26" s="209"/>
      <c r="B26" s="209"/>
      <c r="C26" s="240" t="s">
        <v>29</v>
      </c>
      <c r="D26" s="211" t="s">
        <v>30</v>
      </c>
      <c r="E26" s="211">
        <v>0.15</v>
      </c>
      <c r="F26" s="211">
        <f>E26*F25</f>
        <v>4.7745</v>
      </c>
      <c r="G26" s="211"/>
      <c r="H26" s="211"/>
      <c r="I26" s="241"/>
      <c r="J26" s="241"/>
      <c r="K26" s="241"/>
      <c r="L26" s="241"/>
      <c r="M26" s="211"/>
    </row>
    <row r="27" spans="1:13" ht="33">
      <c r="A27" s="209"/>
      <c r="B27" s="209"/>
      <c r="C27" s="240" t="s">
        <v>82</v>
      </c>
      <c r="D27" s="211" t="s">
        <v>31</v>
      </c>
      <c r="E27" s="211">
        <f>2.16/100</f>
        <v>0.0216</v>
      </c>
      <c r="F27" s="211">
        <f>E27*F25</f>
        <v>0.687528</v>
      </c>
      <c r="G27" s="211"/>
      <c r="H27" s="241"/>
      <c r="I27" s="181"/>
      <c r="J27" s="181"/>
      <c r="K27" s="182"/>
      <c r="L27" s="211"/>
      <c r="M27" s="211"/>
    </row>
    <row r="28" spans="1:13" ht="49.5">
      <c r="A28" s="209"/>
      <c r="B28" s="209"/>
      <c r="C28" s="240" t="s">
        <v>137</v>
      </c>
      <c r="D28" s="211" t="s">
        <v>31</v>
      </c>
      <c r="E28" s="211">
        <f>2.73/100</f>
        <v>0.0273</v>
      </c>
      <c r="F28" s="211">
        <f>E28*F25</f>
        <v>0.868959</v>
      </c>
      <c r="G28" s="211"/>
      <c r="H28" s="211"/>
      <c r="I28" s="181"/>
      <c r="J28" s="181"/>
      <c r="K28" s="182"/>
      <c r="L28" s="211"/>
      <c r="M28" s="211"/>
    </row>
    <row r="29" spans="1:13" ht="33">
      <c r="A29" s="209"/>
      <c r="B29" s="209"/>
      <c r="C29" s="240" t="s">
        <v>32</v>
      </c>
      <c r="D29" s="211" t="s">
        <v>31</v>
      </c>
      <c r="E29" s="211">
        <f>0.97/100</f>
        <v>0.0097</v>
      </c>
      <c r="F29" s="211">
        <f>E29*F25</f>
        <v>0.308751</v>
      </c>
      <c r="G29" s="211"/>
      <c r="H29" s="211"/>
      <c r="I29" s="181"/>
      <c r="J29" s="181"/>
      <c r="K29" s="182"/>
      <c r="L29" s="211"/>
      <c r="M29" s="211"/>
    </row>
    <row r="30" spans="1:13" ht="20.25">
      <c r="A30" s="209"/>
      <c r="B30" s="209"/>
      <c r="C30" s="240" t="s">
        <v>138</v>
      </c>
      <c r="D30" s="211" t="s">
        <v>140</v>
      </c>
      <c r="E30" s="211">
        <v>1.22</v>
      </c>
      <c r="F30" s="211">
        <f>E30*F25</f>
        <v>38.8326</v>
      </c>
      <c r="G30" s="211"/>
      <c r="H30" s="211"/>
      <c r="I30" s="182"/>
      <c r="J30" s="182"/>
      <c r="K30" s="182"/>
      <c r="L30" s="211"/>
      <c r="M30" s="211"/>
    </row>
    <row r="31" spans="1:13" ht="20.25">
      <c r="A31" s="242"/>
      <c r="B31" s="242"/>
      <c r="C31" s="243" t="s">
        <v>54</v>
      </c>
      <c r="D31" s="238" t="s">
        <v>140</v>
      </c>
      <c r="E31" s="238">
        <f>7/100</f>
        <v>0.07</v>
      </c>
      <c r="F31" s="238">
        <f>E31*F25</f>
        <v>2.2281</v>
      </c>
      <c r="G31" s="238"/>
      <c r="H31" s="238"/>
      <c r="I31" s="238"/>
      <c r="J31" s="238"/>
      <c r="K31" s="244"/>
      <c r="L31" s="238"/>
      <c r="M31" s="238"/>
    </row>
    <row r="32" spans="1:13" ht="66">
      <c r="A32" s="208">
        <v>5</v>
      </c>
      <c r="B32" s="245" t="s">
        <v>84</v>
      </c>
      <c r="C32" s="210" t="s">
        <v>142</v>
      </c>
      <c r="D32" s="230" t="s">
        <v>140</v>
      </c>
      <c r="E32" s="231"/>
      <c r="F32" s="266">
        <f>300.3*0.15</f>
        <v>45.045</v>
      </c>
      <c r="G32" s="213"/>
      <c r="H32" s="214"/>
      <c r="I32" s="199"/>
      <c r="J32" s="213"/>
      <c r="K32" s="199"/>
      <c r="L32" s="214"/>
      <c r="M32" s="199"/>
    </row>
    <row r="33" spans="1:13" ht="33">
      <c r="A33" s="209"/>
      <c r="B33" s="209"/>
      <c r="C33" s="240" t="s">
        <v>29</v>
      </c>
      <c r="D33" s="211" t="s">
        <v>30</v>
      </c>
      <c r="E33" s="216">
        <f>21.6/100</f>
        <v>0.21600000000000003</v>
      </c>
      <c r="F33" s="211">
        <f>E33*F32</f>
        <v>9.729720000000002</v>
      </c>
      <c r="G33" s="211"/>
      <c r="H33" s="211"/>
      <c r="I33" s="241"/>
      <c r="J33" s="241"/>
      <c r="K33" s="241"/>
      <c r="L33" s="241"/>
      <c r="M33" s="211"/>
    </row>
    <row r="34" spans="1:13" ht="33">
      <c r="A34" s="209"/>
      <c r="B34" s="209"/>
      <c r="C34" s="240" t="s">
        <v>82</v>
      </c>
      <c r="D34" s="211" t="s">
        <v>31</v>
      </c>
      <c r="E34" s="216">
        <f>1.24/100</f>
        <v>0.0124</v>
      </c>
      <c r="F34" s="211">
        <f>E34*F32</f>
        <v>0.558558</v>
      </c>
      <c r="G34" s="211"/>
      <c r="H34" s="241"/>
      <c r="I34" s="181"/>
      <c r="J34" s="181"/>
      <c r="K34" s="182"/>
      <c r="L34" s="211"/>
      <c r="M34" s="211"/>
    </row>
    <row r="35" spans="1:13" ht="16.5">
      <c r="A35" s="209"/>
      <c r="B35" s="209"/>
      <c r="C35" s="240" t="s">
        <v>75</v>
      </c>
      <c r="D35" s="211" t="s">
        <v>31</v>
      </c>
      <c r="E35" s="216">
        <f>2.58/100</f>
        <v>0.0258</v>
      </c>
      <c r="F35" s="211">
        <f>E35*F32</f>
        <v>1.162161</v>
      </c>
      <c r="G35" s="211"/>
      <c r="H35" s="211"/>
      <c r="I35" s="182"/>
      <c r="J35" s="182"/>
      <c r="K35" s="182"/>
      <c r="L35" s="211"/>
      <c r="M35" s="211"/>
    </row>
    <row r="36" spans="1:13" ht="49.5">
      <c r="A36" s="209"/>
      <c r="B36" s="209"/>
      <c r="C36" s="240" t="s">
        <v>85</v>
      </c>
      <c r="D36" s="211" t="s">
        <v>31</v>
      </c>
      <c r="E36" s="216">
        <f>0.41/100</f>
        <v>0.0040999999999999995</v>
      </c>
      <c r="F36" s="216">
        <f>E36*F32</f>
        <v>0.18468449999999997</v>
      </c>
      <c r="G36" s="211"/>
      <c r="H36" s="211"/>
      <c r="I36" s="182"/>
      <c r="J36" s="182"/>
      <c r="K36" s="182"/>
      <c r="L36" s="211"/>
      <c r="M36" s="211"/>
    </row>
    <row r="37" spans="1:13" ht="33">
      <c r="A37" s="209"/>
      <c r="B37" s="209"/>
      <c r="C37" s="240" t="s">
        <v>55</v>
      </c>
      <c r="D37" s="211" t="s">
        <v>31</v>
      </c>
      <c r="E37" s="216">
        <f>7.6/100</f>
        <v>0.076</v>
      </c>
      <c r="F37" s="211">
        <f>E37*F32</f>
        <v>3.42342</v>
      </c>
      <c r="G37" s="211"/>
      <c r="H37" s="211"/>
      <c r="I37" s="182"/>
      <c r="J37" s="182"/>
      <c r="K37" s="182"/>
      <c r="L37" s="211"/>
      <c r="M37" s="211"/>
    </row>
    <row r="38" spans="1:13" ht="16.5">
      <c r="A38" s="209"/>
      <c r="B38" s="209"/>
      <c r="C38" s="240" t="s">
        <v>56</v>
      </c>
      <c r="D38" s="211" t="s">
        <v>31</v>
      </c>
      <c r="E38" s="216">
        <f>15.1/100</f>
        <v>0.151</v>
      </c>
      <c r="F38" s="211">
        <f>E38*F32</f>
        <v>6.801795</v>
      </c>
      <c r="G38" s="211"/>
      <c r="H38" s="211"/>
      <c r="I38" s="182"/>
      <c r="J38" s="182"/>
      <c r="K38" s="182"/>
      <c r="L38" s="211"/>
      <c r="M38" s="211"/>
    </row>
    <row r="39" spans="1:13" ht="33">
      <c r="A39" s="209"/>
      <c r="B39" s="209"/>
      <c r="C39" s="240" t="s">
        <v>32</v>
      </c>
      <c r="D39" s="211" t="s">
        <v>31</v>
      </c>
      <c r="E39" s="216">
        <f>0.97/100</f>
        <v>0.0097</v>
      </c>
      <c r="F39" s="211">
        <f>E39*F32</f>
        <v>0.4369365</v>
      </c>
      <c r="G39" s="211"/>
      <c r="H39" s="211"/>
      <c r="I39" s="182"/>
      <c r="J39" s="182"/>
      <c r="K39" s="182"/>
      <c r="L39" s="211"/>
      <c r="M39" s="211"/>
    </row>
    <row r="40" spans="1:13" ht="20.25">
      <c r="A40" s="209"/>
      <c r="B40" s="209"/>
      <c r="C40" s="240" t="s">
        <v>86</v>
      </c>
      <c r="D40" s="211" t="s">
        <v>140</v>
      </c>
      <c r="E40" s="211">
        <v>1.26</v>
      </c>
      <c r="F40" s="211">
        <f>E40*F32</f>
        <v>56.7567</v>
      </c>
      <c r="G40" s="211"/>
      <c r="H40" s="211"/>
      <c r="I40" s="182"/>
      <c r="J40" s="182"/>
      <c r="K40" s="182"/>
      <c r="L40" s="211"/>
      <c r="M40" s="211"/>
    </row>
    <row r="41" spans="1:13" ht="20.25">
      <c r="A41" s="242"/>
      <c r="B41" s="242"/>
      <c r="C41" s="243" t="s">
        <v>54</v>
      </c>
      <c r="D41" s="238" t="s">
        <v>140</v>
      </c>
      <c r="E41" s="246">
        <f>7/100</f>
        <v>0.07</v>
      </c>
      <c r="F41" s="238">
        <f>E41*F32</f>
        <v>3.1531500000000006</v>
      </c>
      <c r="G41" s="238"/>
      <c r="H41" s="238"/>
      <c r="I41" s="238"/>
      <c r="J41" s="238"/>
      <c r="K41" s="238"/>
      <c r="L41" s="238"/>
      <c r="M41" s="238"/>
    </row>
    <row r="42" spans="1:13" ht="69.75">
      <c r="A42" s="208">
        <v>6</v>
      </c>
      <c r="B42" s="209" t="s">
        <v>61</v>
      </c>
      <c r="C42" s="210" t="s">
        <v>143</v>
      </c>
      <c r="D42" s="214" t="s">
        <v>34</v>
      </c>
      <c r="E42" s="199"/>
      <c r="F42" s="267">
        <v>0.2</v>
      </c>
      <c r="G42" s="213"/>
      <c r="H42" s="214"/>
      <c r="I42" s="199"/>
      <c r="J42" s="213"/>
      <c r="K42" s="199"/>
      <c r="L42" s="214"/>
      <c r="M42" s="199"/>
    </row>
    <row r="43" spans="1:13" ht="33">
      <c r="A43" s="209"/>
      <c r="B43" s="209"/>
      <c r="C43" s="240" t="s">
        <v>62</v>
      </c>
      <c r="D43" s="211" t="s">
        <v>31</v>
      </c>
      <c r="E43" s="211">
        <v>0.3</v>
      </c>
      <c r="F43" s="211">
        <f>E43*F42</f>
        <v>0.06</v>
      </c>
      <c r="G43" s="211"/>
      <c r="H43" s="241"/>
      <c r="I43" s="241"/>
      <c r="J43" s="241"/>
      <c r="K43" s="182"/>
      <c r="L43" s="211"/>
      <c r="M43" s="211"/>
    </row>
    <row r="44" spans="1:13" ht="16.5">
      <c r="A44" s="242"/>
      <c r="B44" s="242"/>
      <c r="C44" s="243" t="s">
        <v>63</v>
      </c>
      <c r="D44" s="238" t="s">
        <v>34</v>
      </c>
      <c r="E44" s="238">
        <v>1.03</v>
      </c>
      <c r="F44" s="238">
        <f>E44*F42</f>
        <v>0.20600000000000002</v>
      </c>
      <c r="G44" s="238"/>
      <c r="H44" s="244"/>
      <c r="I44" s="238"/>
      <c r="J44" s="238"/>
      <c r="K44" s="183"/>
      <c r="L44" s="238"/>
      <c r="M44" s="238"/>
    </row>
    <row r="45" spans="1:13" ht="82.5">
      <c r="A45" s="208">
        <v>7</v>
      </c>
      <c r="B45" s="240" t="s">
        <v>144</v>
      </c>
      <c r="C45" s="210" t="s">
        <v>145</v>
      </c>
      <c r="D45" s="214" t="s">
        <v>146</v>
      </c>
      <c r="E45" s="199"/>
      <c r="F45" s="268">
        <v>286</v>
      </c>
      <c r="G45" s="213"/>
      <c r="H45" s="214"/>
      <c r="I45" s="199"/>
      <c r="J45" s="213"/>
      <c r="K45" s="199"/>
      <c r="L45" s="214"/>
      <c r="M45" s="199"/>
    </row>
    <row r="46" spans="1:13" ht="33">
      <c r="A46" s="209"/>
      <c r="B46" s="209"/>
      <c r="C46" s="240" t="s">
        <v>29</v>
      </c>
      <c r="D46" s="211" t="s">
        <v>30</v>
      </c>
      <c r="E46" s="216">
        <f>(3.75+0.007*2)/100</f>
        <v>0.03764</v>
      </c>
      <c r="F46" s="211">
        <f>E46*F45</f>
        <v>10.76504</v>
      </c>
      <c r="G46" s="211"/>
      <c r="H46" s="211"/>
      <c r="I46" s="211"/>
      <c r="J46" s="211"/>
      <c r="K46" s="211"/>
      <c r="L46" s="211"/>
      <c r="M46" s="211"/>
    </row>
    <row r="47" spans="1:13" ht="33">
      <c r="A47" s="209"/>
      <c r="B47" s="209"/>
      <c r="C47" s="240" t="s">
        <v>64</v>
      </c>
      <c r="D47" s="211" t="s">
        <v>31</v>
      </c>
      <c r="E47" s="216">
        <f>0.302/100</f>
        <v>0.00302</v>
      </c>
      <c r="F47" s="211">
        <f>E47*F45</f>
        <v>0.86372</v>
      </c>
      <c r="G47" s="211"/>
      <c r="H47" s="211"/>
      <c r="I47" s="182"/>
      <c r="J47" s="182"/>
      <c r="K47" s="182"/>
      <c r="L47" s="211"/>
      <c r="M47" s="211"/>
    </row>
    <row r="48" spans="1:13" ht="33">
      <c r="A48" s="209"/>
      <c r="B48" s="209"/>
      <c r="C48" s="240" t="s">
        <v>55</v>
      </c>
      <c r="D48" s="211" t="s">
        <v>31</v>
      </c>
      <c r="E48" s="216">
        <f>0.37/100</f>
        <v>0.0037</v>
      </c>
      <c r="F48" s="211">
        <f>E48*F45</f>
        <v>1.0582</v>
      </c>
      <c r="G48" s="211"/>
      <c r="H48" s="211"/>
      <c r="I48" s="182"/>
      <c r="J48" s="182"/>
      <c r="K48" s="182"/>
      <c r="L48" s="211"/>
      <c r="M48" s="211"/>
    </row>
    <row r="49" spans="1:13" ht="16.5">
      <c r="A49" s="209"/>
      <c r="B49" s="209"/>
      <c r="C49" s="240" t="s">
        <v>56</v>
      </c>
      <c r="D49" s="211" t="s">
        <v>31</v>
      </c>
      <c r="E49" s="216">
        <f>1.11/100</f>
        <v>0.0111</v>
      </c>
      <c r="F49" s="211">
        <f>E49*F45</f>
        <v>3.1746000000000003</v>
      </c>
      <c r="G49" s="211"/>
      <c r="H49" s="211"/>
      <c r="I49" s="182"/>
      <c r="J49" s="182"/>
      <c r="K49" s="182"/>
      <c r="L49" s="211"/>
      <c r="M49" s="211"/>
    </row>
    <row r="50" spans="1:13" ht="16.5">
      <c r="A50" s="209"/>
      <c r="B50" s="209"/>
      <c r="C50" s="240" t="s">
        <v>36</v>
      </c>
      <c r="D50" s="211" t="s">
        <v>33</v>
      </c>
      <c r="E50" s="216">
        <f>0.23/100</f>
        <v>0.0023</v>
      </c>
      <c r="F50" s="211">
        <f>E50*F45</f>
        <v>0.6577999999999999</v>
      </c>
      <c r="G50" s="211"/>
      <c r="H50" s="211"/>
      <c r="I50" s="182"/>
      <c r="J50" s="182"/>
      <c r="K50" s="182"/>
      <c r="L50" s="211"/>
      <c r="M50" s="211"/>
    </row>
    <row r="51" spans="1:13" ht="33">
      <c r="A51" s="209"/>
      <c r="B51" s="209"/>
      <c r="C51" s="240" t="s">
        <v>147</v>
      </c>
      <c r="D51" s="211" t="s">
        <v>34</v>
      </c>
      <c r="E51" s="234">
        <f>(9.74+1.21*2)/100</f>
        <v>0.1216</v>
      </c>
      <c r="F51" s="211">
        <f>E51*F45</f>
        <v>34.7776</v>
      </c>
      <c r="G51" s="211"/>
      <c r="H51" s="211"/>
      <c r="I51" s="182"/>
      <c r="J51" s="182"/>
      <c r="K51" s="183"/>
      <c r="L51" s="211"/>
      <c r="M51" s="211"/>
    </row>
    <row r="52" spans="1:13" ht="16.5">
      <c r="A52" s="242"/>
      <c r="B52" s="242"/>
      <c r="C52" s="243" t="s">
        <v>37</v>
      </c>
      <c r="D52" s="238" t="s">
        <v>33</v>
      </c>
      <c r="E52" s="246">
        <f>(1.45+0.02*2)/100</f>
        <v>0.0149</v>
      </c>
      <c r="F52" s="238">
        <f>E52*F45</f>
        <v>4.2614</v>
      </c>
      <c r="G52" s="238"/>
      <c r="H52" s="238"/>
      <c r="I52" s="183"/>
      <c r="J52" s="183"/>
      <c r="K52" s="183"/>
      <c r="L52" s="238"/>
      <c r="M52" s="238"/>
    </row>
    <row r="53" spans="1:13" ht="16.5">
      <c r="A53" s="248"/>
      <c r="B53" s="209"/>
      <c r="C53" s="249" t="s">
        <v>12</v>
      </c>
      <c r="D53" s="250" t="s">
        <v>33</v>
      </c>
      <c r="E53" s="211"/>
      <c r="F53" s="211"/>
      <c r="G53" s="211"/>
      <c r="H53" s="211"/>
      <c r="I53" s="211"/>
      <c r="J53" s="211"/>
      <c r="K53" s="241"/>
      <c r="L53" s="211"/>
      <c r="M53" s="211"/>
    </row>
    <row r="54" spans="1:13" ht="66">
      <c r="A54" s="251"/>
      <c r="B54" s="251"/>
      <c r="C54" s="251" t="s">
        <v>235</v>
      </c>
      <c r="D54" s="250"/>
      <c r="E54" s="252"/>
      <c r="F54" s="252"/>
      <c r="G54" s="252"/>
      <c r="H54" s="252"/>
      <c r="I54" s="252"/>
      <c r="J54" s="253"/>
      <c r="K54" s="252"/>
      <c r="L54" s="252"/>
      <c r="M54" s="253"/>
    </row>
    <row r="55" spans="1:13" ht="16.5">
      <c r="A55" s="251"/>
      <c r="B55" s="254"/>
      <c r="C55" s="251" t="s">
        <v>234</v>
      </c>
      <c r="D55" s="250" t="s">
        <v>33</v>
      </c>
      <c r="E55" s="253"/>
      <c r="F55" s="255"/>
      <c r="G55" s="256"/>
      <c r="H55" s="253"/>
      <c r="I55" s="253"/>
      <c r="J55" s="253"/>
      <c r="K55" s="253"/>
      <c r="L55" s="253"/>
      <c r="M55" s="253"/>
    </row>
    <row r="56" spans="1:13" ht="16.5">
      <c r="A56" s="249"/>
      <c r="B56" s="254"/>
      <c r="C56" s="249" t="s">
        <v>12</v>
      </c>
      <c r="D56" s="250" t="s">
        <v>33</v>
      </c>
      <c r="E56" s="257"/>
      <c r="F56" s="249"/>
      <c r="G56" s="249"/>
      <c r="H56" s="257"/>
      <c r="I56" s="257"/>
      <c r="J56" s="257"/>
      <c r="K56" s="257"/>
      <c r="L56" s="257"/>
      <c r="M56" s="257"/>
    </row>
    <row r="57" spans="1:13" ht="16.5">
      <c r="A57" s="251"/>
      <c r="B57" s="254"/>
      <c r="C57" s="252" t="s">
        <v>237</v>
      </c>
      <c r="D57" s="250" t="s">
        <v>33</v>
      </c>
      <c r="E57" s="253"/>
      <c r="F57" s="258"/>
      <c r="G57" s="253"/>
      <c r="H57" s="253"/>
      <c r="I57" s="253"/>
      <c r="J57" s="253"/>
      <c r="K57" s="253"/>
      <c r="L57" s="253"/>
      <c r="M57" s="253"/>
    </row>
    <row r="58" spans="1:13" ht="16.5">
      <c r="A58" s="259"/>
      <c r="B58" s="260"/>
      <c r="C58" s="259" t="s">
        <v>12</v>
      </c>
      <c r="D58" s="261" t="s">
        <v>33</v>
      </c>
      <c r="E58" s="259"/>
      <c r="F58" s="259"/>
      <c r="G58" s="259"/>
      <c r="H58" s="262"/>
      <c r="I58" s="262"/>
      <c r="J58" s="262"/>
      <c r="K58" s="262"/>
      <c r="L58" s="262"/>
      <c r="M58" s="263"/>
    </row>
  </sheetData>
  <sheetProtection/>
  <mergeCells count="22">
    <mergeCell ref="A1:M1"/>
    <mergeCell ref="A2:M2"/>
    <mergeCell ref="A3:M3"/>
    <mergeCell ref="A4:M4"/>
    <mergeCell ref="A5:M5"/>
    <mergeCell ref="B6:D6"/>
    <mergeCell ref="F6:I6"/>
    <mergeCell ref="A8:A11"/>
    <mergeCell ref="B8:B11"/>
    <mergeCell ref="C8:C11"/>
    <mergeCell ref="D8:F9"/>
    <mergeCell ref="G8:H9"/>
    <mergeCell ref="I8:J9"/>
    <mergeCell ref="K8:L8"/>
    <mergeCell ref="M8:M11"/>
    <mergeCell ref="K9:L9"/>
    <mergeCell ref="D10:D11"/>
    <mergeCell ref="E10:E11"/>
    <mergeCell ref="F10:F11"/>
    <mergeCell ref="H10:H11"/>
    <mergeCell ref="J10:J11"/>
    <mergeCell ref="L10:L11"/>
  </mergeCells>
  <printOptions/>
  <pageMargins left="0.7" right="0.7" top="0.75" bottom="0.75" header="0.3" footer="0.3"/>
  <pageSetup horizontalDpi="600" verticalDpi="600" orientation="portrait" scale="60" r:id="rId1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SheetLayoutView="100" zoomScalePageLayoutView="0" workbookViewId="0" topLeftCell="A16">
      <selection activeCell="E23" sqref="E23:E27"/>
    </sheetView>
  </sheetViews>
  <sheetFormatPr defaultColWidth="9.00390625" defaultRowHeight="12.75"/>
  <cols>
    <col min="1" max="1" width="3.8515625" style="88" customWidth="1"/>
    <col min="2" max="2" width="9.7109375" style="41" customWidth="1"/>
    <col min="3" max="3" width="30.7109375" style="41" customWidth="1"/>
    <col min="4" max="4" width="8.28125" style="71" customWidth="1"/>
    <col min="5" max="5" width="9.00390625" style="71" customWidth="1"/>
    <col min="6" max="6" width="9.140625" style="71" customWidth="1"/>
    <col min="7" max="7" width="9.7109375" style="71" customWidth="1"/>
    <col min="8" max="8" width="10.28125" style="71" customWidth="1"/>
    <col min="9" max="9" width="10.00390625" style="71" customWidth="1"/>
    <col min="10" max="10" width="10.28125" style="71" customWidth="1"/>
    <col min="11" max="11" width="8.8515625" style="71" customWidth="1"/>
    <col min="12" max="12" width="10.421875" style="71" customWidth="1"/>
    <col min="13" max="13" width="12.28125" style="71" customWidth="1"/>
    <col min="14" max="16384" width="9.00390625" style="92" customWidth="1"/>
  </cols>
  <sheetData>
    <row r="1" spans="1:14" ht="21.75" customHeight="1">
      <c r="A1" s="404" t="str">
        <f>'x.a.4'!A1</f>
        <v>mcxeTis municipalitetSi, sofel qsovrisSi Sida saavtomobilo gzebis sareabilitacio samuSaoebi 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39"/>
    </row>
    <row r="2" spans="1:13" ht="15.75">
      <c r="A2" s="405" t="s">
        <v>150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</row>
    <row r="3" spans="1:13" ht="15.75">
      <c r="A3" s="405"/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</row>
    <row r="4" spans="1:13" ht="15.75">
      <c r="A4" s="500" t="s">
        <v>112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</row>
    <row r="5" spans="1:13" ht="15.75">
      <c r="A5" s="406"/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</row>
    <row r="6" spans="1:13" ht="15" customHeight="1">
      <c r="A6" s="41"/>
      <c r="B6" s="407" t="s">
        <v>28</v>
      </c>
      <c r="C6" s="407"/>
      <c r="D6" s="408"/>
      <c r="E6" s="42"/>
      <c r="F6" s="409" t="s">
        <v>1</v>
      </c>
      <c r="G6" s="409"/>
      <c r="H6" s="409"/>
      <c r="I6" s="409"/>
      <c r="J6" s="97">
        <f>M27/1000</f>
        <v>0</v>
      </c>
      <c r="K6" s="42" t="s">
        <v>0</v>
      </c>
      <c r="L6" s="42"/>
      <c r="M6" s="42"/>
    </row>
    <row r="7" spans="1:13" ht="15.75">
      <c r="A7" s="41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 ht="15" customHeight="1">
      <c r="A8" s="421" t="s">
        <v>2</v>
      </c>
      <c r="B8" s="424" t="s">
        <v>3</v>
      </c>
      <c r="C8" s="410" t="s">
        <v>27</v>
      </c>
      <c r="D8" s="413" t="s">
        <v>4</v>
      </c>
      <c r="E8" s="414"/>
      <c r="F8" s="415"/>
      <c r="G8" s="413" t="s">
        <v>5</v>
      </c>
      <c r="H8" s="427"/>
      <c r="I8" s="413" t="s">
        <v>6</v>
      </c>
      <c r="J8" s="430"/>
      <c r="K8" s="413" t="s">
        <v>7</v>
      </c>
      <c r="L8" s="427"/>
      <c r="M8" s="415" t="s">
        <v>8</v>
      </c>
    </row>
    <row r="9" spans="1:13" ht="22.5" customHeight="1">
      <c r="A9" s="422"/>
      <c r="B9" s="425"/>
      <c r="C9" s="411"/>
      <c r="D9" s="416"/>
      <c r="E9" s="417"/>
      <c r="F9" s="418"/>
      <c r="G9" s="428"/>
      <c r="H9" s="429"/>
      <c r="I9" s="428"/>
      <c r="J9" s="431"/>
      <c r="K9" s="416" t="s">
        <v>9</v>
      </c>
      <c r="L9" s="429"/>
      <c r="M9" s="432"/>
    </row>
    <row r="10" spans="1:13" ht="15.75">
      <c r="A10" s="422"/>
      <c r="B10" s="425"/>
      <c r="C10" s="411"/>
      <c r="D10" s="419" t="s">
        <v>10</v>
      </c>
      <c r="E10" s="419" t="s">
        <v>11</v>
      </c>
      <c r="F10" s="419" t="s">
        <v>12</v>
      </c>
      <c r="G10" s="43" t="s">
        <v>11</v>
      </c>
      <c r="H10" s="419" t="s">
        <v>12</v>
      </c>
      <c r="I10" s="43" t="s">
        <v>11</v>
      </c>
      <c r="J10" s="419" t="s">
        <v>12</v>
      </c>
      <c r="K10" s="43" t="s">
        <v>11</v>
      </c>
      <c r="L10" s="419" t="s">
        <v>12</v>
      </c>
      <c r="M10" s="433"/>
    </row>
    <row r="11" spans="1:13" ht="15.75">
      <c r="A11" s="423"/>
      <c r="B11" s="426"/>
      <c r="C11" s="412"/>
      <c r="D11" s="420"/>
      <c r="E11" s="420"/>
      <c r="F11" s="420"/>
      <c r="G11" s="44" t="s">
        <v>13</v>
      </c>
      <c r="H11" s="420"/>
      <c r="I11" s="44" t="s">
        <v>13</v>
      </c>
      <c r="J11" s="420"/>
      <c r="K11" s="44" t="s">
        <v>13</v>
      </c>
      <c r="L11" s="420"/>
      <c r="M11" s="434"/>
    </row>
    <row r="12" spans="1:13" ht="15.75">
      <c r="A12" s="45" t="s">
        <v>14</v>
      </c>
      <c r="B12" s="46" t="s">
        <v>15</v>
      </c>
      <c r="C12" s="47" t="s">
        <v>16</v>
      </c>
      <c r="D12" s="49" t="s">
        <v>17</v>
      </c>
      <c r="E12" s="49" t="s">
        <v>18</v>
      </c>
      <c r="F12" s="50" t="s">
        <v>19</v>
      </c>
      <c r="G12" s="51" t="s">
        <v>20</v>
      </c>
      <c r="H12" s="48" t="s">
        <v>21</v>
      </c>
      <c r="I12" s="49" t="s">
        <v>22</v>
      </c>
      <c r="J12" s="51" t="s">
        <v>23</v>
      </c>
      <c r="K12" s="49" t="s">
        <v>24</v>
      </c>
      <c r="L12" s="48" t="s">
        <v>25</v>
      </c>
      <c r="M12" s="49" t="s">
        <v>26</v>
      </c>
    </row>
    <row r="13" spans="1:13" ht="110.25">
      <c r="A13" s="93">
        <v>1</v>
      </c>
      <c r="B13" s="93" t="s">
        <v>113</v>
      </c>
      <c r="C13" s="96" t="s">
        <v>114</v>
      </c>
      <c r="D13" s="93" t="s">
        <v>115</v>
      </c>
      <c r="E13" s="93"/>
      <c r="F13" s="112">
        <v>1</v>
      </c>
      <c r="G13" s="93"/>
      <c r="H13" s="93"/>
      <c r="I13" s="93"/>
      <c r="J13" s="98"/>
      <c r="K13" s="93"/>
      <c r="L13" s="93"/>
      <c r="M13" s="93"/>
    </row>
    <row r="14" spans="1:13" ht="31.5">
      <c r="A14" s="68"/>
      <c r="B14" s="68"/>
      <c r="C14" s="69" t="s">
        <v>29</v>
      </c>
      <c r="D14" s="64" t="s">
        <v>30</v>
      </c>
      <c r="E14" s="66">
        <v>3.23</v>
      </c>
      <c r="F14" s="66">
        <f>E14*F13</f>
        <v>3.23</v>
      </c>
      <c r="G14" s="64"/>
      <c r="H14" s="64"/>
      <c r="I14" s="64"/>
      <c r="J14" s="64"/>
      <c r="K14" s="64"/>
      <c r="L14" s="64"/>
      <c r="M14" s="64"/>
    </row>
    <row r="15" spans="1:13" ht="31.5">
      <c r="A15" s="68"/>
      <c r="B15" s="70"/>
      <c r="C15" s="67" t="s">
        <v>116</v>
      </c>
      <c r="D15" s="64" t="s">
        <v>31</v>
      </c>
      <c r="E15" s="66">
        <v>0.15</v>
      </c>
      <c r="F15" s="64">
        <f>E15*F13</f>
        <v>0.15</v>
      </c>
      <c r="G15" s="64"/>
      <c r="H15" s="64"/>
      <c r="I15" s="64"/>
      <c r="J15" s="64"/>
      <c r="K15" s="82"/>
      <c r="L15" s="64"/>
      <c r="M15" s="64"/>
    </row>
    <row r="16" spans="1:13" ht="31.5">
      <c r="A16" s="68"/>
      <c r="B16" s="70"/>
      <c r="C16" s="69" t="s">
        <v>117</v>
      </c>
      <c r="D16" s="64" t="s">
        <v>31</v>
      </c>
      <c r="E16" s="66">
        <v>0.286</v>
      </c>
      <c r="F16" s="64">
        <f>E16*F13</f>
        <v>0.286</v>
      </c>
      <c r="G16" s="64"/>
      <c r="H16" s="64"/>
      <c r="I16" s="64"/>
      <c r="J16" s="64"/>
      <c r="K16" s="82"/>
      <c r="L16" s="64"/>
      <c r="M16" s="64"/>
    </row>
    <row r="17" spans="1:13" ht="18">
      <c r="A17" s="68"/>
      <c r="B17" s="99"/>
      <c r="C17" s="65" t="s">
        <v>135</v>
      </c>
      <c r="D17" s="66" t="s">
        <v>129</v>
      </c>
      <c r="E17" s="66">
        <v>0.34</v>
      </c>
      <c r="F17" s="64">
        <f>E17*F13</f>
        <v>0.34</v>
      </c>
      <c r="G17" s="64"/>
      <c r="H17" s="64"/>
      <c r="I17" s="43"/>
      <c r="J17" s="64"/>
      <c r="K17" s="64"/>
      <c r="L17" s="64"/>
      <c r="M17" s="64"/>
    </row>
    <row r="18" spans="1:13" ht="31.5">
      <c r="A18" s="68"/>
      <c r="B18" s="68"/>
      <c r="C18" s="67" t="s">
        <v>118</v>
      </c>
      <c r="D18" s="66" t="s">
        <v>115</v>
      </c>
      <c r="E18" s="100" t="s">
        <v>58</v>
      </c>
      <c r="F18" s="64">
        <f>F13</f>
        <v>1</v>
      </c>
      <c r="G18" s="64"/>
      <c r="H18" s="64"/>
      <c r="I18" s="64"/>
      <c r="J18" s="64"/>
      <c r="K18" s="64"/>
      <c r="L18" s="64"/>
      <c r="M18" s="64"/>
    </row>
    <row r="19" spans="1:13" ht="15.75">
      <c r="A19" s="68"/>
      <c r="B19" s="68"/>
      <c r="C19" s="65" t="s">
        <v>59</v>
      </c>
      <c r="D19" s="66" t="s">
        <v>33</v>
      </c>
      <c r="E19" s="66">
        <v>0.649</v>
      </c>
      <c r="F19" s="64">
        <f>E19*F13</f>
        <v>0.649</v>
      </c>
      <c r="G19" s="64"/>
      <c r="H19" s="64"/>
      <c r="I19" s="64"/>
      <c r="J19" s="64"/>
      <c r="K19" s="64"/>
      <c r="L19" s="64"/>
      <c r="M19" s="64"/>
    </row>
    <row r="20" spans="1:13" ht="19.5" customHeight="1">
      <c r="A20" s="93"/>
      <c r="B20" s="95"/>
      <c r="C20" s="114" t="s">
        <v>119</v>
      </c>
      <c r="D20" s="93"/>
      <c r="E20" s="93"/>
      <c r="F20" s="94"/>
      <c r="G20" s="94"/>
      <c r="H20" s="94"/>
      <c r="I20" s="94"/>
      <c r="J20" s="94"/>
      <c r="K20" s="94"/>
      <c r="L20" s="94"/>
      <c r="M20" s="94"/>
    </row>
    <row r="21" spans="1:13" ht="21.75" customHeight="1">
      <c r="A21" s="66"/>
      <c r="B21" s="68"/>
      <c r="C21" s="113" t="s">
        <v>120</v>
      </c>
      <c r="D21" s="66" t="s">
        <v>115</v>
      </c>
      <c r="E21" s="66"/>
      <c r="F21" s="75">
        <v>1</v>
      </c>
      <c r="G21" s="64"/>
      <c r="H21" s="64"/>
      <c r="I21" s="64"/>
      <c r="J21" s="64"/>
      <c r="K21" s="64"/>
      <c r="L21" s="64"/>
      <c r="M21" s="64"/>
    </row>
    <row r="22" spans="1:13" ht="15.75">
      <c r="A22" s="176"/>
      <c r="B22" s="152"/>
      <c r="C22" s="177" t="s">
        <v>12</v>
      </c>
      <c r="D22" s="178" t="s">
        <v>33</v>
      </c>
      <c r="E22" s="142"/>
      <c r="F22" s="142"/>
      <c r="G22" s="142"/>
      <c r="H22" s="142"/>
      <c r="I22" s="142"/>
      <c r="J22" s="142"/>
      <c r="K22" s="35"/>
      <c r="L22" s="142"/>
      <c r="M22" s="142"/>
    </row>
    <row r="23" spans="1:13" ht="47.25">
      <c r="A23" s="163"/>
      <c r="B23" s="163"/>
      <c r="C23" s="163" t="s">
        <v>235</v>
      </c>
      <c r="D23" s="162"/>
      <c r="E23" s="164"/>
      <c r="F23" s="164"/>
      <c r="G23" s="164"/>
      <c r="H23" s="164"/>
      <c r="I23" s="164"/>
      <c r="J23" s="165"/>
      <c r="K23" s="164"/>
      <c r="L23" s="164"/>
      <c r="M23" s="165"/>
    </row>
    <row r="24" spans="1:13" ht="15.75">
      <c r="A24" s="163"/>
      <c r="B24" s="166"/>
      <c r="C24" s="163" t="s">
        <v>236</v>
      </c>
      <c r="D24" s="162" t="s">
        <v>33</v>
      </c>
      <c r="E24" s="165"/>
      <c r="F24" s="167"/>
      <c r="G24" s="168"/>
      <c r="H24" s="165"/>
      <c r="I24" s="165"/>
      <c r="J24" s="165"/>
      <c r="K24" s="165"/>
      <c r="L24" s="165"/>
      <c r="M24" s="165"/>
    </row>
    <row r="25" spans="1:13" ht="15.75">
      <c r="A25" s="161"/>
      <c r="B25" s="166"/>
      <c r="C25" s="161" t="s">
        <v>12</v>
      </c>
      <c r="D25" s="162" t="s">
        <v>33</v>
      </c>
      <c r="E25" s="159"/>
      <c r="F25" s="161"/>
      <c r="G25" s="161"/>
      <c r="H25" s="159"/>
      <c r="I25" s="159"/>
      <c r="J25" s="159"/>
      <c r="K25" s="159"/>
      <c r="L25" s="159"/>
      <c r="M25" s="159"/>
    </row>
    <row r="26" spans="1:13" ht="15.75">
      <c r="A26" s="163"/>
      <c r="B26" s="166"/>
      <c r="C26" s="164" t="s">
        <v>238</v>
      </c>
      <c r="D26" s="162" t="s">
        <v>33</v>
      </c>
      <c r="E26" s="165"/>
      <c r="F26" s="169"/>
      <c r="G26" s="165"/>
      <c r="H26" s="165"/>
      <c r="I26" s="165"/>
      <c r="J26" s="165"/>
      <c r="K26" s="165"/>
      <c r="L26" s="165"/>
      <c r="M26" s="165"/>
    </row>
    <row r="27" spans="1:13" ht="15.75">
      <c r="A27" s="170"/>
      <c r="B27" s="171"/>
      <c r="C27" s="170" t="s">
        <v>12</v>
      </c>
      <c r="D27" s="172" t="s">
        <v>33</v>
      </c>
      <c r="E27" s="170"/>
      <c r="F27" s="170"/>
      <c r="G27" s="170"/>
      <c r="H27" s="173"/>
      <c r="I27" s="173"/>
      <c r="J27" s="173"/>
      <c r="K27" s="173"/>
      <c r="L27" s="173"/>
      <c r="M27" s="174"/>
    </row>
  </sheetData>
  <sheetProtection/>
  <mergeCells count="22">
    <mergeCell ref="A2:M2"/>
    <mergeCell ref="A3:M3"/>
    <mergeCell ref="A4:M4"/>
    <mergeCell ref="A5:M5"/>
    <mergeCell ref="B6:D6"/>
    <mergeCell ref="F6:I6"/>
    <mergeCell ref="A1:M1"/>
    <mergeCell ref="A8:A11"/>
    <mergeCell ref="B8:B11"/>
    <mergeCell ref="C8:C11"/>
    <mergeCell ref="D8:F9"/>
    <mergeCell ref="G8:H9"/>
    <mergeCell ref="I8:J9"/>
    <mergeCell ref="K8:L8"/>
    <mergeCell ref="M8:M11"/>
    <mergeCell ref="K9:L9"/>
    <mergeCell ref="D10:D11"/>
    <mergeCell ref="E10:E11"/>
    <mergeCell ref="F10:F11"/>
    <mergeCell ref="H10:H11"/>
    <mergeCell ref="J10:J11"/>
    <mergeCell ref="L10:L11"/>
  </mergeCells>
  <printOptions/>
  <pageMargins left="0.7" right="0.7" top="0.75" bottom="0.75" header="0.3" footer="0.3"/>
  <pageSetup horizontalDpi="600" verticalDpi="6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02"/>
  <sheetViews>
    <sheetView view="pageBreakPreview" zoomScale="76" zoomScaleSheetLayoutView="76" zoomScalePageLayoutView="0" workbookViewId="0" topLeftCell="A79">
      <selection activeCell="E97" sqref="E97:E101"/>
    </sheetView>
  </sheetViews>
  <sheetFormatPr defaultColWidth="9.00390625" defaultRowHeight="12.75"/>
  <cols>
    <col min="1" max="1" width="3.8515625" style="274" customWidth="1"/>
    <col min="2" max="2" width="9.7109375" style="275" customWidth="1"/>
    <col min="3" max="3" width="30.7109375" style="275" customWidth="1"/>
    <col min="4" max="4" width="8.28125" style="276" customWidth="1"/>
    <col min="5" max="5" width="9.57421875" style="276" bestFit="1" customWidth="1"/>
    <col min="6" max="6" width="9.140625" style="276" customWidth="1"/>
    <col min="7" max="7" width="9.7109375" style="276" customWidth="1"/>
    <col min="8" max="8" width="12.57421875" style="276" customWidth="1"/>
    <col min="9" max="9" width="10.00390625" style="276" customWidth="1"/>
    <col min="10" max="10" width="14.421875" style="276" customWidth="1"/>
    <col min="11" max="11" width="8.8515625" style="276" customWidth="1"/>
    <col min="12" max="12" width="10.421875" style="276" customWidth="1"/>
    <col min="13" max="13" width="12.28125" style="276" customWidth="1"/>
    <col min="14" max="18" width="9.00390625" style="116" customWidth="1"/>
    <col min="19" max="19" width="10.421875" style="116" customWidth="1"/>
    <col min="20" max="20" width="20.140625" style="116" customWidth="1"/>
    <col min="21" max="21" width="10.421875" style="116" customWidth="1"/>
    <col min="22" max="16384" width="9.00390625" style="116" customWidth="1"/>
  </cols>
  <sheetData>
    <row r="1" spans="1:13" s="270" customFormat="1" ht="30" customHeight="1">
      <c r="A1" s="442" t="str">
        <f>'x.a.5'!A1</f>
        <v>mcxeTis municipalitetSi, sofel qsovrisSi Sida saavtomobilo gzebis sareabilitacio samuSaoebi 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</row>
    <row r="2" spans="1:13" s="270" customFormat="1" ht="15.75">
      <c r="A2" s="440" t="s">
        <v>149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</row>
    <row r="3" spans="1:13" s="270" customFormat="1" ht="15.75">
      <c r="A3" s="440"/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</row>
    <row r="4" spans="1:13" s="270" customFormat="1" ht="15.75">
      <c r="A4" s="441" t="s">
        <v>161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</row>
    <row r="5" spans="1:13" s="270" customFormat="1" ht="15.75">
      <c r="A5" s="443"/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</row>
    <row r="6" spans="1:13" s="270" customFormat="1" ht="15" customHeight="1">
      <c r="A6" s="117"/>
      <c r="B6" s="444" t="s">
        <v>28</v>
      </c>
      <c r="C6" s="444"/>
      <c r="D6" s="445"/>
      <c r="E6" s="118"/>
      <c r="F6" s="446" t="s">
        <v>1</v>
      </c>
      <c r="G6" s="446"/>
      <c r="H6" s="446"/>
      <c r="I6" s="446"/>
      <c r="J6" s="118">
        <f>M101/1000</f>
        <v>0</v>
      </c>
      <c r="K6" s="118" t="s">
        <v>0</v>
      </c>
      <c r="L6" s="118"/>
      <c r="M6" s="118"/>
    </row>
    <row r="7" spans="1:13" s="270" customFormat="1" ht="15.75">
      <c r="A7" s="117"/>
      <c r="B7" s="117"/>
      <c r="C7" s="117"/>
      <c r="D7" s="118"/>
      <c r="E7" s="118"/>
      <c r="F7" s="118"/>
      <c r="G7" s="118"/>
      <c r="H7" s="118"/>
      <c r="I7" s="118"/>
      <c r="J7" s="118"/>
      <c r="K7" s="118"/>
      <c r="L7" s="118"/>
      <c r="M7" s="118"/>
    </row>
    <row r="8" spans="1:13" s="270" customFormat="1" ht="15" customHeight="1">
      <c r="A8" s="447" t="s">
        <v>2</v>
      </c>
      <c r="B8" s="448" t="s">
        <v>3</v>
      </c>
      <c r="C8" s="374" t="s">
        <v>27</v>
      </c>
      <c r="D8" s="451" t="s">
        <v>4</v>
      </c>
      <c r="E8" s="452"/>
      <c r="F8" s="453"/>
      <c r="G8" s="451" t="s">
        <v>5</v>
      </c>
      <c r="H8" s="459"/>
      <c r="I8" s="451" t="s">
        <v>6</v>
      </c>
      <c r="J8" s="465"/>
      <c r="K8" s="451" t="s">
        <v>7</v>
      </c>
      <c r="L8" s="459"/>
      <c r="M8" s="453" t="s">
        <v>8</v>
      </c>
    </row>
    <row r="9" spans="1:13" s="270" customFormat="1" ht="22.5" customHeight="1">
      <c r="A9" s="370"/>
      <c r="B9" s="449"/>
      <c r="C9" s="375"/>
      <c r="D9" s="454"/>
      <c r="E9" s="455"/>
      <c r="F9" s="456"/>
      <c r="G9" s="464"/>
      <c r="H9" s="463"/>
      <c r="I9" s="464"/>
      <c r="J9" s="466"/>
      <c r="K9" s="454" t="s">
        <v>9</v>
      </c>
      <c r="L9" s="463"/>
      <c r="M9" s="460"/>
    </row>
    <row r="10" spans="1:13" s="270" customFormat="1" ht="15.75">
      <c r="A10" s="370"/>
      <c r="B10" s="449"/>
      <c r="C10" s="375"/>
      <c r="D10" s="457" t="s">
        <v>10</v>
      </c>
      <c r="E10" s="457" t="s">
        <v>11</v>
      </c>
      <c r="F10" s="457" t="s">
        <v>12</v>
      </c>
      <c r="G10" s="103" t="s">
        <v>11</v>
      </c>
      <c r="H10" s="457" t="s">
        <v>12</v>
      </c>
      <c r="I10" s="103" t="s">
        <v>11</v>
      </c>
      <c r="J10" s="457" t="s">
        <v>12</v>
      </c>
      <c r="K10" s="103" t="s">
        <v>11</v>
      </c>
      <c r="L10" s="457" t="s">
        <v>12</v>
      </c>
      <c r="M10" s="461"/>
    </row>
    <row r="11" spans="1:13" s="270" customFormat="1" ht="15.75">
      <c r="A11" s="371"/>
      <c r="B11" s="450"/>
      <c r="C11" s="376"/>
      <c r="D11" s="458"/>
      <c r="E11" s="458"/>
      <c r="F11" s="458"/>
      <c r="G11" s="122" t="s">
        <v>13</v>
      </c>
      <c r="H11" s="458"/>
      <c r="I11" s="122" t="s">
        <v>13</v>
      </c>
      <c r="J11" s="458"/>
      <c r="K11" s="122" t="s">
        <v>13</v>
      </c>
      <c r="L11" s="458"/>
      <c r="M11" s="462"/>
    </row>
    <row r="12" spans="1:13" s="270" customFormat="1" ht="15.75">
      <c r="A12" s="15">
        <v>1</v>
      </c>
      <c r="B12" s="271" t="s">
        <v>65</v>
      </c>
      <c r="C12" s="272">
        <v>3</v>
      </c>
      <c r="D12" s="271">
        <v>4</v>
      </c>
      <c r="E12" s="271">
        <v>5</v>
      </c>
      <c r="F12" s="271">
        <v>6</v>
      </c>
      <c r="G12" s="271">
        <v>7</v>
      </c>
      <c r="H12" s="271">
        <v>8</v>
      </c>
      <c r="I12" s="271">
        <v>9</v>
      </c>
      <c r="J12" s="271">
        <v>10</v>
      </c>
      <c r="K12" s="271">
        <v>11</v>
      </c>
      <c r="L12" s="271">
        <v>12</v>
      </c>
      <c r="M12" s="15">
        <v>13</v>
      </c>
    </row>
    <row r="13" spans="1:13" ht="37.5" customHeight="1">
      <c r="A13" s="123"/>
      <c r="B13" s="124"/>
      <c r="C13" s="290" t="s">
        <v>214</v>
      </c>
      <c r="D13" s="126"/>
      <c r="E13" s="127"/>
      <c r="F13" s="128"/>
      <c r="G13" s="129"/>
      <c r="H13" s="126"/>
      <c r="I13" s="127"/>
      <c r="J13" s="129"/>
      <c r="K13" s="127"/>
      <c r="L13" s="126"/>
      <c r="M13" s="127"/>
    </row>
    <row r="14" spans="1:13" ht="94.5">
      <c r="A14" s="101">
        <v>1</v>
      </c>
      <c r="B14" s="104" t="s">
        <v>73</v>
      </c>
      <c r="C14" s="130" t="s">
        <v>162</v>
      </c>
      <c r="D14" s="106" t="s">
        <v>130</v>
      </c>
      <c r="E14" s="103"/>
      <c r="F14" s="111">
        <v>79</v>
      </c>
      <c r="G14" s="131"/>
      <c r="H14" s="102"/>
      <c r="I14" s="103"/>
      <c r="J14" s="131"/>
      <c r="K14" s="103"/>
      <c r="L14" s="102"/>
      <c r="M14" s="103"/>
    </row>
    <row r="15" spans="1:13" ht="31.5">
      <c r="A15" s="104"/>
      <c r="B15" s="104"/>
      <c r="C15" s="38" t="s">
        <v>29</v>
      </c>
      <c r="D15" s="106" t="s">
        <v>30</v>
      </c>
      <c r="E15" s="132">
        <f>20/1000</f>
        <v>0.02</v>
      </c>
      <c r="F15" s="106">
        <f>E15*F14</f>
        <v>1.58</v>
      </c>
      <c r="G15" s="106"/>
      <c r="H15" s="106"/>
      <c r="I15" s="103"/>
      <c r="J15" s="103"/>
      <c r="K15" s="103"/>
      <c r="L15" s="103"/>
      <c r="M15" s="103"/>
    </row>
    <row r="16" spans="1:13" ht="15.75">
      <c r="A16" s="104"/>
      <c r="B16" s="104"/>
      <c r="C16" s="38" t="s">
        <v>72</v>
      </c>
      <c r="D16" s="106" t="s">
        <v>31</v>
      </c>
      <c r="E16" s="132">
        <f>44.8/1000</f>
        <v>0.0448</v>
      </c>
      <c r="F16" s="106">
        <f>E16*F14</f>
        <v>3.5392</v>
      </c>
      <c r="G16" s="106"/>
      <c r="H16" s="106"/>
      <c r="I16" s="103"/>
      <c r="J16" s="131"/>
      <c r="K16" s="106"/>
      <c r="L16" s="102"/>
      <c r="M16" s="103"/>
    </row>
    <row r="17" spans="1:13" ht="15.75">
      <c r="A17" s="104"/>
      <c r="B17" s="104"/>
      <c r="C17" s="38" t="s">
        <v>36</v>
      </c>
      <c r="D17" s="106" t="s">
        <v>33</v>
      </c>
      <c r="E17" s="132">
        <f>2.1/1000</f>
        <v>0.0021000000000000003</v>
      </c>
      <c r="F17" s="133">
        <f>E17*F14</f>
        <v>0.16590000000000002</v>
      </c>
      <c r="G17" s="106"/>
      <c r="H17" s="106"/>
      <c r="I17" s="106"/>
      <c r="J17" s="106"/>
      <c r="K17" s="106"/>
      <c r="L17" s="106"/>
      <c r="M17" s="106"/>
    </row>
    <row r="18" spans="1:13" ht="31.5">
      <c r="A18" s="134"/>
      <c r="B18" s="135"/>
      <c r="C18" s="136" t="s">
        <v>99</v>
      </c>
      <c r="D18" s="119" t="s">
        <v>34</v>
      </c>
      <c r="E18" s="122"/>
      <c r="F18" s="121">
        <f>F14*1.8</f>
        <v>142.20000000000002</v>
      </c>
      <c r="G18" s="120"/>
      <c r="H18" s="119"/>
      <c r="I18" s="122"/>
      <c r="J18" s="120"/>
      <c r="K18" s="122"/>
      <c r="L18" s="119"/>
      <c r="M18" s="122"/>
    </row>
    <row r="19" spans="1:13" s="270" customFormat="1" ht="78.75">
      <c r="A19" s="101">
        <v>2</v>
      </c>
      <c r="B19" s="105" t="s">
        <v>197</v>
      </c>
      <c r="C19" s="130" t="s">
        <v>231</v>
      </c>
      <c r="D19" s="106" t="s">
        <v>130</v>
      </c>
      <c r="E19" s="103"/>
      <c r="F19" s="111">
        <v>15</v>
      </c>
      <c r="G19" s="131"/>
      <c r="H19" s="102"/>
      <c r="I19" s="103"/>
      <c r="J19" s="131"/>
      <c r="K19" s="103"/>
      <c r="L19" s="102"/>
      <c r="M19" s="103"/>
    </row>
    <row r="20" spans="1:13" s="270" customFormat="1" ht="31.5">
      <c r="A20" s="154"/>
      <c r="B20" s="278"/>
      <c r="C20" s="38" t="s">
        <v>29</v>
      </c>
      <c r="D20" s="106" t="s">
        <v>30</v>
      </c>
      <c r="E20" s="107">
        <f>16.5/1000</f>
        <v>0.0165</v>
      </c>
      <c r="F20" s="106">
        <f>E20*F19</f>
        <v>0.2475</v>
      </c>
      <c r="G20" s="106"/>
      <c r="H20" s="106"/>
      <c r="I20" s="103"/>
      <c r="J20" s="103"/>
      <c r="K20" s="103"/>
      <c r="L20" s="103"/>
      <c r="M20" s="103"/>
    </row>
    <row r="21" spans="1:14" s="270" customFormat="1" ht="15.75">
      <c r="A21" s="101"/>
      <c r="B21" s="105"/>
      <c r="C21" s="38" t="s">
        <v>72</v>
      </c>
      <c r="D21" s="106" t="s">
        <v>31</v>
      </c>
      <c r="E21" s="107">
        <f>37/1000</f>
        <v>0.037</v>
      </c>
      <c r="F21" s="106">
        <f>E21*F19</f>
        <v>0.5549999999999999</v>
      </c>
      <c r="G21" s="106"/>
      <c r="H21" s="106"/>
      <c r="I21" s="103"/>
      <c r="J21" s="131"/>
      <c r="K21" s="106"/>
      <c r="L21" s="102"/>
      <c r="M21" s="103"/>
      <c r="N21" s="349"/>
    </row>
    <row r="22" spans="1:13" s="270" customFormat="1" ht="31.5">
      <c r="A22" s="134"/>
      <c r="B22" s="135"/>
      <c r="C22" s="186" t="s">
        <v>184</v>
      </c>
      <c r="D22" s="110" t="s">
        <v>30</v>
      </c>
      <c r="E22" s="110"/>
      <c r="F22" s="110">
        <f>F21</f>
        <v>0.5549999999999999</v>
      </c>
      <c r="G22" s="110"/>
      <c r="H22" s="110"/>
      <c r="I22" s="122"/>
      <c r="J22" s="120"/>
      <c r="K22" s="122"/>
      <c r="L22" s="119"/>
      <c r="M22" s="122"/>
    </row>
    <row r="23" spans="1:13" ht="78.75">
      <c r="A23" s="101">
        <v>2</v>
      </c>
      <c r="B23" s="137" t="s">
        <v>101</v>
      </c>
      <c r="C23" s="130" t="s">
        <v>163</v>
      </c>
      <c r="D23" s="103" t="s">
        <v>130</v>
      </c>
      <c r="E23" s="103"/>
      <c r="F23" s="111">
        <v>9.4</v>
      </c>
      <c r="G23" s="131"/>
      <c r="H23" s="102"/>
      <c r="I23" s="103"/>
      <c r="J23" s="131"/>
      <c r="K23" s="103"/>
      <c r="L23" s="102"/>
      <c r="M23" s="103"/>
    </row>
    <row r="24" spans="1:13" ht="31.5">
      <c r="A24" s="138"/>
      <c r="B24" s="139"/>
      <c r="C24" s="140" t="s">
        <v>29</v>
      </c>
      <c r="D24" s="106" t="s">
        <v>30</v>
      </c>
      <c r="E24" s="103">
        <f>2.06+0.87</f>
        <v>2.93</v>
      </c>
      <c r="F24" s="103">
        <f>E24*F23</f>
        <v>27.542</v>
      </c>
      <c r="G24" s="103"/>
      <c r="H24" s="103"/>
      <c r="I24" s="103"/>
      <c r="J24" s="103"/>
      <c r="K24" s="103"/>
      <c r="L24" s="103"/>
      <c r="M24" s="106"/>
    </row>
    <row r="25" spans="1:13" ht="31.5">
      <c r="A25" s="134"/>
      <c r="B25" s="135"/>
      <c r="C25" s="136" t="s">
        <v>99</v>
      </c>
      <c r="D25" s="119" t="s">
        <v>34</v>
      </c>
      <c r="E25" s="122"/>
      <c r="F25" s="121">
        <f>F23*1.8</f>
        <v>16.92</v>
      </c>
      <c r="G25" s="120"/>
      <c r="H25" s="119"/>
      <c r="I25" s="122"/>
      <c r="J25" s="120"/>
      <c r="K25" s="122"/>
      <c r="L25" s="119"/>
      <c r="M25" s="122"/>
    </row>
    <row r="26" spans="1:13" ht="18">
      <c r="A26" s="35">
        <v>3</v>
      </c>
      <c r="B26" s="35" t="s">
        <v>74</v>
      </c>
      <c r="C26" s="141" t="s">
        <v>83</v>
      </c>
      <c r="D26" s="142" t="s">
        <v>130</v>
      </c>
      <c r="E26" s="143"/>
      <c r="F26" s="292">
        <f>F23+F14</f>
        <v>88.4</v>
      </c>
      <c r="G26" s="143"/>
      <c r="H26" s="143"/>
      <c r="I26" s="143"/>
      <c r="J26" s="143"/>
      <c r="K26" s="143"/>
      <c r="L26" s="143"/>
      <c r="M26" s="143"/>
    </row>
    <row r="27" spans="1:13" ht="31.5">
      <c r="A27" s="145"/>
      <c r="B27" s="145"/>
      <c r="C27" s="38" t="s">
        <v>29</v>
      </c>
      <c r="D27" s="106" t="s">
        <v>30</v>
      </c>
      <c r="E27" s="132">
        <f>3.23/1000</f>
        <v>0.00323</v>
      </c>
      <c r="F27" s="106">
        <f>E27*F26</f>
        <v>0.285532</v>
      </c>
      <c r="G27" s="146"/>
      <c r="H27" s="146"/>
      <c r="I27" s="147"/>
      <c r="J27" s="147"/>
      <c r="K27" s="147"/>
      <c r="L27" s="147"/>
      <c r="M27" s="146"/>
    </row>
    <row r="28" spans="1:13" ht="15.75">
      <c r="A28" s="104"/>
      <c r="B28" s="104"/>
      <c r="C28" s="38" t="s">
        <v>60</v>
      </c>
      <c r="D28" s="106" t="s">
        <v>31</v>
      </c>
      <c r="E28" s="107">
        <f>3.62/1000</f>
        <v>0.00362</v>
      </c>
      <c r="F28" s="106">
        <f>E28*F26</f>
        <v>0.320008</v>
      </c>
      <c r="G28" s="106"/>
      <c r="H28" s="106"/>
      <c r="I28" s="106"/>
      <c r="J28" s="106"/>
      <c r="K28" s="106"/>
      <c r="L28" s="106"/>
      <c r="M28" s="106"/>
    </row>
    <row r="29" spans="1:13" ht="15.75">
      <c r="A29" s="148"/>
      <c r="B29" s="148"/>
      <c r="C29" s="149" t="s">
        <v>36</v>
      </c>
      <c r="D29" s="148" t="s">
        <v>33</v>
      </c>
      <c r="E29" s="150">
        <f>0.18/1000</f>
        <v>0.00017999999999999998</v>
      </c>
      <c r="F29" s="110">
        <f>E29*F26</f>
        <v>0.015912</v>
      </c>
      <c r="G29" s="148"/>
      <c r="H29" s="148"/>
      <c r="I29" s="148"/>
      <c r="J29" s="148"/>
      <c r="K29" s="151"/>
      <c r="L29" s="110"/>
      <c r="M29" s="110"/>
    </row>
    <row r="30" spans="1:13" ht="15.75">
      <c r="A30" s="101">
        <v>4</v>
      </c>
      <c r="B30" s="278" t="s">
        <v>164</v>
      </c>
      <c r="C30" s="130" t="s">
        <v>165</v>
      </c>
      <c r="D30" s="106" t="s">
        <v>35</v>
      </c>
      <c r="E30" s="132"/>
      <c r="F30" s="291">
        <v>18</v>
      </c>
      <c r="G30" s="131"/>
      <c r="H30" s="102"/>
      <c r="I30" s="103"/>
      <c r="J30" s="131"/>
      <c r="K30" s="103"/>
      <c r="L30" s="102"/>
      <c r="M30" s="103"/>
    </row>
    <row r="31" spans="1:13" ht="31.5">
      <c r="A31" s="145"/>
      <c r="B31" s="145"/>
      <c r="C31" s="38" t="s">
        <v>29</v>
      </c>
      <c r="D31" s="106" t="s">
        <v>30</v>
      </c>
      <c r="E31" s="132">
        <v>0.973</v>
      </c>
      <c r="F31" s="106">
        <f>E31*F30</f>
        <v>17.514</v>
      </c>
      <c r="G31" s="146"/>
      <c r="H31" s="146"/>
      <c r="I31" s="147"/>
      <c r="J31" s="147"/>
      <c r="K31" s="147"/>
      <c r="L31" s="147"/>
      <c r="M31" s="146"/>
    </row>
    <row r="32" spans="1:13" ht="15.75">
      <c r="A32" s="101"/>
      <c r="B32" s="278"/>
      <c r="C32" s="293" t="s">
        <v>79</v>
      </c>
      <c r="D32" s="106" t="s">
        <v>33</v>
      </c>
      <c r="E32" s="132">
        <v>0.483</v>
      </c>
      <c r="F32" s="294">
        <f>E32*F30</f>
        <v>8.693999999999999</v>
      </c>
      <c r="G32" s="131"/>
      <c r="H32" s="102"/>
      <c r="I32" s="103"/>
      <c r="J32" s="131"/>
      <c r="K32" s="103"/>
      <c r="L32" s="102"/>
      <c r="M32" s="103"/>
    </row>
    <row r="33" spans="1:13" ht="31.5">
      <c r="A33" s="101"/>
      <c r="B33" s="278"/>
      <c r="C33" s="293" t="s">
        <v>166</v>
      </c>
      <c r="D33" s="106" t="s">
        <v>35</v>
      </c>
      <c r="E33" s="132">
        <v>0.995</v>
      </c>
      <c r="F33" s="294">
        <f>E33*F30</f>
        <v>17.91</v>
      </c>
      <c r="G33" s="131"/>
      <c r="H33" s="102"/>
      <c r="I33" s="103"/>
      <c r="J33" s="131"/>
      <c r="K33" s="103"/>
      <c r="L33" s="102"/>
      <c r="M33" s="103"/>
    </row>
    <row r="34" spans="1:13" ht="15.75">
      <c r="A34" s="134"/>
      <c r="B34" s="135"/>
      <c r="C34" s="136" t="s">
        <v>37</v>
      </c>
      <c r="D34" s="110" t="s">
        <v>33</v>
      </c>
      <c r="E34" s="153">
        <v>0.22</v>
      </c>
      <c r="F34" s="121">
        <f>E34*F30</f>
        <v>3.96</v>
      </c>
      <c r="G34" s="120"/>
      <c r="H34" s="119"/>
      <c r="I34" s="122"/>
      <c r="J34" s="120"/>
      <c r="K34" s="122"/>
      <c r="L34" s="119"/>
      <c r="M34" s="122"/>
    </row>
    <row r="35" spans="1:13" ht="47.25">
      <c r="A35" s="101">
        <v>5</v>
      </c>
      <c r="B35" s="104" t="s">
        <v>167</v>
      </c>
      <c r="C35" s="130" t="s">
        <v>168</v>
      </c>
      <c r="D35" s="106" t="s">
        <v>130</v>
      </c>
      <c r="E35" s="132"/>
      <c r="F35" s="291">
        <v>1.5</v>
      </c>
      <c r="G35" s="131"/>
      <c r="H35" s="102"/>
      <c r="I35" s="103"/>
      <c r="J35" s="131"/>
      <c r="K35" s="103"/>
      <c r="L35" s="102"/>
      <c r="M35" s="103"/>
    </row>
    <row r="36" spans="1:13" ht="31.5">
      <c r="A36" s="295"/>
      <c r="B36" s="104"/>
      <c r="C36" s="38" t="s">
        <v>29</v>
      </c>
      <c r="D36" s="106" t="s">
        <v>30</v>
      </c>
      <c r="E36" s="103">
        <v>2.12</v>
      </c>
      <c r="F36" s="103">
        <f>E36*F35</f>
        <v>3.18</v>
      </c>
      <c r="G36" s="103"/>
      <c r="H36" s="102"/>
      <c r="I36" s="103"/>
      <c r="J36" s="131"/>
      <c r="K36" s="103"/>
      <c r="L36" s="102"/>
      <c r="M36" s="103"/>
    </row>
    <row r="37" spans="1:13" ht="15.75">
      <c r="A37" s="295"/>
      <c r="B37" s="104"/>
      <c r="C37" s="118" t="s">
        <v>36</v>
      </c>
      <c r="D37" s="133" t="s">
        <v>33</v>
      </c>
      <c r="E37" s="132">
        <v>0.101</v>
      </c>
      <c r="F37" s="106">
        <f>E37*F35</f>
        <v>0.15150000000000002</v>
      </c>
      <c r="G37" s="106"/>
      <c r="H37" s="133"/>
      <c r="I37" s="106"/>
      <c r="J37" s="175"/>
      <c r="K37" s="106"/>
      <c r="L37" s="133"/>
      <c r="M37" s="106"/>
    </row>
    <row r="38" spans="1:13" ht="18">
      <c r="A38" s="296"/>
      <c r="B38" s="108"/>
      <c r="C38" s="297" t="s">
        <v>138</v>
      </c>
      <c r="D38" s="134" t="s">
        <v>130</v>
      </c>
      <c r="E38" s="110">
        <v>1.22</v>
      </c>
      <c r="F38" s="110">
        <f>E38*F35</f>
        <v>1.83</v>
      </c>
      <c r="G38" s="110"/>
      <c r="H38" s="189"/>
      <c r="I38" s="110"/>
      <c r="J38" s="191"/>
      <c r="K38" s="110"/>
      <c r="L38" s="189"/>
      <c r="M38" s="110"/>
    </row>
    <row r="39" spans="1:13" ht="47.25">
      <c r="A39" s="101">
        <v>6</v>
      </c>
      <c r="B39" s="105" t="s">
        <v>169</v>
      </c>
      <c r="C39" s="130" t="s">
        <v>170</v>
      </c>
      <c r="D39" s="101" t="s">
        <v>133</v>
      </c>
      <c r="E39" s="103"/>
      <c r="F39" s="291">
        <v>60</v>
      </c>
      <c r="G39" s="131"/>
      <c r="H39" s="102"/>
      <c r="I39" s="103"/>
      <c r="J39" s="131"/>
      <c r="K39" s="103"/>
      <c r="L39" s="102"/>
      <c r="M39" s="103"/>
    </row>
    <row r="40" spans="1:13" ht="31.5">
      <c r="A40" s="104"/>
      <c r="B40" s="104"/>
      <c r="C40" s="38" t="s">
        <v>29</v>
      </c>
      <c r="D40" s="106" t="s">
        <v>30</v>
      </c>
      <c r="E40" s="106">
        <v>0.564</v>
      </c>
      <c r="F40" s="106">
        <f>E40*F39</f>
        <v>33.839999999999996</v>
      </c>
      <c r="G40" s="146"/>
      <c r="H40" s="146"/>
      <c r="I40" s="146"/>
      <c r="J40" s="146"/>
      <c r="K40" s="146"/>
      <c r="L40" s="146"/>
      <c r="M40" s="146"/>
    </row>
    <row r="41" spans="1:13" ht="15.75">
      <c r="A41" s="36"/>
      <c r="B41" s="298"/>
      <c r="C41" s="38" t="s">
        <v>79</v>
      </c>
      <c r="D41" s="106" t="s">
        <v>33</v>
      </c>
      <c r="E41" s="299">
        <f>4.09/100</f>
        <v>0.0409</v>
      </c>
      <c r="F41" s="106">
        <f>E41*F39</f>
        <v>2.4539999999999997</v>
      </c>
      <c r="G41" s="146"/>
      <c r="H41" s="146"/>
      <c r="I41" s="146"/>
      <c r="J41" s="146"/>
      <c r="K41" s="146"/>
      <c r="L41" s="146"/>
      <c r="M41" s="300"/>
    </row>
    <row r="42" spans="1:13" ht="15.75">
      <c r="A42" s="36"/>
      <c r="B42" s="298"/>
      <c r="C42" s="38" t="s">
        <v>171</v>
      </c>
      <c r="D42" s="106" t="s">
        <v>34</v>
      </c>
      <c r="E42" s="299">
        <f>0.16/100</f>
        <v>0.0016</v>
      </c>
      <c r="F42" s="106">
        <f>E42*F39</f>
        <v>0.096</v>
      </c>
      <c r="G42" s="146"/>
      <c r="H42" s="146"/>
      <c r="I42" s="146"/>
      <c r="J42" s="146"/>
      <c r="K42" s="106"/>
      <c r="L42" s="106"/>
      <c r="M42" s="106"/>
    </row>
    <row r="43" spans="1:13" ht="15.75">
      <c r="A43" s="36"/>
      <c r="B43" s="298"/>
      <c r="C43" s="38" t="s">
        <v>172</v>
      </c>
      <c r="D43" s="106" t="s">
        <v>34</v>
      </c>
      <c r="E43" s="299">
        <f>0.45/100</f>
        <v>0.0045000000000000005</v>
      </c>
      <c r="F43" s="106">
        <f>E43*F39</f>
        <v>0.27</v>
      </c>
      <c r="G43" s="146"/>
      <c r="H43" s="146"/>
      <c r="I43" s="106"/>
      <c r="J43" s="106"/>
      <c r="K43" s="106"/>
      <c r="L43" s="106"/>
      <c r="M43" s="106"/>
    </row>
    <row r="44" spans="1:13" ht="18">
      <c r="A44" s="36"/>
      <c r="B44" s="278"/>
      <c r="C44" s="38" t="s">
        <v>173</v>
      </c>
      <c r="D44" s="106" t="s">
        <v>130</v>
      </c>
      <c r="E44" s="299">
        <f>0.75/100</f>
        <v>0.0075</v>
      </c>
      <c r="F44" s="106">
        <f>E44*F39</f>
        <v>0.44999999999999996</v>
      </c>
      <c r="G44" s="146"/>
      <c r="H44" s="146"/>
      <c r="I44" s="103"/>
      <c r="J44" s="106"/>
      <c r="K44" s="106"/>
      <c r="L44" s="106"/>
      <c r="M44" s="106"/>
    </row>
    <row r="45" spans="1:13" ht="15.75">
      <c r="A45" s="37"/>
      <c r="B45" s="301"/>
      <c r="C45" s="186" t="s">
        <v>37</v>
      </c>
      <c r="D45" s="110" t="s">
        <v>33</v>
      </c>
      <c r="E45" s="190">
        <f>26.5/100</f>
        <v>0.265</v>
      </c>
      <c r="F45" s="110">
        <f>E45*F39</f>
        <v>15.9</v>
      </c>
      <c r="G45" s="151"/>
      <c r="H45" s="151"/>
      <c r="I45" s="151"/>
      <c r="J45" s="151"/>
      <c r="K45" s="151"/>
      <c r="L45" s="151"/>
      <c r="M45" s="302"/>
    </row>
    <row r="46" spans="1:13" s="29" customFormat="1" ht="47.25" customHeight="1">
      <c r="A46" s="314"/>
      <c r="B46" s="314"/>
      <c r="C46" s="315" t="s">
        <v>215</v>
      </c>
      <c r="D46" s="5"/>
      <c r="E46" s="316"/>
      <c r="F46" s="317"/>
      <c r="G46" s="5"/>
      <c r="H46" s="5"/>
      <c r="I46" s="5"/>
      <c r="J46" s="5"/>
      <c r="K46" s="5"/>
      <c r="L46" s="5"/>
      <c r="M46" s="127"/>
    </row>
    <row r="47" spans="1:13" s="29" customFormat="1" ht="63">
      <c r="A47" s="101">
        <v>7</v>
      </c>
      <c r="B47" s="104" t="s">
        <v>174</v>
      </c>
      <c r="C47" s="130" t="s">
        <v>229</v>
      </c>
      <c r="D47" s="142" t="s">
        <v>130</v>
      </c>
      <c r="E47" s="103"/>
      <c r="F47" s="111">
        <v>6</v>
      </c>
      <c r="G47" s="320"/>
      <c r="H47" s="102"/>
      <c r="I47" s="103"/>
      <c r="J47" s="320"/>
      <c r="K47" s="103"/>
      <c r="L47" s="102"/>
      <c r="M47" s="103"/>
    </row>
    <row r="48" spans="1:13" s="29" customFormat="1" ht="31.5">
      <c r="A48" s="101"/>
      <c r="B48" s="303"/>
      <c r="C48" s="185" t="s">
        <v>29</v>
      </c>
      <c r="D48" s="106" t="s">
        <v>30</v>
      </c>
      <c r="E48" s="103">
        <v>2.81</v>
      </c>
      <c r="F48" s="294">
        <f>E48*F47</f>
        <v>16.86</v>
      </c>
      <c r="G48" s="344"/>
      <c r="H48" s="304"/>
      <c r="I48" s="305"/>
      <c r="J48" s="344"/>
      <c r="K48" s="304"/>
      <c r="L48" s="306"/>
      <c r="M48" s="304"/>
    </row>
    <row r="49" spans="1:13" s="29" customFormat="1" ht="15.75">
      <c r="A49" s="101"/>
      <c r="B49" s="104"/>
      <c r="C49" s="345" t="s">
        <v>79</v>
      </c>
      <c r="D49" s="102" t="s">
        <v>33</v>
      </c>
      <c r="E49" s="103">
        <v>0.33</v>
      </c>
      <c r="F49" s="294">
        <f>E49*F47</f>
        <v>1.98</v>
      </c>
      <c r="G49" s="106"/>
      <c r="H49" s="106"/>
      <c r="I49" s="106"/>
      <c r="J49" s="106"/>
      <c r="K49" s="106"/>
      <c r="L49" s="106"/>
      <c r="M49" s="106"/>
    </row>
    <row r="50" spans="1:13" s="29" customFormat="1" ht="18">
      <c r="A50" s="101"/>
      <c r="B50" s="303"/>
      <c r="C50" s="345" t="s">
        <v>148</v>
      </c>
      <c r="D50" s="102" t="s">
        <v>130</v>
      </c>
      <c r="E50" s="103">
        <v>1.02</v>
      </c>
      <c r="F50" s="294">
        <f>E50*F47</f>
        <v>6.12</v>
      </c>
      <c r="G50" s="106"/>
      <c r="H50" s="106"/>
      <c r="I50" s="103"/>
      <c r="J50" s="106"/>
      <c r="K50" s="106"/>
      <c r="L50" s="106"/>
      <c r="M50" s="106"/>
    </row>
    <row r="51" spans="1:13" s="29" customFormat="1" ht="18">
      <c r="A51" s="101"/>
      <c r="B51" s="303"/>
      <c r="C51" s="345" t="s">
        <v>175</v>
      </c>
      <c r="D51" s="102" t="s">
        <v>133</v>
      </c>
      <c r="E51" s="307">
        <v>0.717</v>
      </c>
      <c r="F51" s="294">
        <f>E51*F47</f>
        <v>4.302</v>
      </c>
      <c r="G51" s="106"/>
      <c r="H51" s="106"/>
      <c r="I51" s="106"/>
      <c r="J51" s="106"/>
      <c r="K51" s="106"/>
      <c r="L51" s="106"/>
      <c r="M51" s="106"/>
    </row>
    <row r="52" spans="1:13" s="29" customFormat="1" ht="18">
      <c r="A52" s="101"/>
      <c r="B52" s="303"/>
      <c r="C52" s="345" t="s">
        <v>176</v>
      </c>
      <c r="D52" s="102" t="s">
        <v>130</v>
      </c>
      <c r="E52" s="308">
        <f>0.13/100</f>
        <v>0.0013</v>
      </c>
      <c r="F52" s="346">
        <f>E52*F47</f>
        <v>0.0078</v>
      </c>
      <c r="G52" s="106"/>
      <c r="H52" s="106"/>
      <c r="I52" s="106"/>
      <c r="J52" s="106"/>
      <c r="K52" s="106"/>
      <c r="L52" s="106"/>
      <c r="M52" s="106"/>
    </row>
    <row r="53" spans="1:18" s="29" customFormat="1" ht="31.5">
      <c r="A53" s="101"/>
      <c r="B53" s="303"/>
      <c r="C53" s="347" t="s">
        <v>177</v>
      </c>
      <c r="D53" s="101" t="s">
        <v>130</v>
      </c>
      <c r="E53" s="154">
        <f>1.52/100</f>
        <v>0.0152</v>
      </c>
      <c r="F53" s="294">
        <f>E53*F47</f>
        <v>0.0912</v>
      </c>
      <c r="G53" s="344"/>
      <c r="H53" s="306"/>
      <c r="I53" s="103"/>
      <c r="J53" s="320"/>
      <c r="K53" s="103"/>
      <c r="L53" s="102"/>
      <c r="M53" s="103"/>
      <c r="N53" s="501"/>
      <c r="O53" s="502"/>
      <c r="P53" s="502"/>
      <c r="Q53" s="502"/>
      <c r="R53" s="502"/>
    </row>
    <row r="54" spans="1:13" s="29" customFormat="1" ht="15.75">
      <c r="A54" s="101"/>
      <c r="B54" s="303"/>
      <c r="C54" s="347" t="s">
        <v>178</v>
      </c>
      <c r="D54" s="101" t="s">
        <v>34</v>
      </c>
      <c r="E54" s="154">
        <f>0.09/100</f>
        <v>0.0009</v>
      </c>
      <c r="F54" s="346">
        <f>E54*F47</f>
        <v>0.0054</v>
      </c>
      <c r="G54" s="344"/>
      <c r="H54" s="306"/>
      <c r="I54" s="103"/>
      <c r="J54" s="320"/>
      <c r="K54" s="103"/>
      <c r="L54" s="102"/>
      <c r="M54" s="103"/>
    </row>
    <row r="55" spans="1:13" s="29" customFormat="1" ht="15.75">
      <c r="A55" s="134"/>
      <c r="B55" s="309"/>
      <c r="C55" s="310" t="s">
        <v>37</v>
      </c>
      <c r="D55" s="134" t="s">
        <v>33</v>
      </c>
      <c r="E55" s="280">
        <v>0.16</v>
      </c>
      <c r="F55" s="121">
        <f>E55*F47</f>
        <v>0.96</v>
      </c>
      <c r="G55" s="311"/>
      <c r="H55" s="312"/>
      <c r="I55" s="122"/>
      <c r="J55" s="119"/>
      <c r="K55" s="122"/>
      <c r="L55" s="119"/>
      <c r="M55" s="122"/>
    </row>
    <row r="56" spans="1:13" ht="31.5">
      <c r="A56" s="101">
        <v>8</v>
      </c>
      <c r="B56" s="104" t="s">
        <v>167</v>
      </c>
      <c r="C56" s="130" t="s">
        <v>216</v>
      </c>
      <c r="D56" s="102" t="s">
        <v>130</v>
      </c>
      <c r="E56" s="103"/>
      <c r="F56" s="291">
        <v>0.4</v>
      </c>
      <c r="G56" s="131"/>
      <c r="H56" s="102"/>
      <c r="I56" s="103"/>
      <c r="J56" s="131"/>
      <c r="K56" s="103"/>
      <c r="L56" s="102"/>
      <c r="M56" s="103"/>
    </row>
    <row r="57" spans="1:13" ht="31.5">
      <c r="A57" s="295"/>
      <c r="B57" s="104"/>
      <c r="C57" s="38" t="s">
        <v>29</v>
      </c>
      <c r="D57" s="106" t="s">
        <v>30</v>
      </c>
      <c r="E57" s="103">
        <v>2.12</v>
      </c>
      <c r="F57" s="103">
        <f>E57*F56</f>
        <v>0.8480000000000001</v>
      </c>
      <c r="G57" s="103"/>
      <c r="H57" s="102"/>
      <c r="I57" s="103"/>
      <c r="J57" s="131"/>
      <c r="K57" s="103"/>
      <c r="L57" s="102"/>
      <c r="M57" s="103"/>
    </row>
    <row r="58" spans="1:13" ht="15.75">
      <c r="A58" s="295"/>
      <c r="B58" s="104"/>
      <c r="C58" s="118" t="s">
        <v>36</v>
      </c>
      <c r="D58" s="133" t="s">
        <v>33</v>
      </c>
      <c r="E58" s="132">
        <v>0.101</v>
      </c>
      <c r="F58" s="106">
        <f>E58*F56</f>
        <v>0.040400000000000005</v>
      </c>
      <c r="G58" s="106"/>
      <c r="H58" s="133"/>
      <c r="I58" s="106"/>
      <c r="J58" s="175"/>
      <c r="K58" s="106"/>
      <c r="L58" s="133"/>
      <c r="M58" s="106"/>
    </row>
    <row r="59" spans="1:13" ht="18">
      <c r="A59" s="296"/>
      <c r="B59" s="108"/>
      <c r="C59" s="297" t="s">
        <v>138</v>
      </c>
      <c r="D59" s="134" t="s">
        <v>130</v>
      </c>
      <c r="E59" s="110">
        <v>1.22</v>
      </c>
      <c r="F59" s="110">
        <f>E59*F56</f>
        <v>0.488</v>
      </c>
      <c r="G59" s="110"/>
      <c r="H59" s="189"/>
      <c r="I59" s="110"/>
      <c r="J59" s="189"/>
      <c r="K59" s="110"/>
      <c r="L59" s="110"/>
      <c r="M59" s="110"/>
    </row>
    <row r="60" spans="1:13" s="29" customFormat="1" ht="47.25" customHeight="1">
      <c r="A60" s="314"/>
      <c r="B60" s="314"/>
      <c r="C60" s="315" t="s">
        <v>217</v>
      </c>
      <c r="D60" s="5"/>
      <c r="E60" s="316"/>
      <c r="F60" s="317"/>
      <c r="G60" s="5"/>
      <c r="H60" s="5"/>
      <c r="I60" s="5"/>
      <c r="J60" s="5"/>
      <c r="K60" s="5"/>
      <c r="L60" s="5"/>
      <c r="M60" s="127"/>
    </row>
    <row r="61" spans="1:13" s="29" customFormat="1" ht="47.25">
      <c r="A61" s="101">
        <v>9</v>
      </c>
      <c r="B61" s="104" t="s">
        <v>174</v>
      </c>
      <c r="C61" s="130" t="s">
        <v>230</v>
      </c>
      <c r="D61" s="142" t="s">
        <v>130</v>
      </c>
      <c r="E61" s="103"/>
      <c r="F61" s="111">
        <v>6.9</v>
      </c>
      <c r="G61" s="320"/>
      <c r="H61" s="102"/>
      <c r="I61" s="103"/>
      <c r="J61" s="320"/>
      <c r="K61" s="103"/>
      <c r="L61" s="102"/>
      <c r="M61" s="103"/>
    </row>
    <row r="62" spans="1:13" s="29" customFormat="1" ht="31.5">
      <c r="A62" s="101"/>
      <c r="B62" s="303"/>
      <c r="C62" s="185" t="s">
        <v>29</v>
      </c>
      <c r="D62" s="106" t="s">
        <v>30</v>
      </c>
      <c r="E62" s="103">
        <v>2.81</v>
      </c>
      <c r="F62" s="294">
        <f>E62*F61</f>
        <v>19.389000000000003</v>
      </c>
      <c r="G62" s="344"/>
      <c r="H62" s="304"/>
      <c r="I62" s="305"/>
      <c r="J62" s="344"/>
      <c r="K62" s="304"/>
      <c r="L62" s="306"/>
      <c r="M62" s="304"/>
    </row>
    <row r="63" spans="1:13" s="29" customFormat="1" ht="15.75">
      <c r="A63" s="101"/>
      <c r="B63" s="104"/>
      <c r="C63" s="345" t="s">
        <v>79</v>
      </c>
      <c r="D63" s="102" t="s">
        <v>33</v>
      </c>
      <c r="E63" s="103">
        <v>0.33</v>
      </c>
      <c r="F63" s="294">
        <f>E63*F61</f>
        <v>2.277</v>
      </c>
      <c r="G63" s="106"/>
      <c r="H63" s="106"/>
      <c r="I63" s="106"/>
      <c r="J63" s="106"/>
      <c r="K63" s="106"/>
      <c r="L63" s="106"/>
      <c r="M63" s="106"/>
    </row>
    <row r="64" spans="1:13" s="29" customFormat="1" ht="18">
      <c r="A64" s="101"/>
      <c r="B64" s="303"/>
      <c r="C64" s="345" t="s">
        <v>148</v>
      </c>
      <c r="D64" s="102" t="s">
        <v>130</v>
      </c>
      <c r="E64" s="103">
        <v>1.02</v>
      </c>
      <c r="F64" s="294">
        <f>E64*F61</f>
        <v>7.038</v>
      </c>
      <c r="G64" s="106"/>
      <c r="H64" s="106"/>
      <c r="I64" s="103"/>
      <c r="J64" s="106"/>
      <c r="K64" s="106"/>
      <c r="L64" s="106"/>
      <c r="M64" s="106"/>
    </row>
    <row r="65" spans="1:13" s="29" customFormat="1" ht="18">
      <c r="A65" s="101"/>
      <c r="B65" s="303"/>
      <c r="C65" s="345" t="s">
        <v>175</v>
      </c>
      <c r="D65" s="102" t="s">
        <v>133</v>
      </c>
      <c r="E65" s="307">
        <v>0.717</v>
      </c>
      <c r="F65" s="294">
        <f>E65*F61</f>
        <v>4.9473</v>
      </c>
      <c r="G65" s="106"/>
      <c r="H65" s="106"/>
      <c r="I65" s="106"/>
      <c r="J65" s="106"/>
      <c r="K65" s="106"/>
      <c r="L65" s="106"/>
      <c r="M65" s="106"/>
    </row>
    <row r="66" spans="1:13" s="29" customFormat="1" ht="18">
      <c r="A66" s="101"/>
      <c r="B66" s="303"/>
      <c r="C66" s="345" t="s">
        <v>176</v>
      </c>
      <c r="D66" s="102" t="s">
        <v>130</v>
      </c>
      <c r="E66" s="308">
        <f>0.13/100</f>
        <v>0.0013</v>
      </c>
      <c r="F66" s="346">
        <f>E66*F61</f>
        <v>0.00897</v>
      </c>
      <c r="G66" s="106"/>
      <c r="H66" s="106"/>
      <c r="I66" s="106"/>
      <c r="J66" s="106"/>
      <c r="K66" s="106"/>
      <c r="L66" s="106"/>
      <c r="M66" s="106"/>
    </row>
    <row r="67" spans="1:18" s="29" customFormat="1" ht="31.5">
      <c r="A67" s="101"/>
      <c r="B67" s="303"/>
      <c r="C67" s="347" t="s">
        <v>177</v>
      </c>
      <c r="D67" s="101" t="s">
        <v>130</v>
      </c>
      <c r="E67" s="154">
        <f>1.52/100</f>
        <v>0.0152</v>
      </c>
      <c r="F67" s="294">
        <f>E67*F61</f>
        <v>0.10488</v>
      </c>
      <c r="G67" s="344"/>
      <c r="H67" s="306"/>
      <c r="I67" s="103"/>
      <c r="J67" s="320"/>
      <c r="K67" s="103"/>
      <c r="L67" s="102"/>
      <c r="M67" s="103"/>
      <c r="N67" s="501"/>
      <c r="O67" s="502"/>
      <c r="P67" s="502"/>
      <c r="Q67" s="502"/>
      <c r="R67" s="502"/>
    </row>
    <row r="68" spans="1:13" s="29" customFormat="1" ht="15.75">
      <c r="A68" s="101"/>
      <c r="B68" s="303"/>
      <c r="C68" s="347" t="s">
        <v>178</v>
      </c>
      <c r="D68" s="101" t="s">
        <v>34</v>
      </c>
      <c r="E68" s="154">
        <f>0.09/100</f>
        <v>0.0009</v>
      </c>
      <c r="F68" s="346">
        <f>E68*F61</f>
        <v>0.00621</v>
      </c>
      <c r="G68" s="344"/>
      <c r="H68" s="306"/>
      <c r="I68" s="103"/>
      <c r="J68" s="320"/>
      <c r="K68" s="103"/>
      <c r="L68" s="102"/>
      <c r="M68" s="103"/>
    </row>
    <row r="69" spans="1:13" s="29" customFormat="1" ht="15.75">
      <c r="A69" s="134"/>
      <c r="B69" s="309"/>
      <c r="C69" s="310" t="s">
        <v>37</v>
      </c>
      <c r="D69" s="134" t="s">
        <v>33</v>
      </c>
      <c r="E69" s="280">
        <v>0.16</v>
      </c>
      <c r="F69" s="121">
        <f>E69*F61</f>
        <v>1.104</v>
      </c>
      <c r="G69" s="311"/>
      <c r="H69" s="312"/>
      <c r="I69" s="122"/>
      <c r="J69" s="119"/>
      <c r="K69" s="122"/>
      <c r="L69" s="119"/>
      <c r="M69" s="122"/>
    </row>
    <row r="70" spans="1:13" ht="47.25">
      <c r="A70" s="101">
        <v>10</v>
      </c>
      <c r="B70" s="104" t="s">
        <v>167</v>
      </c>
      <c r="C70" s="130" t="s">
        <v>218</v>
      </c>
      <c r="D70" s="102" t="s">
        <v>130</v>
      </c>
      <c r="E70" s="103"/>
      <c r="F70" s="291">
        <v>0.5</v>
      </c>
      <c r="G70" s="131"/>
      <c r="H70" s="102"/>
      <c r="I70" s="103"/>
      <c r="J70" s="131"/>
      <c r="K70" s="103"/>
      <c r="L70" s="102"/>
      <c r="M70" s="103"/>
    </row>
    <row r="71" spans="1:13" ht="31.5">
      <c r="A71" s="295"/>
      <c r="B71" s="104"/>
      <c r="C71" s="38" t="s">
        <v>29</v>
      </c>
      <c r="D71" s="106" t="s">
        <v>30</v>
      </c>
      <c r="E71" s="103">
        <v>2.12</v>
      </c>
      <c r="F71" s="103">
        <f>E71*F70</f>
        <v>1.06</v>
      </c>
      <c r="G71" s="103"/>
      <c r="H71" s="102"/>
      <c r="I71" s="103"/>
      <c r="J71" s="131"/>
      <c r="K71" s="103"/>
      <c r="L71" s="102"/>
      <c r="M71" s="103"/>
    </row>
    <row r="72" spans="1:13" ht="15.75">
      <c r="A72" s="295"/>
      <c r="B72" s="104"/>
      <c r="C72" s="118" t="s">
        <v>36</v>
      </c>
      <c r="D72" s="133" t="s">
        <v>33</v>
      </c>
      <c r="E72" s="132">
        <v>0.101</v>
      </c>
      <c r="F72" s="106">
        <f>E72*F70</f>
        <v>0.0505</v>
      </c>
      <c r="G72" s="106"/>
      <c r="H72" s="133"/>
      <c r="I72" s="106"/>
      <c r="J72" s="175"/>
      <c r="K72" s="106"/>
      <c r="L72" s="133"/>
      <c r="M72" s="106"/>
    </row>
    <row r="73" spans="1:13" ht="18">
      <c r="A73" s="296"/>
      <c r="B73" s="108"/>
      <c r="C73" s="297" t="s">
        <v>138</v>
      </c>
      <c r="D73" s="134" t="s">
        <v>130</v>
      </c>
      <c r="E73" s="110">
        <v>1.22</v>
      </c>
      <c r="F73" s="110">
        <f>E73*F70</f>
        <v>0.61</v>
      </c>
      <c r="G73" s="110"/>
      <c r="H73" s="189"/>
      <c r="I73" s="110"/>
      <c r="J73" s="189"/>
      <c r="K73" s="110"/>
      <c r="L73" s="110"/>
      <c r="M73" s="110"/>
    </row>
    <row r="74" spans="1:13" ht="47.25">
      <c r="A74" s="101">
        <v>11</v>
      </c>
      <c r="B74" s="105" t="s">
        <v>169</v>
      </c>
      <c r="C74" s="130" t="s">
        <v>219</v>
      </c>
      <c r="D74" s="101" t="s">
        <v>133</v>
      </c>
      <c r="E74" s="103"/>
      <c r="F74" s="291">
        <v>21</v>
      </c>
      <c r="G74" s="131"/>
      <c r="H74" s="102"/>
      <c r="I74" s="103"/>
      <c r="J74" s="131"/>
      <c r="K74" s="103"/>
      <c r="L74" s="102"/>
      <c r="M74" s="103"/>
    </row>
    <row r="75" spans="1:13" ht="31.5">
      <c r="A75" s="104"/>
      <c r="B75" s="104"/>
      <c r="C75" s="38" t="s">
        <v>29</v>
      </c>
      <c r="D75" s="106" t="s">
        <v>30</v>
      </c>
      <c r="E75" s="106">
        <v>0.564</v>
      </c>
      <c r="F75" s="106">
        <f>E75*F74</f>
        <v>11.844</v>
      </c>
      <c r="G75" s="146"/>
      <c r="H75" s="146"/>
      <c r="I75" s="146"/>
      <c r="J75" s="146"/>
      <c r="K75" s="146"/>
      <c r="L75" s="146"/>
      <c r="M75" s="146"/>
    </row>
    <row r="76" spans="1:13" ht="15.75">
      <c r="A76" s="36"/>
      <c r="B76" s="298"/>
      <c r="C76" s="38" t="s">
        <v>79</v>
      </c>
      <c r="D76" s="106" t="s">
        <v>33</v>
      </c>
      <c r="E76" s="299">
        <f>4.09/100</f>
        <v>0.0409</v>
      </c>
      <c r="F76" s="106">
        <f>E76*F74</f>
        <v>0.8589</v>
      </c>
      <c r="G76" s="146"/>
      <c r="H76" s="146"/>
      <c r="I76" s="146"/>
      <c r="J76" s="146"/>
      <c r="K76" s="146"/>
      <c r="L76" s="146"/>
      <c r="M76" s="300"/>
    </row>
    <row r="77" spans="1:13" ht="15.75">
      <c r="A77" s="36"/>
      <c r="B77" s="298"/>
      <c r="C77" s="38" t="s">
        <v>171</v>
      </c>
      <c r="D77" s="106" t="s">
        <v>34</v>
      </c>
      <c r="E77" s="299">
        <f>0.16/100</f>
        <v>0.0016</v>
      </c>
      <c r="F77" s="106">
        <f>E77*F74</f>
        <v>0.033600000000000005</v>
      </c>
      <c r="G77" s="146"/>
      <c r="H77" s="146"/>
      <c r="I77" s="146"/>
      <c r="J77" s="146"/>
      <c r="K77" s="106"/>
      <c r="L77" s="106"/>
      <c r="M77" s="106"/>
    </row>
    <row r="78" spans="1:13" ht="15.75">
      <c r="A78" s="36"/>
      <c r="B78" s="298"/>
      <c r="C78" s="38" t="s">
        <v>172</v>
      </c>
      <c r="D78" s="106" t="s">
        <v>34</v>
      </c>
      <c r="E78" s="299">
        <f>0.45/100</f>
        <v>0.0045000000000000005</v>
      </c>
      <c r="F78" s="106">
        <f>E78*F74</f>
        <v>0.09450000000000001</v>
      </c>
      <c r="G78" s="146"/>
      <c r="H78" s="146"/>
      <c r="I78" s="106"/>
      <c r="J78" s="106"/>
      <c r="K78" s="106"/>
      <c r="L78" s="106"/>
      <c r="M78" s="106"/>
    </row>
    <row r="79" spans="1:13" ht="18">
      <c r="A79" s="36"/>
      <c r="B79" s="278"/>
      <c r="C79" s="38" t="s">
        <v>173</v>
      </c>
      <c r="D79" s="106" t="s">
        <v>130</v>
      </c>
      <c r="E79" s="299">
        <f>0.75/100</f>
        <v>0.0075</v>
      </c>
      <c r="F79" s="106">
        <f>E79*F74</f>
        <v>0.1575</v>
      </c>
      <c r="G79" s="146"/>
      <c r="H79" s="146"/>
      <c r="I79" s="103"/>
      <c r="J79" s="106"/>
      <c r="K79" s="106"/>
      <c r="L79" s="106"/>
      <c r="M79" s="106"/>
    </row>
    <row r="80" spans="1:13" ht="15.75">
      <c r="A80" s="37"/>
      <c r="B80" s="301"/>
      <c r="C80" s="186" t="s">
        <v>37</v>
      </c>
      <c r="D80" s="110" t="s">
        <v>33</v>
      </c>
      <c r="E80" s="190">
        <f>26.5/100</f>
        <v>0.265</v>
      </c>
      <c r="F80" s="110">
        <f>E80*F74</f>
        <v>5.565</v>
      </c>
      <c r="G80" s="151"/>
      <c r="H80" s="151"/>
      <c r="I80" s="151"/>
      <c r="J80" s="151"/>
      <c r="K80" s="151"/>
      <c r="L80" s="151"/>
      <c r="M80" s="302"/>
    </row>
    <row r="81" spans="1:13" s="270" customFormat="1" ht="18">
      <c r="A81" s="35">
        <v>12</v>
      </c>
      <c r="B81" s="35" t="s">
        <v>220</v>
      </c>
      <c r="C81" s="187" t="s">
        <v>221</v>
      </c>
      <c r="D81" s="142" t="s">
        <v>130</v>
      </c>
      <c r="E81" s="143"/>
      <c r="F81" s="144">
        <v>4.8</v>
      </c>
      <c r="G81" s="143"/>
      <c r="H81" s="143"/>
      <c r="I81" s="143"/>
      <c r="J81" s="143"/>
      <c r="K81" s="143"/>
      <c r="L81" s="143"/>
      <c r="M81" s="143"/>
    </row>
    <row r="82" spans="1:13" s="270" customFormat="1" ht="31.5">
      <c r="A82" s="145"/>
      <c r="B82" s="348"/>
      <c r="C82" s="38" t="s">
        <v>29</v>
      </c>
      <c r="D82" s="192" t="s">
        <v>30</v>
      </c>
      <c r="E82" s="147">
        <v>2.78</v>
      </c>
      <c r="F82" s="147">
        <f>E82*F81</f>
        <v>13.344</v>
      </c>
      <c r="G82" s="146"/>
      <c r="H82" s="146"/>
      <c r="I82" s="147"/>
      <c r="J82" s="147"/>
      <c r="K82" s="147"/>
      <c r="L82" s="147"/>
      <c r="M82" s="146"/>
    </row>
    <row r="83" spans="1:13" s="270" customFormat="1" ht="15.75">
      <c r="A83" s="145"/>
      <c r="B83" s="145"/>
      <c r="C83" s="147" t="s">
        <v>79</v>
      </c>
      <c r="D83" s="145" t="s">
        <v>33</v>
      </c>
      <c r="E83" s="147">
        <f>0.26/100</f>
        <v>0.0026</v>
      </c>
      <c r="F83" s="147">
        <f>E83*F81</f>
        <v>0.01248</v>
      </c>
      <c r="G83" s="147"/>
      <c r="H83" s="147"/>
      <c r="I83" s="147"/>
      <c r="J83" s="147"/>
      <c r="K83" s="146"/>
      <c r="L83" s="337"/>
      <c r="M83" s="151"/>
    </row>
    <row r="84" spans="1:18" s="270" customFormat="1" ht="18">
      <c r="A84" s="148"/>
      <c r="B84" s="148"/>
      <c r="C84" s="149" t="s">
        <v>222</v>
      </c>
      <c r="D84" s="110" t="s">
        <v>130</v>
      </c>
      <c r="E84" s="149">
        <v>1.01</v>
      </c>
      <c r="F84" s="149">
        <f>E84*F81</f>
        <v>4.848</v>
      </c>
      <c r="G84" s="149"/>
      <c r="H84" s="149"/>
      <c r="I84" s="151"/>
      <c r="J84" s="149"/>
      <c r="K84" s="151"/>
      <c r="L84" s="151"/>
      <c r="M84" s="151"/>
      <c r="N84" s="503"/>
      <c r="O84" s="504"/>
      <c r="P84" s="504"/>
      <c r="Q84" s="504"/>
      <c r="R84" s="504"/>
    </row>
    <row r="85" spans="1:13" s="270" customFormat="1" ht="18">
      <c r="A85" s="287">
        <v>13</v>
      </c>
      <c r="B85" s="105" t="s">
        <v>197</v>
      </c>
      <c r="C85" s="155" t="s">
        <v>223</v>
      </c>
      <c r="D85" s="106" t="s">
        <v>130</v>
      </c>
      <c r="E85" s="330"/>
      <c r="F85" s="350">
        <v>15</v>
      </c>
      <c r="G85" s="7"/>
      <c r="H85" s="348"/>
      <c r="I85" s="145"/>
      <c r="J85" s="7"/>
      <c r="K85" s="146"/>
      <c r="L85" s="133"/>
      <c r="M85" s="106"/>
    </row>
    <row r="86" spans="1:13" s="270" customFormat="1" ht="31.5">
      <c r="A86" s="154"/>
      <c r="B86" s="278"/>
      <c r="C86" s="38" t="s">
        <v>29</v>
      </c>
      <c r="D86" s="106" t="s">
        <v>30</v>
      </c>
      <c r="E86" s="132">
        <f>16.5/1000</f>
        <v>0.0165</v>
      </c>
      <c r="F86" s="106">
        <f>E86*F85</f>
        <v>0.2475</v>
      </c>
      <c r="G86" s="106"/>
      <c r="H86" s="106"/>
      <c r="I86" s="103"/>
      <c r="J86" s="103"/>
      <c r="K86" s="103"/>
      <c r="L86" s="103"/>
      <c r="M86" s="103"/>
    </row>
    <row r="87" spans="1:18" s="270" customFormat="1" ht="15.75">
      <c r="A87" s="101"/>
      <c r="B87" s="105"/>
      <c r="C87" s="38" t="s">
        <v>72</v>
      </c>
      <c r="D87" s="106" t="s">
        <v>31</v>
      </c>
      <c r="E87" s="132">
        <f>37/1000</f>
        <v>0.037</v>
      </c>
      <c r="F87" s="106">
        <f>E87*F85</f>
        <v>0.5549999999999999</v>
      </c>
      <c r="G87" s="106"/>
      <c r="H87" s="106"/>
      <c r="I87" s="103"/>
      <c r="J87" s="131"/>
      <c r="K87" s="103"/>
      <c r="L87" s="102"/>
      <c r="M87" s="103"/>
      <c r="N87" s="501"/>
      <c r="O87" s="502"/>
      <c r="P87" s="502"/>
      <c r="Q87" s="502"/>
      <c r="R87" s="502"/>
    </row>
    <row r="88" spans="1:14" s="270" customFormat="1" ht="31.5">
      <c r="A88" s="134"/>
      <c r="B88" s="135"/>
      <c r="C88" s="186" t="s">
        <v>184</v>
      </c>
      <c r="D88" s="110" t="s">
        <v>30</v>
      </c>
      <c r="E88" s="110"/>
      <c r="F88" s="110">
        <f>F87</f>
        <v>0.5549999999999999</v>
      </c>
      <c r="G88" s="110"/>
      <c r="H88" s="110"/>
      <c r="I88" s="122"/>
      <c r="J88" s="120"/>
      <c r="K88" s="122"/>
      <c r="L88" s="119"/>
      <c r="M88" s="122"/>
      <c r="N88" s="349"/>
    </row>
    <row r="89" spans="1:13" s="29" customFormat="1" ht="47.25">
      <c r="A89" s="104" t="s">
        <v>199</v>
      </c>
      <c r="B89" s="104" t="s">
        <v>200</v>
      </c>
      <c r="C89" s="351" t="s">
        <v>224</v>
      </c>
      <c r="D89" s="154" t="s">
        <v>130</v>
      </c>
      <c r="E89" s="106"/>
      <c r="F89" s="158">
        <f>F85</f>
        <v>15</v>
      </c>
      <c r="G89" s="106"/>
      <c r="H89" s="106"/>
      <c r="I89" s="106"/>
      <c r="J89" s="106"/>
      <c r="K89" s="36"/>
      <c r="L89" s="106"/>
      <c r="M89" s="106"/>
    </row>
    <row r="90" spans="1:18" s="29" customFormat="1" ht="15.75">
      <c r="A90" s="104"/>
      <c r="B90" s="104"/>
      <c r="C90" s="38" t="s">
        <v>179</v>
      </c>
      <c r="D90" s="106" t="s">
        <v>31</v>
      </c>
      <c r="E90" s="107">
        <f>(1.85-0.21*2)/1000</f>
        <v>0.00143</v>
      </c>
      <c r="F90" s="106">
        <f>E90*F89</f>
        <v>0.02145</v>
      </c>
      <c r="G90" s="106"/>
      <c r="H90" s="106"/>
      <c r="I90" s="106"/>
      <c r="J90" s="106"/>
      <c r="K90" s="103"/>
      <c r="L90" s="106"/>
      <c r="M90" s="106"/>
      <c r="N90" s="435"/>
      <c r="O90" s="446"/>
      <c r="P90" s="446"/>
      <c r="Q90" s="446"/>
      <c r="R90" s="446"/>
    </row>
    <row r="91" spans="1:17" s="29" customFormat="1" ht="31.5">
      <c r="A91" s="104"/>
      <c r="B91" s="104"/>
      <c r="C91" s="38" t="s">
        <v>184</v>
      </c>
      <c r="D91" s="106" t="s">
        <v>30</v>
      </c>
      <c r="E91" s="106"/>
      <c r="F91" s="106">
        <f>F90</f>
        <v>0.02145</v>
      </c>
      <c r="G91" s="106"/>
      <c r="H91" s="106"/>
      <c r="I91" s="106"/>
      <c r="J91" s="106"/>
      <c r="K91" s="36"/>
      <c r="L91" s="106"/>
      <c r="M91" s="106"/>
      <c r="N91" s="349"/>
      <c r="O91" s="270"/>
      <c r="P91" s="270"/>
      <c r="Q91" s="270"/>
    </row>
    <row r="92" spans="1:18" s="29" customFormat="1" ht="15.75">
      <c r="A92" s="104"/>
      <c r="B92" s="104"/>
      <c r="C92" s="38" t="s">
        <v>75</v>
      </c>
      <c r="D92" s="106" t="s">
        <v>31</v>
      </c>
      <c r="E92" s="132">
        <f>(10.5-1.02*2)/1000</f>
        <v>0.00846</v>
      </c>
      <c r="F92" s="106">
        <f>E92*F89</f>
        <v>0.1269</v>
      </c>
      <c r="G92" s="106"/>
      <c r="H92" s="106"/>
      <c r="I92" s="106"/>
      <c r="J92" s="106"/>
      <c r="K92" s="103"/>
      <c r="L92" s="106"/>
      <c r="M92" s="106"/>
      <c r="N92" s="435"/>
      <c r="O92" s="446"/>
      <c r="P92" s="446"/>
      <c r="Q92" s="446"/>
      <c r="R92" s="446"/>
    </row>
    <row r="93" spans="1:17" s="29" customFormat="1" ht="31.5">
      <c r="A93" s="104"/>
      <c r="B93" s="104"/>
      <c r="C93" s="38" t="s">
        <v>184</v>
      </c>
      <c r="D93" s="106" t="s">
        <v>30</v>
      </c>
      <c r="E93" s="106"/>
      <c r="F93" s="106">
        <f>F92</f>
        <v>0.1269</v>
      </c>
      <c r="G93" s="106"/>
      <c r="H93" s="106"/>
      <c r="I93" s="106"/>
      <c r="J93" s="106"/>
      <c r="K93" s="36"/>
      <c r="L93" s="106"/>
      <c r="M93" s="106"/>
      <c r="N93" s="349"/>
      <c r="O93" s="270"/>
      <c r="P93" s="270"/>
      <c r="Q93" s="270"/>
    </row>
    <row r="94" spans="1:18" s="29" customFormat="1" ht="15.75">
      <c r="A94" s="104"/>
      <c r="B94" s="104"/>
      <c r="C94" s="38" t="s">
        <v>180</v>
      </c>
      <c r="D94" s="106" t="s">
        <v>31</v>
      </c>
      <c r="E94" s="107">
        <f>(1.85-0.21*2)/1000</f>
        <v>0.00143</v>
      </c>
      <c r="F94" s="106">
        <f>E94*F89</f>
        <v>0.02145</v>
      </c>
      <c r="G94" s="106"/>
      <c r="H94" s="106"/>
      <c r="I94" s="106"/>
      <c r="J94" s="106"/>
      <c r="K94" s="103"/>
      <c r="L94" s="106"/>
      <c r="M94" s="106"/>
      <c r="N94" s="435"/>
      <c r="O94" s="446"/>
      <c r="P94" s="446"/>
      <c r="Q94" s="446"/>
      <c r="R94" s="446"/>
    </row>
    <row r="95" spans="1:13" s="29" customFormat="1" ht="31.5">
      <c r="A95" s="108"/>
      <c r="B95" s="108"/>
      <c r="C95" s="186" t="s">
        <v>184</v>
      </c>
      <c r="D95" s="110" t="s">
        <v>30</v>
      </c>
      <c r="E95" s="110"/>
      <c r="F95" s="110">
        <f>F94</f>
        <v>0.02145</v>
      </c>
      <c r="G95" s="110"/>
      <c r="H95" s="110"/>
      <c r="I95" s="110"/>
      <c r="J95" s="110"/>
      <c r="K95" s="37"/>
      <c r="L95" s="110"/>
      <c r="M95" s="110"/>
    </row>
    <row r="96" spans="1:13" s="270" customFormat="1" ht="15.75">
      <c r="A96" s="176"/>
      <c r="B96" s="152"/>
      <c r="C96" s="177" t="s">
        <v>12</v>
      </c>
      <c r="D96" s="178" t="s">
        <v>33</v>
      </c>
      <c r="E96" s="142"/>
      <c r="F96" s="142"/>
      <c r="G96" s="142"/>
      <c r="H96" s="142">
        <f>SUM(H13:H95)</f>
        <v>0</v>
      </c>
      <c r="I96" s="142"/>
      <c r="J96" s="142">
        <f>SUM(J13:J95)</f>
        <v>0</v>
      </c>
      <c r="K96" s="35"/>
      <c r="L96" s="142">
        <f>SUM(L13:L95)</f>
        <v>0</v>
      </c>
      <c r="M96" s="142">
        <f>SUM(M13:M95)</f>
        <v>0</v>
      </c>
    </row>
    <row r="97" spans="1:13" s="270" customFormat="1" ht="47.25">
      <c r="A97" s="163"/>
      <c r="B97" s="163"/>
      <c r="C97" s="163" t="s">
        <v>235</v>
      </c>
      <c r="D97" s="162"/>
      <c r="E97" s="164"/>
      <c r="F97" s="164"/>
      <c r="G97" s="164"/>
      <c r="H97" s="164"/>
      <c r="I97" s="164"/>
      <c r="J97" s="165">
        <f>J96*E97</f>
        <v>0</v>
      </c>
      <c r="K97" s="164"/>
      <c r="L97" s="164"/>
      <c r="M97" s="165">
        <f>J96*E97</f>
        <v>0</v>
      </c>
    </row>
    <row r="98" spans="1:13" s="270" customFormat="1" ht="15.75">
      <c r="A98" s="163"/>
      <c r="B98" s="164"/>
      <c r="C98" s="163" t="s">
        <v>236</v>
      </c>
      <c r="D98" s="162" t="s">
        <v>33</v>
      </c>
      <c r="E98" s="165"/>
      <c r="F98" s="167"/>
      <c r="G98" s="168"/>
      <c r="H98" s="165">
        <f>E98*H96</f>
        <v>0</v>
      </c>
      <c r="I98" s="165"/>
      <c r="J98" s="165">
        <f>E98*J96</f>
        <v>0</v>
      </c>
      <c r="K98" s="165"/>
      <c r="L98" s="165">
        <f>E98*L96</f>
        <v>0</v>
      </c>
      <c r="M98" s="165">
        <f>SUM(H98:L98)</f>
        <v>0</v>
      </c>
    </row>
    <row r="99" spans="1:13" s="270" customFormat="1" ht="15.75">
      <c r="A99" s="161"/>
      <c r="B99" s="164"/>
      <c r="C99" s="161" t="s">
        <v>12</v>
      </c>
      <c r="D99" s="162" t="s">
        <v>33</v>
      </c>
      <c r="E99" s="159"/>
      <c r="F99" s="161"/>
      <c r="G99" s="161"/>
      <c r="H99" s="159">
        <f>SUM(H96:H98)</f>
        <v>0</v>
      </c>
      <c r="I99" s="159"/>
      <c r="J99" s="159">
        <f>SUM(J96:J98)</f>
        <v>0</v>
      </c>
      <c r="K99" s="159"/>
      <c r="L99" s="159">
        <f>SUM(L96:L98)</f>
        <v>0</v>
      </c>
      <c r="M99" s="159">
        <f>SUM(H99:L99)</f>
        <v>0</v>
      </c>
    </row>
    <row r="100" spans="1:13" s="270" customFormat="1" ht="15.75">
      <c r="A100" s="163"/>
      <c r="B100" s="164"/>
      <c r="C100" s="164" t="s">
        <v>233</v>
      </c>
      <c r="D100" s="162" t="s">
        <v>33</v>
      </c>
      <c r="E100" s="165"/>
      <c r="F100" s="169"/>
      <c r="G100" s="165"/>
      <c r="H100" s="165">
        <f>E100*H99</f>
        <v>0</v>
      </c>
      <c r="I100" s="165"/>
      <c r="J100" s="165">
        <f>E100*J99</f>
        <v>0</v>
      </c>
      <c r="K100" s="165"/>
      <c r="L100" s="165">
        <f>E100*L99</f>
        <v>0</v>
      </c>
      <c r="M100" s="165">
        <f>SUM(H100:L100)</f>
        <v>0</v>
      </c>
    </row>
    <row r="101" spans="1:13" s="270" customFormat="1" ht="15.75">
      <c r="A101" s="170"/>
      <c r="B101" s="273"/>
      <c r="C101" s="170" t="s">
        <v>12</v>
      </c>
      <c r="D101" s="172" t="s">
        <v>33</v>
      </c>
      <c r="E101" s="170"/>
      <c r="F101" s="170"/>
      <c r="G101" s="170"/>
      <c r="H101" s="173">
        <f>SUM(H99:H100)</f>
        <v>0</v>
      </c>
      <c r="I101" s="173"/>
      <c r="J101" s="173">
        <f>SUM(J99:J100)</f>
        <v>0</v>
      </c>
      <c r="K101" s="173"/>
      <c r="L101" s="173">
        <f>SUM(L99:L100)</f>
        <v>0</v>
      </c>
      <c r="M101" s="174">
        <f>SUM(H101:L101)</f>
        <v>0</v>
      </c>
    </row>
    <row r="102" spans="1:13" s="270" customFormat="1" ht="15.75">
      <c r="A102" s="4"/>
      <c r="B102" s="117"/>
      <c r="C102" s="117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</row>
  </sheetData>
  <sheetProtection/>
  <mergeCells count="29">
    <mergeCell ref="A1:M1"/>
    <mergeCell ref="A2:M2"/>
    <mergeCell ref="A3:M3"/>
    <mergeCell ref="A4:M4"/>
    <mergeCell ref="A5:M5"/>
    <mergeCell ref="B6:D6"/>
    <mergeCell ref="F6:I6"/>
    <mergeCell ref="A8:A11"/>
    <mergeCell ref="B8:B11"/>
    <mergeCell ref="C8:C11"/>
    <mergeCell ref="D8:F9"/>
    <mergeCell ref="G8:H9"/>
    <mergeCell ref="I8:J9"/>
    <mergeCell ref="K8:L8"/>
    <mergeCell ref="M8:M11"/>
    <mergeCell ref="K9:L9"/>
    <mergeCell ref="D10:D11"/>
    <mergeCell ref="E10:E11"/>
    <mergeCell ref="F10:F11"/>
    <mergeCell ref="H10:H11"/>
    <mergeCell ref="J10:J11"/>
    <mergeCell ref="L10:L11"/>
    <mergeCell ref="N94:R94"/>
    <mergeCell ref="N53:R53"/>
    <mergeCell ref="N67:R67"/>
    <mergeCell ref="N84:R84"/>
    <mergeCell ref="N87:R87"/>
    <mergeCell ref="N90:R90"/>
    <mergeCell ref="N92:R92"/>
  </mergeCells>
  <printOptions/>
  <pageMargins left="0.7" right="0.7" top="0.75" bottom="0.75" header="0.3" footer="0.3"/>
  <pageSetup horizontalDpi="600" verticalDpi="600" orientation="portrait" scale="50" r:id="rId1"/>
  <rowBreaks count="1" manualBreakCount="1">
    <brk id="45" max="12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gia papashvili</cp:lastModifiedBy>
  <cp:lastPrinted>2019-09-10T09:18:31Z</cp:lastPrinted>
  <dcterms:created xsi:type="dcterms:W3CDTF">1996-10-08T23:32:33Z</dcterms:created>
  <dcterms:modified xsi:type="dcterms:W3CDTF">2019-12-19T09:17:07Z</dcterms:modified>
  <cp:category/>
  <cp:version/>
  <cp:contentType/>
  <cp:contentStatus/>
</cp:coreProperties>
</file>