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64011"/>
  <bookViews>
    <workbookView xWindow="-120" yWindow="-120" windowWidth="29040" windowHeight="15990" tabRatio="876" activeTab="5"/>
  </bookViews>
  <sheets>
    <sheet name="საერთო" sheetId="8" r:id="rId1"/>
    <sheet name="დემონტაჟი" sheetId="1" r:id="rId2"/>
    <sheet name="გამწვანება" sheetId="10" r:id="rId3"/>
    <sheet name="კეთილმოწყობა" sheetId="3" r:id="rId4"/>
    <sheet name="მცირე არქ." sheetId="5" r:id="rId5"/>
    <sheet name="ელექტროობა" sheetId="6" r:id="rId6"/>
  </sheets>
  <definedNames>
    <definedName name="_xlnm.Print_Area" localSheetId="2">გამწვანება!$A$1:$M$24</definedName>
    <definedName name="_xlnm.Print_Area" localSheetId="1">დემონტაჟი!$A$1:$M$36</definedName>
    <definedName name="_xlnm.Print_Area" localSheetId="5">ელექტროობა!$A$1:$M$93</definedName>
    <definedName name="_xlnm.Print_Area" localSheetId="3">კეთილმოწყობა!$A$1:$M$129</definedName>
    <definedName name="_xlnm.Print_Area" localSheetId="4">'მცირე არქ.'!$A$1:$M$116</definedName>
    <definedName name="_xlnm.Print_Area" localSheetId="0">საერთო!$A$1:$C$18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8" i="3" l="1"/>
  <c r="F47" i="3"/>
  <c r="F46" i="3"/>
  <c r="A46" i="3"/>
  <c r="A47" i="3" s="1"/>
  <c r="A48" i="3" s="1"/>
  <c r="F63" i="6"/>
  <c r="F71" i="6" l="1"/>
  <c r="F16" i="5" l="1"/>
  <c r="P48" i="5"/>
  <c r="O48" i="5"/>
  <c r="P47" i="5"/>
  <c r="P80" i="5"/>
  <c r="O47" i="5"/>
  <c r="P46" i="5"/>
  <c r="O46" i="5"/>
  <c r="P45" i="5"/>
  <c r="O45" i="5"/>
  <c r="A52" i="5"/>
  <c r="A53" i="5" s="1"/>
  <c r="A54" i="5" s="1"/>
  <c r="A55" i="5" s="1"/>
  <c r="A56" i="5" s="1"/>
  <c r="A43" i="5"/>
  <c r="A44" i="5" s="1"/>
  <c r="A45" i="5" s="1"/>
  <c r="A46" i="5" s="1"/>
  <c r="A47" i="5" s="1"/>
  <c r="A48" i="5" s="1"/>
  <c r="A49" i="5" s="1"/>
  <c r="A50" i="5" s="1"/>
  <c r="F41" i="5"/>
  <c r="E40" i="5"/>
  <c r="F40" i="5" s="1"/>
  <c r="F39" i="5"/>
  <c r="F37" i="5"/>
  <c r="F36" i="5"/>
  <c r="F35" i="5"/>
  <c r="A35" i="5"/>
  <c r="A36" i="5" s="1"/>
  <c r="A37" i="5" s="1"/>
  <c r="A38" i="5" s="1"/>
  <c r="A39" i="5" s="1"/>
  <c r="A40" i="5" s="1"/>
  <c r="A41" i="5" s="1"/>
  <c r="P49" i="5" l="1"/>
  <c r="F51" i="5" s="1"/>
  <c r="F56" i="5" s="1"/>
  <c r="O49" i="5"/>
  <c r="F42" i="5" s="1"/>
  <c r="F50" i="5" s="1"/>
  <c r="F43" i="5" l="1"/>
  <c r="F44" i="5"/>
  <c r="F49" i="5"/>
  <c r="F55" i="5"/>
  <c r="F53" i="5"/>
  <c r="F52" i="5"/>
  <c r="F54" i="5"/>
  <c r="O79" i="5"/>
  <c r="P78" i="5" l="1"/>
  <c r="F70" i="5" l="1"/>
  <c r="F86" i="5"/>
  <c r="F49" i="3" l="1"/>
  <c r="F17" i="1"/>
  <c r="F20" i="1"/>
  <c r="F15" i="6" l="1"/>
  <c r="F91" i="3" l="1"/>
  <c r="F100" i="3"/>
  <c r="E105" i="3" l="1"/>
  <c r="A101" i="3"/>
  <c r="A102" i="3" s="1"/>
  <c r="A103" i="3" s="1"/>
  <c r="A104" i="3" s="1"/>
  <c r="A105" i="3" s="1"/>
  <c r="F102" i="3"/>
  <c r="XFD98" i="3"/>
  <c r="P98" i="3"/>
  <c r="P97" i="3"/>
  <c r="O97" i="3"/>
  <c r="O98" i="3" s="1"/>
  <c r="F94" i="3" s="1"/>
  <c r="A95" i="3"/>
  <c r="A96" i="3" s="1"/>
  <c r="A97" i="3" s="1"/>
  <c r="A98" i="3" s="1"/>
  <c r="A99" i="3" s="1"/>
  <c r="A112" i="3"/>
  <c r="A113" i="3" s="1"/>
  <c r="A114" i="3" s="1"/>
  <c r="A115" i="3" s="1"/>
  <c r="A116" i="3" s="1"/>
  <c r="F111" i="3"/>
  <c r="F115" i="3" s="1"/>
  <c r="F110" i="3"/>
  <c r="F109" i="3"/>
  <c r="F108" i="3"/>
  <c r="F107" i="3"/>
  <c r="A107" i="3"/>
  <c r="A108" i="3" s="1"/>
  <c r="A109" i="3" s="1"/>
  <c r="A110" i="3" s="1"/>
  <c r="F93" i="3"/>
  <c r="F92" i="3"/>
  <c r="F90" i="3"/>
  <c r="F89" i="3"/>
  <c r="A89" i="3"/>
  <c r="F87" i="3"/>
  <c r="F84" i="3"/>
  <c r="F83" i="3"/>
  <c r="F82" i="3"/>
  <c r="F81" i="3"/>
  <c r="F80" i="3"/>
  <c r="A80" i="3"/>
  <c r="A81" i="3" s="1"/>
  <c r="A82" i="3" s="1"/>
  <c r="A83" i="3" s="1"/>
  <c r="A84" i="3" s="1"/>
  <c r="A85" i="3" s="1"/>
  <c r="A86" i="3" s="1"/>
  <c r="A87" i="3" s="1"/>
  <c r="F78" i="3"/>
  <c r="F77" i="3"/>
  <c r="F76" i="3"/>
  <c r="F75" i="3"/>
  <c r="A75" i="3"/>
  <c r="A76" i="3" s="1"/>
  <c r="A77" i="3" s="1"/>
  <c r="A78" i="3" s="1"/>
  <c r="F46" i="6"/>
  <c r="F42" i="6"/>
  <c r="F48" i="6" s="1"/>
  <c r="F33" i="6"/>
  <c r="F34" i="6"/>
  <c r="F8" i="6"/>
  <c r="A90" i="3" l="1"/>
  <c r="A91" i="3" s="1"/>
  <c r="A92" i="3" s="1"/>
  <c r="A93" i="3" s="1"/>
  <c r="F112" i="3"/>
  <c r="F116" i="3"/>
  <c r="F103" i="3"/>
  <c r="F113" i="3"/>
  <c r="F104" i="3"/>
  <c r="F114" i="3"/>
  <c r="F101" i="3"/>
  <c r="F105" i="3"/>
  <c r="F98" i="3"/>
  <c r="F99" i="3"/>
  <c r="F96" i="3"/>
  <c r="F95" i="3"/>
  <c r="F89" i="5" l="1"/>
  <c r="A26" i="5"/>
  <c r="A27" i="5" s="1"/>
  <c r="F25" i="5"/>
  <c r="F18" i="5"/>
  <c r="F7" i="5" s="1"/>
  <c r="E23" i="5"/>
  <c r="A20" i="5"/>
  <c r="A21" i="5" s="1"/>
  <c r="A22" i="5" s="1"/>
  <c r="A23" i="5" s="1"/>
  <c r="A24" i="5" s="1"/>
  <c r="A14" i="5"/>
  <c r="A15" i="5" s="1"/>
  <c r="A16" i="5" s="1"/>
  <c r="A17" i="5" s="1"/>
  <c r="F24" i="5" l="1"/>
  <c r="F19" i="5"/>
  <c r="F20" i="5"/>
  <c r="F21" i="5"/>
  <c r="F22" i="5"/>
  <c r="F23" i="5"/>
  <c r="F17" i="5" l="1"/>
  <c r="F15" i="5"/>
  <c r="F14" i="5"/>
  <c r="F63" i="3" l="1"/>
  <c r="F54" i="3"/>
  <c r="F66" i="3" l="1"/>
  <c r="F65" i="3"/>
  <c r="O76" i="5"/>
  <c r="F103" i="5" l="1"/>
  <c r="F37" i="3"/>
  <c r="F52" i="3"/>
  <c r="F30" i="3"/>
  <c r="A11" i="1" l="1"/>
  <c r="A12" i="1" s="1"/>
  <c r="A13" i="1" s="1"/>
  <c r="F61" i="6" l="1"/>
  <c r="F104" i="5" l="1"/>
  <c r="F102" i="5"/>
  <c r="A102" i="5"/>
  <c r="A103" i="5" s="1"/>
  <c r="A104" i="5" s="1"/>
  <c r="A96" i="5"/>
  <c r="A97" i="5" s="1"/>
  <c r="A98" i="5" s="1"/>
  <c r="A99" i="5" s="1"/>
  <c r="A100" i="5" s="1"/>
  <c r="A90" i="5"/>
  <c r="A91" i="5" s="1"/>
  <c r="A92" i="5" s="1"/>
  <c r="A93" i="5" s="1"/>
  <c r="A94" i="5" s="1"/>
  <c r="F90" i="5"/>
  <c r="F88" i="5"/>
  <c r="F87" i="5"/>
  <c r="F85" i="5"/>
  <c r="F84" i="5"/>
  <c r="A84" i="5"/>
  <c r="A85" i="5" s="1"/>
  <c r="A86" i="5" s="1"/>
  <c r="A87" i="5" s="1"/>
  <c r="A88" i="5" s="1"/>
  <c r="O80" i="5"/>
  <c r="O78" i="5"/>
  <c r="P77" i="5"/>
  <c r="O77" i="5"/>
  <c r="P76" i="5"/>
  <c r="A74" i="5"/>
  <c r="A75" i="5" s="1"/>
  <c r="A76" i="5" s="1"/>
  <c r="A77" i="5" s="1"/>
  <c r="A78" i="5" s="1"/>
  <c r="A79" i="5" s="1"/>
  <c r="A80" i="5" s="1"/>
  <c r="A81" i="5" s="1"/>
  <c r="A82" i="5" s="1"/>
  <c r="F72" i="5"/>
  <c r="F71" i="5"/>
  <c r="F69" i="5"/>
  <c r="A69" i="5"/>
  <c r="A70" i="5" s="1"/>
  <c r="A71" i="5" s="1"/>
  <c r="A72" i="5" s="1"/>
  <c r="F67" i="5"/>
  <c r="F66" i="5"/>
  <c r="F65" i="5"/>
  <c r="F64" i="5"/>
  <c r="A64" i="5"/>
  <c r="A65" i="5" s="1"/>
  <c r="A66" i="5" s="1"/>
  <c r="A67" i="5" s="1"/>
  <c r="F62" i="5"/>
  <c r="F61" i="5"/>
  <c r="F60" i="5"/>
  <c r="F59" i="5"/>
  <c r="A59" i="5"/>
  <c r="A60" i="5" s="1"/>
  <c r="A61" i="5" s="1"/>
  <c r="A62" i="5" s="1"/>
  <c r="O81" i="5" l="1"/>
  <c r="F73" i="5" s="1"/>
  <c r="F82" i="5" s="1"/>
  <c r="F91" i="5"/>
  <c r="F94" i="5"/>
  <c r="P81" i="5" l="1"/>
  <c r="F95" i="5" s="1"/>
  <c r="F98" i="5" s="1"/>
  <c r="F74" i="5"/>
  <c r="F81" i="5"/>
  <c r="F75" i="5"/>
  <c r="F100" i="5" l="1"/>
  <c r="F99" i="5"/>
  <c r="F96" i="5"/>
  <c r="F97" i="5"/>
  <c r="F10" i="10"/>
  <c r="A17" i="1" l="1"/>
  <c r="F22" i="1" l="1"/>
  <c r="F50" i="6"/>
  <c r="F10" i="6"/>
  <c r="F35" i="3" l="1"/>
  <c r="F62" i="3" l="1"/>
  <c r="F14" i="10"/>
  <c r="F71" i="3"/>
  <c r="F81" i="6" l="1"/>
  <c r="F44" i="6"/>
  <c r="E41" i="6"/>
  <c r="E39" i="6"/>
  <c r="E31" i="6"/>
  <c r="F24" i="6"/>
  <c r="F21" i="6"/>
  <c r="E20" i="6"/>
  <c r="F20" i="6" s="1"/>
  <c r="F19" i="6"/>
  <c r="F18" i="6"/>
  <c r="F17" i="6"/>
  <c r="F16" i="6"/>
  <c r="F12" i="6"/>
  <c r="F9" i="5"/>
  <c r="E36" i="3"/>
  <c r="F36" i="3" s="1"/>
  <c r="E34" i="3"/>
  <c r="F34" i="3" s="1"/>
  <c r="E33" i="3"/>
  <c r="F33" i="3" s="1"/>
  <c r="E32" i="3"/>
  <c r="F32" i="3" s="1"/>
  <c r="E31" i="3"/>
  <c r="F31" i="3" s="1"/>
  <c r="E29" i="3"/>
  <c r="F29" i="3" s="1"/>
  <c r="F28" i="3"/>
  <c r="E27" i="3"/>
  <c r="F27" i="3" s="1"/>
  <c r="E26" i="3"/>
  <c r="F26" i="3" s="1"/>
  <c r="E25" i="3"/>
  <c r="F25" i="3" s="1"/>
  <c r="E24" i="3"/>
  <c r="F24" i="3" s="1"/>
  <c r="F19" i="3"/>
  <c r="E18" i="3"/>
  <c r="E17" i="3"/>
  <c r="E16" i="3"/>
  <c r="E15" i="3"/>
  <c r="F45" i="6" l="1"/>
  <c r="F43" i="6"/>
  <c r="F11" i="6"/>
  <c r="F14" i="6"/>
  <c r="F14" i="3"/>
  <c r="F15" i="3" s="1"/>
  <c r="E13" i="3"/>
  <c r="E12" i="3"/>
  <c r="F8" i="3"/>
  <c r="F18" i="3" l="1"/>
  <c r="F21" i="3"/>
  <c r="E13" i="1" l="1"/>
  <c r="F13" i="1" s="1"/>
  <c r="E12" i="1"/>
  <c r="F12" i="1" s="1"/>
  <c r="E11" i="1"/>
  <c r="F11" i="1" s="1"/>
  <c r="A24" i="3" l="1"/>
  <c r="A25" i="3" s="1"/>
  <c r="A26" i="3" s="1"/>
  <c r="A27" i="3" s="1"/>
  <c r="A28" i="3" s="1"/>
  <c r="A29" i="3" s="1"/>
  <c r="F72" i="3"/>
  <c r="F70" i="3"/>
  <c r="F69" i="3"/>
  <c r="A69" i="3"/>
  <c r="A70" i="3" s="1"/>
  <c r="A71" i="3" s="1"/>
  <c r="A72" i="3" s="1"/>
  <c r="F67" i="3"/>
  <c r="F64" i="3"/>
  <c r="A64" i="3"/>
  <c r="A65" i="3" s="1"/>
  <c r="A67" i="3" l="1"/>
  <c r="A66" i="3"/>
  <c r="F12" i="10" l="1"/>
  <c r="F11" i="10"/>
  <c r="A11" i="10"/>
  <c r="A12" i="10" s="1"/>
  <c r="A13" i="10" s="1"/>
  <c r="A14" i="10" s="1"/>
  <c r="F13" i="10" l="1"/>
  <c r="F23" i="1" l="1"/>
  <c r="A23" i="1"/>
  <c r="F21" i="1"/>
  <c r="F26" i="1"/>
  <c r="A26" i="1"/>
  <c r="A21" i="1"/>
  <c r="F15" i="1"/>
  <c r="A15" i="1"/>
  <c r="F9" i="1"/>
  <c r="F8" i="1"/>
  <c r="A8" i="1"/>
  <c r="A9" i="1" s="1"/>
  <c r="F65" i="6" l="1"/>
  <c r="F64" i="6"/>
  <c r="A64" i="6"/>
  <c r="A65" i="6" s="1"/>
  <c r="F9" i="10"/>
  <c r="F8" i="10"/>
  <c r="A8" i="10"/>
  <c r="A9" i="10" s="1"/>
  <c r="A9" i="6"/>
  <c r="A11" i="6" s="1"/>
  <c r="A12" i="6" s="1"/>
  <c r="A13" i="6" s="1"/>
  <c r="A14" i="6" s="1"/>
  <c r="F9" i="6"/>
  <c r="A16" i="6"/>
  <c r="A17" i="6" s="1"/>
  <c r="A18" i="6" s="1"/>
  <c r="A19" i="6" s="1"/>
  <c r="A20" i="6" s="1"/>
  <c r="A21" i="6" s="1"/>
  <c r="A23" i="6"/>
  <c r="A24" i="6" s="1"/>
  <c r="A25" i="6" s="1"/>
  <c r="A26" i="6" s="1"/>
  <c r="A27" i="6" s="1"/>
  <c r="A28" i="6" s="1"/>
  <c r="F23" i="6"/>
  <c r="F25" i="6"/>
  <c r="F26" i="6"/>
  <c r="F27" i="6"/>
  <c r="F28" i="6"/>
  <c r="A30" i="6"/>
  <c r="A31" i="6" s="1"/>
  <c r="A32" i="6" s="1"/>
  <c r="A33" i="6" s="1"/>
  <c r="A34" i="6" s="1"/>
  <c r="A35" i="6" s="1"/>
  <c r="F30" i="6"/>
  <c r="F31" i="6"/>
  <c r="F35" i="6"/>
  <c r="A37" i="6"/>
  <c r="A38" i="6" s="1"/>
  <c r="A39" i="6" s="1"/>
  <c r="A40" i="6" s="1"/>
  <c r="A41" i="6" s="1"/>
  <c r="A43" i="6"/>
  <c r="A44" i="6" s="1"/>
  <c r="A45" i="6" s="1"/>
  <c r="A47" i="6"/>
  <c r="F47" i="6"/>
  <c r="F51" i="6"/>
  <c r="F49" i="6"/>
  <c r="A49" i="6"/>
  <c r="A51" i="6"/>
  <c r="A59" i="6"/>
  <c r="A60" i="6" s="1"/>
  <c r="A61" i="6" s="1"/>
  <c r="A62" i="6" s="1"/>
  <c r="F59" i="6"/>
  <c r="F62" i="6"/>
  <c r="F66" i="6"/>
  <c r="F67" i="6" s="1"/>
  <c r="A67" i="6"/>
  <c r="A68" i="6" s="1"/>
  <c r="A69" i="6" s="1"/>
  <c r="A70" i="6" s="1"/>
  <c r="A71" i="6" s="1"/>
  <c r="A72" i="6" s="1"/>
  <c r="A73" i="6" s="1"/>
  <c r="F72" i="6"/>
  <c r="A75" i="6"/>
  <c r="A76" i="6" s="1"/>
  <c r="A77" i="6" s="1"/>
  <c r="A78" i="6" s="1"/>
  <c r="A79" i="6" s="1"/>
  <c r="A80" i="6" s="1"/>
  <c r="F75" i="6"/>
  <c r="F76" i="6"/>
  <c r="F60" i="6" l="1"/>
  <c r="O26" i="6"/>
  <c r="O27" i="6"/>
  <c r="F68" i="6"/>
  <c r="O25" i="6"/>
  <c r="F73" i="6"/>
  <c r="O28" i="6" l="1"/>
  <c r="O36" i="6" s="1"/>
  <c r="F36" i="6" s="1"/>
  <c r="F38" i="6" l="1"/>
  <c r="F40" i="6"/>
  <c r="F37" i="6"/>
  <c r="F39" i="6"/>
  <c r="F41" i="6"/>
  <c r="A12" i="5" l="1"/>
  <c r="A10" i="5"/>
  <c r="F8" i="5"/>
  <c r="A8" i="5"/>
  <c r="F10" i="5" l="1"/>
  <c r="F11" i="5"/>
  <c r="F12" i="5" s="1"/>
  <c r="F61" i="3"/>
  <c r="F60" i="3"/>
  <c r="A60" i="3"/>
  <c r="A61" i="3" s="1"/>
  <c r="A62" i="3" s="1"/>
  <c r="F58" i="3"/>
  <c r="F57" i="3"/>
  <c r="F56" i="3"/>
  <c r="F55" i="3"/>
  <c r="A55" i="3"/>
  <c r="A56" i="3" s="1"/>
  <c r="A57" i="3" s="1"/>
  <c r="A58" i="3" s="1"/>
  <c r="A50" i="3"/>
  <c r="A51" i="3" s="1"/>
  <c r="F50" i="3"/>
  <c r="A38" i="3"/>
  <c r="A39" i="3" s="1"/>
  <c r="A40" i="3" s="1"/>
  <c r="A31" i="3"/>
  <c r="A32" i="3" s="1"/>
  <c r="A22" i="3"/>
  <c r="A20" i="3"/>
  <c r="F20" i="3"/>
  <c r="A15" i="3"/>
  <c r="A16" i="3" s="1"/>
  <c r="A17" i="3" s="1"/>
  <c r="F16" i="3"/>
  <c r="F13" i="3"/>
  <c r="F12" i="3"/>
  <c r="A12" i="3"/>
  <c r="A13" i="3" s="1"/>
  <c r="F10" i="3"/>
  <c r="A10" i="3"/>
  <c r="F44" i="3" l="1"/>
  <c r="F43" i="3"/>
  <c r="A33" i="3"/>
  <c r="A34" i="3" s="1"/>
  <c r="A35" i="3" s="1"/>
  <c r="A36" i="3" s="1"/>
  <c r="A52" i="3"/>
  <c r="A53" i="3" s="1"/>
  <c r="F38" i="3"/>
  <c r="F17" i="3"/>
  <c r="F39" i="3"/>
  <c r="F51" i="3"/>
  <c r="F22" i="3"/>
  <c r="F42" i="3"/>
  <c r="F53" i="3"/>
  <c r="A41" i="3"/>
  <c r="A43" i="3" s="1"/>
  <c r="A42" i="3"/>
  <c r="A44" i="3" l="1"/>
  <c r="N118" i="3" l="1"/>
  <c r="N105" i="5" l="1"/>
</calcChain>
</file>

<file path=xl/sharedStrings.xml><?xml version="1.0" encoding="utf-8"?>
<sst xmlns="http://schemas.openxmlformats.org/spreadsheetml/2006/main" count="1023" uniqueCount="365">
  <si>
    <t>#</t>
  </si>
  <si>
    <t>safuZveli</t>
  </si>
  <si>
    <r>
      <t>samuSaos</t>
    </r>
    <r>
      <rPr>
        <sz val="9"/>
        <color indexed="8"/>
        <rFont val="AcadNusx"/>
      </rPr>
      <t xml:space="preserve"> </t>
    </r>
    <r>
      <rPr>
        <sz val="9"/>
        <color indexed="8"/>
        <rFont val="AcadNusx"/>
      </rPr>
      <t>CamonaTvali</t>
    </r>
  </si>
  <si>
    <r>
      <t>ganz.</t>
    </r>
    <r>
      <rPr>
        <sz val="9"/>
        <color indexed="8"/>
        <rFont val="AcadNusx"/>
      </rPr>
      <t xml:space="preserve"> </t>
    </r>
    <r>
      <rPr>
        <sz val="9"/>
        <color indexed="8"/>
        <rFont val="AcadNusx"/>
      </rPr>
      <t>erT</t>
    </r>
  </si>
  <si>
    <t>raodenoba</t>
  </si>
  <si>
    <r>
      <rPr>
        <sz val="9"/>
        <color indexed="8"/>
        <rFont val="AcadNusx"/>
      </rPr>
      <t>m</t>
    </r>
    <r>
      <rPr>
        <sz val="9"/>
        <color indexed="8"/>
        <rFont val="AcadNusx"/>
      </rPr>
      <t xml:space="preserve"> </t>
    </r>
    <r>
      <rPr>
        <sz val="9"/>
        <color indexed="8"/>
        <rFont val="AcadNusx"/>
      </rPr>
      <t>a</t>
    </r>
    <r>
      <rPr>
        <sz val="9"/>
        <color indexed="8"/>
        <rFont val="AcadNusx"/>
      </rPr>
      <t xml:space="preserve"> </t>
    </r>
    <r>
      <rPr>
        <sz val="9"/>
        <color indexed="8"/>
        <rFont val="AcadNusx"/>
      </rPr>
      <t>s</t>
    </r>
    <r>
      <rPr>
        <sz val="9"/>
        <color indexed="8"/>
        <rFont val="AcadNusx"/>
      </rPr>
      <t xml:space="preserve"> </t>
    </r>
    <r>
      <rPr>
        <sz val="9"/>
        <color indexed="8"/>
        <rFont val="AcadNusx"/>
      </rPr>
      <t>a</t>
    </r>
    <r>
      <rPr>
        <sz val="9"/>
        <color indexed="8"/>
        <rFont val="AcadNusx"/>
      </rPr>
      <t xml:space="preserve"> </t>
    </r>
    <r>
      <rPr>
        <sz val="9"/>
        <color indexed="8"/>
        <rFont val="AcadNusx"/>
      </rPr>
      <t>l</t>
    </r>
    <r>
      <rPr>
        <sz val="9"/>
        <color indexed="8"/>
        <rFont val="AcadNusx"/>
      </rPr>
      <t xml:space="preserve"> </t>
    </r>
    <r>
      <rPr>
        <sz val="9"/>
        <color indexed="8"/>
        <rFont val="AcadNusx"/>
      </rPr>
      <t>a</t>
    </r>
  </si>
  <si>
    <r>
      <rPr>
        <sz val="9"/>
        <color indexed="8"/>
        <rFont val="AcadNusx"/>
      </rPr>
      <t>xelfasi</t>
    </r>
  </si>
  <si>
    <r>
      <t>transporti da</t>
    </r>
    <r>
      <rPr>
        <sz val="9"/>
        <color indexed="8"/>
        <rFont val="AcadNusx"/>
      </rPr>
      <t xml:space="preserve"> meqanizmebi</t>
    </r>
  </si>
  <si>
    <t>Gjami</t>
  </si>
  <si>
    <r>
      <rPr>
        <sz val="9"/>
        <color indexed="8"/>
        <rFont val="AcadNusx"/>
      </rPr>
      <t>samuSaos</t>
    </r>
    <r>
      <rPr>
        <sz val="9"/>
        <color indexed="8"/>
        <rFont val="AcadNusx"/>
      </rPr>
      <t xml:space="preserve"> </t>
    </r>
    <r>
      <rPr>
        <sz val="9"/>
        <color indexed="8"/>
        <rFont val="AcadNusx"/>
      </rPr>
      <t>CamonaTvali</t>
    </r>
  </si>
  <si>
    <r>
      <rPr>
        <sz val="9"/>
        <color indexed="8"/>
        <rFont val="AcadNusx"/>
      </rPr>
      <t>ganz.</t>
    </r>
    <r>
      <rPr>
        <sz val="9"/>
        <color indexed="8"/>
        <rFont val="AcadNusx"/>
      </rPr>
      <t xml:space="preserve"> </t>
    </r>
    <r>
      <rPr>
        <sz val="9"/>
        <color indexed="8"/>
        <rFont val="AcadNusx"/>
      </rPr>
      <t>erT</t>
    </r>
  </si>
  <si>
    <t>ganz. erTeulze</t>
  </si>
  <si>
    <t>saproeqto monacemze</t>
  </si>
  <si>
    <r>
      <rPr>
        <sz val="9"/>
        <color indexed="8"/>
        <rFont val="AcadNusx"/>
      </rPr>
      <t>erT.</t>
    </r>
    <r>
      <rPr>
        <sz val="9"/>
        <color indexed="8"/>
        <rFont val="AcadNusx"/>
      </rPr>
      <t xml:space="preserve"> </t>
    </r>
    <r>
      <rPr>
        <sz val="9"/>
        <color indexed="8"/>
        <rFont val="AcadNusx"/>
      </rPr>
      <t>fasi</t>
    </r>
  </si>
  <si>
    <r>
      <rPr>
        <sz val="9"/>
        <color indexed="8"/>
        <rFont val="AcadNusx"/>
      </rPr>
      <t>Gjami</t>
    </r>
  </si>
  <si>
    <t>betonis konstruqciebis demontaJi</t>
  </si>
  <si>
    <t>100 kubm</t>
  </si>
  <si>
    <t xml:space="preserve"> SromiTi danaxarji </t>
  </si>
  <si>
    <t>kac/sT</t>
  </si>
  <si>
    <t xml:space="preserve"> manqanebi </t>
  </si>
  <si>
    <t>lari</t>
  </si>
  <si>
    <t>2</t>
  </si>
  <si>
    <t>sabazro</t>
  </si>
  <si>
    <t>tona</t>
  </si>
  <si>
    <t>27-9-7</t>
  </si>
  <si>
    <t>betonis bordiurebis (15X30) demontaJi da dasawyobeba</t>
  </si>
  <si>
    <t>m</t>
  </si>
  <si>
    <t>3</t>
  </si>
  <si>
    <t>kv.m.</t>
  </si>
  <si>
    <t>5</t>
  </si>
  <si>
    <t>cali</t>
  </si>
  <si>
    <t>6</t>
  </si>
  <si>
    <t>7</t>
  </si>
  <si>
    <t>8</t>
  </si>
  <si>
    <t>9</t>
  </si>
  <si>
    <t>liTonis konstruqciebis transportireba</t>
  </si>
  <si>
    <t>srf</t>
  </si>
  <si>
    <t>10</t>
  </si>
  <si>
    <t xml:space="preserve">samSeneblo nagvis gatana 15 km manZilze </t>
  </si>
  <si>
    <t>samSeneblo nagvis transportireba</t>
  </si>
  <si>
    <t xml:space="preserve">jami </t>
  </si>
  <si>
    <t>zedanadebi xarjebi 10%</t>
  </si>
  <si>
    <t>jami</t>
  </si>
  <si>
    <t>gegmiuri dagroveba 8%</t>
  </si>
  <si>
    <t>jami I</t>
  </si>
  <si>
    <t>c</t>
  </si>
  <si>
    <t>1-80-3</t>
  </si>
  <si>
    <t xml:space="preserve">III kategoriis gruntis damuSaveba xeliT </t>
  </si>
  <si>
    <t>1-11-9</t>
  </si>
  <si>
    <t>III kategoriis gruntis damuSaveba meqnizmebiT gverdze dayriT</t>
  </si>
  <si>
    <t xml:space="preserve">SromiTi danaxarji </t>
  </si>
  <si>
    <t>eqskavatori 0.65</t>
  </si>
  <si>
    <t>1-81-3</t>
  </si>
  <si>
    <t>sn da w IV-2-82 t-1 1-22-14</t>
  </si>
  <si>
    <t>gruntis datvirTva eqskavatoriT</t>
  </si>
  <si>
    <t xml:space="preserve">eqskavatori 0,5 kub.m </t>
  </si>
  <si>
    <t>m/sT</t>
  </si>
  <si>
    <t xml:space="preserve">sxva manqanebi </t>
  </si>
  <si>
    <t>4</t>
  </si>
  <si>
    <t>gruntis datvirTva xeliT avtoTviTmclelze</t>
  </si>
  <si>
    <t>100 kum</t>
  </si>
  <si>
    <t>jami II</t>
  </si>
  <si>
    <t>100 kvm</t>
  </si>
  <si>
    <t>SromiTi danaxarji</t>
  </si>
  <si>
    <t>safeni da safari Sris mowyoba wvrilmarcvlovani qviSiT</t>
  </si>
  <si>
    <t>kubm</t>
  </si>
  <si>
    <t>100 g/m</t>
  </si>
  <si>
    <t>sxva manqanebi</t>
  </si>
  <si>
    <t>sxva masala</t>
  </si>
  <si>
    <t>sxvadasxva manqanebi</t>
  </si>
  <si>
    <t>kbm</t>
  </si>
  <si>
    <t>armatura</t>
  </si>
  <si>
    <t>sxva masalebi</t>
  </si>
  <si>
    <t>sn da w
IV-2-82
8-3-2</t>
  </si>
  <si>
    <t xml:space="preserve"> SromiTi danaxarji</t>
  </si>
  <si>
    <t xml:space="preserve">manqanebi </t>
  </si>
  <si>
    <t>ლარი</t>
  </si>
  <si>
    <t>SromiTi danaxarjebi</t>
  </si>
  <si>
    <t>l</t>
  </si>
  <si>
    <t>sxvadasxva masalebi</t>
  </si>
  <si>
    <t>11</t>
  </si>
  <si>
    <t>kg</t>
  </si>
  <si>
    <r>
      <t>m</t>
    </r>
    <r>
      <rPr>
        <vertAlign val="superscript"/>
        <sz val="10"/>
        <color indexed="8"/>
        <rFont val="AcadNusx"/>
      </rPr>
      <t>2</t>
    </r>
  </si>
  <si>
    <t>27-7-2</t>
  </si>
  <si>
    <t>avtogreideri saSualo tipis 79 kvt (108cZ.)</t>
  </si>
  <si>
    <t>satkepni 18t.</t>
  </si>
  <si>
    <t>t</t>
  </si>
  <si>
    <t xml:space="preserve">27-19-1 </t>
  </si>
  <si>
    <t xml:space="preserve"> betonis bordiuris 
mowyoba betonis safuZvelze qviSa-xreSovani baliSis mowyobiT </t>
  </si>
  <si>
    <t xml:space="preserve"> SromiTi danaxarjebi</t>
  </si>
  <si>
    <t>k/sT</t>
  </si>
  <si>
    <t>proeqt.</t>
  </si>
  <si>
    <t>betoni В-15</t>
  </si>
  <si>
    <t>sn da w
 IV-2-82
t-2
cx.6-9-10</t>
  </si>
  <si>
    <t>betonis filis armirebis mowyoba</t>
  </si>
  <si>
    <t>proeqtiT</t>
  </si>
  <si>
    <t>sn da w
 IV-2-82
t-2
cx.6-1-1</t>
  </si>
  <si>
    <t>betoni klasiT В18.5</t>
  </si>
  <si>
    <t>sabazro-saxelSekrulebo</t>
  </si>
  <si>
    <t xml:space="preserve">SromiTi danaxarji 
</t>
  </si>
  <si>
    <t>კვ.მ</t>
  </si>
  <si>
    <t>or komponentiani betonis webo</t>
  </si>
  <si>
    <t>litri</t>
  </si>
  <si>
    <t xml:space="preserve"> sxva masala</t>
  </si>
  <si>
    <t>dekoratiuli filebis dageba</t>
  </si>
  <si>
    <t xml:space="preserve"> sxvadasxva manqanebi</t>
  </si>
  <si>
    <t>kvm</t>
  </si>
  <si>
    <t>qviSa yviTeli</t>
  </si>
  <si>
    <t>wertilovani saZirkvlebis mowyoba</t>
  </si>
  <si>
    <t>kub.m</t>
  </si>
  <si>
    <t>grZ.m</t>
  </si>
  <si>
    <t>1.10.14</t>
  </si>
  <si>
    <t>eleqtrodi</t>
  </si>
  <si>
    <t>15-164-8 gam.</t>
  </si>
  <si>
    <t xml:space="preserve">Sromis danaxarjebi </t>
  </si>
  <si>
    <t>sxva manqana</t>
  </si>
  <si>
    <t>zeTovani saRebavi</t>
  </si>
  <si>
    <t>4.2.16</t>
  </si>
  <si>
    <t>olifa</t>
  </si>
  <si>
    <t>manqanebi</t>
  </si>
  <si>
    <r>
      <t>m</t>
    </r>
    <r>
      <rPr>
        <b/>
        <vertAlign val="superscript"/>
        <sz val="10"/>
        <rFont val="AcadNusx"/>
      </rPr>
      <t>2</t>
    </r>
  </si>
  <si>
    <r>
      <t>m</t>
    </r>
    <r>
      <rPr>
        <vertAlign val="superscript"/>
        <sz val="10"/>
        <rFont val="AcadNusx"/>
      </rPr>
      <t>2</t>
    </r>
  </si>
  <si>
    <t>sabazro.</t>
  </si>
  <si>
    <t>kompl.</t>
  </si>
  <si>
    <t xml:space="preserve"> lampionis boZis mowyoba</t>
  </si>
  <si>
    <t>liTonis mili 108X3</t>
  </si>
  <si>
    <t>liTonis mili 76X3</t>
  </si>
  <si>
    <t>liTonis mili 57X3</t>
  </si>
  <si>
    <t xml:space="preserve">8-471-1 mis. </t>
  </si>
  <si>
    <t xml:space="preserve">m
</t>
  </si>
  <si>
    <t xml:space="preserve">liTonis konstruqciebis SeRebva zeTovani saRebaviT orjer </t>
  </si>
  <si>
    <t xml:space="preserve">sndaw
IV-6-82
8-609-2   </t>
  </si>
  <si>
    <t>sanaTebis montaJi</t>
  </si>
  <si>
    <t>proeqtiT.</t>
  </si>
  <si>
    <t xml:space="preserve">sndaw
IV-6-82
8-409-3   </t>
  </si>
  <si>
    <t xml:space="preserve"> el. sadenebis gayvana</t>
  </si>
  <si>
    <t xml:space="preserve">grZ.m </t>
  </si>
  <si>
    <t>8.3.31</t>
  </si>
  <si>
    <t>el. sadeni miwaSi Casadebi 5X6 mm (spilenZi)</t>
  </si>
  <si>
    <t>8.3.21</t>
  </si>
  <si>
    <t>el. sadeni foladis milSi gasatareblad 3X2.5 mm (spilenZi)</t>
  </si>
  <si>
    <t>sasignalo lenti</t>
  </si>
  <si>
    <t>gofrirebuli mili</t>
  </si>
  <si>
    <t>sn da w. IV-6-82-8 8-535-11</t>
  </si>
  <si>
    <t>karadis mowyoba marTvis  kvanZiT</t>
  </si>
  <si>
    <t>kompleqti</t>
  </si>
  <si>
    <t>rk. marTvis karada gare dayenebis</t>
  </si>
  <si>
    <t>8.14.234</t>
  </si>
  <si>
    <r>
      <t xml:space="preserve">gamanawilebeli fari </t>
    </r>
    <r>
      <rPr>
        <sz val="10"/>
        <rFont val="Sylfaen"/>
        <family val="1"/>
      </rPr>
      <t>OP-6</t>
    </r>
  </si>
  <si>
    <t>zedanadebi xarjebi 75% xelfasidan</t>
  </si>
  <si>
    <t>jami Tavebis mixedviT</t>
  </si>
  <si>
    <t>I. GtranSeis momzadeba da lampionebis boZebis mowyoba</t>
  </si>
  <si>
    <t>II. sanaTebisa da gayvanilobis montaJi</t>
  </si>
  <si>
    <t>demontaJis samuSaoebi</t>
  </si>
  <si>
    <t>keTilmowyobis samuSaoebi</t>
  </si>
  <si>
    <t>el. samontaJo samuSaoebi</t>
  </si>
  <si>
    <t>d.R.g 18%</t>
  </si>
  <si>
    <t>samuSaos dasaxeleba</t>
  </si>
  <si>
    <t>Rirebuleba (lari)</t>
  </si>
  <si>
    <t xml:space="preserve">gruntis gatana 10 km manZilze </t>
  </si>
  <si>
    <t>teritoriis dakvalva Sesabamisi xelsawyoebis gamoyenebiT</t>
  </si>
  <si>
    <t>gamwvaneba</t>
  </si>
  <si>
    <t>teritoriis momzadeba gruntis SetaniT</t>
  </si>
  <si>
    <r>
      <t>m</t>
    </r>
    <r>
      <rPr>
        <vertAlign val="superscript"/>
        <sz val="9"/>
        <color indexed="8"/>
        <rFont val="AcadNusx"/>
      </rPr>
      <t>3</t>
    </r>
  </si>
  <si>
    <t xml:space="preserve">gruntis damuSaveba xeliT gverdze dayriT </t>
  </si>
  <si>
    <t xml:space="preserve">zolovana galvanizirebuli 40X3 </t>
  </si>
  <si>
    <t xml:space="preserve">sabazro </t>
  </si>
  <si>
    <t>qanCi sayeluriT</t>
  </si>
  <si>
    <t xml:space="preserve">gruntis ukuCayra xeliT </t>
  </si>
  <si>
    <t>avt. amomrTvelis montaJi boZSi</t>
  </si>
  <si>
    <r>
      <t xml:space="preserve">betonis mozadebis mowyoba xelovnuri safaris qveS  klasiT </t>
    </r>
    <r>
      <rPr>
        <b/>
        <sz val="9"/>
        <rFont val="Arial Cyr"/>
        <charset val="204"/>
      </rPr>
      <t>B18.5</t>
    </r>
  </si>
  <si>
    <t>Ggazonis mowyoba</t>
  </si>
  <si>
    <t>mcire arqiteqturuli formebi</t>
  </si>
  <si>
    <t>Eeleqtro samontaJo samuSaoebi</t>
  </si>
  <si>
    <t xml:space="preserve"> sademontaJo samuSaoebi</t>
  </si>
  <si>
    <t>teritoriis keTilmowyoba</t>
  </si>
  <si>
    <t>1,1,28</t>
  </si>
  <si>
    <t>4.2.30</t>
  </si>
  <si>
    <t>48-18 gam.</t>
  </si>
  <si>
    <t>sabaRe gazonis mowyoba xeliT</t>
  </si>
  <si>
    <t>k.vm</t>
  </si>
  <si>
    <t>kvadratuli mili 40X40X3</t>
  </si>
  <si>
    <t>s.n. da w.  IV-2-82 t-2 cx.11-1-3</t>
  </si>
  <si>
    <t>s.n. da w.   IV-2-82 t-4 cx.27_44_2</t>
  </si>
  <si>
    <t xml:space="preserve">safuZvlis qveda fenis mowyoba qviSa xreSovani narevisagan saS. sisqiT 20sm </t>
  </si>
  <si>
    <t xml:space="preserve">safuZvlis zeda fenis mowyoba qviSa RorRovani narevisagan sisqiT 10sm </t>
  </si>
  <si>
    <t>gauTvaliswinebli samuSao 3%</t>
  </si>
  <si>
    <t xml:space="preserve"> yalibis fari </t>
  </si>
  <si>
    <t>armatura 18mm</t>
  </si>
  <si>
    <t xml:space="preserve">damiwebis konturis mowyoba  </t>
  </si>
  <si>
    <t>avtomaturi amomrTveli  16a</t>
  </si>
  <si>
    <r>
      <t>kontaqtori</t>
    </r>
    <r>
      <rPr>
        <sz val="10"/>
        <rFont val="Calibri"/>
        <family val="2"/>
        <charset val="204"/>
      </rPr>
      <t xml:space="preserve"> 16A</t>
    </r>
  </si>
  <si>
    <t>lampionis sanaTi naTuriT (24vt.), Sesabamisi kroSteinebiTa da momWerebiT (ix. Eeskizi)</t>
  </si>
  <si>
    <t>avt. amomrTveli 10 a</t>
  </si>
  <si>
    <t>s.n. da w.        IV-2-82 t-8 cx.46-23-2</t>
  </si>
  <si>
    <t>9-17-1 მისად</t>
  </si>
  <si>
    <t>კ=0.6</t>
  </si>
  <si>
    <t>კ=0.7</t>
  </si>
  <si>
    <t>კ=0.5</t>
  </si>
  <si>
    <t>კ/სთ</t>
  </si>
  <si>
    <t>მ3</t>
  </si>
  <si>
    <t>ვზერი 1-3</t>
  </si>
  <si>
    <t>kum</t>
  </si>
  <si>
    <t>1-64-3 მიყ</t>
  </si>
  <si>
    <t>vzeri 1-3</t>
  </si>
  <si>
    <t>კum</t>
  </si>
  <si>
    <t xml:space="preserve">saZirkvlebis qveS fuZis (baliSis) mowyoba RorRiT da etapobrivi datkepna fena-fena </t>
  </si>
  <si>
    <t>6-1-2</t>
  </si>
  <si>
    <t>კვმ</t>
  </si>
  <si>
    <t>sn da w  9_7_2</t>
  </si>
  <si>
    <t>sn da w          33-251-6 misad.</t>
  </si>
  <si>
    <t>amwe 16 tn</t>
  </si>
  <si>
    <t>sn da w IV-2-82 t-1 11-1-3</t>
  </si>
  <si>
    <t xml:space="preserve">sasrialo qarxnuli warmoebis Sesabamisi sertifikatiT ix. eskizi </t>
  </si>
  <si>
    <t xml:space="preserve">sxva manqana </t>
  </si>
  <si>
    <t>საბაზრო</t>
  </si>
  <si>
    <t>13,127</t>
  </si>
  <si>
    <t>13.126</t>
  </si>
  <si>
    <t>2,2,47</t>
  </si>
  <si>
    <t>betoni b-25</t>
  </si>
  <si>
    <t>yalibi faris</t>
  </si>
  <si>
    <t>xis masala</t>
  </si>
  <si>
    <t xml:space="preserve">liTonis elementebis demontaJi </t>
  </si>
  <si>
    <t>arsebuli sabavSvo atraqcionebis demontaJi da transportireba damkveTis mier miTiTebul adgilze</t>
  </si>
  <si>
    <t>mosarwyavi manqana 6000 ლ</t>
  </si>
  <si>
    <t>wyali</t>
  </si>
  <si>
    <t>gazonisaTvis ganoyierebuli gruntis narevi (neSompala. torfi, sasuqi, grunti da sxva)</t>
  </si>
  <si>
    <t>or komponentiani rulonuri balaxi (gamoyvanili)</t>
  </si>
  <si>
    <t xml:space="preserve">gruntis gatana 15 km manZilze </t>
  </si>
  <si>
    <t>betonis bordiuri 15X30sm (dawnexili)</t>
  </si>
  <si>
    <t>sabavSvo moednisTvis gankuTvnili cveTamedegi kauCukis safaris mowyoba sisqiT 20mm</t>
  </si>
  <si>
    <t xml:space="preserve">saqanela qarxnuli warmoebis Sesabamisi sertifikatiT ix. eskizi </t>
  </si>
  <si>
    <t>სნ და წ  IV-2-82 ტ-8  ცხ.46-30-5</t>
  </si>
  <si>
    <t>arsebuli filebis  demontaJi da dasawyobeba</t>
  </si>
  <si>
    <t xml:space="preserve"> bordiurebisa da filebis gatana 15 km manZilze </t>
  </si>
  <si>
    <t>fanCaturis filis qveS xreSovani baliSis mowyoba</t>
  </si>
  <si>
    <r>
      <t xml:space="preserve">betonis mozadebis mowyoba </t>
    </r>
    <r>
      <rPr>
        <b/>
        <sz val="9"/>
        <rFont val="Arial Cyr"/>
        <charset val="204"/>
      </rPr>
      <t>B22.5</t>
    </r>
  </si>
  <si>
    <t>betoni b-22,5</t>
  </si>
  <si>
    <t>iatakis mopirkeTeba bazaltis filiT</t>
  </si>
  <si>
    <t>webocementi yinvagamZle</t>
  </si>
  <si>
    <t>sn da w  9_5_1</t>
  </si>
  <si>
    <t>fanCaturis konstruqciis, moajiris, magidisa da skamebis  mowyoba liTonis masaliT</t>
  </si>
  <si>
    <t>2.2.19</t>
  </si>
  <si>
    <t>kvadratuli mili 20X40X2</t>
  </si>
  <si>
    <t>s.n. da w. IV-2-82 t-2 cx.12-6-1 misadagebiT</t>
  </si>
  <si>
    <t>fanCaturis gadaxurva</t>
  </si>
  <si>
    <t xml:space="preserve"> manqanebi</t>
  </si>
  <si>
    <t>1.6.3</t>
  </si>
  <si>
    <t>Tunuqis furceli 0.4mm</t>
  </si>
  <si>
    <t xml:space="preserve"> Surupi </t>
  </si>
  <si>
    <t>fanCaturis skamisa da magidis Semosva xis masaliT</t>
  </si>
  <si>
    <t>Sromis danaxarjebi</t>
  </si>
  <si>
    <t>5,1,10</t>
  </si>
  <si>
    <t xml:space="preserve">gamomSrali xe masala </t>
  </si>
  <si>
    <t>WanWiki (qanCiT da sayeluriT)</t>
  </si>
  <si>
    <t>fanCaturis konstruqciis SeRebva daZvelebis efeqtiT</t>
  </si>
  <si>
    <t xml:space="preserve"> xis detalebis galaqva (orjer)</t>
  </si>
  <si>
    <t>4.2.1</t>
  </si>
  <si>
    <t xml:space="preserve">xis wyalmedegi laqi </t>
  </si>
  <si>
    <t>fanCaturis mowyoba</t>
  </si>
  <si>
    <t>sanagve urna ix. eskizi (masalisa da samuSaos gaTvaliswinebiT)</t>
  </si>
  <si>
    <t>skami is. eskizi (masalisa da samuSaos gaTvaliswinebiT)</t>
  </si>
  <si>
    <t>saparke avejis montaJi</t>
  </si>
  <si>
    <t>moajiris mowyoba</t>
  </si>
  <si>
    <t>betoni klasiT В22.5</t>
  </si>
  <si>
    <t xml:space="preserve">saZirkvlebis qveS fuZis (baliSis) mowyoba qviSa-xreSovani nareviT da etapobrivi datkepna fena-fena </t>
  </si>
  <si>
    <t>qviSa-xreSovani narevi</t>
  </si>
  <si>
    <t xml:space="preserve">sxva masala </t>
  </si>
  <si>
    <t>s.n. da w.  
IV-2-82
t-4 
11-20-1
miy.</t>
  </si>
  <si>
    <t>bazaltis fila sisqiT 20mm</t>
  </si>
  <si>
    <t>s.n. da w.
IV-2-82
t-2
cx.15-52-1</t>
  </si>
  <si>
    <t xml:space="preserve">gare kedlebis maRalxarisxovani SebaTqaSeba </t>
  </si>
  <si>
    <t xml:space="preserve"> duRabis tumbo 3 kubm/sT </t>
  </si>
  <si>
    <t xml:space="preserve"> sxva manqanebi</t>
  </si>
  <si>
    <t xml:space="preserve"> duRabi mosapirkeTebeli 1:3</t>
  </si>
  <si>
    <t>s.n. da w.
IV-2-82
t-2
cx.15-168-7</t>
  </si>
  <si>
    <t>gare kedlebis maRalxarisxovani SeRebva wyalmedegi saRebaviT</t>
  </si>
  <si>
    <t xml:space="preserve"> SromiTi danaxarji (65,8+11,5)</t>
  </si>
  <si>
    <t xml:space="preserve"> manqanebi (1,00+0,02)</t>
  </si>
  <si>
    <t xml:space="preserve"> saRebavi fasadis</t>
  </si>
  <si>
    <t xml:space="preserve"> fiTxi fasadis</t>
  </si>
  <si>
    <t>liTonis konstruqciebis damuSaveba zumfariT da SeRebva</t>
  </si>
  <si>
    <t xml:space="preserve">kibis safexurebis mopirkeTeba bazaltis filebiT sisqiT 20mm </t>
  </si>
  <si>
    <t>4.2.60</t>
  </si>
  <si>
    <t>4.2.85</t>
  </si>
  <si>
    <t xml:space="preserve"> sxva masala (1,6+0,42)</t>
  </si>
  <si>
    <t>kibis moajiri mowyoba</t>
  </si>
  <si>
    <t>5.1.10</t>
  </si>
  <si>
    <t xml:space="preserve"> daxerxili xe-tye</t>
  </si>
  <si>
    <r>
      <t>armatura A</t>
    </r>
    <r>
      <rPr>
        <sz val="9"/>
        <rFont val="Arial"/>
        <family val="2"/>
        <charset val="204"/>
      </rPr>
      <t>A­I</t>
    </r>
  </si>
  <si>
    <r>
      <t>armatura A</t>
    </r>
    <r>
      <rPr>
        <sz val="9"/>
        <rFont val="Arial"/>
        <family val="2"/>
        <charset val="204"/>
      </rPr>
      <t>A­III</t>
    </r>
  </si>
  <si>
    <t>s.n. da w. 
IV-2-82
6-1-17</t>
  </si>
  <si>
    <t>kibis mowyoba  betoniT</t>
  </si>
  <si>
    <t>kub.m.</t>
  </si>
  <si>
    <t>1.1.26</t>
  </si>
  <si>
    <t>1.1.28</t>
  </si>
  <si>
    <t>13.191</t>
  </si>
  <si>
    <t>4.1.375</t>
  </si>
  <si>
    <t>2.2.47</t>
  </si>
  <si>
    <t>kibis mowyoba</t>
  </si>
  <si>
    <t>qviSa-cementis safuZvelis, sisqiT 5 sm, mowyoba dekoratiuli filebis qveS</t>
  </si>
  <si>
    <t>betoni klasiT В22,5</t>
  </si>
  <si>
    <t>arsebuli skamebisa da magidis  demontaJi da transportireba damkveTis mier miTiTebul adgilze</t>
  </si>
  <si>
    <t xml:space="preserve">teritoriis dasufTaveba </t>
  </si>
  <si>
    <t>aiwona-daiwona qarxnuli warmoebis Sesabamisi sertifikatiT ix. eskizi (masalisa da samuSaos gaTvaliswinebiT)</t>
  </si>
  <si>
    <t>4.1-238</t>
  </si>
  <si>
    <t>4.1-237</t>
  </si>
  <si>
    <t>4.1.351</t>
  </si>
  <si>
    <t>cementi</t>
  </si>
  <si>
    <t>4.1-233</t>
  </si>
  <si>
    <t xml:space="preserve"> yviTeli qviSa 80% </t>
  </si>
  <si>
    <t>4.1.233</t>
  </si>
  <si>
    <t>4.1.236</t>
  </si>
  <si>
    <t>4.1.323</t>
  </si>
  <si>
    <t>5.1.149</t>
  </si>
  <si>
    <t>4.1-207</t>
  </si>
  <si>
    <t>4.1-259</t>
  </si>
  <si>
    <t>4.1-323</t>
  </si>
  <si>
    <t>5.1-59</t>
  </si>
  <si>
    <t>4.1.207</t>
  </si>
  <si>
    <t>4.1-261</t>
  </si>
  <si>
    <t>bazaltis fila moxvewili zedapiriT sisqiT 20mm</t>
  </si>
  <si>
    <t>4.1.324</t>
  </si>
  <si>
    <t>2.1-43</t>
  </si>
  <si>
    <t>2.1-33</t>
  </si>
  <si>
    <t>4,1-237</t>
  </si>
  <si>
    <t>qviSa-xreSovani narevi fr(0-56)</t>
  </si>
  <si>
    <t>4.1-169</t>
  </si>
  <si>
    <t>4.1-321</t>
  </si>
  <si>
    <t>2.1-55</t>
  </si>
  <si>
    <t>1,1,37</t>
  </si>
  <si>
    <t>4.7.3</t>
  </si>
  <si>
    <t xml:space="preserve"> kubm</t>
  </si>
  <si>
    <t>kvadratis sxmuli 8X8</t>
  </si>
  <si>
    <t>1.4.86</t>
  </si>
  <si>
    <t>1.4-86</t>
  </si>
  <si>
    <t>1.6.33</t>
  </si>
  <si>
    <t>mxatvruli formebi (Weduri)</t>
  </si>
  <si>
    <t>mxatvruli formebi (damzadebuli 8 mm liTonis furcliT)</t>
  </si>
  <si>
    <t>liTonis moajiris mowyoba</t>
  </si>
  <si>
    <t>kvadratuli Mmili 40X40X3</t>
  </si>
  <si>
    <t>kvadratuliMmili 20X40X2</t>
  </si>
  <si>
    <t>kvadratuli sxmuli 8X8</t>
  </si>
  <si>
    <t xml:space="preserve">furclovani foladi 8mm (sxvadasxva formis mxatvruli formebisTvis) </t>
  </si>
  <si>
    <t>liTonis konstruqciebis SeRebva daZvelebis efeqtiT</t>
  </si>
  <si>
    <t>qviSa-RorRovani narevi fr. 0-31 mm</t>
  </si>
  <si>
    <t>qviSa-xreSi fr 0-56mm</t>
  </si>
  <si>
    <t>dasasxmeli kauCukis safari sisqiT 20mm</t>
  </si>
  <si>
    <t>4.1.237</t>
  </si>
  <si>
    <t>sabavSvo moednis mowyoba</t>
  </si>
  <si>
    <t>saqviSis Sevseba yviTeli qviSiT</t>
  </si>
  <si>
    <t>16</t>
  </si>
  <si>
    <t>12</t>
  </si>
  <si>
    <t>kauCukis bordiuris mowyoba</t>
  </si>
  <si>
    <t>kauCukis bordiuri 10X10</t>
  </si>
  <si>
    <t xml:space="preserve">betonis bordiuri (ix. eskizi) </t>
  </si>
  <si>
    <t>Sromis danaxarji</t>
  </si>
  <si>
    <t>14</t>
  </si>
  <si>
    <t>17</t>
  </si>
  <si>
    <t>gare kedlebis SeRebva sabavSvo xasiaTis personaJebiT (damkveTTan SeTanxmebiT)</t>
  </si>
  <si>
    <r>
      <t>sxvadasxva feris (aranakleb 4 feri) or Sriani vibro dawnexili feradi dekoratiuli filebi sisqiT  60mm (</t>
    </r>
    <r>
      <rPr>
        <sz val="10"/>
        <rFont val="Calibri"/>
        <family val="2"/>
      </rPr>
      <t>±</t>
    </r>
    <r>
      <rPr>
        <sz val="11.5"/>
        <rFont val="AcadNusx"/>
      </rPr>
      <t>5mm)</t>
    </r>
    <r>
      <rPr>
        <sz val="10"/>
        <rFont val="AcadNusx"/>
      </rPr>
      <t xml:space="preserve"> (dizainis damkveTTan SeTanxmebiT) simtkice-b25; wyalSTanTqma-araumetes 6%; cveTadoba-17.2&lt;20mm (4klasi)  </t>
    </r>
  </si>
  <si>
    <t>1</t>
  </si>
  <si>
    <t>yalibis fari</t>
  </si>
  <si>
    <r>
      <t>მ</t>
    </r>
    <r>
      <rPr>
        <vertAlign val="superscript"/>
        <sz val="10"/>
        <rFont val="AcadNusx"/>
      </rPr>
      <t>3</t>
    </r>
  </si>
  <si>
    <t>დანართი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</si>
</sst>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0.000"/>
    <numFmt numFmtId="165" formatCode="#,##0_);\-#,##0"/>
    <numFmt numFmtId="166" formatCode="0.0000"/>
    <numFmt numFmtId="167" formatCode="0.0"/>
    <numFmt numFmtId="168" formatCode="#,##0.000_);\-#,##0.000"/>
    <numFmt numFmtId="169" formatCode="#,##0.00_);\-#,##0.00"/>
    <numFmt numFmtId="170" formatCode="#,##0.0_);\-#,##0.0"/>
  </numFmts>
  <fonts count="61" x14ac:knownFonts="1">
    <font>
      <sz val="11"/>
      <color theme="1"/>
      <name val="Calibri"/>
      <family val="2"/>
      <scheme val="minor"/>
    </font>
    <font>
      <b/>
      <sz val="10"/>
      <name val="AcadNusx"/>
    </font>
    <font>
      <sz val="10"/>
      <name val="Arial"/>
      <family val="2"/>
      <charset val="204"/>
    </font>
    <font>
      <sz val="9"/>
      <name val="AcadNusx"/>
    </font>
    <font>
      <sz val="9"/>
      <color rgb="FF000000"/>
      <name val="AcadNusx"/>
    </font>
    <font>
      <sz val="9"/>
      <color indexed="8"/>
      <name val="AcadNusx"/>
    </font>
    <font>
      <b/>
      <sz val="9"/>
      <name val="AcadNusx"/>
    </font>
    <font>
      <sz val="10"/>
      <name val="AcadNusx"/>
    </font>
    <font>
      <sz val="10"/>
      <color rgb="FFFF0000"/>
      <name val="AcadNusx"/>
    </font>
    <font>
      <sz val="10"/>
      <color rgb="FFFF0000"/>
      <name val="Arial"/>
      <family val="2"/>
      <charset val="204"/>
    </font>
    <font>
      <sz val="10"/>
      <color rgb="FF0070C0"/>
      <name val="AcadNusx"/>
    </font>
    <font>
      <b/>
      <sz val="9"/>
      <color rgb="FF000000"/>
      <name val="AcadNusx"/>
    </font>
    <font>
      <sz val="9"/>
      <color rgb="FF0070C0"/>
      <name val="AcadNusx"/>
    </font>
    <font>
      <b/>
      <sz val="9"/>
      <color rgb="FFFF0000"/>
      <name val="AcadNusx"/>
    </font>
    <font>
      <b/>
      <sz val="10"/>
      <name val="Arial"/>
      <family val="2"/>
      <charset val="204"/>
    </font>
    <font>
      <sz val="10"/>
      <color theme="1"/>
      <name val="AcadNusx"/>
    </font>
    <font>
      <b/>
      <sz val="10"/>
      <color theme="1"/>
      <name val="AcadNusx"/>
    </font>
    <font>
      <sz val="10"/>
      <name val="Calibri"/>
      <family val="2"/>
      <charset val="204"/>
    </font>
    <font>
      <sz val="9"/>
      <color rgb="FFFF0000"/>
      <name val="AcadNusx"/>
    </font>
    <font>
      <sz val="9"/>
      <color indexed="10"/>
      <name val="AcadNusx"/>
    </font>
    <font>
      <sz val="10"/>
      <name val="Arial Cyr"/>
      <charset val="204"/>
    </font>
    <font>
      <b/>
      <vertAlign val="superscript"/>
      <sz val="10"/>
      <name val="AcadNusx"/>
    </font>
    <font>
      <sz val="9"/>
      <color indexed="12"/>
      <name val="AcadNusx"/>
    </font>
    <font>
      <b/>
      <sz val="10"/>
      <color indexed="8"/>
      <name val="AcadNusx"/>
    </font>
    <font>
      <b/>
      <sz val="9"/>
      <color theme="1"/>
      <name val="AcadNusx"/>
    </font>
    <font>
      <sz val="10"/>
      <color rgb="FFFF0000"/>
      <name val="Calibri"/>
      <family val="2"/>
      <charset val="204"/>
      <scheme val="minor"/>
    </font>
    <font>
      <sz val="9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color indexed="8"/>
      <name val="AcadNusx"/>
    </font>
    <font>
      <sz val="11"/>
      <color theme="1"/>
      <name val="Calibri"/>
      <family val="2"/>
      <scheme val="minor"/>
    </font>
    <font>
      <vertAlign val="superscript"/>
      <sz val="10"/>
      <name val="AcadNusx"/>
    </font>
    <font>
      <vertAlign val="superscript"/>
      <sz val="10"/>
      <color indexed="8"/>
      <name val="AcadNusx"/>
    </font>
    <font>
      <b/>
      <sz val="9"/>
      <name val="Arial"/>
      <family val="2"/>
      <charset val="204"/>
    </font>
    <font>
      <sz val="10"/>
      <color indexed="10"/>
      <name val="AcadNusx"/>
    </font>
    <font>
      <sz val="10"/>
      <color indexed="12"/>
      <name val="AcadNusx"/>
    </font>
    <font>
      <sz val="9"/>
      <color rgb="FFFF0000"/>
      <name val="Arial"/>
      <family val="2"/>
      <charset val="204"/>
    </font>
    <font>
      <b/>
      <sz val="9"/>
      <name val="Arial Cyr"/>
      <charset val="204"/>
    </font>
    <font>
      <b/>
      <sz val="9"/>
      <color indexed="8"/>
      <name val="AcadNusx"/>
    </font>
    <font>
      <b/>
      <sz val="10"/>
      <color indexed="10"/>
      <name val="AcadNusx"/>
    </font>
    <font>
      <b/>
      <sz val="9"/>
      <color indexed="12"/>
      <name val="AcadNusx"/>
    </font>
    <font>
      <sz val="10"/>
      <name val="Arial"/>
      <family val="2"/>
    </font>
    <font>
      <sz val="10"/>
      <color indexed="48"/>
      <name val="AcadNusx"/>
    </font>
    <font>
      <sz val="10"/>
      <name val="AcadNusx"/>
      <family val="2"/>
    </font>
    <font>
      <sz val="11"/>
      <name val="Times New Roman"/>
      <family val="1"/>
      <charset val="204"/>
    </font>
    <font>
      <b/>
      <sz val="10"/>
      <color rgb="FFFF0000"/>
      <name val="AcadNusx"/>
    </font>
    <font>
      <b/>
      <sz val="10"/>
      <color rgb="FF0070C0"/>
      <name val="AcadNusx"/>
    </font>
    <font>
      <sz val="10"/>
      <name val="Sylfaen"/>
      <family val="1"/>
    </font>
    <font>
      <sz val="11"/>
      <color theme="1"/>
      <name val="AcadNusx"/>
    </font>
    <font>
      <vertAlign val="superscript"/>
      <sz val="9"/>
      <color indexed="8"/>
      <name val="AcadNusx"/>
    </font>
    <font>
      <sz val="10"/>
      <name val="Calibri"/>
      <family val="2"/>
    </font>
    <font>
      <sz val="11.5"/>
      <name val="AcadNusx"/>
    </font>
    <font>
      <b/>
      <sz val="9"/>
      <name val="Calibri Light"/>
      <family val="1"/>
      <charset val="204"/>
      <scheme val="major"/>
    </font>
    <font>
      <sz val="9"/>
      <color theme="1"/>
      <name val="AcadNusx"/>
    </font>
    <font>
      <sz val="9"/>
      <color theme="1"/>
      <name val="Arial"/>
      <family val="2"/>
      <charset val="204"/>
    </font>
    <font>
      <b/>
      <sz val="10"/>
      <name val="Calibri"/>
      <family val="2"/>
      <scheme val="minor"/>
    </font>
    <font>
      <sz val="10"/>
      <color rgb="FF0070C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Helv"/>
    </font>
    <font>
      <sz val="11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/>
      <bottom style="thin">
        <color rgb="FF000000"/>
      </bottom>
      <diagonal/>
    </border>
  </borders>
  <cellStyleXfs count="10">
    <xf numFmtId="0" fontId="0" fillId="0" borderId="0"/>
    <xf numFmtId="0" fontId="20" fillId="0" borderId="0"/>
    <xf numFmtId="0" fontId="2" fillId="0" borderId="0"/>
    <xf numFmtId="43" fontId="29" fillId="0" borderId="0" applyFont="0" applyFill="0" applyBorder="0" applyAlignment="0" applyProtection="0"/>
    <xf numFmtId="0" fontId="20" fillId="0" borderId="0"/>
    <xf numFmtId="0" fontId="43" fillId="0" borderId="0"/>
    <xf numFmtId="0" fontId="29" fillId="0" borderId="0"/>
    <xf numFmtId="0" fontId="40" fillId="0" borderId="0"/>
    <xf numFmtId="0" fontId="40" fillId="0" borderId="0"/>
    <xf numFmtId="0" fontId="59" fillId="0" borderId="0"/>
  </cellStyleXfs>
  <cellXfs count="422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/>
    </xf>
    <xf numFmtId="2" fontId="8" fillId="2" borderId="7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2" fontId="11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" fontId="11" fillId="0" borderId="7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2" fontId="7" fillId="2" borderId="7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2" fontId="1" fillId="4" borderId="7" xfId="0" applyNumberFormat="1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2" fontId="18" fillId="0" borderId="7" xfId="0" applyNumberFormat="1" applyFont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4" fontId="18" fillId="0" borderId="7" xfId="0" applyNumberFormat="1" applyFont="1" applyBorder="1" applyAlignment="1">
      <alignment horizontal="center" vertical="center" wrapText="1"/>
    </xf>
    <xf numFmtId="2" fontId="19" fillId="0" borderId="7" xfId="0" applyNumberFormat="1" applyFont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4" fontId="7" fillId="5" borderId="7" xfId="1" applyNumberFormat="1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2" fontId="18" fillId="2" borderId="7" xfId="0" applyNumberFormat="1" applyFont="1" applyFill="1" applyBorder="1" applyAlignment="1">
      <alignment horizontal="center" vertical="center" wrapText="1"/>
    </xf>
    <xf numFmtId="2" fontId="6" fillId="2" borderId="7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12" fillId="2" borderId="7" xfId="0" applyNumberFormat="1" applyFont="1" applyFill="1" applyBorder="1" applyAlignment="1">
      <alignment horizontal="center" vertical="center" wrapText="1"/>
    </xf>
    <xf numFmtId="2" fontId="22" fillId="0" borderId="7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7" xfId="0" applyNumberFormat="1" applyFont="1" applyFill="1" applyBorder="1" applyAlignment="1" applyProtection="1">
      <alignment horizontal="center" vertical="center"/>
      <protection locked="0"/>
    </xf>
    <xf numFmtId="2" fontId="8" fillId="2" borderId="7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7" xfId="0" applyNumberFormat="1" applyFont="1" applyBorder="1" applyAlignment="1">
      <alignment horizontal="center" vertical="center"/>
    </xf>
    <xf numFmtId="2" fontId="26" fillId="2" borderId="7" xfId="0" applyNumberFormat="1" applyFont="1" applyFill="1" applyBorder="1" applyAlignment="1">
      <alignment horizontal="center" vertical="center"/>
    </xf>
    <xf numFmtId="167" fontId="3" fillId="0" borderId="7" xfId="0" applyNumberFormat="1" applyFont="1" applyBorder="1" applyAlignment="1">
      <alignment horizontal="center" vertical="center" wrapText="1"/>
    </xf>
    <xf numFmtId="2" fontId="27" fillId="0" borderId="7" xfId="0" applyNumberFormat="1" applyFont="1" applyBorder="1" applyAlignment="1">
      <alignment horizontal="center" vertical="center"/>
    </xf>
    <xf numFmtId="2" fontId="27" fillId="2" borderId="7" xfId="0" applyNumberFormat="1" applyFont="1" applyFill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2" fontId="23" fillId="0" borderId="7" xfId="0" applyNumberFormat="1" applyFont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2" fontId="28" fillId="0" borderId="7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2" fontId="33" fillId="0" borderId="7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/>
    </xf>
    <xf numFmtId="2" fontId="34" fillId="0" borderId="7" xfId="0" applyNumberFormat="1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2" fontId="35" fillId="0" borderId="7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65" fontId="37" fillId="6" borderId="4" xfId="0" applyNumberFormat="1" applyFont="1" applyFill="1" applyBorder="1" applyAlignment="1">
      <alignment horizontal="center" vertical="center" wrapText="1"/>
    </xf>
    <xf numFmtId="165" fontId="37" fillId="6" borderId="8" xfId="0" applyNumberFormat="1" applyFont="1" applyFill="1" applyBorder="1" applyAlignment="1">
      <alignment horizontal="center" vertical="center" wrapText="1"/>
    </xf>
    <xf numFmtId="2" fontId="6" fillId="6" borderId="13" xfId="0" applyNumberFormat="1" applyFont="1" applyFill="1" applyBorder="1" applyAlignment="1">
      <alignment horizontal="center" vertical="center" wrapText="1"/>
    </xf>
    <xf numFmtId="168" fontId="18" fillId="6" borderId="7" xfId="0" applyNumberFormat="1" applyFont="1" applyFill="1" applyBorder="1" applyAlignment="1">
      <alignment horizontal="center" vertical="center" wrapText="1"/>
    </xf>
    <xf numFmtId="168" fontId="18" fillId="6" borderId="7" xfId="0" applyNumberFormat="1" applyFont="1" applyFill="1" applyBorder="1" applyAlignment="1">
      <alignment horizontal="center" vertical="center"/>
    </xf>
    <xf numFmtId="168" fontId="18" fillId="6" borderId="8" xfId="0" applyNumberFormat="1" applyFont="1" applyFill="1" applyBorder="1" applyAlignment="1">
      <alignment horizontal="center" vertical="center" wrapText="1"/>
    </xf>
    <xf numFmtId="2" fontId="18" fillId="6" borderId="13" xfId="0" applyNumberFormat="1" applyFont="1" applyFill="1" applyBorder="1" applyAlignment="1">
      <alignment horizontal="center" vertical="center" wrapText="1"/>
    </xf>
    <xf numFmtId="2" fontId="22" fillId="2" borderId="7" xfId="0" applyNumberFormat="1" applyFont="1" applyFill="1" applyBorder="1" applyAlignment="1">
      <alignment horizontal="center" vertical="center" wrapText="1"/>
    </xf>
    <xf numFmtId="169" fontId="5" fillId="6" borderId="7" xfId="0" applyNumberFormat="1" applyFont="1" applyFill="1" applyBorder="1" applyAlignment="1">
      <alignment horizontal="center" vertical="center" wrapText="1"/>
    </xf>
    <xf numFmtId="169" fontId="5" fillId="6" borderId="8" xfId="0" applyNumberFormat="1" applyFont="1" applyFill="1" applyBorder="1" applyAlignment="1">
      <alignment horizontal="center" vertical="center" wrapText="1"/>
    </xf>
    <xf numFmtId="2" fontId="3" fillId="6" borderId="13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2" fontId="14" fillId="0" borderId="7" xfId="0" applyNumberFormat="1" applyFont="1" applyBorder="1" applyAlignment="1">
      <alignment horizontal="center" vertical="center"/>
    </xf>
    <xf numFmtId="2" fontId="38" fillId="0" borderId="7" xfId="0" applyNumberFormat="1" applyFont="1" applyBorder="1" applyAlignment="1">
      <alignment horizontal="center" vertical="center" wrapText="1"/>
    </xf>
    <xf numFmtId="2" fontId="39" fillId="0" borderId="7" xfId="0" applyNumberFormat="1" applyFont="1" applyBorder="1" applyAlignment="1">
      <alignment horizontal="center" vertical="center" wrapText="1"/>
    </xf>
    <xf numFmtId="0" fontId="7" fillId="0" borderId="15" xfId="0" quotePrefix="1" applyFont="1" applyBorder="1" applyAlignment="1">
      <alignment horizontal="center" vertical="center" wrapText="1"/>
    </xf>
    <xf numFmtId="43" fontId="18" fillId="0" borderId="7" xfId="3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0" fontId="1" fillId="2" borderId="7" xfId="4" applyFont="1" applyFill="1" applyBorder="1" applyAlignment="1">
      <alignment horizontal="center" vertical="center" wrapText="1"/>
    </xf>
    <xf numFmtId="2" fontId="1" fillId="2" borderId="7" xfId="4" applyNumberFormat="1" applyFont="1" applyFill="1" applyBorder="1" applyAlignment="1">
      <alignment horizontal="center" vertical="center" wrapText="1"/>
    </xf>
    <xf numFmtId="0" fontId="8" fillId="2" borderId="7" xfId="4" applyFont="1" applyFill="1" applyBorder="1" applyAlignment="1">
      <alignment horizontal="center" vertical="center" wrapText="1"/>
    </xf>
    <xf numFmtId="2" fontId="8" fillId="2" borderId="7" xfId="4" applyNumberFormat="1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/>
    </xf>
    <xf numFmtId="0" fontId="10" fillId="2" borderId="7" xfId="4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2" fontId="10" fillId="2" borderId="7" xfId="4" applyNumberFormat="1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/>
    </xf>
    <xf numFmtId="0" fontId="7" fillId="0" borderId="7" xfId="4" applyFont="1" applyBorder="1" applyAlignment="1">
      <alignment horizontal="center" vertical="center" wrapText="1"/>
    </xf>
    <xf numFmtId="0" fontId="7" fillId="2" borderId="7" xfId="4" applyFont="1" applyFill="1" applyBorder="1" applyAlignment="1">
      <alignment horizontal="center" vertical="center" wrapText="1"/>
    </xf>
    <xf numFmtId="2" fontId="7" fillId="2" borderId="7" xfId="4" applyNumberFormat="1" applyFont="1" applyFill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2" fontId="10" fillId="2" borderId="7" xfId="0" applyNumberFormat="1" applyFont="1" applyFill="1" applyBorder="1" applyAlignment="1">
      <alignment horizontal="center" vertical="center" wrapText="1"/>
    </xf>
    <xf numFmtId="0" fontId="1" fillId="0" borderId="7" xfId="0" quotePrefix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2" fontId="41" fillId="0" borderId="7" xfId="0" applyNumberFormat="1" applyFont="1" applyBorder="1" applyAlignment="1">
      <alignment horizontal="center" vertical="center" wrapText="1"/>
    </xf>
    <xf numFmtId="14" fontId="1" fillId="2" borderId="7" xfId="0" applyNumberFormat="1" applyFont="1" applyFill="1" applyBorder="1" applyAlignment="1">
      <alignment horizontal="center" vertical="center" wrapText="1"/>
    </xf>
    <xf numFmtId="14" fontId="8" fillId="2" borderId="7" xfId="0" applyNumberFormat="1" applyFont="1" applyFill="1" applyBorder="1" applyAlignment="1">
      <alignment horizontal="center" vertical="center" wrapText="1"/>
    </xf>
    <xf numFmtId="14" fontId="10" fillId="2" borderId="7" xfId="0" applyNumberFormat="1" applyFont="1" applyFill="1" applyBorder="1" applyAlignment="1">
      <alignment horizontal="center" vertical="center" wrapText="1"/>
    </xf>
    <xf numFmtId="170" fontId="7" fillId="2" borderId="7" xfId="0" applyNumberFormat="1" applyFont="1" applyFill="1" applyBorder="1" applyAlignment="1">
      <alignment horizontal="center" vertical="center" wrapText="1"/>
    </xf>
    <xf numFmtId="2" fontId="7" fillId="2" borderId="7" xfId="3" applyNumberFormat="1" applyFont="1" applyFill="1" applyBorder="1" applyAlignment="1">
      <alignment horizontal="center" vertical="center" wrapText="1"/>
    </xf>
    <xf numFmtId="164" fontId="7" fillId="2" borderId="7" xfId="3" applyNumberFormat="1" applyFont="1" applyFill="1" applyBorder="1" applyAlignment="1">
      <alignment horizontal="center" vertical="center" wrapText="1"/>
    </xf>
    <xf numFmtId="170" fontId="40" fillId="2" borderId="7" xfId="0" applyNumberFormat="1" applyFont="1" applyFill="1" applyBorder="1" applyAlignment="1">
      <alignment horizontal="center" vertical="center" wrapText="1"/>
    </xf>
    <xf numFmtId="170" fontId="42" fillId="2" borderId="7" xfId="0" applyNumberFormat="1" applyFont="1" applyFill="1" applyBorder="1" applyAlignment="1">
      <alignment horizontal="center" vertical="center" wrapText="1"/>
    </xf>
    <xf numFmtId="2" fontId="40" fillId="2" borderId="7" xfId="0" applyNumberFormat="1" applyFont="1" applyFill="1" applyBorder="1" applyAlignment="1">
      <alignment horizontal="center" vertical="center" wrapText="1"/>
    </xf>
    <xf numFmtId="49" fontId="1" fillId="0" borderId="7" xfId="5" applyNumberFormat="1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2" fontId="33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1" fontId="10" fillId="0" borderId="7" xfId="0" applyNumberFormat="1" applyFont="1" applyBorder="1" applyAlignment="1">
      <alignment horizontal="center" vertical="center" wrapText="1"/>
    </xf>
    <xf numFmtId="166" fontId="7" fillId="2" borderId="14" xfId="0" applyNumberFormat="1" applyFont="1" applyFill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2" fontId="3" fillId="0" borderId="7" xfId="2" applyNumberFormat="1" applyFont="1" applyBorder="1" applyAlignment="1">
      <alignment horizontal="center" vertical="center" wrapText="1"/>
    </xf>
    <xf numFmtId="0" fontId="47" fillId="0" borderId="0" xfId="0" applyFont="1"/>
    <xf numFmtId="0" fontId="47" fillId="0" borderId="7" xfId="0" applyFont="1" applyBorder="1"/>
    <xf numFmtId="0" fontId="47" fillId="0" borderId="7" xfId="0" applyFont="1" applyBorder="1" applyAlignment="1">
      <alignment horizontal="center" vertical="center"/>
    </xf>
    <xf numFmtId="0" fontId="47" fillId="0" borderId="7" xfId="0" applyFont="1" applyBorder="1" applyAlignment="1">
      <alignment horizontal="center" vertical="center" wrapText="1"/>
    </xf>
    <xf numFmtId="2" fontId="47" fillId="0" borderId="7" xfId="0" applyNumberFormat="1" applyFont="1" applyBorder="1" applyAlignment="1">
      <alignment horizontal="center" vertical="center"/>
    </xf>
    <xf numFmtId="0" fontId="47" fillId="0" borderId="7" xfId="0" applyFont="1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0" fillId="2" borderId="0" xfId="0" applyFill="1"/>
    <xf numFmtId="2" fontId="0" fillId="0" borderId="0" xfId="0" applyNumberFormat="1"/>
    <xf numFmtId="2" fontId="47" fillId="0" borderId="0" xfId="0" applyNumberFormat="1" applyFont="1"/>
    <xf numFmtId="2" fontId="13" fillId="0" borderId="7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66" fontId="18" fillId="2" borderId="7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7" fillId="2" borderId="7" xfId="0" quotePrefix="1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1" fillId="0" borderId="0" xfId="0" applyFont="1" applyAlignment="1">
      <alignment horizontal="center" vertical="center"/>
    </xf>
    <xf numFmtId="0" fontId="7" fillId="0" borderId="0" xfId="0" applyFont="1"/>
    <xf numFmtId="2" fontId="7" fillId="5" borderId="7" xfId="0" applyNumberFormat="1" applyFont="1" applyFill="1" applyBorder="1" applyAlignment="1">
      <alignment horizontal="center" vertical="center" wrapText="1"/>
    </xf>
    <xf numFmtId="2" fontId="7" fillId="2" borderId="7" xfId="0" applyNumberFormat="1" applyFont="1" applyFill="1" applyBorder="1" applyAlignment="1" applyProtection="1">
      <alignment horizontal="center" vertical="center"/>
      <protection locked="0"/>
    </xf>
    <xf numFmtId="2" fontId="35" fillId="2" borderId="7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 wrapText="1"/>
    </xf>
    <xf numFmtId="166" fontId="22" fillId="2" borderId="7" xfId="0" applyNumberFormat="1" applyFont="1" applyFill="1" applyBorder="1" applyAlignment="1">
      <alignment horizontal="center" vertical="center" wrapText="1"/>
    </xf>
    <xf numFmtId="2" fontId="6" fillId="2" borderId="10" xfId="0" applyNumberFormat="1" applyFont="1" applyFill="1" applyBorder="1" applyAlignment="1">
      <alignment horizontal="center" vertical="center" wrapText="1"/>
    </xf>
    <xf numFmtId="2" fontId="11" fillId="2" borderId="7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18" fillId="2" borderId="7" xfId="0" applyNumberFormat="1" applyFont="1" applyFill="1" applyBorder="1" applyAlignment="1">
      <alignment horizontal="center" vertical="center" wrapText="1"/>
    </xf>
    <xf numFmtId="164" fontId="12" fillId="2" borderId="7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2" fontId="15" fillId="2" borderId="7" xfId="0" applyNumberFormat="1" applyFont="1" applyFill="1" applyBorder="1" applyAlignment="1">
      <alignment horizontal="center" vertical="center" wrapText="1"/>
    </xf>
    <xf numFmtId="4" fontId="7" fillId="2" borderId="7" xfId="1" applyNumberFormat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 wrapText="1"/>
    </xf>
    <xf numFmtId="2" fontId="8" fillId="2" borderId="10" xfId="0" applyNumberFormat="1" applyFont="1" applyFill="1" applyBorder="1" applyAlignment="1">
      <alignment horizontal="center" vertical="center" wrapText="1"/>
    </xf>
    <xf numFmtId="1" fontId="8" fillId="2" borderId="7" xfId="0" applyNumberFormat="1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" fillId="2" borderId="7" xfId="0" quotePrefix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center" vertical="center" wrapText="1"/>
    </xf>
    <xf numFmtId="166" fontId="10" fillId="2" borderId="7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2" fontId="23" fillId="2" borderId="7" xfId="0" applyNumberFormat="1" applyFont="1" applyFill="1" applyBorder="1" applyAlignment="1">
      <alignment horizontal="center" vertical="center" wrapText="1"/>
    </xf>
    <xf numFmtId="2" fontId="28" fillId="2" borderId="7" xfId="0" applyNumberFormat="1" applyFont="1" applyFill="1" applyBorder="1" applyAlignment="1">
      <alignment horizontal="center" vertical="center" wrapText="1"/>
    </xf>
    <xf numFmtId="0" fontId="16" fillId="2" borderId="7" xfId="1" applyFont="1" applyFill="1" applyBorder="1" applyAlignment="1">
      <alignment horizontal="center" vertical="center" wrapText="1"/>
    </xf>
    <xf numFmtId="0" fontId="15" fillId="2" borderId="7" xfId="1" applyFont="1" applyFill="1" applyBorder="1" applyAlignment="1">
      <alignment horizontal="center" vertical="center" wrapText="1"/>
    </xf>
    <xf numFmtId="2" fontId="32" fillId="2" borderId="7" xfId="0" applyNumberFormat="1" applyFont="1" applyFill="1" applyBorder="1" applyAlignment="1">
      <alignment horizontal="center" vertical="center"/>
    </xf>
    <xf numFmtId="2" fontId="19" fillId="2" borderId="7" xfId="0" applyNumberFormat="1" applyFont="1" applyFill="1" applyBorder="1" applyAlignment="1">
      <alignment horizontal="center" vertical="center" wrapText="1"/>
    </xf>
    <xf numFmtId="4" fontId="7" fillId="2" borderId="7" xfId="1" applyNumberFormat="1" applyFont="1" applyFill="1" applyBorder="1" applyAlignment="1">
      <alignment horizontal="center" vertical="center" wrapText="1"/>
    </xf>
    <xf numFmtId="43" fontId="18" fillId="2" borderId="7" xfId="3" applyFont="1" applyFill="1" applyBorder="1" applyAlignment="1">
      <alignment horizontal="center" vertical="center" wrapText="1"/>
    </xf>
    <xf numFmtId="2" fontId="33" fillId="2" borderId="7" xfId="0" applyNumberFormat="1" applyFont="1" applyFill="1" applyBorder="1" applyAlignment="1">
      <alignment horizontal="center" vertical="center" wrapText="1"/>
    </xf>
    <xf numFmtId="167" fontId="7" fillId="2" borderId="7" xfId="0" applyNumberFormat="1" applyFont="1" applyFill="1" applyBorder="1" applyAlignment="1">
      <alignment horizontal="center" vertical="center" wrapText="1"/>
    </xf>
    <xf numFmtId="49" fontId="24" fillId="2" borderId="7" xfId="0" applyNumberFormat="1" applyFont="1" applyFill="1" applyBorder="1" applyAlignment="1">
      <alignment horizontal="center" vertical="center" wrapText="1"/>
    </xf>
    <xf numFmtId="2" fontId="25" fillId="2" borderId="7" xfId="0" applyNumberFormat="1" applyFont="1" applyFill="1" applyBorder="1" applyAlignment="1" applyProtection="1">
      <alignment horizontal="center" vertical="center"/>
      <protection locked="0"/>
    </xf>
    <xf numFmtId="16" fontId="6" fillId="2" borderId="7" xfId="0" applyNumberFormat="1" applyFont="1" applyFill="1" applyBorder="1" applyAlignment="1">
      <alignment horizontal="center" vertical="center" wrapText="1"/>
    </xf>
    <xf numFmtId="2" fontId="41" fillId="2" borderId="7" xfId="0" applyNumberFormat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2" fontId="14" fillId="2" borderId="7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2" fontId="38" fillId="2" borderId="7" xfId="0" applyNumberFormat="1" applyFont="1" applyFill="1" applyBorder="1" applyAlignment="1">
      <alignment horizontal="center" vertical="center" wrapText="1"/>
    </xf>
    <xf numFmtId="2" fontId="39" fillId="2" borderId="7" xfId="0" applyNumberFormat="1" applyFont="1" applyFill="1" applyBorder="1" applyAlignment="1">
      <alignment horizontal="center" vertical="center" wrapText="1"/>
    </xf>
    <xf numFmtId="49" fontId="1" fillId="2" borderId="7" xfId="5" applyNumberFormat="1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 wrapText="1"/>
    </xf>
    <xf numFmtId="2" fontId="33" fillId="2" borderId="10" xfId="0" applyNumberFormat="1" applyFont="1" applyFill="1" applyBorder="1" applyAlignment="1">
      <alignment horizontal="center" vertical="center" wrapText="1"/>
    </xf>
    <xf numFmtId="0" fontId="41" fillId="2" borderId="7" xfId="0" applyFont="1" applyFill="1" applyBorder="1" applyAlignment="1">
      <alignment horizontal="center" vertical="center" wrapText="1"/>
    </xf>
    <xf numFmtId="2" fontId="41" fillId="2" borderId="10" xfId="0" applyNumberFormat="1" applyFont="1" applyFill="1" applyBorder="1" applyAlignment="1">
      <alignment horizontal="center" vertical="center" wrapText="1"/>
    </xf>
    <xf numFmtId="2" fontId="15" fillId="2" borderId="10" xfId="0" applyNumberFormat="1" applyFont="1" applyFill="1" applyBorder="1" applyAlignment="1">
      <alignment horizontal="center" vertical="center" wrapText="1"/>
    </xf>
    <xf numFmtId="2" fontId="7" fillId="2" borderId="10" xfId="0" applyNumberFormat="1" applyFont="1" applyFill="1" applyBorder="1" applyAlignment="1">
      <alignment horizontal="center" vertical="center" wrapText="1"/>
    </xf>
    <xf numFmtId="49" fontId="1" fillId="2" borderId="7" xfId="0" quotePrefix="1" applyNumberFormat="1" applyFont="1" applyFill="1" applyBorder="1" applyAlignment="1">
      <alignment horizontal="center" vertical="center" wrapText="1"/>
    </xf>
    <xf numFmtId="2" fontId="7" fillId="0" borderId="7" xfId="4" applyNumberFormat="1" applyFont="1" applyBorder="1" applyAlignment="1">
      <alignment horizontal="center" vertical="center" wrapText="1"/>
    </xf>
    <xf numFmtId="169" fontId="7" fillId="2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9" fontId="5" fillId="0" borderId="7" xfId="0" applyNumberFormat="1" applyFont="1" applyFill="1" applyBorder="1" applyAlignment="1">
      <alignment horizontal="center" vertical="center" wrapText="1"/>
    </xf>
    <xf numFmtId="2" fontId="10" fillId="0" borderId="7" xfId="4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49" fontId="51" fillId="2" borderId="7" xfId="0" applyNumberFormat="1" applyFont="1" applyFill="1" applyBorder="1" applyAlignment="1">
      <alignment horizontal="center" vertical="center" wrapText="1"/>
    </xf>
    <xf numFmtId="49" fontId="24" fillId="0" borderId="7" xfId="0" applyNumberFormat="1" applyFont="1" applyBorder="1" applyAlignment="1">
      <alignment horizontal="center" vertical="center" wrapText="1"/>
    </xf>
    <xf numFmtId="2" fontId="24" fillId="0" borderId="7" xfId="0" applyNumberFormat="1" applyFont="1" applyBorder="1" applyAlignment="1">
      <alignment horizontal="center" vertical="center" wrapText="1"/>
    </xf>
    <xf numFmtId="2" fontId="16" fillId="0" borderId="7" xfId="0" applyNumberFormat="1" applyFont="1" applyBorder="1" applyAlignment="1" applyProtection="1">
      <alignment horizontal="center" vertical="center" wrapText="1"/>
      <protection locked="0"/>
    </xf>
    <xf numFmtId="43" fontId="15" fillId="0" borderId="7" xfId="3" applyFont="1" applyBorder="1" applyAlignment="1" applyProtection="1">
      <alignment horizontal="center" vertical="center"/>
      <protection locked="0"/>
    </xf>
    <xf numFmtId="2" fontId="15" fillId="0" borderId="7" xfId="0" applyNumberFormat="1" applyFont="1" applyBorder="1" applyAlignment="1" applyProtection="1">
      <alignment horizontal="center" vertical="center"/>
      <protection locked="0"/>
    </xf>
    <xf numFmtId="167" fontId="18" fillId="0" borderId="7" xfId="0" applyNumberFormat="1" applyFont="1" applyBorder="1" applyAlignment="1">
      <alignment horizontal="center" vertical="center" wrapText="1"/>
    </xf>
    <xf numFmtId="0" fontId="52" fillId="0" borderId="7" xfId="0" applyFont="1" applyBorder="1" applyAlignment="1">
      <alignment horizontal="center" vertical="center" wrapText="1"/>
    </xf>
    <xf numFmtId="2" fontId="52" fillId="0" borderId="7" xfId="0" applyNumberFormat="1" applyFont="1" applyBorder="1" applyAlignment="1">
      <alignment horizontal="center" vertical="center" wrapText="1"/>
    </xf>
    <xf numFmtId="43" fontId="52" fillId="0" borderId="7" xfId="3" applyFont="1" applyBorder="1" applyAlignment="1">
      <alignment horizontal="center" vertical="center" wrapText="1"/>
    </xf>
    <xf numFmtId="2" fontId="53" fillId="0" borderId="7" xfId="0" applyNumberFormat="1" applyFont="1" applyBorder="1" applyAlignment="1">
      <alignment horizontal="center" vertical="center"/>
    </xf>
    <xf numFmtId="43" fontId="53" fillId="0" borderId="7" xfId="3" applyFont="1" applyBorder="1" applyAlignment="1">
      <alignment horizontal="center" vertical="center"/>
    </xf>
    <xf numFmtId="2" fontId="7" fillId="0" borderId="7" xfId="0" applyNumberFormat="1" applyFont="1" applyBorder="1" applyAlignment="1" applyProtection="1">
      <alignment horizontal="center" vertical="center"/>
      <protection locked="0"/>
    </xf>
    <xf numFmtId="2" fontId="25" fillId="0" borderId="7" xfId="0" applyNumberFormat="1" applyFont="1" applyBorder="1" applyAlignment="1" applyProtection="1">
      <alignment horizontal="center" vertical="center"/>
      <protection locked="0"/>
    </xf>
    <xf numFmtId="1" fontId="6" fillId="2" borderId="7" xfId="0" applyNumberFormat="1" applyFont="1" applyFill="1" applyBorder="1" applyAlignment="1">
      <alignment horizontal="center" vertical="center" wrapText="1"/>
    </xf>
    <xf numFmtId="2" fontId="1" fillId="0" borderId="7" xfId="4" applyNumberFormat="1" applyFont="1" applyBorder="1" applyAlignment="1">
      <alignment horizontal="center" vertical="center" wrapText="1"/>
    </xf>
    <xf numFmtId="0" fontId="8" fillId="0" borderId="7" xfId="4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/>
    </xf>
    <xf numFmtId="0" fontId="10" fillId="0" borderId="7" xfId="4" applyFont="1" applyBorder="1" applyAlignment="1">
      <alignment horizontal="center" vertical="center" wrapText="1"/>
    </xf>
    <xf numFmtId="2" fontId="10" fillId="0" borderId="7" xfId="4" applyNumberFormat="1" applyFont="1" applyBorder="1" applyAlignment="1">
      <alignment horizontal="center" vertical="center" wrapText="1"/>
    </xf>
    <xf numFmtId="14" fontId="7" fillId="0" borderId="7" xfId="4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2" fontId="7" fillId="2" borderId="7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7" xfId="0" applyNumberFormat="1" applyFont="1" applyBorder="1" applyAlignment="1" applyProtection="1">
      <alignment horizontal="center" vertical="center" wrapText="1"/>
      <protection locked="0"/>
    </xf>
    <xf numFmtId="2" fontId="54" fillId="0" borderId="7" xfId="0" applyNumberFormat="1" applyFont="1" applyBorder="1" applyAlignment="1" applyProtection="1">
      <alignment horizontal="center" vertical="center" wrapText="1"/>
      <protection locked="0"/>
    </xf>
    <xf numFmtId="49" fontId="3" fillId="2" borderId="7" xfId="0" applyNumberFormat="1" applyFont="1" applyFill="1" applyBorder="1" applyAlignment="1">
      <alignment horizontal="center" vertical="center" wrapText="1"/>
    </xf>
    <xf numFmtId="2" fontId="25" fillId="0" borderId="7" xfId="0" applyNumberFormat="1" applyFont="1" applyBorder="1" applyAlignment="1" applyProtection="1">
      <alignment horizontal="center" vertical="center" wrapText="1"/>
      <protection locked="0"/>
    </xf>
    <xf numFmtId="2" fontId="10" fillId="2" borderId="7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7" xfId="0" applyNumberFormat="1" applyFont="1" applyBorder="1" applyAlignment="1" applyProtection="1">
      <alignment horizontal="center" vertical="center"/>
      <protection locked="0"/>
    </xf>
    <xf numFmtId="2" fontId="10" fillId="0" borderId="7" xfId="0" applyNumberFormat="1" applyFont="1" applyBorder="1" applyAlignment="1" applyProtection="1">
      <alignment horizontal="center" vertical="center" wrapText="1"/>
      <protection locked="0"/>
    </xf>
    <xf numFmtId="2" fontId="55" fillId="0" borderId="7" xfId="0" applyNumberFormat="1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 applyProtection="1">
      <alignment horizontal="center" vertical="center"/>
      <protection locked="0"/>
    </xf>
    <xf numFmtId="2" fontId="56" fillId="0" borderId="7" xfId="0" applyNumberFormat="1" applyFont="1" applyBorder="1" applyAlignment="1" applyProtection="1">
      <alignment horizontal="center" vertical="center" wrapText="1"/>
      <protection locked="0"/>
    </xf>
    <xf numFmtId="2" fontId="56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7" xfId="1" applyFont="1" applyFill="1" applyBorder="1" applyAlignment="1">
      <alignment horizontal="center" vertical="center" wrapText="1"/>
    </xf>
    <xf numFmtId="4" fontId="7" fillId="5" borderId="7" xfId="1" applyNumberFormat="1" applyFont="1" applyFill="1" applyBorder="1" applyAlignment="1">
      <alignment horizontal="center" vertical="center" wrapText="1"/>
    </xf>
    <xf numFmtId="4" fontId="1" fillId="5" borderId="7" xfId="1" applyNumberFormat="1" applyFont="1" applyFill="1" applyBorder="1" applyAlignment="1">
      <alignment horizontal="center" vertical="center" wrapText="1"/>
    </xf>
    <xf numFmtId="2" fontId="7" fillId="0" borderId="7" xfId="1" applyNumberFormat="1" applyFont="1" applyBorder="1" applyAlignment="1">
      <alignment horizontal="center" vertical="center" wrapText="1"/>
    </xf>
    <xf numFmtId="0" fontId="7" fillId="5" borderId="7" xfId="1" applyFont="1" applyFill="1" applyBorder="1" applyAlignment="1">
      <alignment horizontal="center" vertical="center" wrapText="1"/>
    </xf>
    <xf numFmtId="167" fontId="7" fillId="0" borderId="7" xfId="0" applyNumberFormat="1" applyFont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7" fillId="0" borderId="16" xfId="0" quotePrefix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2" fontId="22" fillId="2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7" fillId="0" borderId="10" xfId="0" quotePrefix="1" applyFont="1" applyBorder="1" applyAlignment="1">
      <alignment horizontal="center" vertical="center" wrapText="1"/>
    </xf>
    <xf numFmtId="0" fontId="7" fillId="0" borderId="17" xfId="0" quotePrefix="1" applyFont="1" applyBorder="1" applyAlignment="1">
      <alignment horizontal="center" vertical="center" wrapText="1"/>
    </xf>
    <xf numFmtId="164" fontId="7" fillId="0" borderId="7" xfId="4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7" xfId="0" applyFont="1" applyBorder="1" applyAlignment="1">
      <alignment horizontal="center" vertical="center" wrapText="1"/>
    </xf>
    <xf numFmtId="4" fontId="15" fillId="0" borderId="7" xfId="0" applyNumberFormat="1" applyFont="1" applyBorder="1" applyAlignment="1">
      <alignment horizontal="center" vertical="center" wrapText="1"/>
    </xf>
    <xf numFmtId="4" fontId="58" fillId="0" borderId="7" xfId="0" applyNumberFormat="1" applyFont="1" applyBorder="1" applyAlignment="1">
      <alignment horizontal="center" vertical="center"/>
    </xf>
    <xf numFmtId="4" fontId="15" fillId="2" borderId="7" xfId="0" applyNumberFormat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4" fontId="16" fillId="2" borderId="7" xfId="0" applyNumberFormat="1" applyFont="1" applyFill="1" applyBorder="1" applyAlignment="1">
      <alignment horizontal="center" vertical="center" wrapText="1"/>
    </xf>
    <xf numFmtId="4" fontId="16" fillId="0" borderId="7" xfId="0" applyNumberFormat="1" applyFont="1" applyBorder="1" applyAlignment="1">
      <alignment horizontal="center" vertical="center" wrapText="1"/>
    </xf>
    <xf numFmtId="4" fontId="52" fillId="0" borderId="7" xfId="0" applyNumberFormat="1" applyFont="1" applyBorder="1" applyAlignment="1">
      <alignment horizontal="center" vertical="center" wrapText="1"/>
    </xf>
    <xf numFmtId="2" fontId="16" fillId="0" borderId="0" xfId="0" applyNumberFormat="1" applyFont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4" fontId="24" fillId="0" borderId="7" xfId="0" applyNumberFormat="1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4" fontId="15" fillId="0" borderId="7" xfId="3" applyNumberFormat="1" applyFont="1" applyBorder="1" applyAlignment="1">
      <alignment horizontal="center" vertical="center" wrapText="1"/>
    </xf>
    <xf numFmtId="4" fontId="58" fillId="0" borderId="7" xfId="3" applyNumberFormat="1" applyFont="1" applyBorder="1" applyAlignment="1">
      <alignment horizontal="center" vertical="center"/>
    </xf>
    <xf numFmtId="2" fontId="24" fillId="0" borderId="0" xfId="0" applyNumberFormat="1" applyFont="1" applyAlignment="1">
      <alignment horizontal="center" vertical="center" wrapText="1"/>
    </xf>
    <xf numFmtId="4" fontId="52" fillId="0" borderId="7" xfId="3" applyNumberFormat="1" applyFont="1" applyBorder="1" applyAlignment="1">
      <alignment horizontal="center" vertical="center" wrapText="1"/>
    </xf>
    <xf numFmtId="1" fontId="16" fillId="0" borderId="7" xfId="0" applyNumberFormat="1" applyFont="1" applyBorder="1" applyAlignment="1">
      <alignment horizontal="center" vertical="center" wrapText="1"/>
    </xf>
    <xf numFmtId="4" fontId="16" fillId="0" borderId="7" xfId="3" applyNumberFormat="1" applyFont="1" applyBorder="1" applyAlignment="1">
      <alignment horizontal="center" vertical="center" wrapText="1"/>
    </xf>
    <xf numFmtId="4" fontId="16" fillId="0" borderId="7" xfId="0" applyNumberFormat="1" applyFont="1" applyBorder="1" applyAlignment="1" applyProtection="1">
      <alignment horizontal="center" vertical="center" wrapText="1"/>
      <protection locked="0"/>
    </xf>
    <xf numFmtId="4" fontId="15" fillId="0" borderId="7" xfId="0" applyNumberFormat="1" applyFont="1" applyBorder="1" applyAlignment="1" applyProtection="1">
      <alignment horizontal="center" vertical="center"/>
      <protection locked="0"/>
    </xf>
    <xf numFmtId="4" fontId="53" fillId="0" borderId="7" xfId="0" applyNumberFormat="1" applyFont="1" applyBorder="1" applyAlignment="1">
      <alignment horizontal="center" vertical="center"/>
    </xf>
    <xf numFmtId="4" fontId="53" fillId="0" borderId="7" xfId="3" applyNumberFormat="1" applyFont="1" applyBorder="1" applyAlignment="1">
      <alignment horizontal="center" vertical="center"/>
    </xf>
    <xf numFmtId="4" fontId="58" fillId="0" borderId="7" xfId="0" applyNumberFormat="1" applyFont="1" applyBorder="1"/>
    <xf numFmtId="4" fontId="58" fillId="0" borderId="7" xfId="3" applyNumberFormat="1" applyFont="1" applyBorder="1"/>
    <xf numFmtId="1" fontId="24" fillId="0" borderId="7" xfId="0" applyNumberFormat="1" applyFont="1" applyBorder="1" applyAlignment="1">
      <alignment horizontal="center" vertical="center" wrapText="1"/>
    </xf>
    <xf numFmtId="0" fontId="16" fillId="0" borderId="7" xfId="0" quotePrefix="1" applyFont="1" applyBorder="1" applyAlignment="1">
      <alignment horizontal="center" vertical="center" wrapText="1"/>
    </xf>
    <xf numFmtId="2" fontId="7" fillId="0" borderId="0" xfId="0" applyNumberFormat="1" applyFont="1"/>
    <xf numFmtId="4" fontId="9" fillId="0" borderId="7" xfId="0" applyNumberFormat="1" applyFont="1" applyBorder="1" applyAlignment="1">
      <alignment horizontal="center" vertical="center"/>
    </xf>
    <xf numFmtId="4" fontId="18" fillId="0" borderId="7" xfId="0" applyNumberFormat="1" applyFont="1" applyBorder="1" applyAlignment="1">
      <alignment horizontal="center" vertical="center" wrapText="1"/>
    </xf>
    <xf numFmtId="4" fontId="9" fillId="0" borderId="7" xfId="3" applyNumberFormat="1" applyFont="1" applyBorder="1" applyAlignment="1">
      <alignment horizontal="center" vertical="center"/>
    </xf>
    <xf numFmtId="4" fontId="8" fillId="0" borderId="7" xfId="3" applyNumberFormat="1" applyFont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2" fillId="0" borderId="7" xfId="3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" fontId="18" fillId="2" borderId="7" xfId="0" applyNumberFormat="1" applyFont="1" applyFill="1" applyBorder="1" applyAlignment="1">
      <alignment horizontal="center" vertical="center" wrapText="1"/>
    </xf>
    <xf numFmtId="0" fontId="57" fillId="0" borderId="0" xfId="0" applyFont="1"/>
    <xf numFmtId="0" fontId="60" fillId="0" borderId="0" xfId="0" applyFont="1"/>
    <xf numFmtId="0" fontId="26" fillId="0" borderId="7" xfId="0" applyFont="1" applyBorder="1" applyAlignment="1">
      <alignment horizontal="center" vertical="center"/>
    </xf>
    <xf numFmtId="167" fontId="3" fillId="2" borderId="7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27" fillId="0" borderId="7" xfId="0" applyNumberFormat="1" applyFont="1" applyBorder="1" applyAlignment="1">
      <alignment horizontal="center" vertical="center"/>
    </xf>
    <xf numFmtId="0" fontId="14" fillId="2" borderId="7" xfId="0" applyFont="1" applyFill="1" applyBorder="1"/>
    <xf numFmtId="0" fontId="14" fillId="0" borderId="7" xfId="0" applyFont="1" applyBorder="1"/>
    <xf numFmtId="0" fontId="2" fillId="2" borderId="7" xfId="0" applyFont="1" applyFill="1" applyBorder="1"/>
    <xf numFmtId="0" fontId="2" fillId="0" borderId="7" xfId="0" applyFont="1" applyBorder="1"/>
    <xf numFmtId="14" fontId="3" fillId="0" borderId="7" xfId="0" applyNumberFormat="1" applyFont="1" applyBorder="1" applyAlignment="1">
      <alignment horizontal="center" vertical="center" wrapText="1"/>
    </xf>
    <xf numFmtId="164" fontId="7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>
      <alignment horizontal="center" vertical="center" wrapText="1"/>
    </xf>
    <xf numFmtId="166" fontId="6" fillId="2" borderId="7" xfId="0" applyNumberFormat="1" applyFont="1" applyFill="1" applyBorder="1" applyAlignment="1">
      <alignment horizontal="center" vertical="center" wrapText="1"/>
    </xf>
    <xf numFmtId="0" fontId="7" fillId="2" borderId="18" xfId="0" quotePrefix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4" fontId="1" fillId="2" borderId="7" xfId="1" applyNumberFormat="1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0" fillId="7" borderId="0" xfId="0" applyFill="1"/>
    <xf numFmtId="0" fontId="3" fillId="7" borderId="7" xfId="0" applyFont="1" applyFill="1" applyBorder="1" applyAlignment="1">
      <alignment horizontal="center" vertical="center" wrapText="1"/>
    </xf>
    <xf numFmtId="0" fontId="7" fillId="7" borderId="7" xfId="0" quotePrefix="1" applyFont="1" applyFill="1" applyBorder="1" applyAlignment="1">
      <alignment horizontal="center" vertical="center" wrapText="1"/>
    </xf>
    <xf numFmtId="2" fontId="7" fillId="7" borderId="7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7" fillId="2" borderId="7" xfId="0" quotePrefix="1" applyNumberFormat="1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12" fillId="0" borderId="7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18" fillId="0" borderId="7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23" fillId="0" borderId="7" xfId="0" applyNumberFormat="1" applyFont="1" applyFill="1" applyBorder="1" applyAlignment="1">
      <alignment horizontal="center" vertical="center" wrapText="1"/>
    </xf>
    <xf numFmtId="2" fontId="10" fillId="0" borderId="7" xfId="0" applyNumberFormat="1" applyFont="1" applyFill="1" applyBorder="1" applyAlignment="1">
      <alignment horizontal="center" vertical="center" wrapText="1"/>
    </xf>
    <xf numFmtId="2" fontId="22" fillId="0" borderId="7" xfId="0" applyNumberFormat="1" applyFont="1" applyFill="1" applyBorder="1" applyAlignment="1">
      <alignment horizontal="center" vertical="center" wrapText="1"/>
    </xf>
    <xf numFmtId="2" fontId="3" fillId="0" borderId="7" xfId="2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4" fontId="15" fillId="0" borderId="7" xfId="0" applyNumberFormat="1" applyFont="1" applyFill="1" applyBorder="1" applyAlignment="1">
      <alignment horizontal="center" vertical="center" wrapText="1"/>
    </xf>
    <xf numFmtId="4" fontId="24" fillId="0" borderId="7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4" fontId="16" fillId="0" borderId="7" xfId="0" applyNumberFormat="1" applyFont="1" applyFill="1" applyBorder="1" applyAlignment="1">
      <alignment horizontal="center" vertical="center" wrapText="1"/>
    </xf>
    <xf numFmtId="4" fontId="18" fillId="0" borderId="7" xfId="0" applyNumberFormat="1" applyFont="1" applyFill="1" applyBorder="1" applyAlignment="1">
      <alignment horizontal="center" vertical="center" wrapText="1"/>
    </xf>
    <xf numFmtId="4" fontId="12" fillId="0" borderId="7" xfId="0" applyNumberFormat="1" applyFont="1" applyFill="1" applyBorder="1" applyAlignment="1">
      <alignment horizontal="center" vertical="center" wrapText="1"/>
    </xf>
    <xf numFmtId="4" fontId="52" fillId="0" borderId="7" xfId="0" applyNumberFormat="1" applyFont="1" applyFill="1" applyBorder="1" applyAlignment="1">
      <alignment horizontal="center" vertical="center" wrapText="1"/>
    </xf>
    <xf numFmtId="2" fontId="1" fillId="0" borderId="7" xfId="4" applyNumberFormat="1" applyFont="1" applyFill="1" applyBorder="1" applyAlignment="1">
      <alignment horizontal="center" vertical="center" wrapText="1"/>
    </xf>
    <xf numFmtId="2" fontId="8" fillId="0" borderId="7" xfId="4" applyNumberFormat="1" applyFont="1" applyFill="1" applyBorder="1" applyAlignment="1">
      <alignment horizontal="center" vertical="center" wrapText="1"/>
    </xf>
    <xf numFmtId="2" fontId="7" fillId="0" borderId="7" xfId="4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7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2" fontId="12" fillId="3" borderId="7" xfId="0" applyNumberFormat="1" applyFont="1" applyFill="1" applyBorder="1" applyAlignment="1">
      <alignment horizontal="center" vertical="center" wrapText="1"/>
    </xf>
    <xf numFmtId="2" fontId="8" fillId="3" borderId="7" xfId="0" applyNumberFormat="1" applyFont="1" applyFill="1" applyBorder="1" applyAlignment="1">
      <alignment horizontal="center" vertical="center" wrapText="1"/>
    </xf>
    <xf numFmtId="0" fontId="1" fillId="0" borderId="15" xfId="0" quotePrefix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8" fillId="2" borderId="7" xfId="0" applyNumberFormat="1" applyFont="1" applyFill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4" fontId="1" fillId="0" borderId="7" xfId="1" applyNumberFormat="1" applyFont="1" applyFill="1" applyBorder="1" applyAlignment="1">
      <alignment horizontal="center" vertical="center"/>
    </xf>
    <xf numFmtId="2" fontId="52" fillId="0" borderId="7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8" fillId="0" borderId="7" xfId="0" applyNumberFormat="1" applyFont="1" applyBorder="1" applyAlignment="1">
      <alignment horizontal="center" vertical="center" wrapText="1"/>
    </xf>
    <xf numFmtId="0" fontId="18" fillId="6" borderId="7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</cellXfs>
  <cellStyles count="10">
    <cellStyle name="Comma" xfId="3" builtinId="3"/>
    <cellStyle name="Normal" xfId="0" builtinId="0"/>
    <cellStyle name="Normal 2 10" xfId="7"/>
    <cellStyle name="Normal 4" xfId="8"/>
    <cellStyle name="Normal 8" xfId="6"/>
    <cellStyle name="Normal_stadion-1" xfId="5"/>
    <cellStyle name="Style 1" xfId="9"/>
    <cellStyle name="Обычный_S.S.S" xfId="2"/>
    <cellStyle name="Обычный_Лист1" xfId="4"/>
    <cellStyle name="Обычный_დემონტაჟი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600075</xdr:rowOff>
    </xdr:from>
    <xdr:to>
      <xdr:col>5</xdr:col>
      <xdr:colOff>0</xdr:colOff>
      <xdr:row>3</xdr:row>
      <xdr:rowOff>47625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B80863F-F509-487C-8E5B-9BF2276E2F40}"/>
            </a:ext>
          </a:extLst>
        </xdr:cNvPr>
        <xdr:cNvSpPr>
          <a:spLocks noChangeShapeType="1"/>
        </xdr:cNvSpPr>
      </xdr:nvSpPr>
      <xdr:spPr bwMode="auto">
        <a:xfrm>
          <a:off x="6067425" y="99060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590550</xdr:rowOff>
    </xdr:from>
    <xdr:to>
      <xdr:col>7</xdr:col>
      <xdr:colOff>9525</xdr:colOff>
      <xdr:row>2</xdr:row>
      <xdr:rowOff>685800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64FDA4A1-CF7D-4CD9-ADE9-8AD3C5D45FD6}"/>
            </a:ext>
          </a:extLst>
        </xdr:cNvPr>
        <xdr:cNvSpPr>
          <a:spLocks noChangeShapeType="1"/>
        </xdr:cNvSpPr>
      </xdr:nvSpPr>
      <xdr:spPr bwMode="auto">
        <a:xfrm flipH="1">
          <a:off x="7334250" y="9906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600075</xdr:rowOff>
    </xdr:from>
    <xdr:to>
      <xdr:col>5</xdr:col>
      <xdr:colOff>0</xdr:colOff>
      <xdr:row>3</xdr:row>
      <xdr:rowOff>47625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E52CAB5-6536-4568-A443-22C423D2DCCF}"/>
            </a:ext>
          </a:extLst>
        </xdr:cNvPr>
        <xdr:cNvSpPr>
          <a:spLocks noChangeShapeType="1"/>
        </xdr:cNvSpPr>
      </xdr:nvSpPr>
      <xdr:spPr bwMode="auto">
        <a:xfrm>
          <a:off x="5924550" y="72390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590550</xdr:rowOff>
    </xdr:from>
    <xdr:to>
      <xdr:col>7</xdr:col>
      <xdr:colOff>9525</xdr:colOff>
      <xdr:row>2</xdr:row>
      <xdr:rowOff>685800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93CD8225-9C03-4B49-B72C-AEAF99C630A6}"/>
            </a:ext>
          </a:extLst>
        </xdr:cNvPr>
        <xdr:cNvSpPr>
          <a:spLocks noChangeShapeType="1"/>
        </xdr:cNvSpPr>
      </xdr:nvSpPr>
      <xdr:spPr bwMode="auto">
        <a:xfrm flipH="1">
          <a:off x="7219950" y="7239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600075</xdr:rowOff>
    </xdr:from>
    <xdr:to>
      <xdr:col>5</xdr:col>
      <xdr:colOff>0</xdr:colOff>
      <xdr:row>3</xdr:row>
      <xdr:rowOff>47625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8333D9A-6FF1-4DDB-B9F8-8B85B6534F82}"/>
            </a:ext>
          </a:extLst>
        </xdr:cNvPr>
        <xdr:cNvSpPr>
          <a:spLocks noChangeShapeType="1"/>
        </xdr:cNvSpPr>
      </xdr:nvSpPr>
      <xdr:spPr bwMode="auto">
        <a:xfrm>
          <a:off x="5924550" y="72390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590550</xdr:rowOff>
    </xdr:from>
    <xdr:to>
      <xdr:col>7</xdr:col>
      <xdr:colOff>9525</xdr:colOff>
      <xdr:row>2</xdr:row>
      <xdr:rowOff>685800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CB4BF163-F7EB-4F30-AF69-4D80CF7BE3E4}"/>
            </a:ext>
          </a:extLst>
        </xdr:cNvPr>
        <xdr:cNvSpPr>
          <a:spLocks noChangeShapeType="1"/>
        </xdr:cNvSpPr>
      </xdr:nvSpPr>
      <xdr:spPr bwMode="auto">
        <a:xfrm flipH="1">
          <a:off x="7219950" y="7239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600075</xdr:rowOff>
    </xdr:from>
    <xdr:to>
      <xdr:col>5</xdr:col>
      <xdr:colOff>0</xdr:colOff>
      <xdr:row>3</xdr:row>
      <xdr:rowOff>47625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BF4A7DA-3CFC-4019-BB67-7BD84FA626C8}"/>
            </a:ext>
          </a:extLst>
        </xdr:cNvPr>
        <xdr:cNvSpPr>
          <a:spLocks noChangeShapeType="1"/>
        </xdr:cNvSpPr>
      </xdr:nvSpPr>
      <xdr:spPr bwMode="auto">
        <a:xfrm>
          <a:off x="5924550" y="72390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590550</xdr:rowOff>
    </xdr:from>
    <xdr:to>
      <xdr:col>7</xdr:col>
      <xdr:colOff>9525</xdr:colOff>
      <xdr:row>2</xdr:row>
      <xdr:rowOff>685800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1833E957-9D7D-4C22-A3BC-09DB0D0B70E7}"/>
            </a:ext>
          </a:extLst>
        </xdr:cNvPr>
        <xdr:cNvSpPr>
          <a:spLocks noChangeShapeType="1"/>
        </xdr:cNvSpPr>
      </xdr:nvSpPr>
      <xdr:spPr bwMode="auto">
        <a:xfrm flipH="1">
          <a:off x="7219950" y="7239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600075</xdr:rowOff>
    </xdr:from>
    <xdr:to>
      <xdr:col>5</xdr:col>
      <xdr:colOff>0</xdr:colOff>
      <xdr:row>3</xdr:row>
      <xdr:rowOff>47625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BAA382E-0CAB-4F6A-B1D8-8B7D583042B7}"/>
            </a:ext>
          </a:extLst>
        </xdr:cNvPr>
        <xdr:cNvSpPr>
          <a:spLocks noChangeShapeType="1"/>
        </xdr:cNvSpPr>
      </xdr:nvSpPr>
      <xdr:spPr bwMode="auto">
        <a:xfrm>
          <a:off x="5924550" y="72390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590550</xdr:rowOff>
    </xdr:from>
    <xdr:to>
      <xdr:col>7</xdr:col>
      <xdr:colOff>9525</xdr:colOff>
      <xdr:row>2</xdr:row>
      <xdr:rowOff>685800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7BC88954-B7E2-496E-9960-12FFD03452B7}"/>
            </a:ext>
          </a:extLst>
        </xdr:cNvPr>
        <xdr:cNvSpPr>
          <a:spLocks noChangeShapeType="1"/>
        </xdr:cNvSpPr>
      </xdr:nvSpPr>
      <xdr:spPr bwMode="auto">
        <a:xfrm flipH="1">
          <a:off x="7219950" y="7239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view="pageBreakPreview" zoomScale="90" zoomScaleNormal="100" zoomScaleSheetLayoutView="90" workbookViewId="0">
      <selection activeCell="B15" sqref="B15"/>
    </sheetView>
  </sheetViews>
  <sheetFormatPr defaultRowHeight="15" x14ac:dyDescent="0.25"/>
  <cols>
    <col min="2" max="2" width="54.42578125" customWidth="1"/>
    <col min="3" max="3" width="23.85546875" customWidth="1"/>
  </cols>
  <sheetData>
    <row r="1" spans="1:5" x14ac:dyDescent="0.25">
      <c r="B1" s="399"/>
      <c r="C1" s="399"/>
    </row>
    <row r="2" spans="1:5" ht="68.25" customHeight="1" x14ac:dyDescent="0.3">
      <c r="A2" s="397" t="s">
        <v>364</v>
      </c>
      <c r="B2" s="398"/>
      <c r="C2" s="398"/>
      <c r="D2" s="157"/>
      <c r="E2" s="157"/>
    </row>
    <row r="3" spans="1:5" ht="31.5" customHeight="1" x14ac:dyDescent="0.3">
      <c r="A3" s="158"/>
      <c r="B3" s="159" t="s">
        <v>157</v>
      </c>
      <c r="C3" s="160" t="s">
        <v>158</v>
      </c>
      <c r="D3" s="157"/>
      <c r="E3" s="157"/>
    </row>
    <row r="4" spans="1:5" ht="23.25" customHeight="1" x14ac:dyDescent="0.3">
      <c r="A4" s="159">
        <v>1</v>
      </c>
      <c r="B4" s="159" t="s">
        <v>153</v>
      </c>
      <c r="C4" s="161"/>
      <c r="D4" s="157"/>
      <c r="E4" s="157"/>
    </row>
    <row r="5" spans="1:5" ht="24.75" customHeight="1" x14ac:dyDescent="0.3">
      <c r="A5" s="159">
        <v>2</v>
      </c>
      <c r="B5" s="159" t="s">
        <v>161</v>
      </c>
      <c r="C5" s="161"/>
      <c r="D5" s="157"/>
      <c r="E5" s="157"/>
    </row>
    <row r="6" spans="1:5" ht="24" customHeight="1" x14ac:dyDescent="0.3">
      <c r="A6" s="159">
        <v>3</v>
      </c>
      <c r="B6" s="159" t="s">
        <v>154</v>
      </c>
      <c r="C6" s="161"/>
      <c r="D6" s="157"/>
      <c r="E6" s="157"/>
    </row>
    <row r="7" spans="1:5" ht="23.25" customHeight="1" x14ac:dyDescent="0.3">
      <c r="A7" s="159">
        <v>4</v>
      </c>
      <c r="B7" s="159" t="s">
        <v>172</v>
      </c>
      <c r="C7" s="161"/>
      <c r="D7" s="157"/>
      <c r="E7" s="157"/>
    </row>
    <row r="8" spans="1:5" ht="25.5" customHeight="1" x14ac:dyDescent="0.3">
      <c r="A8" s="159">
        <v>5</v>
      </c>
      <c r="B8" s="159" t="s">
        <v>155</v>
      </c>
      <c r="C8" s="161"/>
      <c r="D8" s="157"/>
      <c r="E8" s="166"/>
    </row>
    <row r="9" spans="1:5" ht="22.5" customHeight="1" x14ac:dyDescent="0.3">
      <c r="A9" s="159"/>
      <c r="B9" s="159" t="s">
        <v>42</v>
      </c>
      <c r="C9" s="161"/>
      <c r="D9" s="157"/>
      <c r="E9" s="157"/>
    </row>
    <row r="10" spans="1:5" ht="24" customHeight="1" x14ac:dyDescent="0.3">
      <c r="A10" s="159"/>
      <c r="B10" s="159" t="s">
        <v>186</v>
      </c>
      <c r="C10" s="161"/>
      <c r="D10" s="157"/>
      <c r="E10" s="157"/>
    </row>
    <row r="11" spans="1:5" ht="25.5" customHeight="1" x14ac:dyDescent="0.3">
      <c r="A11" s="159"/>
      <c r="B11" s="159" t="s">
        <v>42</v>
      </c>
      <c r="C11" s="161"/>
      <c r="D11" s="157"/>
      <c r="E11" s="157"/>
    </row>
    <row r="12" spans="1:5" ht="23.25" customHeight="1" x14ac:dyDescent="0.3">
      <c r="A12" s="159"/>
      <c r="B12" s="162" t="s">
        <v>156</v>
      </c>
      <c r="C12" s="161"/>
      <c r="D12" s="157"/>
      <c r="E12" s="157"/>
    </row>
    <row r="13" spans="1:5" ht="26.25" customHeight="1" x14ac:dyDescent="0.3">
      <c r="A13" s="159"/>
      <c r="B13" s="159" t="s">
        <v>42</v>
      </c>
      <c r="C13" s="161"/>
      <c r="D13" s="157"/>
      <c r="E13" s="157"/>
    </row>
    <row r="14" spans="1:5" ht="15.75" x14ac:dyDescent="0.3">
      <c r="A14" s="157"/>
      <c r="B14" s="157"/>
      <c r="C14" s="157"/>
      <c r="D14" s="157"/>
      <c r="E14" s="157"/>
    </row>
    <row r="15" spans="1:5" ht="15.75" x14ac:dyDescent="0.3">
      <c r="A15" s="157"/>
      <c r="B15" s="235"/>
      <c r="C15" s="157"/>
      <c r="D15" s="157"/>
      <c r="E15" s="157"/>
    </row>
    <row r="16" spans="1:5" ht="15.75" x14ac:dyDescent="0.3">
      <c r="A16" s="157"/>
      <c r="B16" s="157"/>
      <c r="C16" s="157"/>
      <c r="D16" s="157"/>
      <c r="E16" s="157"/>
    </row>
    <row r="17" spans="1:5" ht="15.75" x14ac:dyDescent="0.3">
      <c r="A17" s="157"/>
      <c r="B17" s="157"/>
      <c r="C17" s="157"/>
      <c r="D17" s="157"/>
      <c r="E17" s="157"/>
    </row>
    <row r="18" spans="1:5" ht="15.75" x14ac:dyDescent="0.3">
      <c r="A18" s="157"/>
      <c r="B18" s="157"/>
      <c r="C18" s="157"/>
      <c r="D18" s="157"/>
      <c r="E18" s="157"/>
    </row>
    <row r="19" spans="1:5" ht="15.75" x14ac:dyDescent="0.3">
      <c r="A19" s="157"/>
      <c r="B19" s="157"/>
      <c r="C19" s="157"/>
      <c r="D19" s="157"/>
      <c r="E19" s="157"/>
    </row>
    <row r="20" spans="1:5" ht="15.75" x14ac:dyDescent="0.3">
      <c r="A20" s="157"/>
      <c r="B20" s="157"/>
      <c r="C20" s="157"/>
      <c r="D20" s="157"/>
      <c r="E20" s="157"/>
    </row>
    <row r="21" spans="1:5" ht="15.75" x14ac:dyDescent="0.3">
      <c r="A21" s="157"/>
      <c r="B21" s="157"/>
      <c r="C21" s="157"/>
      <c r="D21" s="157"/>
      <c r="E21" s="157"/>
    </row>
    <row r="22" spans="1:5" ht="15.75" x14ac:dyDescent="0.3">
      <c r="A22" s="157"/>
      <c r="B22" s="157"/>
      <c r="C22" s="157"/>
      <c r="D22" s="157"/>
      <c r="E22" s="157"/>
    </row>
    <row r="23" spans="1:5" ht="15.75" x14ac:dyDescent="0.3">
      <c r="A23" s="157"/>
      <c r="B23" s="157"/>
      <c r="C23" s="157"/>
      <c r="D23" s="157"/>
      <c r="E23" s="157"/>
    </row>
    <row r="24" spans="1:5" ht="15.75" x14ac:dyDescent="0.3">
      <c r="A24" s="157"/>
      <c r="B24" s="157"/>
      <c r="C24" s="157"/>
      <c r="D24" s="157"/>
      <c r="E24" s="157"/>
    </row>
    <row r="25" spans="1:5" ht="15.75" x14ac:dyDescent="0.3">
      <c r="A25" s="157"/>
      <c r="B25" s="157"/>
      <c r="C25" s="157"/>
      <c r="D25" s="157"/>
      <c r="E25" s="157"/>
    </row>
    <row r="26" spans="1:5" ht="15.75" x14ac:dyDescent="0.3">
      <c r="A26" s="157"/>
      <c r="B26" s="157"/>
      <c r="C26" s="157"/>
      <c r="D26" s="157"/>
      <c r="E26" s="157"/>
    </row>
    <row r="27" spans="1:5" ht="15.75" x14ac:dyDescent="0.3">
      <c r="A27" s="157"/>
      <c r="B27" s="157"/>
      <c r="C27" s="157"/>
      <c r="D27" s="157"/>
      <c r="E27" s="157"/>
    </row>
    <row r="28" spans="1:5" ht="15.75" x14ac:dyDescent="0.3">
      <c r="A28" s="157"/>
      <c r="B28" s="157"/>
      <c r="C28" s="157"/>
      <c r="D28" s="157"/>
      <c r="E28" s="157"/>
    </row>
    <row r="29" spans="1:5" ht="15.75" x14ac:dyDescent="0.3">
      <c r="A29" s="157"/>
      <c r="B29" s="157"/>
      <c r="C29" s="157"/>
      <c r="D29" s="157"/>
      <c r="E29" s="157"/>
    </row>
    <row r="30" spans="1:5" ht="15.75" x14ac:dyDescent="0.3">
      <c r="A30" s="157"/>
      <c r="B30" s="157"/>
      <c r="C30" s="157"/>
      <c r="D30" s="157"/>
      <c r="E30" s="157"/>
    </row>
    <row r="31" spans="1:5" ht="15.75" x14ac:dyDescent="0.3">
      <c r="A31" s="157"/>
      <c r="B31" s="157"/>
      <c r="C31" s="157"/>
      <c r="D31" s="157"/>
      <c r="E31" s="157"/>
    </row>
    <row r="32" spans="1:5" ht="15.75" x14ac:dyDescent="0.3">
      <c r="A32" s="157"/>
      <c r="B32" s="157"/>
      <c r="C32" s="157"/>
      <c r="D32" s="157"/>
      <c r="E32" s="157"/>
    </row>
    <row r="33" spans="1:5" ht="15.75" x14ac:dyDescent="0.3">
      <c r="A33" s="157"/>
      <c r="B33" s="157"/>
      <c r="C33" s="157"/>
      <c r="D33" s="157"/>
      <c r="E33" s="157"/>
    </row>
    <row r="34" spans="1:5" ht="15.75" x14ac:dyDescent="0.3">
      <c r="A34" s="157"/>
      <c r="B34" s="157"/>
      <c r="C34" s="157"/>
      <c r="D34" s="157"/>
      <c r="E34" s="157"/>
    </row>
    <row r="35" spans="1:5" ht="15.75" x14ac:dyDescent="0.3">
      <c r="A35" s="157"/>
      <c r="B35" s="157"/>
      <c r="C35" s="157"/>
      <c r="D35" s="157"/>
      <c r="E35" s="157"/>
    </row>
    <row r="36" spans="1:5" ht="15.75" x14ac:dyDescent="0.3">
      <c r="A36" s="157"/>
      <c r="B36" s="157"/>
      <c r="C36" s="157"/>
      <c r="D36" s="157"/>
      <c r="E36" s="157"/>
    </row>
    <row r="37" spans="1:5" ht="15.75" x14ac:dyDescent="0.3">
      <c r="A37" s="157"/>
      <c r="B37" s="157"/>
      <c r="C37" s="157"/>
      <c r="D37" s="157"/>
      <c r="E37" s="157"/>
    </row>
    <row r="38" spans="1:5" ht="15.75" x14ac:dyDescent="0.3">
      <c r="A38" s="157"/>
      <c r="B38" s="157"/>
      <c r="C38" s="157"/>
      <c r="D38" s="157"/>
      <c r="E38" s="157"/>
    </row>
    <row r="39" spans="1:5" ht="15.75" x14ac:dyDescent="0.3">
      <c r="A39" s="157"/>
      <c r="B39" s="157"/>
      <c r="C39" s="157"/>
      <c r="D39" s="157"/>
      <c r="E39" s="157"/>
    </row>
    <row r="40" spans="1:5" ht="15.75" x14ac:dyDescent="0.3">
      <c r="A40" s="157"/>
      <c r="B40" s="157"/>
      <c r="C40" s="157"/>
      <c r="D40" s="157"/>
      <c r="E40" s="157"/>
    </row>
    <row r="41" spans="1:5" ht="15.75" x14ac:dyDescent="0.3">
      <c r="A41" s="157"/>
      <c r="B41" s="157"/>
      <c r="C41" s="157"/>
      <c r="D41" s="157"/>
      <c r="E41" s="157"/>
    </row>
    <row r="42" spans="1:5" ht="15.75" x14ac:dyDescent="0.3">
      <c r="A42" s="157"/>
      <c r="B42" s="157"/>
      <c r="C42" s="157"/>
      <c r="D42" s="157"/>
      <c r="E42" s="157"/>
    </row>
    <row r="43" spans="1:5" ht="15.75" x14ac:dyDescent="0.3">
      <c r="A43" s="157"/>
      <c r="B43" s="157"/>
      <c r="C43" s="157"/>
      <c r="D43" s="157"/>
      <c r="E43" s="157"/>
    </row>
    <row r="44" spans="1:5" ht="15.75" x14ac:dyDescent="0.3">
      <c r="A44" s="157"/>
      <c r="B44" s="157"/>
      <c r="C44" s="157"/>
      <c r="D44" s="157"/>
      <c r="E44" s="157"/>
    </row>
    <row r="45" spans="1:5" ht="15.75" x14ac:dyDescent="0.3">
      <c r="A45" s="157"/>
      <c r="B45" s="157"/>
      <c r="C45" s="157"/>
      <c r="D45" s="157"/>
      <c r="E45" s="157"/>
    </row>
    <row r="46" spans="1:5" ht="15.75" x14ac:dyDescent="0.3">
      <c r="A46" s="157"/>
      <c r="B46" s="157"/>
      <c r="C46" s="157"/>
      <c r="D46" s="157"/>
      <c r="E46" s="157"/>
    </row>
    <row r="47" spans="1:5" ht="15.75" x14ac:dyDescent="0.3">
      <c r="A47" s="157"/>
      <c r="B47" s="157"/>
      <c r="C47" s="157"/>
      <c r="D47" s="157"/>
      <c r="E47" s="157"/>
    </row>
    <row r="48" spans="1:5" ht="15.75" x14ac:dyDescent="0.3">
      <c r="A48" s="157"/>
      <c r="B48" s="157"/>
      <c r="C48" s="157"/>
      <c r="D48" s="157"/>
      <c r="E48" s="157"/>
    </row>
  </sheetData>
  <mergeCells count="2">
    <mergeCell ref="A2:C2"/>
    <mergeCell ref="B1:C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view="pageBreakPreview" topLeftCell="A19" zoomScale="90" zoomScaleNormal="100" zoomScaleSheetLayoutView="90" workbookViewId="0">
      <selection activeCell="C33" sqref="C33"/>
    </sheetView>
  </sheetViews>
  <sheetFormatPr defaultRowHeight="15" x14ac:dyDescent="0.25"/>
  <cols>
    <col min="2" max="2" width="11.85546875" customWidth="1"/>
    <col min="3" max="3" width="39.28515625" customWidth="1"/>
    <col min="5" max="6" width="10.28515625" customWidth="1"/>
    <col min="10" max="10" width="10.85546875" customWidth="1"/>
    <col min="13" max="13" width="11.5703125" customWidth="1"/>
    <col min="14" max="17" width="0" hidden="1" customWidth="1"/>
    <col min="18" max="18" width="2.140625" customWidth="1"/>
  </cols>
  <sheetData>
    <row r="1" spans="1:13" x14ac:dyDescent="0.25">
      <c r="A1" s="403"/>
      <c r="B1" s="403"/>
      <c r="C1" s="403"/>
      <c r="D1" s="403"/>
      <c r="E1" s="403"/>
      <c r="F1" s="403"/>
      <c r="G1" s="403"/>
      <c r="H1" s="403"/>
      <c r="I1" s="404"/>
      <c r="J1" s="404"/>
      <c r="K1" s="404"/>
      <c r="L1" s="404"/>
      <c r="M1" s="404"/>
    </row>
    <row r="2" spans="1:13" x14ac:dyDescent="0.25">
      <c r="A2" s="412"/>
      <c r="B2" s="413"/>
      <c r="C2" s="413"/>
      <c r="D2" s="1"/>
      <c r="E2" s="1"/>
      <c r="F2" s="2"/>
      <c r="G2" s="2"/>
      <c r="H2" s="1"/>
      <c r="I2" s="1"/>
      <c r="J2" s="2"/>
      <c r="K2" s="1"/>
      <c r="L2" s="1"/>
      <c r="M2" s="1"/>
    </row>
    <row r="3" spans="1:13" ht="27" customHeight="1" x14ac:dyDescent="0.25">
      <c r="A3" s="405" t="s">
        <v>0</v>
      </c>
      <c r="B3" s="406" t="s">
        <v>1</v>
      </c>
      <c r="C3" s="408" t="s">
        <v>2</v>
      </c>
      <c r="D3" s="408" t="s">
        <v>3</v>
      </c>
      <c r="E3" s="410" t="s">
        <v>4</v>
      </c>
      <c r="F3" s="411"/>
      <c r="G3" s="408" t="s">
        <v>5</v>
      </c>
      <c r="H3" s="408"/>
      <c r="I3" s="408" t="s">
        <v>6</v>
      </c>
      <c r="J3" s="408"/>
      <c r="K3" s="408" t="s">
        <v>7</v>
      </c>
      <c r="L3" s="408"/>
      <c r="M3" s="408" t="s">
        <v>8</v>
      </c>
    </row>
    <row r="4" spans="1:13" ht="38.25" x14ac:dyDescent="0.25">
      <c r="A4" s="405" t="s">
        <v>0</v>
      </c>
      <c r="B4" s="407"/>
      <c r="C4" s="408" t="s">
        <v>9</v>
      </c>
      <c r="D4" s="409" t="s">
        <v>10</v>
      </c>
      <c r="E4" s="3" t="s">
        <v>11</v>
      </c>
      <c r="F4" s="4" t="s">
        <v>12</v>
      </c>
      <c r="G4" s="5" t="s">
        <v>13</v>
      </c>
      <c r="H4" s="6" t="s">
        <v>14</v>
      </c>
      <c r="I4" s="6" t="s">
        <v>13</v>
      </c>
      <c r="J4" s="7" t="s">
        <v>14</v>
      </c>
      <c r="K4" s="6" t="s">
        <v>13</v>
      </c>
      <c r="L4" s="6" t="s">
        <v>14</v>
      </c>
      <c r="M4" s="408" t="s">
        <v>14</v>
      </c>
    </row>
    <row r="5" spans="1:13" x14ac:dyDescent="0.25">
      <c r="A5" s="8">
        <v>1</v>
      </c>
      <c r="B5" s="9">
        <v>2</v>
      </c>
      <c r="C5" s="9">
        <v>3</v>
      </c>
      <c r="D5" s="9">
        <v>4</v>
      </c>
      <c r="E5" s="10">
        <v>5</v>
      </c>
      <c r="F5" s="11">
        <v>6</v>
      </c>
      <c r="G5" s="12">
        <v>7</v>
      </c>
      <c r="H5" s="9">
        <v>8</v>
      </c>
      <c r="I5" s="9">
        <v>9</v>
      </c>
      <c r="J5" s="12">
        <v>10</v>
      </c>
      <c r="K5" s="9">
        <v>11</v>
      </c>
      <c r="L5" s="9">
        <v>12</v>
      </c>
      <c r="M5" s="9">
        <v>13</v>
      </c>
    </row>
    <row r="6" spans="1:13" ht="15" customHeight="1" x14ac:dyDescent="0.25">
      <c r="A6" s="400" t="s">
        <v>174</v>
      </c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2"/>
    </row>
    <row r="7" spans="1:13" ht="54" x14ac:dyDescent="0.25">
      <c r="A7" s="13" t="s">
        <v>361</v>
      </c>
      <c r="B7" s="14" t="s">
        <v>194</v>
      </c>
      <c r="C7" s="14" t="s">
        <v>15</v>
      </c>
      <c r="D7" s="14" t="s">
        <v>16</v>
      </c>
      <c r="E7" s="15"/>
      <c r="F7" s="15">
        <v>0.08</v>
      </c>
      <c r="G7" s="16"/>
      <c r="H7" s="17"/>
      <c r="I7" s="3"/>
      <c r="J7" s="3"/>
      <c r="K7" s="3"/>
      <c r="L7" s="18"/>
      <c r="M7" s="16"/>
    </row>
    <row r="8" spans="1:13" x14ac:dyDescent="0.25">
      <c r="A8" s="20">
        <f>A7+0.1</f>
        <v>1.1000000000000001</v>
      </c>
      <c r="B8" s="19"/>
      <c r="C8" s="20" t="s">
        <v>17</v>
      </c>
      <c r="D8" s="20" t="s">
        <v>18</v>
      </c>
      <c r="E8" s="21">
        <v>13.2</v>
      </c>
      <c r="F8" s="22">
        <f>F7*E8</f>
        <v>1.056</v>
      </c>
      <c r="G8" s="20"/>
      <c r="H8" s="20"/>
      <c r="I8" s="23"/>
      <c r="J8" s="24"/>
      <c r="K8" s="20"/>
      <c r="L8" s="25"/>
      <c r="M8" s="21"/>
    </row>
    <row r="9" spans="1:13" x14ac:dyDescent="0.25">
      <c r="A9" s="33">
        <f>A8+0.1</f>
        <v>1.2000000000000002</v>
      </c>
      <c r="B9" s="19"/>
      <c r="C9" s="33" t="s">
        <v>19</v>
      </c>
      <c r="D9" s="33" t="s">
        <v>20</v>
      </c>
      <c r="E9" s="33">
        <v>9.6300000000000008</v>
      </c>
      <c r="F9" s="34">
        <f>F7*E9</f>
        <v>0.77040000000000008</v>
      </c>
      <c r="G9" s="21"/>
      <c r="H9" s="21"/>
      <c r="I9" s="34"/>
      <c r="J9" s="34"/>
      <c r="K9" s="34"/>
      <c r="L9" s="34"/>
      <c r="M9" s="34"/>
    </row>
    <row r="10" spans="1:13" ht="33" customHeight="1" x14ac:dyDescent="0.25">
      <c r="A10" s="13" t="s">
        <v>21</v>
      </c>
      <c r="B10" s="14" t="s">
        <v>195</v>
      </c>
      <c r="C10" s="14" t="s">
        <v>222</v>
      </c>
      <c r="D10" s="14" t="s">
        <v>23</v>
      </c>
      <c r="E10" s="15"/>
      <c r="F10" s="15">
        <v>2.5</v>
      </c>
      <c r="G10" s="16"/>
      <c r="H10" s="29"/>
      <c r="I10" s="30"/>
      <c r="J10" s="30"/>
      <c r="K10" s="3"/>
      <c r="L10" s="18"/>
      <c r="M10" s="16"/>
    </row>
    <row r="11" spans="1:13" ht="26.25" customHeight="1" x14ac:dyDescent="0.25">
      <c r="A11" s="20">
        <f>A10+0.1</f>
        <v>2.1</v>
      </c>
      <c r="B11" s="20" t="s">
        <v>196</v>
      </c>
      <c r="C11" s="20" t="s">
        <v>356</v>
      </c>
      <c r="D11" s="20" t="s">
        <v>199</v>
      </c>
      <c r="E11" s="20">
        <f>63.4*0.6</f>
        <v>38.04</v>
      </c>
      <c r="F11" s="20">
        <f>F10*E11</f>
        <v>95.1</v>
      </c>
      <c r="G11" s="20"/>
      <c r="H11" s="20"/>
      <c r="I11" s="20"/>
      <c r="J11" s="20"/>
      <c r="K11" s="20"/>
      <c r="L11" s="20"/>
      <c r="M11" s="20"/>
    </row>
    <row r="12" spans="1:13" ht="26.25" customHeight="1" x14ac:dyDescent="0.25">
      <c r="A12" s="33">
        <f>A11+0.1</f>
        <v>2.2000000000000002</v>
      </c>
      <c r="B12" s="33" t="s">
        <v>197</v>
      </c>
      <c r="C12" s="33" t="s">
        <v>119</v>
      </c>
      <c r="D12" s="33" t="s">
        <v>76</v>
      </c>
      <c r="E12" s="33">
        <f>0.17*0.7</f>
        <v>0.11899999999999999</v>
      </c>
      <c r="F12" s="33">
        <f>F10*E12</f>
        <v>0.29749999999999999</v>
      </c>
      <c r="G12" s="33"/>
      <c r="H12" s="33"/>
      <c r="I12" s="33"/>
      <c r="J12" s="33"/>
      <c r="K12" s="33"/>
      <c r="L12" s="33"/>
      <c r="M12" s="33"/>
    </row>
    <row r="13" spans="1:13" ht="26.25" customHeight="1" x14ac:dyDescent="0.25">
      <c r="A13" s="19">
        <f>A12+0.1</f>
        <v>2.3000000000000003</v>
      </c>
      <c r="B13" s="14" t="s">
        <v>198</v>
      </c>
      <c r="C13" s="14" t="s">
        <v>68</v>
      </c>
      <c r="D13" s="14" t="s">
        <v>76</v>
      </c>
      <c r="E13" s="15">
        <f>2.78*0.5</f>
        <v>1.39</v>
      </c>
      <c r="F13" s="15">
        <f>F10*E13</f>
        <v>3.4749999999999996</v>
      </c>
      <c r="G13" s="15"/>
      <c r="H13" s="180"/>
      <c r="I13" s="181"/>
      <c r="J13" s="181"/>
      <c r="K13" s="4"/>
      <c r="L13" s="182"/>
      <c r="M13" s="15"/>
    </row>
    <row r="14" spans="1:13" ht="28.5" x14ac:dyDescent="0.25">
      <c r="A14" s="13" t="s">
        <v>27</v>
      </c>
      <c r="B14" s="14" t="s">
        <v>24</v>
      </c>
      <c r="C14" s="14" t="s">
        <v>25</v>
      </c>
      <c r="D14" s="14" t="s">
        <v>26</v>
      </c>
      <c r="E14" s="15"/>
      <c r="F14" s="15">
        <v>240</v>
      </c>
      <c r="G14" s="16"/>
      <c r="H14" s="17"/>
      <c r="I14" s="3"/>
      <c r="J14" s="3"/>
      <c r="K14" s="3"/>
      <c r="L14" s="3"/>
      <c r="M14" s="16"/>
    </row>
    <row r="15" spans="1:13" ht="21.75" customHeight="1" x14ac:dyDescent="0.25">
      <c r="A15" s="20">
        <f>A14+0.1</f>
        <v>3.1</v>
      </c>
      <c r="B15" s="19"/>
      <c r="C15" s="20" t="s">
        <v>17</v>
      </c>
      <c r="D15" s="20" t="s">
        <v>26</v>
      </c>
      <c r="E15" s="25">
        <v>0.78500000000000003</v>
      </c>
      <c r="F15" s="22">
        <f>F14*E15</f>
        <v>188.4</v>
      </c>
      <c r="G15" s="20"/>
      <c r="H15" s="20"/>
      <c r="I15" s="23"/>
      <c r="J15" s="24"/>
      <c r="K15" s="20"/>
      <c r="L15" s="20"/>
      <c r="M15" s="21"/>
    </row>
    <row r="16" spans="1:13" ht="45" customHeight="1" x14ac:dyDescent="0.25">
      <c r="A16" s="13" t="s">
        <v>29</v>
      </c>
      <c r="B16" s="236" t="s">
        <v>232</v>
      </c>
      <c r="C16" s="14" t="s">
        <v>233</v>
      </c>
      <c r="D16" s="14" t="s">
        <v>28</v>
      </c>
      <c r="E16" s="15"/>
      <c r="F16" s="354">
        <v>3</v>
      </c>
      <c r="G16" s="16"/>
      <c r="H16" s="29"/>
      <c r="I16" s="3"/>
      <c r="J16" s="3"/>
      <c r="K16" s="3"/>
      <c r="L16" s="18"/>
      <c r="M16" s="16"/>
    </row>
    <row r="17" spans="1:21" ht="29.25" customHeight="1" x14ac:dyDescent="0.25">
      <c r="A17" s="20">
        <f>A16+0.1</f>
        <v>5.0999999999999996</v>
      </c>
      <c r="B17" s="236"/>
      <c r="C17" s="20" t="s">
        <v>17</v>
      </c>
      <c r="D17" s="20" t="s">
        <v>18</v>
      </c>
      <c r="E17" s="21">
        <v>0.38800000000000001</v>
      </c>
      <c r="F17" s="355">
        <f>E17*F16</f>
        <v>1.1640000000000001</v>
      </c>
      <c r="G17" s="20"/>
      <c r="H17" s="20"/>
      <c r="I17" s="23"/>
      <c r="J17" s="353"/>
      <c r="K17" s="20"/>
      <c r="L17" s="25"/>
      <c r="M17" s="21"/>
    </row>
    <row r="18" spans="1:21" ht="42.75" x14ac:dyDescent="0.25">
      <c r="A18" s="13" t="s">
        <v>31</v>
      </c>
      <c r="B18" s="28" t="s">
        <v>22</v>
      </c>
      <c r="C18" s="14" t="s">
        <v>302</v>
      </c>
      <c r="D18" s="14" t="s">
        <v>30</v>
      </c>
      <c r="E18" s="15"/>
      <c r="F18" s="354">
        <v>15</v>
      </c>
      <c r="G18" s="16"/>
      <c r="H18" s="29"/>
      <c r="I18" s="30"/>
      <c r="J18" s="30"/>
      <c r="K18" s="3"/>
      <c r="L18" s="18"/>
      <c r="M18" s="16"/>
    </row>
    <row r="19" spans="1:21" ht="42.75" x14ac:dyDescent="0.25">
      <c r="A19" s="13" t="s">
        <v>32</v>
      </c>
      <c r="B19" s="28" t="s">
        <v>22</v>
      </c>
      <c r="C19" s="14" t="s">
        <v>223</v>
      </c>
      <c r="D19" s="14" t="s">
        <v>30</v>
      </c>
      <c r="E19" s="15"/>
      <c r="F19" s="354">
        <v>4</v>
      </c>
      <c r="G19" s="16"/>
      <c r="H19" s="29"/>
      <c r="I19" s="30"/>
      <c r="J19" s="30"/>
      <c r="K19" s="3"/>
      <c r="L19" s="18"/>
      <c r="M19" s="16"/>
    </row>
    <row r="20" spans="1:21" ht="28.5" x14ac:dyDescent="0.25">
      <c r="A20" s="13" t="s">
        <v>33</v>
      </c>
      <c r="B20" s="31" t="s">
        <v>22</v>
      </c>
      <c r="C20" s="14" t="s">
        <v>35</v>
      </c>
      <c r="D20" s="14" t="s">
        <v>23</v>
      </c>
      <c r="E20" s="15"/>
      <c r="F20" s="354">
        <f>F10</f>
        <v>2.5</v>
      </c>
      <c r="G20" s="16"/>
      <c r="H20" s="32"/>
      <c r="I20" s="32"/>
      <c r="J20" s="32"/>
      <c r="K20" s="32"/>
      <c r="L20" s="32"/>
      <c r="M20" s="29"/>
    </row>
    <row r="21" spans="1:21" ht="25.5" x14ac:dyDescent="0.25">
      <c r="A21" s="33">
        <f>A20+0.1</f>
        <v>8.1</v>
      </c>
      <c r="B21" s="33" t="s">
        <v>36</v>
      </c>
      <c r="C21" s="33" t="s">
        <v>35</v>
      </c>
      <c r="D21" s="33" t="s">
        <v>23</v>
      </c>
      <c r="E21" s="33">
        <v>1</v>
      </c>
      <c r="F21" s="356">
        <f>F20*E21</f>
        <v>2.5</v>
      </c>
      <c r="G21" s="21"/>
      <c r="H21" s="21"/>
      <c r="I21" s="34"/>
      <c r="J21" s="34"/>
      <c r="K21" s="34"/>
      <c r="L21" s="34"/>
      <c r="M21" s="34"/>
    </row>
    <row r="22" spans="1:21" ht="28.5" x14ac:dyDescent="0.25">
      <c r="A22" s="13" t="s">
        <v>34</v>
      </c>
      <c r="B22" s="31" t="s">
        <v>22</v>
      </c>
      <c r="C22" s="14" t="s">
        <v>234</v>
      </c>
      <c r="D22" s="14" t="s">
        <v>23</v>
      </c>
      <c r="E22" s="15"/>
      <c r="F22" s="16">
        <f>F14*0.09</f>
        <v>21.599999999999998</v>
      </c>
      <c r="G22" s="16"/>
      <c r="H22" s="32"/>
      <c r="I22" s="32"/>
      <c r="J22" s="32"/>
      <c r="K22" s="32"/>
      <c r="L22" s="32"/>
      <c r="M22" s="29"/>
    </row>
    <row r="23" spans="1:21" x14ac:dyDescent="0.25">
      <c r="A23" s="33">
        <f>A22+0.1</f>
        <v>9.1</v>
      </c>
      <c r="B23" s="33" t="s">
        <v>36</v>
      </c>
      <c r="C23" s="33" t="s">
        <v>39</v>
      </c>
      <c r="D23" s="33" t="s">
        <v>23</v>
      </c>
      <c r="E23" s="33">
        <v>1</v>
      </c>
      <c r="F23" s="34">
        <f>F22*E23</f>
        <v>21.599999999999998</v>
      </c>
      <c r="G23" s="21"/>
      <c r="H23" s="21"/>
      <c r="I23" s="34"/>
      <c r="J23" s="34"/>
      <c r="K23" s="34"/>
      <c r="L23" s="34"/>
      <c r="M23" s="34"/>
    </row>
    <row r="24" spans="1:21" ht="24" customHeight="1" x14ac:dyDescent="0.25">
      <c r="A24" s="13">
        <v>10</v>
      </c>
      <c r="B24" s="14" t="s">
        <v>22</v>
      </c>
      <c r="C24" s="14" t="s">
        <v>303</v>
      </c>
      <c r="D24" s="14" t="s">
        <v>120</v>
      </c>
      <c r="E24" s="14"/>
      <c r="F24" s="14">
        <v>940</v>
      </c>
      <c r="G24" s="14"/>
      <c r="H24" s="14"/>
      <c r="I24" s="14"/>
      <c r="J24" s="14"/>
      <c r="K24" s="14"/>
      <c r="L24" s="14"/>
      <c r="M24" s="14"/>
    </row>
    <row r="25" spans="1:21" ht="28.5" x14ac:dyDescent="0.25">
      <c r="A25" s="13" t="s">
        <v>80</v>
      </c>
      <c r="B25" s="31" t="s">
        <v>22</v>
      </c>
      <c r="C25" s="14" t="s">
        <v>38</v>
      </c>
      <c r="D25" s="14" t="s">
        <v>23</v>
      </c>
      <c r="E25" s="15"/>
      <c r="F25" s="16">
        <v>32</v>
      </c>
      <c r="G25" s="16"/>
      <c r="H25" s="32"/>
      <c r="I25" s="32"/>
      <c r="J25" s="32"/>
      <c r="K25" s="32"/>
      <c r="L25" s="32"/>
      <c r="M25" s="29"/>
    </row>
    <row r="26" spans="1:21" x14ac:dyDescent="0.25">
      <c r="A26" s="33">
        <f>A25+0.1</f>
        <v>11.1</v>
      </c>
      <c r="B26" s="33" t="s">
        <v>36</v>
      </c>
      <c r="C26" s="33" t="s">
        <v>39</v>
      </c>
      <c r="D26" s="33" t="s">
        <v>23</v>
      </c>
      <c r="E26" s="33">
        <v>1</v>
      </c>
      <c r="F26" s="34">
        <f>F25*E26</f>
        <v>32</v>
      </c>
      <c r="G26" s="21"/>
      <c r="H26" s="21"/>
      <c r="I26" s="34"/>
      <c r="J26" s="34"/>
      <c r="K26" s="34"/>
      <c r="L26" s="34"/>
      <c r="M26" s="34"/>
    </row>
    <row r="27" spans="1:21" x14ac:dyDescent="0.25">
      <c r="A27" s="35"/>
      <c r="B27" s="31"/>
      <c r="C27" s="14" t="s">
        <v>40</v>
      </c>
      <c r="D27" s="31"/>
      <c r="E27" s="31"/>
      <c r="F27" s="36"/>
      <c r="G27" s="31"/>
      <c r="H27" s="30"/>
      <c r="I27" s="31"/>
      <c r="J27" s="30"/>
      <c r="K27" s="31"/>
      <c r="L27" s="30"/>
      <c r="M27" s="37"/>
      <c r="S27" s="165"/>
      <c r="U27" s="165"/>
    </row>
    <row r="28" spans="1:21" x14ac:dyDescent="0.25">
      <c r="A28" s="32"/>
      <c r="B28" s="32"/>
      <c r="C28" s="32" t="s">
        <v>41</v>
      </c>
      <c r="D28" s="32" t="s">
        <v>20</v>
      </c>
      <c r="E28" s="38"/>
      <c r="F28" s="39"/>
      <c r="G28" s="39"/>
      <c r="H28" s="40"/>
      <c r="I28" s="40"/>
      <c r="J28" s="40"/>
      <c r="K28" s="40"/>
      <c r="L28" s="40"/>
      <c r="M28" s="38"/>
    </row>
    <row r="29" spans="1:21" x14ac:dyDescent="0.25">
      <c r="A29" s="28"/>
      <c r="B29" s="28"/>
      <c r="C29" s="28" t="s">
        <v>42</v>
      </c>
      <c r="D29" s="28" t="s">
        <v>20</v>
      </c>
      <c r="E29" s="16"/>
      <c r="F29" s="15"/>
      <c r="G29" s="15"/>
      <c r="H29" s="41"/>
      <c r="I29" s="41"/>
      <c r="J29" s="41"/>
      <c r="K29" s="41"/>
      <c r="L29" s="41"/>
      <c r="M29" s="16"/>
    </row>
    <row r="30" spans="1:21" x14ac:dyDescent="0.25">
      <c r="A30" s="32"/>
      <c r="B30" s="32"/>
      <c r="C30" s="32" t="s">
        <v>43</v>
      </c>
      <c r="D30" s="32" t="s">
        <v>20</v>
      </c>
      <c r="E30" s="38"/>
      <c r="F30" s="39"/>
      <c r="G30" s="39"/>
      <c r="H30" s="40"/>
      <c r="I30" s="40"/>
      <c r="J30" s="40"/>
      <c r="K30" s="40"/>
      <c r="L30" s="40"/>
      <c r="M30" s="38"/>
    </row>
    <row r="31" spans="1:21" x14ac:dyDescent="0.25">
      <c r="A31" s="42"/>
      <c r="B31" s="42"/>
      <c r="C31" s="42" t="s">
        <v>40</v>
      </c>
      <c r="D31" s="42" t="s">
        <v>20</v>
      </c>
      <c r="E31" s="43"/>
      <c r="F31" s="43"/>
      <c r="G31" s="43"/>
      <c r="H31" s="44"/>
      <c r="I31" s="44"/>
      <c r="J31" s="44"/>
      <c r="K31" s="44"/>
      <c r="L31" s="44"/>
      <c r="M31" s="43"/>
    </row>
    <row r="33" spans="3:3" ht="15.75" x14ac:dyDescent="0.25">
      <c r="C33" s="235"/>
    </row>
  </sheetData>
  <mergeCells count="12">
    <mergeCell ref="A6:M6"/>
    <mergeCell ref="A1:M1"/>
    <mergeCell ref="A3:A4"/>
    <mergeCell ref="B3:B4"/>
    <mergeCell ref="C3:C4"/>
    <mergeCell ref="D3:D4"/>
    <mergeCell ref="E3:F3"/>
    <mergeCell ref="G3:H3"/>
    <mergeCell ref="I3:J3"/>
    <mergeCell ref="K3:L3"/>
    <mergeCell ref="M3:M4"/>
    <mergeCell ref="A2:C2"/>
  </mergeCells>
  <printOptions horizontalCentered="1"/>
  <pageMargins left="0.23622047244094491" right="0.19685039370078741" top="0.94488188976377963" bottom="0.59055118110236227" header="0.31496062992125984" footer="0.31496062992125984"/>
  <pageSetup paperSize="9" scale="85" orientation="landscape" horizontalDpi="4294967292" verticalDpi="0" r:id="rId1"/>
  <headerFooter>
    <oddFooter>Страница  &amp;P из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view="pageBreakPreview" topLeftCell="A10" zoomScale="120" zoomScaleNormal="100" zoomScaleSheetLayoutView="120" workbookViewId="0">
      <selection activeCell="C21" sqref="C21"/>
    </sheetView>
  </sheetViews>
  <sheetFormatPr defaultRowHeight="15" x14ac:dyDescent="0.25"/>
  <cols>
    <col min="1" max="1" width="9.28515625" bestFit="1" customWidth="1"/>
    <col min="2" max="2" width="10.5703125" customWidth="1"/>
    <col min="3" max="3" width="40" customWidth="1"/>
    <col min="4" max="4" width="8.85546875" customWidth="1"/>
    <col min="5" max="6" width="10.28515625" customWidth="1"/>
    <col min="7" max="9" width="9.28515625" bestFit="1" customWidth="1"/>
    <col min="10" max="10" width="12.5703125" bestFit="1" customWidth="1"/>
    <col min="11" max="12" width="9.28515625" bestFit="1" customWidth="1"/>
    <col min="13" max="13" width="13.7109375" bestFit="1" customWidth="1"/>
  </cols>
  <sheetData>
    <row r="1" spans="1:14" x14ac:dyDescent="0.25">
      <c r="A1" s="403"/>
      <c r="B1" s="403"/>
      <c r="C1" s="403"/>
      <c r="D1" s="403"/>
      <c r="E1" s="403"/>
      <c r="F1" s="403"/>
      <c r="G1" s="403"/>
      <c r="H1" s="403"/>
      <c r="I1" s="404"/>
      <c r="J1" s="404"/>
      <c r="K1" s="404"/>
      <c r="L1" s="404"/>
      <c r="M1" s="404"/>
    </row>
    <row r="2" spans="1:14" x14ac:dyDescent="0.25">
      <c r="A2" s="412"/>
      <c r="B2" s="413"/>
      <c r="C2" s="413"/>
      <c r="D2" s="413"/>
      <c r="E2" s="413"/>
      <c r="F2" s="2"/>
      <c r="G2" s="2"/>
      <c r="H2" s="1"/>
      <c r="I2" s="1"/>
      <c r="J2" s="2"/>
      <c r="K2" s="1"/>
      <c r="L2" s="1"/>
      <c r="M2" s="1"/>
    </row>
    <row r="3" spans="1:14" ht="27" customHeight="1" x14ac:dyDescent="0.25">
      <c r="A3" s="405" t="s">
        <v>0</v>
      </c>
      <c r="B3" s="406" t="s">
        <v>1</v>
      </c>
      <c r="C3" s="408" t="s">
        <v>2</v>
      </c>
      <c r="D3" s="408" t="s">
        <v>3</v>
      </c>
      <c r="E3" s="410" t="s">
        <v>4</v>
      </c>
      <c r="F3" s="411"/>
      <c r="G3" s="408" t="s">
        <v>5</v>
      </c>
      <c r="H3" s="408"/>
      <c r="I3" s="408" t="s">
        <v>6</v>
      </c>
      <c r="J3" s="408"/>
      <c r="K3" s="408" t="s">
        <v>7</v>
      </c>
      <c r="L3" s="408"/>
      <c r="M3" s="408" t="s">
        <v>8</v>
      </c>
    </row>
    <row r="4" spans="1:14" ht="38.25" x14ac:dyDescent="0.25">
      <c r="A4" s="405" t="s">
        <v>0</v>
      </c>
      <c r="B4" s="407"/>
      <c r="C4" s="408" t="s">
        <v>9</v>
      </c>
      <c r="D4" s="409" t="s">
        <v>10</v>
      </c>
      <c r="E4" s="3" t="s">
        <v>11</v>
      </c>
      <c r="F4" s="4" t="s">
        <v>12</v>
      </c>
      <c r="G4" s="5" t="s">
        <v>13</v>
      </c>
      <c r="H4" s="6" t="s">
        <v>14</v>
      </c>
      <c r="I4" s="6" t="s">
        <v>13</v>
      </c>
      <c r="J4" s="7" t="s">
        <v>14</v>
      </c>
      <c r="K4" s="6" t="s">
        <v>13</v>
      </c>
      <c r="L4" s="6" t="s">
        <v>14</v>
      </c>
      <c r="M4" s="408" t="s">
        <v>14</v>
      </c>
    </row>
    <row r="5" spans="1:14" ht="21" customHeight="1" x14ac:dyDescent="0.25">
      <c r="A5" s="8">
        <v>1</v>
      </c>
      <c r="B5" s="9">
        <v>2</v>
      </c>
      <c r="C5" s="9">
        <v>3</v>
      </c>
      <c r="D5" s="9">
        <v>4</v>
      </c>
      <c r="E5" s="10">
        <v>5</v>
      </c>
      <c r="F5" s="11">
        <v>6</v>
      </c>
      <c r="G5" s="12">
        <v>7</v>
      </c>
      <c r="H5" s="9">
        <v>8</v>
      </c>
      <c r="I5" s="9">
        <v>9</v>
      </c>
      <c r="J5" s="12">
        <v>10</v>
      </c>
      <c r="K5" s="9">
        <v>11</v>
      </c>
      <c r="L5" s="9">
        <v>12</v>
      </c>
      <c r="M5" s="9">
        <v>13</v>
      </c>
    </row>
    <row r="6" spans="1:14" x14ac:dyDescent="0.25">
      <c r="A6" s="400" t="s">
        <v>171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5"/>
    </row>
    <row r="7" spans="1:14" ht="28.5" x14ac:dyDescent="0.25">
      <c r="A7" s="28">
        <v>1</v>
      </c>
      <c r="B7" s="191" t="s">
        <v>203</v>
      </c>
      <c r="C7" s="14" t="s">
        <v>162</v>
      </c>
      <c r="D7" s="14" t="s">
        <v>120</v>
      </c>
      <c r="E7" s="192"/>
      <c r="F7" s="357">
        <v>478</v>
      </c>
      <c r="G7" s="31"/>
      <c r="H7" s="167"/>
      <c r="I7" s="168"/>
      <c r="J7" s="167"/>
      <c r="K7" s="168"/>
      <c r="L7" s="167"/>
      <c r="M7" s="37"/>
    </row>
    <row r="8" spans="1:14" x14ac:dyDescent="0.25">
      <c r="A8" s="61">
        <f>A7+0.1</f>
        <v>1.1000000000000001</v>
      </c>
      <c r="B8" s="192"/>
      <c r="C8" s="61" t="s">
        <v>114</v>
      </c>
      <c r="D8" s="134" t="s">
        <v>18</v>
      </c>
      <c r="E8" s="169">
        <v>0.10199999999999999</v>
      </c>
      <c r="F8" s="49">
        <f>E8*F7</f>
        <v>48.756</v>
      </c>
      <c r="G8" s="49"/>
      <c r="H8" s="49"/>
      <c r="I8" s="49"/>
      <c r="J8" s="49"/>
      <c r="K8" s="49"/>
      <c r="L8" s="49"/>
      <c r="M8" s="49"/>
    </row>
    <row r="9" spans="1:14" ht="40.5" x14ac:dyDescent="0.25">
      <c r="A9" s="51">
        <f>A8+0.1</f>
        <v>1.2000000000000002</v>
      </c>
      <c r="B9" s="4" t="s">
        <v>22</v>
      </c>
      <c r="C9" s="19" t="s">
        <v>226</v>
      </c>
      <c r="D9" s="4" t="s">
        <v>163</v>
      </c>
      <c r="E9" s="4">
        <v>0.15</v>
      </c>
      <c r="F9" s="3">
        <f>E9*F7</f>
        <v>71.7</v>
      </c>
      <c r="G9" s="3"/>
      <c r="H9" s="38"/>
      <c r="I9" s="60"/>
      <c r="J9" s="49"/>
      <c r="K9" s="60"/>
      <c r="L9" s="49"/>
      <c r="M9" s="170"/>
    </row>
    <row r="10" spans="1:14" ht="16.5" x14ac:dyDescent="0.25">
      <c r="A10" s="28">
        <v>2</v>
      </c>
      <c r="B10" s="14" t="s">
        <v>178</v>
      </c>
      <c r="C10" s="14" t="s">
        <v>179</v>
      </c>
      <c r="D10" s="14" t="s">
        <v>120</v>
      </c>
      <c r="E10" s="14"/>
      <c r="F10" s="28">
        <f>F7</f>
        <v>478</v>
      </c>
      <c r="G10" s="28"/>
      <c r="H10" s="16"/>
      <c r="I10" s="28"/>
      <c r="J10" s="16"/>
      <c r="K10" s="28"/>
      <c r="L10" s="16"/>
      <c r="M10" s="16"/>
    </row>
    <row r="11" spans="1:14" x14ac:dyDescent="0.25">
      <c r="A11" s="134">
        <f>A10+0.1</f>
        <v>2.1</v>
      </c>
      <c r="B11" s="19" t="s">
        <v>215</v>
      </c>
      <c r="C11" s="134" t="s">
        <v>114</v>
      </c>
      <c r="D11" s="134" t="s">
        <v>180</v>
      </c>
      <c r="E11" s="134">
        <v>1</v>
      </c>
      <c r="F11" s="60">
        <f>F10*E11</f>
        <v>478</v>
      </c>
      <c r="G11" s="40"/>
      <c r="H11" s="40"/>
      <c r="I11" s="113"/>
      <c r="J11" s="89"/>
      <c r="K11" s="40"/>
      <c r="L11" s="40"/>
      <c r="M11" s="89"/>
    </row>
    <row r="12" spans="1:14" ht="27" x14ac:dyDescent="0.25">
      <c r="A12" s="51">
        <f>A11+0.1</f>
        <v>2.2000000000000002</v>
      </c>
      <c r="B12" s="171" t="s">
        <v>331</v>
      </c>
      <c r="C12" s="19" t="s">
        <v>227</v>
      </c>
      <c r="D12" s="19" t="s">
        <v>121</v>
      </c>
      <c r="E12" s="19">
        <v>1</v>
      </c>
      <c r="F12" s="38">
        <f>E12*F10</f>
        <v>478</v>
      </c>
      <c r="G12" s="32"/>
      <c r="H12" s="38"/>
      <c r="I12" s="32"/>
      <c r="J12" s="38"/>
      <c r="K12" s="32"/>
      <c r="L12" s="38"/>
      <c r="M12" s="38"/>
    </row>
    <row r="13" spans="1:14" x14ac:dyDescent="0.25">
      <c r="A13" s="114">
        <f t="shared" ref="A13:A14" si="0">A12+0.1</f>
        <v>2.3000000000000003</v>
      </c>
      <c r="B13" s="171"/>
      <c r="C13" s="114" t="s">
        <v>214</v>
      </c>
      <c r="D13" s="114" t="s">
        <v>20</v>
      </c>
      <c r="E13" s="103">
        <v>0.01</v>
      </c>
      <c r="F13" s="65">
        <f>F11*E13</f>
        <v>4.78</v>
      </c>
      <c r="G13" s="40"/>
      <c r="H13" s="40"/>
      <c r="I13" s="84"/>
      <c r="J13" s="84"/>
      <c r="K13" s="65"/>
      <c r="L13" s="65"/>
      <c r="M13" s="65"/>
    </row>
    <row r="14" spans="1:14" x14ac:dyDescent="0.25">
      <c r="A14" s="51">
        <f t="shared" si="0"/>
        <v>2.4000000000000004</v>
      </c>
      <c r="B14" s="171"/>
      <c r="C14" s="19" t="s">
        <v>68</v>
      </c>
      <c r="D14" s="19" t="s">
        <v>20</v>
      </c>
      <c r="E14" s="19">
        <v>0.04</v>
      </c>
      <c r="F14" s="38">
        <f>E14*F10</f>
        <v>19.12</v>
      </c>
      <c r="G14" s="32"/>
      <c r="H14" s="38"/>
      <c r="I14" s="32"/>
      <c r="J14" s="38"/>
      <c r="K14" s="32"/>
      <c r="L14" s="38"/>
      <c r="M14" s="38"/>
    </row>
    <row r="15" spans="1:14" x14ac:dyDescent="0.25">
      <c r="A15" s="108"/>
      <c r="B15" s="92"/>
      <c r="C15" s="28" t="s">
        <v>42</v>
      </c>
      <c r="D15" s="28" t="s">
        <v>20</v>
      </c>
      <c r="E15" s="16"/>
      <c r="F15" s="15"/>
      <c r="G15" s="15"/>
      <c r="H15" s="109"/>
      <c r="I15" s="41"/>
      <c r="J15" s="110"/>
      <c r="K15" s="31"/>
      <c r="L15" s="111"/>
      <c r="M15" s="16"/>
      <c r="N15" s="165"/>
    </row>
    <row r="16" spans="1:14" x14ac:dyDescent="0.25">
      <c r="A16" s="32"/>
      <c r="B16" s="32"/>
      <c r="C16" s="32" t="s">
        <v>41</v>
      </c>
      <c r="D16" s="32" t="s">
        <v>20</v>
      </c>
      <c r="E16" s="38"/>
      <c r="F16" s="39"/>
      <c r="G16" s="39"/>
      <c r="H16" s="40"/>
      <c r="I16" s="40"/>
      <c r="J16" s="40"/>
      <c r="K16" s="40"/>
      <c r="L16" s="40"/>
      <c r="M16" s="38"/>
    </row>
    <row r="17" spans="1:13" x14ac:dyDescent="0.25">
      <c r="A17" s="28"/>
      <c r="B17" s="28"/>
      <c r="C17" s="28" t="s">
        <v>42</v>
      </c>
      <c r="D17" s="28" t="s">
        <v>20</v>
      </c>
      <c r="E17" s="16"/>
      <c r="F17" s="15"/>
      <c r="G17" s="15"/>
      <c r="H17" s="41"/>
      <c r="I17" s="41"/>
      <c r="J17" s="41"/>
      <c r="K17" s="41"/>
      <c r="L17" s="41"/>
      <c r="M17" s="16"/>
    </row>
    <row r="18" spans="1:13" x14ac:dyDescent="0.25">
      <c r="A18" s="32"/>
      <c r="B18" s="32"/>
      <c r="C18" s="32" t="s">
        <v>43</v>
      </c>
      <c r="D18" s="32" t="s">
        <v>20</v>
      </c>
      <c r="E18" s="38"/>
      <c r="F18" s="39"/>
      <c r="G18" s="39"/>
      <c r="H18" s="40"/>
      <c r="I18" s="40"/>
      <c r="J18" s="40"/>
      <c r="K18" s="40"/>
      <c r="L18" s="40"/>
      <c r="M18" s="38"/>
    </row>
    <row r="19" spans="1:13" x14ac:dyDescent="0.25">
      <c r="A19" s="42"/>
      <c r="B19" s="42"/>
      <c r="C19" s="42" t="s">
        <v>40</v>
      </c>
      <c r="D19" s="42" t="s">
        <v>20</v>
      </c>
      <c r="E19" s="43"/>
      <c r="F19" s="43"/>
      <c r="G19" s="43"/>
      <c r="H19" s="44"/>
      <c r="I19" s="44"/>
      <c r="J19" s="44"/>
      <c r="K19" s="44"/>
      <c r="L19" s="44"/>
      <c r="M19" s="43"/>
    </row>
    <row r="21" spans="1:13" ht="15.75" x14ac:dyDescent="0.3">
      <c r="C21" s="235"/>
      <c r="D21" s="157"/>
    </row>
    <row r="22" spans="1:13" ht="15.75" x14ac:dyDescent="0.3">
      <c r="C22" s="157"/>
      <c r="D22" s="157"/>
    </row>
    <row r="23" spans="1:13" ht="15.75" x14ac:dyDescent="0.3">
      <c r="C23" s="157"/>
      <c r="D23" s="157"/>
    </row>
  </sheetData>
  <mergeCells count="12">
    <mergeCell ref="A6:M6"/>
    <mergeCell ref="A1:M1"/>
    <mergeCell ref="A3:A4"/>
    <mergeCell ref="B3:B4"/>
    <mergeCell ref="C3:C4"/>
    <mergeCell ref="D3:D4"/>
    <mergeCell ref="E3:F3"/>
    <mergeCell ref="G3:H3"/>
    <mergeCell ref="I3:J3"/>
    <mergeCell ref="K3:L3"/>
    <mergeCell ref="M3:M4"/>
    <mergeCell ref="A2:E2"/>
  </mergeCells>
  <printOptions horizontalCentered="1"/>
  <pageMargins left="0" right="0" top="0.39370078740157483" bottom="0" header="0" footer="0"/>
  <pageSetup paperSize="9" scale="76" orientation="landscape" horizontalDpi="4294967292" verticalDpi="0" r:id="rId1"/>
  <headerFooter>
    <oddFooter>Страница  &amp;P из &amp;N</oddFooter>
  </headerFooter>
  <rowBreaks count="1" manualBreakCount="1">
    <brk id="24" max="1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7"/>
  <sheetViews>
    <sheetView view="pageBreakPreview" topLeftCell="A107" zoomScaleNormal="100" zoomScaleSheetLayoutView="100" workbookViewId="0">
      <selection activeCell="C125" sqref="C125"/>
    </sheetView>
  </sheetViews>
  <sheetFormatPr defaultRowHeight="15" x14ac:dyDescent="0.25"/>
  <cols>
    <col min="2" max="2" width="14.5703125" customWidth="1"/>
    <col min="3" max="3" width="44" customWidth="1"/>
    <col min="4" max="4" width="10.85546875" customWidth="1"/>
    <col min="5" max="6" width="10.28515625" customWidth="1"/>
    <col min="7" max="7" width="10.42578125" customWidth="1"/>
    <col min="8" max="8" width="10.140625" customWidth="1"/>
    <col min="10" max="10" width="13" customWidth="1"/>
    <col min="12" max="12" width="12.7109375" customWidth="1"/>
    <col min="13" max="13" width="16.5703125" customWidth="1"/>
    <col min="14" max="14" width="9.5703125" bestFit="1" customWidth="1"/>
    <col min="16" max="16" width="11.28515625" customWidth="1"/>
  </cols>
  <sheetData>
    <row r="1" spans="1:13" ht="15" customHeight="1" x14ac:dyDescent="0.25">
      <c r="A1" s="403"/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</row>
    <row r="2" spans="1:13" ht="37.5" customHeight="1" x14ac:dyDescent="0.25">
      <c r="A2" s="412"/>
      <c r="B2" s="413"/>
      <c r="C2" s="413"/>
      <c r="D2" s="377"/>
      <c r="E2" s="377"/>
      <c r="F2" s="2"/>
      <c r="G2" s="2"/>
      <c r="H2" s="1"/>
      <c r="I2" s="1"/>
      <c r="J2" s="2"/>
      <c r="K2" s="1"/>
      <c r="L2" s="1"/>
      <c r="M2" s="1"/>
    </row>
    <row r="3" spans="1:13" ht="27" customHeight="1" x14ac:dyDescent="0.25">
      <c r="A3" s="405" t="s">
        <v>0</v>
      </c>
      <c r="B3" s="406" t="s">
        <v>1</v>
      </c>
      <c r="C3" s="408" t="s">
        <v>2</v>
      </c>
      <c r="D3" s="408" t="s">
        <v>3</v>
      </c>
      <c r="E3" s="410" t="s">
        <v>4</v>
      </c>
      <c r="F3" s="411"/>
      <c r="G3" s="408" t="s">
        <v>5</v>
      </c>
      <c r="H3" s="408"/>
      <c r="I3" s="408" t="s">
        <v>6</v>
      </c>
      <c r="J3" s="408"/>
      <c r="K3" s="408" t="s">
        <v>7</v>
      </c>
      <c r="L3" s="408"/>
      <c r="M3" s="408" t="s">
        <v>8</v>
      </c>
    </row>
    <row r="4" spans="1:13" ht="38.25" x14ac:dyDescent="0.25">
      <c r="A4" s="405" t="s">
        <v>0</v>
      </c>
      <c r="B4" s="407"/>
      <c r="C4" s="408" t="s">
        <v>9</v>
      </c>
      <c r="D4" s="409" t="s">
        <v>10</v>
      </c>
      <c r="E4" s="3" t="s">
        <v>11</v>
      </c>
      <c r="F4" s="4" t="s">
        <v>12</v>
      </c>
      <c r="G4" s="5" t="s">
        <v>13</v>
      </c>
      <c r="H4" s="6" t="s">
        <v>14</v>
      </c>
      <c r="I4" s="6" t="s">
        <v>13</v>
      </c>
      <c r="J4" s="7" t="s">
        <v>14</v>
      </c>
      <c r="K4" s="6" t="s">
        <v>13</v>
      </c>
      <c r="L4" s="6" t="s">
        <v>14</v>
      </c>
      <c r="M4" s="408" t="s">
        <v>14</v>
      </c>
    </row>
    <row r="5" spans="1:13" ht="24.75" customHeight="1" x14ac:dyDescent="0.25">
      <c r="A5" s="8">
        <v>1</v>
      </c>
      <c r="B5" s="9">
        <v>2</v>
      </c>
      <c r="C5" s="9">
        <v>3</v>
      </c>
      <c r="D5" s="9">
        <v>4</v>
      </c>
      <c r="E5" s="10">
        <v>5</v>
      </c>
      <c r="F5" s="11">
        <v>6</v>
      </c>
      <c r="G5" s="12">
        <v>7</v>
      </c>
      <c r="H5" s="9">
        <v>8</v>
      </c>
      <c r="I5" s="9">
        <v>9</v>
      </c>
      <c r="J5" s="12">
        <v>10</v>
      </c>
      <c r="K5" s="9">
        <v>11</v>
      </c>
      <c r="L5" s="9">
        <v>12</v>
      </c>
      <c r="M5" s="9">
        <v>13</v>
      </c>
    </row>
    <row r="6" spans="1:13" ht="24.75" customHeight="1" x14ac:dyDescent="0.25">
      <c r="A6" s="400" t="s">
        <v>175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5"/>
    </row>
    <row r="7" spans="1:13" ht="29.25" customHeight="1" x14ac:dyDescent="0.25">
      <c r="A7" s="80">
        <v>1</v>
      </c>
      <c r="B7" s="191" t="s">
        <v>203</v>
      </c>
      <c r="C7" s="201" t="s">
        <v>160</v>
      </c>
      <c r="D7" s="202" t="s">
        <v>82</v>
      </c>
      <c r="E7" s="199"/>
      <c r="F7" s="199">
        <v>1000</v>
      </c>
      <c r="G7" s="62"/>
      <c r="H7" s="62"/>
      <c r="I7" s="83"/>
      <c r="J7" s="83"/>
      <c r="K7" s="83"/>
      <c r="L7" s="83"/>
      <c r="M7" s="203"/>
    </row>
    <row r="8" spans="1:13" ht="29.25" customHeight="1" x14ac:dyDescent="0.25">
      <c r="A8" s="47">
        <v>1.1000000000000001</v>
      </c>
      <c r="B8" s="191"/>
      <c r="C8" s="47" t="s">
        <v>17</v>
      </c>
      <c r="D8" s="47" t="s">
        <v>18</v>
      </c>
      <c r="E8" s="24">
        <v>0.216</v>
      </c>
      <c r="F8" s="355">
        <f>F7*E8</f>
        <v>216</v>
      </c>
      <c r="G8" s="47"/>
      <c r="H8" s="190"/>
      <c r="I8" s="61"/>
      <c r="J8" s="24"/>
      <c r="K8" s="47"/>
      <c r="L8" s="47"/>
      <c r="M8" s="24"/>
    </row>
    <row r="9" spans="1:13" ht="28.5" customHeight="1" x14ac:dyDescent="0.25">
      <c r="A9" s="45">
        <v>2</v>
      </c>
      <c r="B9" s="13" t="s">
        <v>46</v>
      </c>
      <c r="C9" s="14" t="s">
        <v>47</v>
      </c>
      <c r="D9" s="14" t="s">
        <v>16</v>
      </c>
      <c r="E9" s="15"/>
      <c r="F9" s="395">
        <v>0.16500000000000001</v>
      </c>
      <c r="G9" s="15"/>
      <c r="H9" s="14"/>
      <c r="I9" s="14"/>
      <c r="J9" s="14"/>
      <c r="K9" s="14"/>
      <c r="L9" s="14"/>
      <c r="M9" s="15"/>
    </row>
    <row r="10" spans="1:13" ht="23.25" customHeight="1" x14ac:dyDescent="0.25">
      <c r="A10" s="47">
        <f>A9+0.1</f>
        <v>2.1</v>
      </c>
      <c r="B10" s="46"/>
      <c r="C10" s="47" t="s">
        <v>17</v>
      </c>
      <c r="D10" s="47" t="s">
        <v>18</v>
      </c>
      <c r="E10" s="24">
        <v>206</v>
      </c>
      <c r="F10" s="355">
        <f>F9*E10</f>
        <v>33.99</v>
      </c>
      <c r="G10" s="47"/>
      <c r="H10" s="190"/>
      <c r="I10" s="61"/>
      <c r="J10" s="24"/>
      <c r="K10" s="47"/>
      <c r="L10" s="47"/>
      <c r="M10" s="24"/>
    </row>
    <row r="11" spans="1:13" ht="30" customHeight="1" x14ac:dyDescent="0.25">
      <c r="A11" s="50" t="s">
        <v>27</v>
      </c>
      <c r="B11" s="13" t="s">
        <v>48</v>
      </c>
      <c r="C11" s="69" t="s">
        <v>49</v>
      </c>
      <c r="D11" s="69" t="s">
        <v>16</v>
      </c>
      <c r="E11" s="62"/>
      <c r="F11" s="358">
        <v>1.4850000000000001</v>
      </c>
      <c r="G11" s="62"/>
      <c r="H11" s="62"/>
      <c r="I11" s="194"/>
      <c r="J11" s="194"/>
      <c r="K11" s="194"/>
      <c r="L11" s="194"/>
      <c r="M11" s="62"/>
    </row>
    <row r="12" spans="1:13" ht="24" customHeight="1" x14ac:dyDescent="0.25">
      <c r="A12" s="386">
        <f>A11+0.1</f>
        <v>3.1</v>
      </c>
      <c r="B12" s="69"/>
      <c r="C12" s="61" t="s">
        <v>50</v>
      </c>
      <c r="D12" s="61" t="s">
        <v>18</v>
      </c>
      <c r="E12" s="183">
        <f>9.96/1000</f>
        <v>9.9600000000000001E-3</v>
      </c>
      <c r="F12" s="359">
        <f>E12*F11</f>
        <v>1.4790600000000001E-2</v>
      </c>
      <c r="G12" s="194"/>
      <c r="H12" s="194"/>
      <c r="I12" s="61"/>
      <c r="J12" s="204"/>
      <c r="K12" s="194"/>
      <c r="L12" s="194"/>
      <c r="M12" s="204"/>
    </row>
    <row r="13" spans="1:13" ht="24" customHeight="1" x14ac:dyDescent="0.25">
      <c r="A13" s="123">
        <f>A12+0.1</f>
        <v>3.2</v>
      </c>
      <c r="B13" s="123" t="s">
        <v>216</v>
      </c>
      <c r="C13" s="123" t="s">
        <v>51</v>
      </c>
      <c r="D13" s="123" t="s">
        <v>20</v>
      </c>
      <c r="E13" s="64">
        <f>22.3/1000</f>
        <v>2.23E-2</v>
      </c>
      <c r="F13" s="356">
        <f>E13*F11</f>
        <v>3.3115500000000006E-2</v>
      </c>
      <c r="G13" s="24"/>
      <c r="H13" s="24"/>
      <c r="I13" s="64"/>
      <c r="J13" s="64"/>
      <c r="K13" s="64"/>
      <c r="L13" s="64"/>
      <c r="M13" s="64"/>
    </row>
    <row r="14" spans="1:13" ht="29.25" customHeight="1" x14ac:dyDescent="0.25">
      <c r="A14" s="13" t="s">
        <v>58</v>
      </c>
      <c r="B14" s="14" t="s">
        <v>53</v>
      </c>
      <c r="C14" s="14" t="s">
        <v>54</v>
      </c>
      <c r="D14" s="14" t="s">
        <v>65</v>
      </c>
      <c r="E14" s="56"/>
      <c r="F14" s="396">
        <f>F11*100</f>
        <v>148.5</v>
      </c>
      <c r="G14" s="15"/>
      <c r="H14" s="130"/>
      <c r="I14" s="130"/>
      <c r="J14" s="130"/>
      <c r="K14" s="130"/>
      <c r="L14" s="130"/>
      <c r="M14" s="62"/>
    </row>
    <row r="15" spans="1:13" ht="21" customHeight="1" x14ac:dyDescent="0.25">
      <c r="A15" s="61">
        <f>A14+0.1</f>
        <v>4.0999999999999996</v>
      </c>
      <c r="B15" s="14"/>
      <c r="C15" s="61" t="s">
        <v>50</v>
      </c>
      <c r="D15" s="61" t="s">
        <v>18</v>
      </c>
      <c r="E15" s="183">
        <f>15.5/1000</f>
        <v>1.55E-2</v>
      </c>
      <c r="F15" s="359">
        <f>F14*E15</f>
        <v>2.3017500000000002</v>
      </c>
      <c r="G15" s="131"/>
      <c r="H15" s="131"/>
      <c r="I15" s="24"/>
      <c r="J15" s="61"/>
      <c r="K15" s="61"/>
      <c r="L15" s="61"/>
      <c r="M15" s="61"/>
    </row>
    <row r="16" spans="1:13" ht="21" customHeight="1" x14ac:dyDescent="0.25">
      <c r="A16" s="123">
        <f>A15+0.1</f>
        <v>4.1999999999999993</v>
      </c>
      <c r="B16" s="123" t="s">
        <v>217</v>
      </c>
      <c r="C16" s="123" t="s">
        <v>55</v>
      </c>
      <c r="D16" s="123" t="s">
        <v>56</v>
      </c>
      <c r="E16" s="184">
        <f>34.7/1000</f>
        <v>3.4700000000000002E-2</v>
      </c>
      <c r="F16" s="356">
        <f>E16*F14</f>
        <v>5.1529500000000006</v>
      </c>
      <c r="G16" s="39"/>
      <c r="H16" s="39"/>
      <c r="I16" s="64"/>
      <c r="J16" s="64"/>
      <c r="K16" s="64"/>
      <c r="L16" s="64"/>
      <c r="M16" s="64"/>
    </row>
    <row r="17" spans="1:14" ht="21.75" customHeight="1" x14ac:dyDescent="0.25">
      <c r="A17" s="123">
        <f>A16+0.1</f>
        <v>4.2999999999999989</v>
      </c>
      <c r="B17" s="123"/>
      <c r="C17" s="123" t="s">
        <v>57</v>
      </c>
      <c r="D17" s="123" t="s">
        <v>20</v>
      </c>
      <c r="E17" s="184">
        <f>2.09/1000</f>
        <v>2.0899999999999998E-3</v>
      </c>
      <c r="F17" s="356">
        <f>E17*F14</f>
        <v>0.310365</v>
      </c>
      <c r="G17" s="24"/>
      <c r="H17" s="24"/>
      <c r="I17" s="64"/>
      <c r="J17" s="64"/>
      <c r="K17" s="64"/>
      <c r="L17" s="64"/>
      <c r="M17" s="64"/>
    </row>
    <row r="18" spans="1:14" ht="21.75" customHeight="1" x14ac:dyDescent="0.25">
      <c r="A18" s="19">
        <v>4.4000000000000004</v>
      </c>
      <c r="B18" s="19" t="s">
        <v>325</v>
      </c>
      <c r="C18" s="351" t="s">
        <v>326</v>
      </c>
      <c r="D18" s="351" t="s">
        <v>200</v>
      </c>
      <c r="E18" s="351">
        <f>0.04/1000</f>
        <v>4.0000000000000003E-5</v>
      </c>
      <c r="F18" s="360">
        <f>F14*E18</f>
        <v>5.9400000000000008E-3</v>
      </c>
      <c r="G18" s="351"/>
      <c r="H18" s="351"/>
      <c r="I18" s="351"/>
      <c r="J18" s="351"/>
      <c r="K18" s="351"/>
      <c r="L18" s="351"/>
      <c r="M18" s="351"/>
    </row>
    <row r="19" spans="1:14" ht="27" customHeight="1" x14ac:dyDescent="0.25">
      <c r="A19" s="13" t="s">
        <v>29</v>
      </c>
      <c r="B19" s="14" t="s">
        <v>201</v>
      </c>
      <c r="C19" s="14" t="s">
        <v>59</v>
      </c>
      <c r="D19" s="14" t="s">
        <v>202</v>
      </c>
      <c r="E19" s="15"/>
      <c r="F19" s="354">
        <f>F9*100</f>
        <v>16.5</v>
      </c>
      <c r="G19" s="15"/>
      <c r="H19" s="19"/>
      <c r="I19" s="19"/>
      <c r="J19" s="19"/>
      <c r="K19" s="19"/>
      <c r="L19" s="19"/>
      <c r="M19" s="62"/>
    </row>
    <row r="20" spans="1:14" ht="24" customHeight="1" x14ac:dyDescent="0.25">
      <c r="A20" s="393">
        <f>A19+0.1</f>
        <v>5.0999999999999996</v>
      </c>
      <c r="B20" s="19"/>
      <c r="C20" s="49" t="s">
        <v>50</v>
      </c>
      <c r="D20" s="49" t="s">
        <v>18</v>
      </c>
      <c r="E20" s="52">
        <v>0.87</v>
      </c>
      <c r="F20" s="359">
        <f>F19*E20</f>
        <v>14.355</v>
      </c>
      <c r="G20" s="26"/>
      <c r="H20" s="26"/>
      <c r="I20" s="49"/>
      <c r="J20" s="49"/>
      <c r="K20" s="49"/>
      <c r="L20" s="49"/>
      <c r="M20" s="49"/>
    </row>
    <row r="21" spans="1:14" ht="24" customHeight="1" x14ac:dyDescent="0.25">
      <c r="A21" s="13" t="s">
        <v>31</v>
      </c>
      <c r="B21" s="14"/>
      <c r="C21" s="14" t="s">
        <v>228</v>
      </c>
      <c r="D21" s="14" t="s">
        <v>23</v>
      </c>
      <c r="E21" s="15"/>
      <c r="F21" s="354">
        <f>(F19+F14)*1.85</f>
        <v>305.25</v>
      </c>
      <c r="G21" s="21"/>
      <c r="H21" s="21"/>
      <c r="I21" s="34"/>
      <c r="J21" s="34"/>
      <c r="K21" s="34"/>
      <c r="L21" s="34"/>
      <c r="M21" s="34"/>
    </row>
    <row r="22" spans="1:14" ht="30.75" customHeight="1" x14ac:dyDescent="0.25">
      <c r="A22" s="33">
        <f>A21+0.1</f>
        <v>6.1</v>
      </c>
      <c r="B22" s="33" t="s">
        <v>36</v>
      </c>
      <c r="C22" s="33" t="s">
        <v>39</v>
      </c>
      <c r="D22" s="33" t="s">
        <v>23</v>
      </c>
      <c r="E22" s="33">
        <v>1</v>
      </c>
      <c r="F22" s="356">
        <f>F21*E22</f>
        <v>305.25</v>
      </c>
      <c r="G22" s="85"/>
      <c r="H22" s="38"/>
      <c r="I22" s="16"/>
      <c r="J22" s="16"/>
      <c r="K22" s="16"/>
      <c r="L22" s="16"/>
      <c r="M22" s="16"/>
    </row>
    <row r="23" spans="1:14" ht="33.75" customHeight="1" x14ac:dyDescent="0.25">
      <c r="A23" s="80">
        <v>7</v>
      </c>
      <c r="B23" s="81" t="s">
        <v>83</v>
      </c>
      <c r="C23" s="81" t="s">
        <v>184</v>
      </c>
      <c r="D23" s="81" t="s">
        <v>65</v>
      </c>
      <c r="E23" s="82"/>
      <c r="F23" s="361">
        <v>74.8</v>
      </c>
      <c r="G23" s="24"/>
      <c r="H23" s="24"/>
      <c r="I23" s="24"/>
      <c r="J23" s="24"/>
      <c r="K23" s="24"/>
      <c r="L23" s="24"/>
      <c r="M23" s="24"/>
    </row>
    <row r="24" spans="1:14" ht="21.75" customHeight="1" x14ac:dyDescent="0.25">
      <c r="A24" s="86">
        <f t="shared" ref="A24:A29" si="0">A23+0.1</f>
        <v>7.1</v>
      </c>
      <c r="B24" s="20"/>
      <c r="C24" s="47" t="s">
        <v>77</v>
      </c>
      <c r="D24" s="47" t="s">
        <v>18</v>
      </c>
      <c r="E24" s="195">
        <f>15/100</f>
        <v>0.15</v>
      </c>
      <c r="F24" s="353">
        <f>E24*F23</f>
        <v>11.219999999999999</v>
      </c>
      <c r="G24" s="131"/>
      <c r="H24" s="131"/>
      <c r="I24" s="131"/>
      <c r="J24" s="131"/>
      <c r="K24" s="131"/>
      <c r="L24" s="131"/>
      <c r="M24" s="131"/>
    </row>
    <row r="25" spans="1:14" ht="33" customHeight="1" x14ac:dyDescent="0.25">
      <c r="A25" s="392">
        <f t="shared" si="0"/>
        <v>7.1999999999999993</v>
      </c>
      <c r="B25" s="88">
        <v>13.2</v>
      </c>
      <c r="C25" s="130" t="s">
        <v>84</v>
      </c>
      <c r="D25" s="130" t="s">
        <v>56</v>
      </c>
      <c r="E25" s="196">
        <f>2.16/100</f>
        <v>2.1600000000000001E-2</v>
      </c>
      <c r="F25" s="362">
        <f>E25*F23</f>
        <v>1.61568</v>
      </c>
      <c r="G25" s="131"/>
      <c r="H25" s="131"/>
      <c r="I25" s="131"/>
      <c r="J25" s="131"/>
      <c r="K25" s="131"/>
      <c r="L25" s="131"/>
      <c r="M25" s="131"/>
    </row>
    <row r="26" spans="1:14" ht="21.75" customHeight="1" x14ac:dyDescent="0.25">
      <c r="A26" s="26">
        <f t="shared" si="0"/>
        <v>7.2999999999999989</v>
      </c>
      <c r="B26" s="26">
        <v>13.222</v>
      </c>
      <c r="C26" s="130" t="s">
        <v>85</v>
      </c>
      <c r="D26" s="130" t="s">
        <v>56</v>
      </c>
      <c r="E26" s="196">
        <f>2.73/100</f>
        <v>2.7300000000000001E-2</v>
      </c>
      <c r="F26" s="362">
        <f>E26*F23</f>
        <v>2.0420400000000001</v>
      </c>
      <c r="G26" s="131"/>
      <c r="H26" s="131"/>
      <c r="I26" s="131"/>
      <c r="J26" s="131"/>
      <c r="K26" s="131"/>
      <c r="L26" s="131"/>
      <c r="M26" s="131"/>
    </row>
    <row r="27" spans="1:14" ht="22.5" customHeight="1" x14ac:dyDescent="0.25">
      <c r="A27" s="130">
        <f t="shared" si="0"/>
        <v>7.3999999999999986</v>
      </c>
      <c r="B27" s="130">
        <v>13.228999999999999</v>
      </c>
      <c r="C27" s="130" t="s">
        <v>224</v>
      </c>
      <c r="D27" s="130" t="s">
        <v>56</v>
      </c>
      <c r="E27" s="197">
        <f>0.97/100</f>
        <v>9.7000000000000003E-3</v>
      </c>
      <c r="F27" s="362">
        <f>F23*E27</f>
        <v>0.72555999999999998</v>
      </c>
      <c r="G27" s="67"/>
      <c r="H27" s="67"/>
      <c r="I27" s="77"/>
      <c r="J27" s="77"/>
      <c r="K27" s="77"/>
      <c r="L27" s="77"/>
      <c r="M27" s="77"/>
    </row>
    <row r="28" spans="1:14" ht="22.5" customHeight="1" x14ac:dyDescent="0.25">
      <c r="A28" s="385">
        <f t="shared" si="0"/>
        <v>7.4999999999999982</v>
      </c>
      <c r="B28" s="63" t="s">
        <v>306</v>
      </c>
      <c r="C28" s="63" t="s">
        <v>346</v>
      </c>
      <c r="D28" s="51" t="s">
        <v>65</v>
      </c>
      <c r="E28" s="67">
        <v>1.22</v>
      </c>
      <c r="F28" s="229">
        <f>E28*F23</f>
        <v>91.256</v>
      </c>
      <c r="G28" s="39"/>
      <c r="H28" s="39"/>
      <c r="I28" s="39"/>
      <c r="J28" s="39"/>
      <c r="K28" s="39"/>
      <c r="L28" s="39"/>
      <c r="M28" s="39"/>
    </row>
    <row r="29" spans="1:14" ht="22.5" customHeight="1" x14ac:dyDescent="0.25">
      <c r="A29" s="385">
        <f t="shared" si="0"/>
        <v>7.5999999999999979</v>
      </c>
      <c r="B29" s="32"/>
      <c r="C29" s="19" t="s">
        <v>225</v>
      </c>
      <c r="D29" s="19" t="s">
        <v>200</v>
      </c>
      <c r="E29" s="198">
        <f>7/100</f>
        <v>7.0000000000000007E-2</v>
      </c>
      <c r="F29" s="231">
        <f>E29*F23</f>
        <v>5.2360000000000007</v>
      </c>
      <c r="G29" s="200"/>
      <c r="H29" s="39"/>
      <c r="I29" s="15"/>
      <c r="J29" s="15"/>
      <c r="K29" s="15"/>
      <c r="L29" s="15"/>
      <c r="M29" s="15"/>
    </row>
    <row r="30" spans="1:14" ht="32.25" customHeight="1" x14ac:dyDescent="0.25">
      <c r="A30" s="80">
        <v>8</v>
      </c>
      <c r="B30" s="81" t="s">
        <v>83</v>
      </c>
      <c r="C30" s="191" t="s">
        <v>185</v>
      </c>
      <c r="D30" s="191" t="s">
        <v>65</v>
      </c>
      <c r="E30" s="199"/>
      <c r="F30" s="361">
        <f>F23/2</f>
        <v>37.4</v>
      </c>
      <c r="G30" s="24"/>
      <c r="H30" s="24"/>
      <c r="I30" s="24"/>
      <c r="J30" s="24"/>
      <c r="K30" s="24"/>
      <c r="L30" s="24"/>
      <c r="M30" s="24"/>
    </row>
    <row r="31" spans="1:14" ht="21.75" customHeight="1" x14ac:dyDescent="0.25">
      <c r="A31" s="86">
        <f t="shared" ref="A31:A33" si="1">A30+0.1</f>
        <v>8.1</v>
      </c>
      <c r="B31" s="20"/>
      <c r="C31" s="47" t="s">
        <v>77</v>
      </c>
      <c r="D31" s="47" t="s">
        <v>18</v>
      </c>
      <c r="E31" s="195">
        <f>15/100</f>
        <v>0.15</v>
      </c>
      <c r="F31" s="353">
        <f>E31*F30</f>
        <v>5.6099999999999994</v>
      </c>
    </row>
    <row r="32" spans="1:14" ht="27.75" customHeight="1" x14ac:dyDescent="0.25">
      <c r="A32" s="26">
        <f t="shared" si="1"/>
        <v>8.1999999999999993</v>
      </c>
      <c r="B32" s="88">
        <v>13.2</v>
      </c>
      <c r="C32" s="130" t="s">
        <v>84</v>
      </c>
      <c r="D32" s="130" t="s">
        <v>56</v>
      </c>
      <c r="E32" s="196">
        <f>2.16/100</f>
        <v>2.1600000000000001E-2</v>
      </c>
      <c r="F32" s="362">
        <f>E32*F30</f>
        <v>0.80784</v>
      </c>
      <c r="G32" s="131"/>
      <c r="H32" s="131"/>
      <c r="I32" s="131"/>
      <c r="J32" s="131"/>
      <c r="K32" s="131"/>
      <c r="L32" s="131"/>
      <c r="M32" s="131"/>
      <c r="N32" s="164"/>
    </row>
    <row r="33" spans="1:14" ht="20.25" customHeight="1" x14ac:dyDescent="0.25">
      <c r="A33" s="26">
        <f t="shared" si="1"/>
        <v>8.2999999999999989</v>
      </c>
      <c r="B33" s="26">
        <v>13.222</v>
      </c>
      <c r="C33" s="130" t="s">
        <v>85</v>
      </c>
      <c r="D33" s="130" t="s">
        <v>56</v>
      </c>
      <c r="E33" s="196">
        <f>2.73/100</f>
        <v>2.7300000000000001E-2</v>
      </c>
      <c r="F33" s="362">
        <f>E33*F30</f>
        <v>1.02102</v>
      </c>
      <c r="G33" s="131"/>
      <c r="H33" s="131"/>
      <c r="I33" s="131"/>
      <c r="J33" s="131"/>
      <c r="K33" s="131"/>
      <c r="L33" s="131"/>
      <c r="M33" s="131"/>
      <c r="N33" s="164"/>
    </row>
    <row r="34" spans="1:14" ht="21.75" customHeight="1" x14ac:dyDescent="0.25">
      <c r="A34" s="130">
        <f>A33+0.1</f>
        <v>8.3999999999999986</v>
      </c>
      <c r="B34" s="130">
        <v>13.228999999999999</v>
      </c>
      <c r="C34" s="130" t="s">
        <v>224</v>
      </c>
      <c r="D34" s="130" t="s">
        <v>56</v>
      </c>
      <c r="E34" s="197">
        <f>0.97/100</f>
        <v>9.7000000000000003E-3</v>
      </c>
      <c r="F34" s="362">
        <f>F30*E34</f>
        <v>0.36277999999999999</v>
      </c>
      <c r="G34" s="131"/>
      <c r="H34" s="131"/>
      <c r="I34" s="131"/>
      <c r="J34" s="131"/>
      <c r="K34" s="131"/>
      <c r="L34" s="131"/>
      <c r="M34" s="131"/>
    </row>
    <row r="35" spans="1:14" ht="24" customHeight="1" x14ac:dyDescent="0.25">
      <c r="A35" s="75">
        <f t="shared" ref="A35:A36" si="2">A34+0.1</f>
        <v>8.4999999999999982</v>
      </c>
      <c r="B35" s="63" t="s">
        <v>305</v>
      </c>
      <c r="C35" s="51" t="s">
        <v>345</v>
      </c>
      <c r="D35" s="51" t="s">
        <v>65</v>
      </c>
      <c r="E35" s="67">
        <v>1.26</v>
      </c>
      <c r="F35" s="229">
        <f>E35*F30</f>
        <v>47.123999999999995</v>
      </c>
      <c r="G35" s="67"/>
      <c r="H35" s="67"/>
      <c r="I35" s="77"/>
      <c r="J35" s="77"/>
      <c r="K35" s="77"/>
      <c r="L35" s="77"/>
      <c r="M35" s="77"/>
    </row>
    <row r="36" spans="1:14" ht="24" customHeight="1" x14ac:dyDescent="0.25">
      <c r="A36" s="75">
        <f t="shared" si="2"/>
        <v>8.5999999999999979</v>
      </c>
      <c r="B36" s="32"/>
      <c r="C36" s="19" t="s">
        <v>225</v>
      </c>
      <c r="D36" s="19" t="s">
        <v>200</v>
      </c>
      <c r="E36" s="198">
        <f>7/100</f>
        <v>7.0000000000000007E-2</v>
      </c>
      <c r="F36" s="231">
        <f>E36*F30</f>
        <v>2.6180000000000003</v>
      </c>
      <c r="G36" s="39"/>
      <c r="H36" s="39"/>
      <c r="I36" s="39"/>
      <c r="J36" s="39"/>
      <c r="K36" s="39"/>
      <c r="L36" s="39"/>
      <c r="M36" s="39"/>
    </row>
    <row r="37" spans="1:14" ht="52.5" customHeight="1" x14ac:dyDescent="0.25">
      <c r="A37" s="28">
        <v>9</v>
      </c>
      <c r="B37" s="14" t="s">
        <v>87</v>
      </c>
      <c r="C37" s="28" t="s">
        <v>88</v>
      </c>
      <c r="D37" s="28" t="s">
        <v>66</v>
      </c>
      <c r="E37" s="28"/>
      <c r="F37" s="354">
        <f>(F40+F41)/100</f>
        <v>3.8</v>
      </c>
      <c r="G37" s="28"/>
      <c r="H37" s="40"/>
      <c r="I37" s="40"/>
      <c r="J37" s="40"/>
      <c r="K37" s="40"/>
      <c r="L37" s="40"/>
      <c r="M37" s="16"/>
    </row>
    <row r="38" spans="1:14" ht="24" customHeight="1" x14ac:dyDescent="0.25">
      <c r="A38" s="60">
        <f>A37+0.1</f>
        <v>9.1</v>
      </c>
      <c r="B38" s="32"/>
      <c r="C38" s="60" t="s">
        <v>89</v>
      </c>
      <c r="D38" s="60" t="s">
        <v>90</v>
      </c>
      <c r="E38" s="49">
        <v>74</v>
      </c>
      <c r="F38" s="359">
        <f>E38*F37</f>
        <v>281.2</v>
      </c>
      <c r="G38" s="40"/>
      <c r="H38" s="40"/>
      <c r="I38" s="49"/>
      <c r="J38" s="89"/>
      <c r="K38" s="40"/>
      <c r="L38" s="40"/>
      <c r="M38" s="89"/>
    </row>
    <row r="39" spans="1:14" ht="24" customHeight="1" x14ac:dyDescent="0.25">
      <c r="A39" s="87">
        <f>A38+0.1</f>
        <v>9.1999999999999993</v>
      </c>
      <c r="B39" s="32"/>
      <c r="C39" s="87" t="s">
        <v>69</v>
      </c>
      <c r="D39" s="87" t="s">
        <v>56</v>
      </c>
      <c r="E39" s="87">
        <v>0.71</v>
      </c>
      <c r="F39" s="363">
        <f>E39*F37</f>
        <v>2.698</v>
      </c>
      <c r="G39" s="90"/>
      <c r="H39" s="90"/>
      <c r="I39" s="90"/>
      <c r="J39" s="90"/>
      <c r="K39" s="91"/>
      <c r="L39" s="91"/>
      <c r="M39" s="91"/>
    </row>
    <row r="40" spans="1:14" ht="24" customHeight="1" x14ac:dyDescent="0.25">
      <c r="A40" s="51">
        <f>A39+0.1</f>
        <v>9.2999999999999989</v>
      </c>
      <c r="B40" s="32" t="s">
        <v>22</v>
      </c>
      <c r="C40" s="32" t="s">
        <v>355</v>
      </c>
      <c r="D40" s="32" t="s">
        <v>26</v>
      </c>
      <c r="E40" s="38" t="s">
        <v>91</v>
      </c>
      <c r="F40" s="231">
        <v>232</v>
      </c>
      <c r="G40" s="38"/>
      <c r="H40" s="38"/>
      <c r="I40" s="90"/>
      <c r="J40" s="90"/>
      <c r="K40" s="90"/>
      <c r="L40" s="90"/>
      <c r="M40" s="90"/>
    </row>
    <row r="41" spans="1:14" ht="24" customHeight="1" x14ac:dyDescent="0.25">
      <c r="A41" s="51">
        <f>A40+0.1</f>
        <v>9.3999999999999986</v>
      </c>
      <c r="B41" s="32" t="s">
        <v>327</v>
      </c>
      <c r="C41" s="32" t="s">
        <v>229</v>
      </c>
      <c r="D41" s="32" t="s">
        <v>26</v>
      </c>
      <c r="E41" s="38" t="s">
        <v>91</v>
      </c>
      <c r="F41" s="231">
        <v>148</v>
      </c>
      <c r="G41" s="39"/>
      <c r="H41" s="38"/>
      <c r="I41" s="90"/>
      <c r="J41" s="90"/>
      <c r="K41" s="90"/>
      <c r="L41" s="90"/>
      <c r="M41" s="90"/>
    </row>
    <row r="42" spans="1:14" x14ac:dyDescent="0.25">
      <c r="A42" s="51">
        <f>A40+0.1</f>
        <v>9.3999999999999986</v>
      </c>
      <c r="B42" s="32" t="s">
        <v>328</v>
      </c>
      <c r="C42" s="32" t="s">
        <v>92</v>
      </c>
      <c r="D42" s="32" t="s">
        <v>70</v>
      </c>
      <c r="E42" s="231">
        <v>3.9</v>
      </c>
      <c r="F42" s="231">
        <f>E42*F37</f>
        <v>14.819999999999999</v>
      </c>
      <c r="G42" s="38"/>
      <c r="H42" s="38"/>
      <c r="I42" s="40"/>
      <c r="J42" s="40"/>
      <c r="K42" s="40"/>
      <c r="L42" s="40"/>
      <c r="M42" s="90"/>
    </row>
    <row r="43" spans="1:14" ht="24" customHeight="1" x14ac:dyDescent="0.25">
      <c r="A43" s="75">
        <f>A41+0.1</f>
        <v>9.4999999999999982</v>
      </c>
      <c r="B43" s="63" t="s">
        <v>306</v>
      </c>
      <c r="C43" s="63" t="s">
        <v>346</v>
      </c>
      <c r="D43" s="63" t="s">
        <v>65</v>
      </c>
      <c r="E43" s="229">
        <v>2</v>
      </c>
      <c r="F43" s="229">
        <f>E43*F37</f>
        <v>7.6</v>
      </c>
      <c r="G43" s="66"/>
      <c r="H43" s="66"/>
      <c r="I43" s="76"/>
      <c r="J43" s="76"/>
      <c r="K43" s="76"/>
      <c r="L43" s="76"/>
      <c r="M43" s="76"/>
    </row>
    <row r="44" spans="1:14" x14ac:dyDescent="0.25">
      <c r="A44" s="51">
        <f>A42+0.1</f>
        <v>9.4999999999999982</v>
      </c>
      <c r="B44" s="32"/>
      <c r="C44" s="32" t="s">
        <v>79</v>
      </c>
      <c r="D44" s="32" t="s">
        <v>20</v>
      </c>
      <c r="E44" s="38">
        <v>9.6</v>
      </c>
      <c r="F44" s="231">
        <f>E44*F37</f>
        <v>36.479999999999997</v>
      </c>
      <c r="G44" s="38"/>
      <c r="H44" s="38"/>
      <c r="I44" s="40"/>
      <c r="J44" s="40"/>
      <c r="K44" s="40"/>
      <c r="L44" s="40"/>
      <c r="M44" s="90"/>
    </row>
    <row r="45" spans="1:14" ht="47.25" customHeight="1" x14ac:dyDescent="0.25">
      <c r="A45" s="69">
        <v>10</v>
      </c>
      <c r="B45" s="96" t="s">
        <v>98</v>
      </c>
      <c r="C45" s="96" t="s">
        <v>353</v>
      </c>
      <c r="D45" s="97" t="s">
        <v>26</v>
      </c>
      <c r="E45" s="98"/>
      <c r="F45" s="358">
        <v>19</v>
      </c>
      <c r="G45" s="29"/>
      <c r="H45" s="40"/>
      <c r="I45" s="40"/>
      <c r="J45" s="40"/>
      <c r="K45" s="40"/>
      <c r="L45" s="40"/>
      <c r="M45" s="29"/>
    </row>
    <row r="46" spans="1:14" x14ac:dyDescent="0.25">
      <c r="A46" s="394">
        <f t="shared" ref="A46:A47" si="3">A45+0.1</f>
        <v>10.1</v>
      </c>
      <c r="B46" s="99"/>
      <c r="C46" s="100" t="s">
        <v>99</v>
      </c>
      <c r="D46" s="101" t="s">
        <v>20</v>
      </c>
      <c r="E46" s="102">
        <v>1</v>
      </c>
      <c r="F46" s="359">
        <f>E46*F45</f>
        <v>19</v>
      </c>
      <c r="G46" s="40"/>
      <c r="H46" s="40"/>
      <c r="I46" s="49"/>
      <c r="J46" s="49"/>
      <c r="K46" s="40"/>
      <c r="L46" s="40"/>
      <c r="M46" s="49"/>
    </row>
    <row r="47" spans="1:14" ht="20.25" customHeight="1" x14ac:dyDescent="0.25">
      <c r="A47" s="51">
        <f t="shared" si="3"/>
        <v>10.199999999999999</v>
      </c>
      <c r="B47" s="32" t="s">
        <v>22</v>
      </c>
      <c r="C47" s="104" t="s">
        <v>354</v>
      </c>
      <c r="D47" s="105" t="s">
        <v>26</v>
      </c>
      <c r="E47" s="106">
        <v>1.02</v>
      </c>
      <c r="F47" s="229">
        <f>E47*F45</f>
        <v>19.38</v>
      </c>
      <c r="G47" s="66"/>
      <c r="H47" s="66"/>
      <c r="I47" s="40"/>
      <c r="J47" s="40"/>
      <c r="K47" s="40"/>
      <c r="L47" s="40"/>
      <c r="M47" s="90"/>
    </row>
    <row r="48" spans="1:14" ht="21" customHeight="1" x14ac:dyDescent="0.25">
      <c r="A48" s="51">
        <f>A47+0.1</f>
        <v>10.299999999999999</v>
      </c>
      <c r="B48" s="32" t="s">
        <v>22</v>
      </c>
      <c r="C48" s="233" t="s">
        <v>101</v>
      </c>
      <c r="D48" s="105" t="s">
        <v>102</v>
      </c>
      <c r="E48" s="156" t="s">
        <v>91</v>
      </c>
      <c r="F48" s="229">
        <f>F45*0.1</f>
        <v>1.9000000000000001</v>
      </c>
      <c r="G48" s="66"/>
      <c r="H48" s="66"/>
      <c r="I48" s="40"/>
      <c r="J48" s="40"/>
      <c r="K48" s="40"/>
      <c r="L48" s="40"/>
      <c r="M48" s="90"/>
    </row>
    <row r="49" spans="1:13" ht="37.5" customHeight="1" x14ac:dyDescent="0.25">
      <c r="A49" s="80">
        <v>11</v>
      </c>
      <c r="B49" s="92" t="s">
        <v>93</v>
      </c>
      <c r="C49" s="35" t="s">
        <v>94</v>
      </c>
      <c r="D49" s="35" t="s">
        <v>86</v>
      </c>
      <c r="E49" s="29"/>
      <c r="F49" s="358">
        <f>F59*1.1*10*0.395/1000</f>
        <v>0.32153000000000004</v>
      </c>
      <c r="G49" s="29"/>
      <c r="H49" s="76"/>
      <c r="I49" s="76"/>
      <c r="J49" s="77"/>
      <c r="K49" s="76"/>
      <c r="L49" s="76"/>
      <c r="M49" s="29"/>
    </row>
    <row r="50" spans="1:13" x14ac:dyDescent="0.25">
      <c r="A50" s="86">
        <f>A49+0.1</f>
        <v>11.1</v>
      </c>
      <c r="B50" s="60"/>
      <c r="C50" s="60" t="s">
        <v>50</v>
      </c>
      <c r="D50" s="60" t="s">
        <v>18</v>
      </c>
      <c r="E50" s="49">
        <v>12.3</v>
      </c>
      <c r="F50" s="359">
        <f>E50*F49</f>
        <v>3.9548190000000005</v>
      </c>
      <c r="G50" s="93"/>
      <c r="H50" s="93"/>
      <c r="I50" s="21"/>
      <c r="J50" s="61"/>
      <c r="K50" s="93"/>
      <c r="L50" s="93"/>
      <c r="M50" s="49"/>
    </row>
    <row r="51" spans="1:13" x14ac:dyDescent="0.25">
      <c r="A51" s="94">
        <f>A50+0.1</f>
        <v>11.2</v>
      </c>
      <c r="B51" s="33"/>
      <c r="C51" s="33" t="s">
        <v>75</v>
      </c>
      <c r="D51" s="33" t="s">
        <v>20</v>
      </c>
      <c r="E51" s="34">
        <v>1.4</v>
      </c>
      <c r="F51" s="356">
        <f>E51*F49</f>
        <v>0.45014200000000004</v>
      </c>
      <c r="G51" s="73"/>
      <c r="H51" s="73"/>
      <c r="I51" s="73"/>
      <c r="J51" s="74"/>
      <c r="K51" s="34"/>
      <c r="L51" s="34"/>
      <c r="M51" s="73"/>
    </row>
    <row r="52" spans="1:13" ht="19.5" customHeight="1" x14ac:dyDescent="0.25">
      <c r="A52" s="155">
        <f t="shared" ref="A52" si="4">A51+0.1</f>
        <v>11.299999999999999</v>
      </c>
      <c r="B52" s="156" t="s">
        <v>176</v>
      </c>
      <c r="C52" s="155" t="s">
        <v>71</v>
      </c>
      <c r="D52" s="155" t="s">
        <v>23</v>
      </c>
      <c r="E52" s="156" t="s">
        <v>91</v>
      </c>
      <c r="F52" s="364">
        <f>F49</f>
        <v>0.32153000000000004</v>
      </c>
      <c r="G52" s="156"/>
      <c r="H52" s="156"/>
      <c r="I52" s="32"/>
      <c r="J52" s="32"/>
      <c r="K52" s="32"/>
      <c r="L52" s="32"/>
      <c r="M52" s="38"/>
    </row>
    <row r="53" spans="1:13" ht="21" customHeight="1" x14ac:dyDescent="0.25">
      <c r="A53" s="95">
        <f t="shared" ref="A53" si="5">A52+0.1</f>
        <v>11.399999999999999</v>
      </c>
      <c r="B53" s="63"/>
      <c r="C53" s="63" t="s">
        <v>68</v>
      </c>
      <c r="D53" s="63" t="s">
        <v>76</v>
      </c>
      <c r="E53" s="66">
        <v>7.15</v>
      </c>
      <c r="F53" s="229">
        <f>E53*F49</f>
        <v>2.2989395000000004</v>
      </c>
      <c r="G53" s="66"/>
      <c r="H53" s="66"/>
      <c r="I53" s="76"/>
      <c r="J53" s="77"/>
      <c r="K53" s="76"/>
      <c r="L53" s="76"/>
      <c r="M53" s="76"/>
    </row>
    <row r="54" spans="1:13" ht="54" customHeight="1" x14ac:dyDescent="0.25">
      <c r="A54" s="80">
        <v>12</v>
      </c>
      <c r="B54" s="92" t="s">
        <v>96</v>
      </c>
      <c r="C54" s="35" t="s">
        <v>170</v>
      </c>
      <c r="D54" s="35" t="s">
        <v>16</v>
      </c>
      <c r="E54" s="29"/>
      <c r="F54" s="365">
        <f>F59*0.08/100</f>
        <v>5.9200000000000003E-2</v>
      </c>
      <c r="G54" s="29"/>
      <c r="H54" s="76"/>
      <c r="I54" s="76"/>
      <c r="J54" s="77"/>
      <c r="K54" s="76"/>
      <c r="L54" s="76"/>
      <c r="M54" s="29"/>
    </row>
    <row r="55" spans="1:13" x14ac:dyDescent="0.25">
      <c r="A55" s="86">
        <f>A54+0.1</f>
        <v>12.1</v>
      </c>
      <c r="B55" s="60"/>
      <c r="C55" s="60" t="s">
        <v>50</v>
      </c>
      <c r="D55" s="60" t="s">
        <v>18</v>
      </c>
      <c r="E55" s="49">
        <v>137</v>
      </c>
      <c r="F55" s="359">
        <f>E55*F54</f>
        <v>8.1104000000000003</v>
      </c>
      <c r="G55" s="93"/>
      <c r="H55" s="93"/>
      <c r="I55" s="21"/>
      <c r="J55" s="61"/>
      <c r="K55" s="93"/>
      <c r="L55" s="93"/>
      <c r="M55" s="49"/>
    </row>
    <row r="56" spans="1:13" x14ac:dyDescent="0.25">
      <c r="A56" s="94">
        <f>A55+0.1</f>
        <v>12.2</v>
      </c>
      <c r="B56" s="33"/>
      <c r="C56" s="33" t="s">
        <v>75</v>
      </c>
      <c r="D56" s="33" t="s">
        <v>20</v>
      </c>
      <c r="E56" s="34">
        <v>28.3</v>
      </c>
      <c r="F56" s="356">
        <f>E56*F54</f>
        <v>1.6753600000000002</v>
      </c>
      <c r="G56" s="73"/>
      <c r="H56" s="73"/>
      <c r="I56" s="73"/>
      <c r="J56" s="74"/>
      <c r="K56" s="34"/>
      <c r="L56" s="34"/>
      <c r="M56" s="73"/>
    </row>
    <row r="57" spans="1:13" x14ac:dyDescent="0.25">
      <c r="A57" s="95">
        <f>A56+0.1</f>
        <v>12.299999999999999</v>
      </c>
      <c r="B57" s="32" t="s">
        <v>22</v>
      </c>
      <c r="C57" s="63" t="s">
        <v>97</v>
      </c>
      <c r="D57" s="63" t="s">
        <v>65</v>
      </c>
      <c r="E57" s="66">
        <v>102</v>
      </c>
      <c r="F57" s="229">
        <f>E57*F54</f>
        <v>6.0384000000000002</v>
      </c>
      <c r="G57" s="66"/>
      <c r="H57" s="66"/>
      <c r="I57" s="76"/>
      <c r="J57" s="77"/>
      <c r="K57" s="76"/>
      <c r="L57" s="76"/>
      <c r="M57" s="76"/>
    </row>
    <row r="58" spans="1:13" x14ac:dyDescent="0.25">
      <c r="A58" s="95">
        <f>A57+0.1</f>
        <v>12.399999999999999</v>
      </c>
      <c r="B58" s="63"/>
      <c r="C58" s="63" t="s">
        <v>68</v>
      </c>
      <c r="D58" s="63" t="s">
        <v>76</v>
      </c>
      <c r="E58" s="66">
        <v>62</v>
      </c>
      <c r="F58" s="229">
        <f>E58*F54</f>
        <v>3.6704000000000003</v>
      </c>
      <c r="G58" s="66"/>
      <c r="H58" s="66"/>
      <c r="I58" s="76"/>
      <c r="J58" s="77"/>
      <c r="K58" s="76"/>
      <c r="L58" s="76"/>
      <c r="M58" s="76"/>
    </row>
    <row r="59" spans="1:13" ht="47.25" customHeight="1" x14ac:dyDescent="0.25">
      <c r="A59" s="69">
        <v>13</v>
      </c>
      <c r="B59" s="96" t="s">
        <v>98</v>
      </c>
      <c r="C59" s="96" t="s">
        <v>230</v>
      </c>
      <c r="D59" s="97" t="s">
        <v>28</v>
      </c>
      <c r="E59" s="98"/>
      <c r="F59" s="358">
        <v>74</v>
      </c>
      <c r="G59" s="29"/>
      <c r="H59" s="40"/>
      <c r="I59" s="40"/>
      <c r="J59" s="40"/>
      <c r="K59" s="40"/>
      <c r="L59" s="40"/>
      <c r="M59" s="29"/>
    </row>
    <row r="60" spans="1:13" x14ac:dyDescent="0.25">
      <c r="A60" s="394">
        <f t="shared" ref="A60:A61" si="6">A59+0.1</f>
        <v>13.1</v>
      </c>
      <c r="B60" s="99"/>
      <c r="C60" s="100" t="s">
        <v>99</v>
      </c>
      <c r="D60" s="101" t="s">
        <v>20</v>
      </c>
      <c r="E60" s="102">
        <v>1</v>
      </c>
      <c r="F60" s="359">
        <f>E60*F59</f>
        <v>74</v>
      </c>
      <c r="G60" s="40"/>
      <c r="H60" s="40"/>
      <c r="I60" s="49"/>
      <c r="J60" s="49"/>
      <c r="K60" s="40"/>
      <c r="L60" s="40"/>
      <c r="M60" s="49"/>
    </row>
    <row r="61" spans="1:13" ht="20.25" customHeight="1" x14ac:dyDescent="0.25">
      <c r="A61" s="51">
        <f t="shared" si="6"/>
        <v>13.2</v>
      </c>
      <c r="B61" s="32" t="s">
        <v>22</v>
      </c>
      <c r="C61" s="104" t="s">
        <v>347</v>
      </c>
      <c r="D61" s="105" t="s">
        <v>100</v>
      </c>
      <c r="E61" s="106">
        <v>1.02</v>
      </c>
      <c r="F61" s="229">
        <f>E61*F59</f>
        <v>75.48</v>
      </c>
      <c r="G61" s="66"/>
      <c r="H61" s="66"/>
      <c r="I61" s="40"/>
      <c r="J61" s="40"/>
      <c r="K61" s="40"/>
      <c r="L61" s="40"/>
      <c r="M61" s="90"/>
    </row>
    <row r="62" spans="1:13" ht="21" customHeight="1" x14ac:dyDescent="0.25">
      <c r="A62" s="51">
        <f>A61+0.1</f>
        <v>13.299999999999999</v>
      </c>
      <c r="B62" s="32" t="s">
        <v>22</v>
      </c>
      <c r="C62" s="233" t="s">
        <v>101</v>
      </c>
      <c r="D62" s="105" t="s">
        <v>102</v>
      </c>
      <c r="E62" s="106">
        <v>0.5</v>
      </c>
      <c r="F62" s="229">
        <f>F59*E62</f>
        <v>37</v>
      </c>
      <c r="G62" s="66"/>
      <c r="H62" s="66"/>
      <c r="I62" s="40"/>
      <c r="J62" s="40"/>
      <c r="K62" s="40"/>
      <c r="L62" s="40"/>
      <c r="M62" s="90"/>
    </row>
    <row r="63" spans="1:13" ht="51.75" customHeight="1" x14ac:dyDescent="0.25">
      <c r="A63" s="13" t="s">
        <v>357</v>
      </c>
      <c r="B63" s="69" t="s">
        <v>182</v>
      </c>
      <c r="C63" s="14" t="s">
        <v>300</v>
      </c>
      <c r="D63" s="14" t="s">
        <v>65</v>
      </c>
      <c r="E63" s="15"/>
      <c r="F63" s="354">
        <f>F68*5</f>
        <v>15</v>
      </c>
      <c r="G63" s="16"/>
      <c r="H63" s="40"/>
      <c r="I63" s="40"/>
      <c r="J63" s="40"/>
      <c r="K63" s="40"/>
      <c r="L63" s="40"/>
      <c r="M63" s="16"/>
    </row>
    <row r="64" spans="1:13" x14ac:dyDescent="0.25">
      <c r="A64" s="60">
        <f>A63+0.1</f>
        <v>14.1</v>
      </c>
      <c r="B64" s="32"/>
      <c r="C64" s="60" t="s">
        <v>17</v>
      </c>
      <c r="D64" s="60" t="s">
        <v>18</v>
      </c>
      <c r="E64" s="60">
        <v>3</v>
      </c>
      <c r="F64" s="366">
        <f>E64*F63</f>
        <v>45</v>
      </c>
      <c r="G64" s="40"/>
      <c r="H64" s="40"/>
      <c r="I64" s="49"/>
      <c r="J64" s="89"/>
      <c r="K64" s="40"/>
      <c r="L64" s="40"/>
      <c r="M64" s="89"/>
    </row>
    <row r="65" spans="1:14" x14ac:dyDescent="0.25">
      <c r="A65" s="51">
        <f>A64+0.1</f>
        <v>14.2</v>
      </c>
      <c r="B65" s="32" t="s">
        <v>309</v>
      </c>
      <c r="C65" s="19" t="s">
        <v>310</v>
      </c>
      <c r="D65" s="19" t="s">
        <v>65</v>
      </c>
      <c r="E65" s="231" t="s">
        <v>95</v>
      </c>
      <c r="F65" s="231">
        <f>F63*0.8</f>
        <v>12</v>
      </c>
      <c r="G65" s="38"/>
      <c r="H65" s="38"/>
      <c r="I65" s="40"/>
      <c r="J65" s="40"/>
      <c r="K65" s="40"/>
      <c r="L65" s="40"/>
      <c r="M65" s="90"/>
    </row>
    <row r="66" spans="1:14" x14ac:dyDescent="0.25">
      <c r="A66" s="51">
        <f t="shared" ref="A66" si="7">A65+0.1</f>
        <v>14.299999999999999</v>
      </c>
      <c r="B66" s="32" t="s">
        <v>307</v>
      </c>
      <c r="C66" s="19" t="s">
        <v>308</v>
      </c>
      <c r="D66" s="228" t="s">
        <v>65</v>
      </c>
      <c r="E66" s="231" t="s">
        <v>95</v>
      </c>
      <c r="F66" s="231">
        <f>F63*0.2</f>
        <v>3</v>
      </c>
      <c r="G66" s="39"/>
      <c r="H66" s="39"/>
      <c r="I66" s="194"/>
      <c r="J66" s="194"/>
      <c r="K66" s="194"/>
      <c r="L66" s="194"/>
      <c r="M66" s="350"/>
    </row>
    <row r="67" spans="1:14" x14ac:dyDescent="0.25">
      <c r="A67" s="51">
        <f>A65+0.1</f>
        <v>14.299999999999999</v>
      </c>
      <c r="B67" s="32"/>
      <c r="C67" s="19" t="s">
        <v>103</v>
      </c>
      <c r="D67" s="32" t="s">
        <v>20</v>
      </c>
      <c r="E67" s="175">
        <v>0.01</v>
      </c>
      <c r="F67" s="231">
        <f>E67*F63</f>
        <v>0.15</v>
      </c>
      <c r="G67" s="38"/>
      <c r="H67" s="38"/>
      <c r="I67" s="40"/>
      <c r="J67" s="40"/>
      <c r="K67" s="40"/>
      <c r="L67" s="40"/>
      <c r="M67" s="90"/>
    </row>
    <row r="68" spans="1:14" ht="38.25" x14ac:dyDescent="0.25">
      <c r="A68" s="107">
        <v>15</v>
      </c>
      <c r="B68" s="57" t="s">
        <v>183</v>
      </c>
      <c r="C68" s="28" t="s">
        <v>104</v>
      </c>
      <c r="D68" s="28" t="s">
        <v>62</v>
      </c>
      <c r="E68" s="16"/>
      <c r="F68" s="354">
        <v>3</v>
      </c>
      <c r="G68" s="16"/>
      <c r="H68" s="40"/>
      <c r="I68" s="40"/>
      <c r="J68" s="40"/>
      <c r="K68" s="40"/>
      <c r="L68" s="1"/>
      <c r="M68" s="16"/>
    </row>
    <row r="69" spans="1:14" x14ac:dyDescent="0.25">
      <c r="A69" s="60">
        <f>A68+0.1</f>
        <v>15.1</v>
      </c>
      <c r="B69" s="32"/>
      <c r="C69" s="60" t="s">
        <v>89</v>
      </c>
      <c r="D69" s="60" t="s">
        <v>18</v>
      </c>
      <c r="E69" s="60">
        <v>40.200000000000003</v>
      </c>
      <c r="F69" s="366">
        <f>E69*F68</f>
        <v>120.60000000000001</v>
      </c>
      <c r="G69" s="40"/>
      <c r="H69" s="40"/>
      <c r="I69" s="49"/>
      <c r="J69" s="89"/>
      <c r="K69" s="40"/>
      <c r="L69" s="40"/>
      <c r="M69" s="89"/>
    </row>
    <row r="70" spans="1:14" ht="23.25" customHeight="1" x14ac:dyDescent="0.25">
      <c r="A70" s="51">
        <f>A69+0.1</f>
        <v>15.2</v>
      </c>
      <c r="B70" s="32"/>
      <c r="C70" s="32" t="s">
        <v>105</v>
      </c>
      <c r="D70" s="65" t="s">
        <v>76</v>
      </c>
      <c r="E70" s="65">
        <v>12.9</v>
      </c>
      <c r="F70" s="363">
        <f>F68*E70</f>
        <v>38.700000000000003</v>
      </c>
      <c r="G70" s="65"/>
      <c r="H70" s="65"/>
      <c r="I70" s="65"/>
      <c r="J70" s="65"/>
      <c r="K70" s="65"/>
      <c r="L70" s="65"/>
      <c r="M70" s="65"/>
    </row>
    <row r="71" spans="1:14" ht="83.25" x14ac:dyDescent="0.25">
      <c r="A71" s="51">
        <f>A70+0.1</f>
        <v>15.299999999999999</v>
      </c>
      <c r="B71" s="32" t="s">
        <v>22</v>
      </c>
      <c r="C71" s="32" t="s">
        <v>360</v>
      </c>
      <c r="D71" s="32" t="s">
        <v>106</v>
      </c>
      <c r="E71" s="38">
        <v>1.02</v>
      </c>
      <c r="F71" s="231">
        <f>F68*100*E71</f>
        <v>306</v>
      </c>
      <c r="G71" s="38"/>
      <c r="H71" s="38"/>
      <c r="I71" s="40"/>
      <c r="J71" s="40"/>
      <c r="K71" s="40"/>
      <c r="L71" s="40"/>
      <c r="M71" s="90"/>
    </row>
    <row r="72" spans="1:14" x14ac:dyDescent="0.25">
      <c r="A72" s="51">
        <f>A71+0.1</f>
        <v>15.399999999999999</v>
      </c>
      <c r="B72" s="51" t="s">
        <v>311</v>
      </c>
      <c r="C72" s="51" t="s">
        <v>107</v>
      </c>
      <c r="D72" s="32" t="s">
        <v>65</v>
      </c>
      <c r="E72" s="38">
        <v>0.05</v>
      </c>
      <c r="F72" s="231">
        <f>E72*F68</f>
        <v>0.15000000000000002</v>
      </c>
      <c r="G72" s="38"/>
      <c r="H72" s="38"/>
      <c r="I72" s="40"/>
      <c r="J72" s="40"/>
      <c r="K72" s="40"/>
      <c r="L72" s="40"/>
      <c r="M72" s="90"/>
    </row>
    <row r="73" spans="1:14" s="290" customFormat="1" ht="21" customHeight="1" x14ac:dyDescent="0.25">
      <c r="A73" s="339"/>
      <c r="B73" s="300"/>
      <c r="C73" s="295" t="s">
        <v>299</v>
      </c>
      <c r="D73" s="300"/>
      <c r="E73" s="294"/>
      <c r="F73" s="367"/>
      <c r="G73" s="294"/>
      <c r="H73" s="294"/>
      <c r="I73" s="294"/>
      <c r="J73" s="294"/>
      <c r="K73" s="294"/>
      <c r="L73" s="294"/>
      <c r="M73" s="296"/>
      <c r="N73" s="299"/>
    </row>
    <row r="74" spans="1:14" s="290" customFormat="1" ht="39.75" customHeight="1" x14ac:dyDescent="0.25">
      <c r="A74" s="237" t="s">
        <v>351</v>
      </c>
      <c r="B74" s="237" t="s">
        <v>73</v>
      </c>
      <c r="C74" s="92" t="s">
        <v>265</v>
      </c>
      <c r="D74" s="92" t="s">
        <v>65</v>
      </c>
      <c r="E74" s="301"/>
      <c r="F74" s="368">
        <v>3.34</v>
      </c>
      <c r="G74" s="309"/>
      <c r="H74" s="310"/>
      <c r="I74" s="310"/>
      <c r="J74" s="310"/>
      <c r="K74" s="310"/>
      <c r="L74" s="310"/>
      <c r="M74" s="301"/>
      <c r="N74" s="305"/>
    </row>
    <row r="75" spans="1:14" x14ac:dyDescent="0.25">
      <c r="A75" s="242">
        <f>A74+0.1</f>
        <v>16.100000000000001</v>
      </c>
      <c r="B75" s="60"/>
      <c r="C75" s="61" t="s">
        <v>74</v>
      </c>
      <c r="D75" s="61" t="s">
        <v>18</v>
      </c>
      <c r="E75" s="49">
        <v>0.89</v>
      </c>
      <c r="F75" s="359">
        <f>E75*F74</f>
        <v>2.9725999999999999</v>
      </c>
      <c r="G75" s="71"/>
      <c r="H75" s="71"/>
      <c r="I75" s="72"/>
      <c r="J75" s="72"/>
      <c r="K75" s="176"/>
      <c r="L75" s="248"/>
      <c r="M75" s="249"/>
    </row>
    <row r="76" spans="1:14" x14ac:dyDescent="0.25">
      <c r="A76" s="33">
        <f>A75+0.1</f>
        <v>16.200000000000003</v>
      </c>
      <c r="B76" s="33"/>
      <c r="C76" s="33" t="s">
        <v>75</v>
      </c>
      <c r="D76" s="33" t="s">
        <v>20</v>
      </c>
      <c r="E76" s="34">
        <v>0.37</v>
      </c>
      <c r="F76" s="356">
        <f>E76*F74</f>
        <v>1.2358</v>
      </c>
      <c r="G76" s="74"/>
      <c r="H76" s="73"/>
      <c r="I76" s="73"/>
      <c r="J76" s="74"/>
      <c r="K76" s="64"/>
      <c r="L76" s="34"/>
      <c r="M76" s="73"/>
    </row>
    <row r="77" spans="1:14" x14ac:dyDescent="0.25">
      <c r="A77" s="330">
        <f>A76+0.1</f>
        <v>16.300000000000004</v>
      </c>
      <c r="B77" s="51" t="s">
        <v>312</v>
      </c>
      <c r="C77" s="51" t="s">
        <v>266</v>
      </c>
      <c r="D77" s="51" t="s">
        <v>65</v>
      </c>
      <c r="E77" s="67">
        <v>1.1499999999999999</v>
      </c>
      <c r="F77" s="229">
        <f>E77*F74</f>
        <v>3.8409999999999997</v>
      </c>
      <c r="G77" s="67"/>
      <c r="H77" s="67"/>
      <c r="I77" s="77"/>
      <c r="J77" s="77"/>
      <c r="K77" s="77"/>
      <c r="L77" s="77"/>
      <c r="M77" s="77"/>
    </row>
    <row r="78" spans="1:14" x14ac:dyDescent="0.25">
      <c r="A78" s="63">
        <f>A77+0.1</f>
        <v>16.400000000000006</v>
      </c>
      <c r="B78" s="63"/>
      <c r="C78" s="63" t="s">
        <v>267</v>
      </c>
      <c r="D78" s="63" t="s">
        <v>76</v>
      </c>
      <c r="E78" s="66">
        <v>0.02</v>
      </c>
      <c r="F78" s="369">
        <f>E78*F74</f>
        <v>6.6799999999999998E-2</v>
      </c>
      <c r="G78" s="67"/>
      <c r="H78" s="331"/>
      <c r="I78" s="78"/>
      <c r="J78" s="79"/>
      <c r="K78" s="79"/>
      <c r="L78" s="78"/>
      <c r="M78" s="332"/>
    </row>
    <row r="79" spans="1:14" ht="34.5" customHeight="1" x14ac:dyDescent="0.25">
      <c r="A79" s="57" t="s">
        <v>358</v>
      </c>
      <c r="B79" s="237" t="s">
        <v>291</v>
      </c>
      <c r="C79" s="35" t="s">
        <v>292</v>
      </c>
      <c r="D79" s="35" t="s">
        <v>293</v>
      </c>
      <c r="E79" s="29"/>
      <c r="F79" s="358">
        <v>8.9</v>
      </c>
      <c r="G79" s="62"/>
      <c r="H79" s="336"/>
      <c r="I79" s="336"/>
      <c r="J79" s="336"/>
      <c r="K79" s="335"/>
      <c r="L79" s="336"/>
      <c r="M79" s="29"/>
    </row>
    <row r="80" spans="1:14" ht="15.75" customHeight="1" x14ac:dyDescent="0.25">
      <c r="A80" s="242">
        <f t="shared" ref="A80:A87" si="8">A79+0.1</f>
        <v>17.100000000000001</v>
      </c>
      <c r="B80" s="63"/>
      <c r="C80" s="49" t="s">
        <v>50</v>
      </c>
      <c r="D80" s="49" t="s">
        <v>18</v>
      </c>
      <c r="E80" s="49">
        <v>2.42</v>
      </c>
      <c r="F80" s="359">
        <f>E80*F79</f>
        <v>21.538</v>
      </c>
      <c r="G80" s="333"/>
      <c r="H80" s="334"/>
      <c r="I80" s="49"/>
      <c r="J80" s="204"/>
      <c r="K80" s="333"/>
      <c r="L80" s="334"/>
      <c r="M80" s="53"/>
    </row>
    <row r="81" spans="1:18" ht="15.75" customHeight="1" x14ac:dyDescent="0.25">
      <c r="A81" s="33">
        <f t="shared" si="8"/>
        <v>17.200000000000003</v>
      </c>
      <c r="B81" s="33"/>
      <c r="C81" s="33" t="s">
        <v>19</v>
      </c>
      <c r="D81" s="33" t="s">
        <v>20</v>
      </c>
      <c r="E81" s="34">
        <v>1.08</v>
      </c>
      <c r="F81" s="356">
        <f>E81*F79</f>
        <v>9.6120000000000019</v>
      </c>
      <c r="G81" s="335"/>
      <c r="H81" s="336"/>
      <c r="I81" s="336"/>
      <c r="J81" s="335"/>
      <c r="K81" s="64"/>
      <c r="L81" s="34"/>
      <c r="M81" s="34"/>
    </row>
    <row r="82" spans="1:18" ht="15.75" customHeight="1" x14ac:dyDescent="0.25">
      <c r="A82" s="51">
        <f t="shared" si="8"/>
        <v>17.300000000000004</v>
      </c>
      <c r="B82" s="129" t="s">
        <v>313</v>
      </c>
      <c r="C82" s="51" t="s">
        <v>264</v>
      </c>
      <c r="D82" s="63" t="s">
        <v>65</v>
      </c>
      <c r="E82" s="66">
        <v>1.0149999999999999</v>
      </c>
      <c r="F82" s="229">
        <f>F79*E82</f>
        <v>9.0335000000000001</v>
      </c>
      <c r="G82" s="258"/>
      <c r="H82" s="66"/>
      <c r="I82" s="336"/>
      <c r="J82" s="335"/>
      <c r="K82" s="335"/>
      <c r="L82" s="336"/>
      <c r="M82" s="66"/>
    </row>
    <row r="83" spans="1:18" ht="15.75" customHeight="1" x14ac:dyDescent="0.25">
      <c r="A83" s="51">
        <f t="shared" si="8"/>
        <v>17.400000000000006</v>
      </c>
      <c r="B83" s="63" t="s">
        <v>314</v>
      </c>
      <c r="C83" s="63" t="s">
        <v>187</v>
      </c>
      <c r="D83" s="63" t="s">
        <v>106</v>
      </c>
      <c r="E83" s="66">
        <v>0.14000000000000001</v>
      </c>
      <c r="F83" s="229">
        <f>E83*F79</f>
        <v>1.2460000000000002</v>
      </c>
      <c r="G83" s="67"/>
      <c r="H83" s="66"/>
      <c r="I83" s="336"/>
      <c r="J83" s="335"/>
      <c r="K83" s="335"/>
      <c r="L83" s="336"/>
      <c r="M83" s="66"/>
    </row>
    <row r="84" spans="1:18" ht="15.75" customHeight="1" x14ac:dyDescent="0.25">
      <c r="A84" s="51">
        <f t="shared" si="8"/>
        <v>17.500000000000007</v>
      </c>
      <c r="B84" s="63" t="s">
        <v>287</v>
      </c>
      <c r="C84" s="63" t="s">
        <v>288</v>
      </c>
      <c r="D84" s="63" t="s">
        <v>65</v>
      </c>
      <c r="E84" s="66">
        <v>1.6999999999999999E-3</v>
      </c>
      <c r="F84" s="369">
        <f>E84*F79</f>
        <v>1.5129999999999999E-2</v>
      </c>
      <c r="G84" s="67"/>
      <c r="H84" s="66"/>
      <c r="I84" s="336"/>
      <c r="J84" s="335"/>
      <c r="K84" s="335"/>
      <c r="L84" s="336"/>
      <c r="M84" s="66"/>
    </row>
    <row r="85" spans="1:18" ht="15.75" customHeight="1" x14ac:dyDescent="0.25">
      <c r="A85" s="51">
        <f t="shared" si="8"/>
        <v>17.600000000000009</v>
      </c>
      <c r="B85" s="337" t="s">
        <v>294</v>
      </c>
      <c r="C85" s="63" t="s">
        <v>289</v>
      </c>
      <c r="D85" s="63" t="s">
        <v>81</v>
      </c>
      <c r="E85" s="66" t="s">
        <v>95</v>
      </c>
      <c r="F85" s="229">
        <v>40.270000000000003</v>
      </c>
      <c r="G85" s="338"/>
      <c r="H85" s="66"/>
      <c r="I85" s="336"/>
      <c r="J85" s="335"/>
      <c r="K85" s="335"/>
      <c r="L85" s="336"/>
      <c r="M85" s="66"/>
    </row>
    <row r="86" spans="1:18" ht="15.75" customHeight="1" x14ac:dyDescent="0.25">
      <c r="A86" s="51">
        <f t="shared" si="8"/>
        <v>17.70000000000001</v>
      </c>
      <c r="B86" s="63" t="s">
        <v>295</v>
      </c>
      <c r="C86" s="63" t="s">
        <v>290</v>
      </c>
      <c r="D86" s="63" t="s">
        <v>81</v>
      </c>
      <c r="E86" s="66" t="s">
        <v>95</v>
      </c>
      <c r="F86" s="229">
        <v>395.15</v>
      </c>
      <c r="G86" s="338"/>
      <c r="H86" s="66"/>
      <c r="I86" s="336"/>
      <c r="J86" s="335"/>
      <c r="K86" s="335"/>
      <c r="L86" s="336"/>
      <c r="M86" s="66"/>
    </row>
    <row r="87" spans="1:18" ht="15.75" customHeight="1" x14ac:dyDescent="0.25">
      <c r="A87" s="51">
        <f t="shared" si="8"/>
        <v>17.800000000000011</v>
      </c>
      <c r="B87" s="63"/>
      <c r="C87" s="63" t="s">
        <v>267</v>
      </c>
      <c r="D87" s="63" t="s">
        <v>20</v>
      </c>
      <c r="E87" s="66">
        <v>0.22</v>
      </c>
      <c r="F87" s="229">
        <f>E87*F79</f>
        <v>1.9580000000000002</v>
      </c>
      <c r="G87" s="67"/>
      <c r="H87" s="66"/>
      <c r="I87" s="336"/>
      <c r="J87" s="335"/>
      <c r="K87" s="335"/>
      <c r="L87" s="336"/>
      <c r="M87" s="66"/>
    </row>
    <row r="88" spans="1:18" ht="50.25" customHeight="1" x14ac:dyDescent="0.25">
      <c r="A88" s="307">
        <v>18</v>
      </c>
      <c r="B88" s="237" t="s">
        <v>268</v>
      </c>
      <c r="C88" s="302" t="s">
        <v>282</v>
      </c>
      <c r="D88" s="302" t="s">
        <v>106</v>
      </c>
      <c r="E88" s="297"/>
      <c r="F88" s="370">
        <v>16</v>
      </c>
      <c r="G88" s="297"/>
      <c r="H88" s="304"/>
      <c r="I88" s="293"/>
      <c r="J88" s="304"/>
      <c r="K88" s="293"/>
      <c r="L88" s="304"/>
      <c r="M88" s="301"/>
    </row>
    <row r="89" spans="1:18" s="327" customFormat="1" ht="15.75" customHeight="1" x14ac:dyDescent="0.25">
      <c r="A89" s="60">
        <f>A88+0.1</f>
        <v>18.100000000000001</v>
      </c>
      <c r="B89" s="20"/>
      <c r="C89" s="60" t="s">
        <v>89</v>
      </c>
      <c r="D89" s="60" t="s">
        <v>18</v>
      </c>
      <c r="E89" s="319">
        <v>0.77900000000000003</v>
      </c>
      <c r="F89" s="371">
        <f>E89*F88</f>
        <v>12.464</v>
      </c>
      <c r="G89" s="318"/>
      <c r="H89" s="320"/>
      <c r="I89" s="326"/>
      <c r="J89" s="321"/>
      <c r="K89" s="318"/>
      <c r="L89" s="320"/>
      <c r="M89" s="319"/>
    </row>
    <row r="90" spans="1:18" s="328" customFormat="1" ht="15.75" customHeight="1" x14ac:dyDescent="0.25">
      <c r="A90" s="26">
        <f t="shared" ref="A90:A92" si="9">A89+0.1</f>
        <v>18.200000000000003</v>
      </c>
      <c r="B90" s="26"/>
      <c r="C90" s="26" t="s">
        <v>105</v>
      </c>
      <c r="D90" s="34" t="s">
        <v>76</v>
      </c>
      <c r="E90" s="323">
        <v>0.104</v>
      </c>
      <c r="F90" s="372">
        <f>F88*E90</f>
        <v>1.6639999999999999</v>
      </c>
      <c r="G90" s="323"/>
      <c r="H90" s="324"/>
      <c r="I90" s="323"/>
      <c r="J90" s="324"/>
      <c r="K90" s="323"/>
      <c r="L90" s="324"/>
      <c r="M90" s="323"/>
    </row>
    <row r="91" spans="1:18" ht="19.5" customHeight="1" x14ac:dyDescent="0.25">
      <c r="A91" s="19">
        <f t="shared" si="9"/>
        <v>18.300000000000004</v>
      </c>
      <c r="B91" s="171" t="s">
        <v>315</v>
      </c>
      <c r="C91" s="19" t="s">
        <v>239</v>
      </c>
      <c r="D91" s="51" t="s">
        <v>81</v>
      </c>
      <c r="E91" s="19">
        <v>6</v>
      </c>
      <c r="F91" s="231">
        <f>E91*F88</f>
        <v>96</v>
      </c>
      <c r="G91" s="39"/>
      <c r="H91" s="39"/>
      <c r="I91" s="19"/>
      <c r="J91" s="39"/>
      <c r="K91" s="19"/>
      <c r="L91" s="39"/>
      <c r="M91" s="39"/>
      <c r="N91" s="164"/>
      <c r="O91" s="164"/>
      <c r="P91" s="164"/>
      <c r="Q91" s="1"/>
      <c r="R91" s="1"/>
    </row>
    <row r="92" spans="1:18" ht="15.75" customHeight="1" x14ac:dyDescent="0.25">
      <c r="A92" s="19">
        <f t="shared" si="9"/>
        <v>18.400000000000006</v>
      </c>
      <c r="B92" s="300" t="s">
        <v>316</v>
      </c>
      <c r="C92" s="291" t="s">
        <v>269</v>
      </c>
      <c r="D92" s="291" t="s">
        <v>106</v>
      </c>
      <c r="E92" s="292">
        <v>1.01</v>
      </c>
      <c r="F92" s="367">
        <f>F88*E92</f>
        <v>16.16</v>
      </c>
      <c r="G92" s="292"/>
      <c r="H92" s="303"/>
      <c r="I92" s="293"/>
      <c r="J92" s="304"/>
      <c r="K92" s="293"/>
      <c r="L92" s="304"/>
      <c r="M92" s="293"/>
    </row>
    <row r="93" spans="1:18" ht="15.75" customHeight="1" x14ac:dyDescent="0.25">
      <c r="A93" s="243">
        <f>A92+0.1</f>
        <v>18.500000000000007</v>
      </c>
      <c r="B93" s="243"/>
      <c r="C93" s="243" t="s">
        <v>267</v>
      </c>
      <c r="D93" s="243" t="s">
        <v>20</v>
      </c>
      <c r="E93" s="298">
        <v>4.6600000000000003E-2</v>
      </c>
      <c r="F93" s="373">
        <f>E93*F88</f>
        <v>0.74560000000000004</v>
      </c>
      <c r="G93" s="298"/>
      <c r="H93" s="306"/>
      <c r="I93" s="313"/>
      <c r="J93" s="314"/>
      <c r="K93" s="313"/>
      <c r="L93" s="314"/>
      <c r="M93" s="298"/>
    </row>
    <row r="94" spans="1:18" ht="30.75" customHeight="1" x14ac:dyDescent="0.25">
      <c r="A94" s="250">
        <v>19</v>
      </c>
      <c r="B94" s="28" t="s">
        <v>209</v>
      </c>
      <c r="C94" s="117" t="s">
        <v>286</v>
      </c>
      <c r="D94" s="117" t="s">
        <v>86</v>
      </c>
      <c r="E94" s="118"/>
      <c r="F94" s="374">
        <f>O98/1000</f>
        <v>0.27415440000000002</v>
      </c>
      <c r="G94" s="118"/>
      <c r="H94" s="79"/>
      <c r="I94" s="79"/>
      <c r="J94" s="79"/>
      <c r="K94" s="78"/>
      <c r="L94" s="78"/>
      <c r="M94" s="251"/>
    </row>
    <row r="95" spans="1:18" x14ac:dyDescent="0.25">
      <c r="A95" s="119">
        <f>A94+0.1</f>
        <v>19.100000000000001</v>
      </c>
      <c r="B95" s="252"/>
      <c r="C95" s="119" t="s">
        <v>77</v>
      </c>
      <c r="D95" s="119" t="s">
        <v>18</v>
      </c>
      <c r="E95" s="120">
        <v>30.1</v>
      </c>
      <c r="F95" s="375">
        <f>E95*F94</f>
        <v>8.2520474400000001</v>
      </c>
      <c r="G95" s="121"/>
      <c r="H95" s="121"/>
      <c r="I95" s="24"/>
      <c r="J95" s="24"/>
      <c r="K95" s="253"/>
      <c r="L95" s="253"/>
      <c r="M95" s="49"/>
    </row>
    <row r="96" spans="1:18" x14ac:dyDescent="0.25">
      <c r="A96" s="122">
        <f t="shared" ref="A96:A99" si="10">A95+0.1</f>
        <v>19.200000000000003</v>
      </c>
      <c r="B96" s="254"/>
      <c r="C96" s="122" t="s">
        <v>67</v>
      </c>
      <c r="D96" s="123" t="s">
        <v>20</v>
      </c>
      <c r="E96" s="124">
        <v>6.46</v>
      </c>
      <c r="F96" s="234">
        <f>E96*F94</f>
        <v>1.7710374240000002</v>
      </c>
      <c r="G96" s="125"/>
      <c r="H96" s="125"/>
      <c r="I96" s="125"/>
      <c r="J96" s="125"/>
      <c r="K96" s="255"/>
      <c r="L96" s="255"/>
      <c r="M96" s="73"/>
    </row>
    <row r="97" spans="1:18 16384:16384" x14ac:dyDescent="0.25">
      <c r="A97" s="126">
        <f t="shared" si="10"/>
        <v>19.300000000000004</v>
      </c>
      <c r="B97" s="126" t="s">
        <v>298</v>
      </c>
      <c r="C97" s="127" t="s">
        <v>181</v>
      </c>
      <c r="D97" s="127" t="s">
        <v>110</v>
      </c>
      <c r="E97" s="128" t="s">
        <v>91</v>
      </c>
      <c r="F97" s="376">
        <v>72.72</v>
      </c>
      <c r="G97" s="128"/>
      <c r="H97" s="128"/>
      <c r="I97" s="79"/>
      <c r="J97" s="79"/>
      <c r="K97" s="78"/>
      <c r="L97" s="78"/>
      <c r="M97" s="76"/>
      <c r="N97" s="1">
        <v>3.77</v>
      </c>
      <c r="O97" s="1">
        <f>N97*F97</f>
        <v>274.15440000000001</v>
      </c>
      <c r="P97" s="1">
        <f>F97*0.16</f>
        <v>11.635199999999999</v>
      </c>
    </row>
    <row r="98" spans="1:18 16384:16384" x14ac:dyDescent="0.25">
      <c r="A98" s="126">
        <f t="shared" si="10"/>
        <v>19.400000000000006</v>
      </c>
      <c r="B98" s="63" t="s">
        <v>111</v>
      </c>
      <c r="C98" s="127" t="s">
        <v>112</v>
      </c>
      <c r="D98" s="127" t="s">
        <v>81</v>
      </c>
      <c r="E98" s="128">
        <v>2.0299999999999998</v>
      </c>
      <c r="F98" s="376">
        <f>E98*F94</f>
        <v>0.55653343199999994</v>
      </c>
      <c r="G98" s="128"/>
      <c r="H98" s="128"/>
      <c r="I98" s="79"/>
      <c r="J98" s="79"/>
      <c r="K98" s="78"/>
      <c r="L98" s="78"/>
      <c r="M98" s="76"/>
      <c r="N98" s="1"/>
      <c r="O98" s="1">
        <f>O97</f>
        <v>274.15440000000001</v>
      </c>
      <c r="P98" s="1" t="e">
        <f>SUM(#REF!)</f>
        <v>#REF!</v>
      </c>
      <c r="XFD98">
        <f>SUM(XFD94:XFD97)</f>
        <v>0</v>
      </c>
    </row>
    <row r="99" spans="1:18 16384:16384" x14ac:dyDescent="0.25">
      <c r="A99" s="126">
        <f t="shared" si="10"/>
        <v>19.500000000000007</v>
      </c>
      <c r="B99" s="126"/>
      <c r="C99" s="127" t="s">
        <v>79</v>
      </c>
      <c r="D99" s="51" t="s">
        <v>76</v>
      </c>
      <c r="E99" s="128">
        <v>2.78</v>
      </c>
      <c r="F99" s="376">
        <f>E99*F94</f>
        <v>0.76214923199999995</v>
      </c>
      <c r="G99" s="128"/>
      <c r="H99" s="128"/>
      <c r="I99" s="79"/>
      <c r="J99" s="79"/>
      <c r="K99" s="78"/>
      <c r="L99" s="78"/>
      <c r="M99" s="76"/>
    </row>
    <row r="100" spans="1:18 16384:16384" s="174" customFormat="1" ht="31.5" customHeight="1" x14ac:dyDescent="0.25">
      <c r="A100" s="315">
        <v>20</v>
      </c>
      <c r="B100" s="316" t="s">
        <v>113</v>
      </c>
      <c r="C100" s="302" t="s">
        <v>281</v>
      </c>
      <c r="D100" s="302" t="s">
        <v>106</v>
      </c>
      <c r="E100" s="297"/>
      <c r="F100" s="370">
        <f>F97*0.16</f>
        <v>11.635199999999999</v>
      </c>
      <c r="G100" s="297"/>
      <c r="H100" s="308"/>
      <c r="I100" s="297"/>
      <c r="J100" s="308"/>
      <c r="K100" s="297"/>
      <c r="L100" s="308"/>
      <c r="M100" s="297"/>
      <c r="N100" s="299"/>
      <c r="O100" s="173"/>
      <c r="P100" s="173"/>
      <c r="Q100" s="173"/>
      <c r="R100" s="317"/>
    </row>
    <row r="101" spans="1:18 16384:16384" x14ac:dyDescent="0.25">
      <c r="A101" s="60">
        <f>A100+0.1</f>
        <v>20.100000000000001</v>
      </c>
      <c r="B101" s="129"/>
      <c r="C101" s="60" t="s">
        <v>114</v>
      </c>
      <c r="D101" s="60" t="s">
        <v>18</v>
      </c>
      <c r="E101" s="60">
        <v>0.68</v>
      </c>
      <c r="F101" s="359">
        <f>F100*E101</f>
        <v>7.9119359999999999</v>
      </c>
      <c r="G101" s="40"/>
      <c r="H101" s="40"/>
      <c r="I101" s="113"/>
      <c r="J101" s="89"/>
      <c r="K101" s="40"/>
      <c r="L101" s="40"/>
      <c r="M101" s="89"/>
    </row>
    <row r="102" spans="1:18 16384:16384" x14ac:dyDescent="0.25">
      <c r="A102" s="87">
        <f>A101+0.1</f>
        <v>20.200000000000003</v>
      </c>
      <c r="B102" s="129"/>
      <c r="C102" s="87" t="s">
        <v>115</v>
      </c>
      <c r="D102" s="114" t="s">
        <v>20</v>
      </c>
      <c r="E102" s="103">
        <v>2.9999999999999997E-4</v>
      </c>
      <c r="F102" s="363">
        <f>F100*E102</f>
        <v>3.4905599999999993E-3</v>
      </c>
      <c r="G102" s="40"/>
      <c r="H102" s="40"/>
      <c r="I102" s="84"/>
      <c r="J102" s="84"/>
      <c r="K102" s="65"/>
      <c r="L102" s="65"/>
      <c r="M102" s="65"/>
    </row>
    <row r="103" spans="1:18 16384:16384" s="164" customFormat="1" x14ac:dyDescent="0.25">
      <c r="A103" s="51">
        <f>A102+0.1</f>
        <v>20.300000000000004</v>
      </c>
      <c r="B103" s="171" t="s">
        <v>177</v>
      </c>
      <c r="C103" s="19" t="s">
        <v>116</v>
      </c>
      <c r="D103" s="19" t="s">
        <v>81</v>
      </c>
      <c r="E103" s="19">
        <v>0.251</v>
      </c>
      <c r="F103" s="231">
        <f>F100*E103</f>
        <v>2.9204352</v>
      </c>
      <c r="G103" s="208"/>
      <c r="H103" s="39"/>
      <c r="I103" s="19"/>
      <c r="J103" s="39"/>
      <c r="K103" s="19"/>
      <c r="L103" s="39"/>
      <c r="M103" s="39"/>
    </row>
    <row r="104" spans="1:18 16384:16384" x14ac:dyDescent="0.25">
      <c r="A104" s="51">
        <f>A103+0.1</f>
        <v>20.400000000000006</v>
      </c>
      <c r="B104" s="129" t="s">
        <v>117</v>
      </c>
      <c r="C104" s="32" t="s">
        <v>118</v>
      </c>
      <c r="D104" s="32" t="s">
        <v>81</v>
      </c>
      <c r="E104" s="19">
        <v>2.7E-2</v>
      </c>
      <c r="F104" s="231">
        <f>F100*E104</f>
        <v>0.3141504</v>
      </c>
      <c r="G104" s="32"/>
      <c r="H104" s="38"/>
      <c r="I104" s="32"/>
      <c r="J104" s="38"/>
      <c r="K104" s="32"/>
      <c r="L104" s="38"/>
      <c r="M104" s="38"/>
    </row>
    <row r="105" spans="1:18 16384:16384" x14ac:dyDescent="0.25">
      <c r="A105" s="51">
        <f>A104+0.1</f>
        <v>20.500000000000007</v>
      </c>
      <c r="B105" s="129"/>
      <c r="C105" s="32" t="s">
        <v>68</v>
      </c>
      <c r="D105" s="32" t="s">
        <v>20</v>
      </c>
      <c r="E105" s="19">
        <f>0.19/100</f>
        <v>1.9E-3</v>
      </c>
      <c r="F105" s="231">
        <f>E105*F100</f>
        <v>2.2106879999999999E-2</v>
      </c>
      <c r="G105" s="32"/>
      <c r="H105" s="38"/>
      <c r="I105" s="32"/>
      <c r="J105" s="38"/>
      <c r="K105" s="32"/>
      <c r="L105" s="38"/>
      <c r="M105" s="38"/>
    </row>
    <row r="106" spans="1:18 16384:16384" s="174" customFormat="1" ht="53.25" customHeight="1" x14ac:dyDescent="0.25">
      <c r="A106" s="315">
        <v>21</v>
      </c>
      <c r="B106" s="237" t="s">
        <v>270</v>
      </c>
      <c r="C106" s="92" t="s">
        <v>271</v>
      </c>
      <c r="D106" s="92" t="s">
        <v>106</v>
      </c>
      <c r="E106" s="301"/>
      <c r="F106" s="368">
        <v>62</v>
      </c>
      <c r="G106" s="301"/>
      <c r="H106" s="312"/>
      <c r="I106" s="311"/>
      <c r="J106" s="312"/>
      <c r="K106" s="311"/>
      <c r="L106" s="312"/>
      <c r="M106" s="301"/>
      <c r="N106" s="305"/>
    </row>
    <row r="107" spans="1:18 16384:16384" ht="15.75" customHeight="1" x14ac:dyDescent="0.25">
      <c r="A107" s="60">
        <f>A106+0.1</f>
        <v>21.1</v>
      </c>
      <c r="B107" s="322"/>
      <c r="C107" s="60" t="s">
        <v>74</v>
      </c>
      <c r="D107" s="60" t="s">
        <v>18</v>
      </c>
      <c r="E107" s="49">
        <v>0.93</v>
      </c>
      <c r="F107" s="359">
        <f>E107*F106</f>
        <v>57.660000000000004</v>
      </c>
      <c r="G107" s="121"/>
      <c r="H107" s="253"/>
      <c r="I107" s="49"/>
      <c r="J107" s="49"/>
      <c r="K107" s="121"/>
      <c r="L107" s="253"/>
      <c r="M107" s="49"/>
    </row>
    <row r="108" spans="1:18 16384:16384" ht="15.75" customHeight="1" x14ac:dyDescent="0.25">
      <c r="A108" s="33">
        <f>A107+0.1</f>
        <v>21.200000000000003</v>
      </c>
      <c r="B108" s="325" t="s">
        <v>296</v>
      </c>
      <c r="C108" s="33" t="s">
        <v>272</v>
      </c>
      <c r="D108" s="33" t="s">
        <v>56</v>
      </c>
      <c r="E108" s="34">
        <v>2.4E-2</v>
      </c>
      <c r="F108" s="356">
        <f>E108*F106</f>
        <v>1.488</v>
      </c>
      <c r="G108" s="125"/>
      <c r="H108" s="329"/>
      <c r="I108" s="329"/>
      <c r="J108" s="329"/>
      <c r="K108" s="64"/>
      <c r="L108" s="34"/>
      <c r="M108" s="73"/>
    </row>
    <row r="109" spans="1:18 16384:16384" ht="15.75" customHeight="1" x14ac:dyDescent="0.25">
      <c r="A109" s="51">
        <f>A108+0.1</f>
        <v>21.300000000000004</v>
      </c>
      <c r="B109" s="325"/>
      <c r="C109" s="33" t="s">
        <v>273</v>
      </c>
      <c r="D109" s="33" t="s">
        <v>20</v>
      </c>
      <c r="E109" s="34">
        <v>2.5999999999999999E-2</v>
      </c>
      <c r="F109" s="356">
        <f>E109*F106</f>
        <v>1.6119999999999999</v>
      </c>
      <c r="G109" s="125"/>
      <c r="H109" s="329"/>
      <c r="I109" s="329"/>
      <c r="J109" s="329"/>
      <c r="K109" s="64"/>
      <c r="L109" s="34"/>
      <c r="M109" s="73"/>
    </row>
    <row r="110" spans="1:18 16384:16384" ht="15.75" customHeight="1" x14ac:dyDescent="0.25">
      <c r="A110" s="51">
        <f>A109+0.1</f>
        <v>21.400000000000006</v>
      </c>
      <c r="B110" s="267" t="s">
        <v>297</v>
      </c>
      <c r="C110" s="51" t="s">
        <v>274</v>
      </c>
      <c r="D110" s="63" t="s">
        <v>65</v>
      </c>
      <c r="E110" s="244">
        <v>2.6800000000000001E-2</v>
      </c>
      <c r="F110" s="229">
        <f>E110*F106</f>
        <v>1.6616</v>
      </c>
      <c r="G110" s="67"/>
      <c r="H110" s="66"/>
      <c r="I110" s="78"/>
      <c r="J110" s="78"/>
      <c r="K110" s="79"/>
      <c r="L110" s="78"/>
      <c r="M110" s="76"/>
    </row>
    <row r="111" spans="1:18 16384:16384" s="174" customFormat="1" ht="51" x14ac:dyDescent="0.25">
      <c r="A111" s="315">
        <v>22</v>
      </c>
      <c r="B111" s="237" t="s">
        <v>275</v>
      </c>
      <c r="C111" s="92" t="s">
        <v>276</v>
      </c>
      <c r="D111" s="92" t="s">
        <v>106</v>
      </c>
      <c r="E111" s="301"/>
      <c r="F111" s="368">
        <f>F106</f>
        <v>62</v>
      </c>
      <c r="G111" s="301"/>
      <c r="H111" s="312"/>
      <c r="I111" s="311"/>
      <c r="J111" s="312"/>
      <c r="K111" s="311"/>
      <c r="L111" s="312"/>
      <c r="M111" s="301"/>
      <c r="N111" s="305"/>
    </row>
    <row r="112" spans="1:18 16384:16384" ht="15.75" customHeight="1" x14ac:dyDescent="0.25">
      <c r="A112" s="60">
        <f>A111+0.1</f>
        <v>22.1</v>
      </c>
      <c r="B112" s="322"/>
      <c r="C112" s="60" t="s">
        <v>277</v>
      </c>
      <c r="D112" s="60" t="s">
        <v>18</v>
      </c>
      <c r="E112" s="49">
        <v>0.65800000000000003</v>
      </c>
      <c r="F112" s="359">
        <f>E112*F111</f>
        <v>40.795999999999999</v>
      </c>
      <c r="G112" s="121"/>
      <c r="H112" s="253"/>
      <c r="I112" s="49"/>
      <c r="J112" s="49"/>
      <c r="K112" s="121"/>
      <c r="L112" s="253"/>
      <c r="M112" s="49"/>
    </row>
    <row r="113" spans="1:14" ht="15.75" customHeight="1" x14ac:dyDescent="0.25">
      <c r="A113" s="33">
        <f>A112+0.1</f>
        <v>22.200000000000003</v>
      </c>
      <c r="B113" s="325"/>
      <c r="C113" s="33" t="s">
        <v>278</v>
      </c>
      <c r="D113" s="33" t="s">
        <v>20</v>
      </c>
      <c r="E113" s="34">
        <v>0.01</v>
      </c>
      <c r="F113" s="356">
        <f>E113*F111</f>
        <v>0.62</v>
      </c>
      <c r="G113" s="125"/>
      <c r="H113" s="329"/>
      <c r="I113" s="329"/>
      <c r="J113" s="329"/>
      <c r="K113" s="64"/>
      <c r="L113" s="34"/>
      <c r="M113" s="73"/>
    </row>
    <row r="114" spans="1:14" ht="15.75" customHeight="1" x14ac:dyDescent="0.25">
      <c r="A114" s="51">
        <f>A113+0.1</f>
        <v>22.300000000000004</v>
      </c>
      <c r="B114" s="267" t="s">
        <v>283</v>
      </c>
      <c r="C114" s="63" t="s">
        <v>279</v>
      </c>
      <c r="D114" s="63" t="s">
        <v>81</v>
      </c>
      <c r="E114" s="244">
        <v>0.63</v>
      </c>
      <c r="F114" s="229">
        <f>E114*F111</f>
        <v>39.06</v>
      </c>
      <c r="G114" s="67"/>
      <c r="H114" s="66"/>
      <c r="I114" s="78"/>
      <c r="J114" s="78"/>
      <c r="K114" s="79"/>
      <c r="L114" s="78"/>
      <c r="M114" s="76"/>
    </row>
    <row r="115" spans="1:14" ht="15.75" customHeight="1" x14ac:dyDescent="0.25">
      <c r="A115" s="51">
        <f>A114+0.1</f>
        <v>22.400000000000006</v>
      </c>
      <c r="B115" s="267" t="s">
        <v>284</v>
      </c>
      <c r="C115" s="63" t="s">
        <v>280</v>
      </c>
      <c r="D115" s="63" t="s">
        <v>81</v>
      </c>
      <c r="E115" s="244">
        <v>0.79</v>
      </c>
      <c r="F115" s="229">
        <f>E115*F111</f>
        <v>48.980000000000004</v>
      </c>
      <c r="G115" s="67"/>
      <c r="H115" s="66"/>
      <c r="I115" s="78"/>
      <c r="J115" s="78"/>
      <c r="K115" s="79"/>
      <c r="L115" s="78"/>
      <c r="M115" s="76"/>
    </row>
    <row r="116" spans="1:14" ht="15.75" customHeight="1" x14ac:dyDescent="0.25">
      <c r="A116" s="51">
        <f>A115+0.1</f>
        <v>22.500000000000007</v>
      </c>
      <c r="B116" s="267"/>
      <c r="C116" s="63" t="s">
        <v>285</v>
      </c>
      <c r="D116" s="63" t="s">
        <v>76</v>
      </c>
      <c r="E116" s="244">
        <v>1.6E-2</v>
      </c>
      <c r="F116" s="229">
        <f>E116*F111</f>
        <v>0.99199999999999999</v>
      </c>
      <c r="G116" s="67"/>
      <c r="H116" s="66"/>
      <c r="I116" s="78"/>
      <c r="J116" s="78"/>
      <c r="K116" s="79"/>
      <c r="L116" s="78"/>
      <c r="M116" s="76"/>
    </row>
    <row r="117" spans="1:14" ht="33.75" customHeight="1" x14ac:dyDescent="0.25">
      <c r="A117" s="315">
        <v>23</v>
      </c>
      <c r="B117" s="237" t="s">
        <v>22</v>
      </c>
      <c r="C117" s="92" t="s">
        <v>359</v>
      </c>
      <c r="D117" s="92" t="s">
        <v>106</v>
      </c>
      <c r="E117" s="301"/>
      <c r="F117" s="368">
        <v>60</v>
      </c>
      <c r="G117" s="301"/>
      <c r="H117" s="312"/>
      <c r="I117" s="311"/>
      <c r="J117" s="312"/>
      <c r="K117" s="311"/>
      <c r="L117" s="312"/>
      <c r="M117" s="301"/>
    </row>
    <row r="118" spans="1:14" x14ac:dyDescent="0.25">
      <c r="A118" s="108"/>
      <c r="B118" s="32"/>
      <c r="C118" s="28" t="s">
        <v>42</v>
      </c>
      <c r="D118" s="28" t="s">
        <v>20</v>
      </c>
      <c r="E118" s="16"/>
      <c r="F118" s="354"/>
      <c r="G118" s="15"/>
      <c r="H118" s="109"/>
      <c r="I118" s="41"/>
      <c r="J118" s="109"/>
      <c r="K118" s="31"/>
      <c r="L118" s="109"/>
      <c r="M118" s="109"/>
      <c r="N118" s="165">
        <f>SUM(H118:L118)</f>
        <v>0</v>
      </c>
    </row>
    <row r="119" spans="1:14" x14ac:dyDescent="0.25">
      <c r="A119" s="32"/>
      <c r="B119" s="32"/>
      <c r="C119" s="32" t="s">
        <v>41</v>
      </c>
      <c r="D119" s="32" t="s">
        <v>20</v>
      </c>
      <c r="E119" s="38"/>
      <c r="F119" s="231"/>
      <c r="G119" s="39"/>
      <c r="H119" s="40"/>
      <c r="I119" s="40"/>
      <c r="J119" s="40"/>
      <c r="K119" s="40"/>
      <c r="L119" s="40"/>
      <c r="M119" s="38"/>
    </row>
    <row r="120" spans="1:14" x14ac:dyDescent="0.25">
      <c r="A120" s="28"/>
      <c r="B120" s="32"/>
      <c r="C120" s="28" t="s">
        <v>42</v>
      </c>
      <c r="D120" s="28" t="s">
        <v>20</v>
      </c>
      <c r="E120" s="16"/>
      <c r="F120" s="354"/>
      <c r="G120" s="15"/>
      <c r="H120" s="41"/>
      <c r="I120" s="41"/>
      <c r="J120" s="41"/>
      <c r="K120" s="41"/>
      <c r="L120" s="41"/>
      <c r="M120" s="16"/>
    </row>
    <row r="121" spans="1:14" x14ac:dyDescent="0.25">
      <c r="A121" s="32"/>
      <c r="B121" s="32"/>
      <c r="C121" s="32" t="s">
        <v>43</v>
      </c>
      <c r="D121" s="32" t="s">
        <v>20</v>
      </c>
      <c r="E121" s="38"/>
      <c r="F121" s="231"/>
      <c r="G121" s="39"/>
      <c r="H121" s="40"/>
      <c r="I121" s="40"/>
      <c r="J121" s="40"/>
      <c r="K121" s="40"/>
      <c r="L121" s="40"/>
      <c r="M121" s="38"/>
    </row>
    <row r="122" spans="1:14" x14ac:dyDescent="0.25">
      <c r="A122" s="42"/>
      <c r="B122" s="42"/>
      <c r="C122" s="42" t="s">
        <v>40</v>
      </c>
      <c r="D122" s="42" t="s">
        <v>20</v>
      </c>
      <c r="E122" s="43"/>
      <c r="F122" s="354"/>
      <c r="G122" s="43"/>
      <c r="H122" s="44"/>
      <c r="I122" s="44"/>
      <c r="J122" s="44"/>
      <c r="K122" s="44"/>
      <c r="L122" s="44"/>
      <c r="M122" s="43"/>
    </row>
    <row r="125" spans="1:14" ht="15.75" x14ac:dyDescent="0.3">
      <c r="C125" s="235"/>
      <c r="D125" s="157"/>
    </row>
    <row r="126" spans="1:14" ht="15.75" x14ac:dyDescent="0.3">
      <c r="C126" s="157"/>
      <c r="D126" s="157"/>
    </row>
    <row r="127" spans="1:14" ht="15.75" x14ac:dyDescent="0.3">
      <c r="C127" s="157"/>
      <c r="D127" s="157"/>
    </row>
  </sheetData>
  <mergeCells count="12">
    <mergeCell ref="A2:C2"/>
    <mergeCell ref="A6:M6"/>
    <mergeCell ref="A1:M1"/>
    <mergeCell ref="A3:A4"/>
    <mergeCell ref="B3:B4"/>
    <mergeCell ref="C3:C4"/>
    <mergeCell ref="D3:D4"/>
    <mergeCell ref="E3:F3"/>
    <mergeCell ref="G3:H3"/>
    <mergeCell ref="I3:J3"/>
    <mergeCell ref="K3:L3"/>
    <mergeCell ref="M3:M4"/>
  </mergeCells>
  <printOptions horizontalCentered="1"/>
  <pageMargins left="0" right="0" top="0.74803149606299213" bottom="0.74803149606299213" header="0.31496062992125984" footer="0.31496062992125984"/>
  <pageSetup paperSize="9" scale="76" orientation="landscape" horizontalDpi="4294967292" verticalDpi="0" r:id="rId1"/>
  <headerFooter>
    <oddFooter>Страница  &amp;P из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4"/>
  <sheetViews>
    <sheetView view="pageBreakPreview" topLeftCell="A94" zoomScaleNormal="100" zoomScaleSheetLayoutView="100" workbookViewId="0">
      <selection activeCell="C112" sqref="C112"/>
    </sheetView>
  </sheetViews>
  <sheetFormatPr defaultRowHeight="15" x14ac:dyDescent="0.25"/>
  <cols>
    <col min="2" max="2" width="14.5703125" customWidth="1"/>
    <col min="3" max="3" width="44" customWidth="1"/>
    <col min="4" max="4" width="10.85546875" customWidth="1"/>
    <col min="5" max="6" width="10.28515625" customWidth="1"/>
    <col min="8" max="8" width="12.140625" customWidth="1"/>
    <col min="10" max="10" width="12.7109375" customWidth="1"/>
    <col min="13" max="13" width="12.7109375" customWidth="1"/>
    <col min="14" max="16" width="9.140625" customWidth="1"/>
  </cols>
  <sheetData>
    <row r="1" spans="1:13" x14ac:dyDescent="0.25">
      <c r="A1" s="403"/>
      <c r="B1" s="403"/>
      <c r="C1" s="403"/>
      <c r="D1" s="403"/>
      <c r="E1" s="403"/>
      <c r="F1" s="403"/>
      <c r="G1" s="403"/>
      <c r="H1" s="403"/>
      <c r="I1" s="404"/>
      <c r="J1" s="404"/>
      <c r="K1" s="404"/>
      <c r="L1" s="404"/>
      <c r="M1" s="404"/>
    </row>
    <row r="2" spans="1:13" x14ac:dyDescent="0.25">
      <c r="A2" s="412"/>
      <c r="B2" s="413"/>
      <c r="C2" s="413"/>
      <c r="D2" s="1"/>
      <c r="E2" s="1"/>
      <c r="F2" s="2"/>
      <c r="G2" s="2"/>
      <c r="H2" s="1"/>
      <c r="I2" s="1"/>
      <c r="J2" s="2"/>
      <c r="K2" s="1"/>
      <c r="L2" s="1"/>
      <c r="M2" s="1"/>
    </row>
    <row r="3" spans="1:13" ht="27" customHeight="1" x14ac:dyDescent="0.25">
      <c r="A3" s="405" t="s">
        <v>0</v>
      </c>
      <c r="B3" s="406" t="s">
        <v>1</v>
      </c>
      <c r="C3" s="408" t="s">
        <v>2</v>
      </c>
      <c r="D3" s="408" t="s">
        <v>3</v>
      </c>
      <c r="E3" s="410" t="s">
        <v>4</v>
      </c>
      <c r="F3" s="411"/>
      <c r="G3" s="408" t="s">
        <v>5</v>
      </c>
      <c r="H3" s="408"/>
      <c r="I3" s="408" t="s">
        <v>6</v>
      </c>
      <c r="J3" s="408"/>
      <c r="K3" s="408" t="s">
        <v>7</v>
      </c>
      <c r="L3" s="408"/>
      <c r="M3" s="408" t="s">
        <v>8</v>
      </c>
    </row>
    <row r="4" spans="1:13" ht="38.25" x14ac:dyDescent="0.25">
      <c r="A4" s="405" t="s">
        <v>0</v>
      </c>
      <c r="B4" s="407"/>
      <c r="C4" s="408" t="s">
        <v>9</v>
      </c>
      <c r="D4" s="409" t="s">
        <v>10</v>
      </c>
      <c r="E4" s="3" t="s">
        <v>11</v>
      </c>
      <c r="F4" s="4" t="s">
        <v>12</v>
      </c>
      <c r="G4" s="5" t="s">
        <v>13</v>
      </c>
      <c r="H4" s="6" t="s">
        <v>14</v>
      </c>
      <c r="I4" s="6" t="s">
        <v>13</v>
      </c>
      <c r="J4" s="7" t="s">
        <v>14</v>
      </c>
      <c r="K4" s="6" t="s">
        <v>13</v>
      </c>
      <c r="L4" s="6" t="s">
        <v>14</v>
      </c>
      <c r="M4" s="408" t="s">
        <v>14</v>
      </c>
    </row>
    <row r="5" spans="1:13" ht="21" customHeight="1" x14ac:dyDescent="0.25">
      <c r="A5" s="8">
        <v>1</v>
      </c>
      <c r="B5" s="9">
        <v>2</v>
      </c>
      <c r="C5" s="9">
        <v>3</v>
      </c>
      <c r="D5" s="9">
        <v>4</v>
      </c>
      <c r="E5" s="10">
        <v>5</v>
      </c>
      <c r="F5" s="11">
        <v>6</v>
      </c>
      <c r="G5" s="12">
        <v>7</v>
      </c>
      <c r="H5" s="9">
        <v>8</v>
      </c>
      <c r="I5" s="9">
        <v>9</v>
      </c>
      <c r="J5" s="12">
        <v>10</v>
      </c>
      <c r="K5" s="9">
        <v>11</v>
      </c>
      <c r="L5" s="9">
        <v>12</v>
      </c>
      <c r="M5" s="9">
        <v>13</v>
      </c>
    </row>
    <row r="6" spans="1:13" ht="23.25" customHeight="1" x14ac:dyDescent="0.25">
      <c r="A6" s="416" t="s">
        <v>172</v>
      </c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8"/>
    </row>
    <row r="7" spans="1:13" ht="30.75" customHeight="1" x14ac:dyDescent="0.25">
      <c r="A7" s="45">
        <v>1</v>
      </c>
      <c r="B7" s="13" t="s">
        <v>46</v>
      </c>
      <c r="C7" s="14" t="s">
        <v>47</v>
      </c>
      <c r="D7" s="14" t="s">
        <v>16</v>
      </c>
      <c r="E7" s="15"/>
      <c r="F7" s="387">
        <f>(F13+F18+F34+F38+F58+F63)/100</f>
        <v>0.11710000000000001</v>
      </c>
      <c r="G7" s="16"/>
      <c r="H7" s="28"/>
      <c r="I7" s="28"/>
      <c r="J7" s="28"/>
      <c r="K7" s="28"/>
      <c r="L7" s="28"/>
      <c r="M7" s="16"/>
    </row>
    <row r="8" spans="1:13" ht="23.25" customHeight="1" x14ac:dyDescent="0.25">
      <c r="A8" s="386">
        <f>A7+0.1</f>
        <v>1.1000000000000001</v>
      </c>
      <c r="B8" s="46"/>
      <c r="C8" s="47" t="s">
        <v>17</v>
      </c>
      <c r="D8" s="47" t="s">
        <v>18</v>
      </c>
      <c r="E8" s="24">
        <v>206</v>
      </c>
      <c r="F8" s="22">
        <f>F7*E8</f>
        <v>24.122600000000002</v>
      </c>
      <c r="G8" s="20"/>
      <c r="H8" s="48"/>
      <c r="I8" s="49"/>
      <c r="J8" s="21"/>
      <c r="K8" s="20"/>
      <c r="L8" s="20"/>
      <c r="M8" s="21"/>
    </row>
    <row r="9" spans="1:13" ht="34.5" customHeight="1" x14ac:dyDescent="0.25">
      <c r="A9" s="13" t="s">
        <v>21</v>
      </c>
      <c r="B9" s="14" t="s">
        <v>204</v>
      </c>
      <c r="C9" s="14" t="s">
        <v>59</v>
      </c>
      <c r="D9" s="14" t="s">
        <v>205</v>
      </c>
      <c r="E9" s="15"/>
      <c r="F9" s="15">
        <f>F7*100</f>
        <v>11.71</v>
      </c>
      <c r="G9" s="15"/>
      <c r="H9" s="19"/>
      <c r="I9" s="19"/>
      <c r="J9" s="19"/>
      <c r="K9" s="19"/>
      <c r="L9" s="19"/>
      <c r="M9" s="62"/>
    </row>
    <row r="10" spans="1:13" ht="23.25" customHeight="1" x14ac:dyDescent="0.25">
      <c r="A10" s="386">
        <f>A9+0.1</f>
        <v>2.1</v>
      </c>
      <c r="B10" s="19"/>
      <c r="C10" s="61" t="s">
        <v>50</v>
      </c>
      <c r="D10" s="61" t="s">
        <v>18</v>
      </c>
      <c r="E10" s="183">
        <v>0.87</v>
      </c>
      <c r="F10" s="61">
        <f>F9*E10</f>
        <v>10.187700000000001</v>
      </c>
      <c r="G10" s="130"/>
      <c r="H10" s="130"/>
      <c r="I10" s="61"/>
      <c r="J10" s="61"/>
      <c r="K10" s="61"/>
      <c r="L10" s="61"/>
      <c r="M10" s="61"/>
    </row>
    <row r="11" spans="1:13" ht="23.25" customHeight="1" x14ac:dyDescent="0.25">
      <c r="A11" s="13" t="s">
        <v>27</v>
      </c>
      <c r="B11" s="14"/>
      <c r="C11" s="14" t="s">
        <v>159</v>
      </c>
      <c r="D11" s="14" t="s">
        <v>23</v>
      </c>
      <c r="E11" s="15"/>
      <c r="F11" s="15">
        <f>F9*1.85</f>
        <v>21.663500000000003</v>
      </c>
      <c r="G11" s="15"/>
      <c r="H11" s="19"/>
      <c r="I11" s="19"/>
      <c r="J11" s="19"/>
      <c r="K11" s="19"/>
      <c r="L11" s="19"/>
      <c r="M11" s="62"/>
    </row>
    <row r="12" spans="1:13" ht="23.25" customHeight="1" x14ac:dyDescent="0.25">
      <c r="A12" s="123">
        <f>A11+0.1</f>
        <v>3.1</v>
      </c>
      <c r="B12" s="19" t="s">
        <v>36</v>
      </c>
      <c r="C12" s="123" t="s">
        <v>39</v>
      </c>
      <c r="D12" s="123" t="s">
        <v>23</v>
      </c>
      <c r="E12" s="123">
        <v>1</v>
      </c>
      <c r="F12" s="64">
        <f>F11*E12</f>
        <v>21.663500000000003</v>
      </c>
      <c r="G12" s="24"/>
      <c r="H12" s="24"/>
      <c r="I12" s="64"/>
      <c r="J12" s="64"/>
      <c r="K12" s="64"/>
      <c r="L12" s="64"/>
      <c r="M12" s="64"/>
    </row>
    <row r="13" spans="1:13" ht="46.5" customHeight="1" x14ac:dyDescent="0.25">
      <c r="A13" s="14">
        <v>4</v>
      </c>
      <c r="B13" s="209" t="s">
        <v>73</v>
      </c>
      <c r="C13" s="69" t="s">
        <v>206</v>
      </c>
      <c r="D13" s="69" t="s">
        <v>332</v>
      </c>
      <c r="E13" s="62"/>
      <c r="F13" s="340">
        <v>0.72</v>
      </c>
      <c r="G13" s="70"/>
      <c r="H13" s="176"/>
      <c r="I13" s="176"/>
      <c r="J13" s="176"/>
      <c r="K13" s="176"/>
      <c r="L13" s="176"/>
      <c r="M13" s="62"/>
    </row>
    <row r="14" spans="1:13" ht="23.25" customHeight="1" x14ac:dyDescent="0.25">
      <c r="A14" s="386">
        <f>A13+0.1</f>
        <v>4.0999999999999996</v>
      </c>
      <c r="B14" s="134"/>
      <c r="C14" s="61" t="s">
        <v>74</v>
      </c>
      <c r="D14" s="61" t="s">
        <v>18</v>
      </c>
      <c r="E14" s="61">
        <v>0.89</v>
      </c>
      <c r="F14" s="61">
        <f>E14*F13</f>
        <v>0.64080000000000004</v>
      </c>
      <c r="G14" s="71"/>
      <c r="H14" s="71"/>
      <c r="I14" s="72"/>
      <c r="J14" s="72"/>
      <c r="K14" s="176"/>
      <c r="L14" s="176"/>
      <c r="M14" s="210"/>
    </row>
    <row r="15" spans="1:13" ht="23.25" customHeight="1" x14ac:dyDescent="0.25">
      <c r="A15" s="123">
        <f t="shared" ref="A15:A17" si="0">A14+0.1</f>
        <v>4.1999999999999993</v>
      </c>
      <c r="B15" s="69"/>
      <c r="C15" s="123" t="s">
        <v>75</v>
      </c>
      <c r="D15" s="123" t="s">
        <v>123</v>
      </c>
      <c r="E15" s="64">
        <v>0.37</v>
      </c>
      <c r="F15" s="64">
        <f>E15*F13</f>
        <v>0.26639999999999997</v>
      </c>
      <c r="G15" s="74"/>
      <c r="H15" s="74"/>
      <c r="I15" s="74"/>
      <c r="J15" s="74"/>
      <c r="K15" s="64"/>
      <c r="L15" s="64"/>
      <c r="M15" s="74"/>
    </row>
    <row r="16" spans="1:13" ht="24" customHeight="1" x14ac:dyDescent="0.25">
      <c r="A16" s="19">
        <f t="shared" si="0"/>
        <v>4.2999999999999989</v>
      </c>
      <c r="B16" s="63" t="s">
        <v>306</v>
      </c>
      <c r="C16" s="63" t="s">
        <v>346</v>
      </c>
      <c r="D16" s="63" t="s">
        <v>65</v>
      </c>
      <c r="E16" s="67" t="s">
        <v>95</v>
      </c>
      <c r="F16" s="229">
        <f>F13</f>
        <v>0.72</v>
      </c>
      <c r="G16" s="66"/>
      <c r="H16" s="66"/>
      <c r="I16" s="76"/>
      <c r="J16" s="76"/>
      <c r="K16" s="76"/>
      <c r="L16" s="76"/>
      <c r="M16" s="76"/>
    </row>
    <row r="17" spans="1:18" ht="23.25" customHeight="1" x14ac:dyDescent="0.25">
      <c r="A17" s="19">
        <f t="shared" si="0"/>
        <v>4.3999999999999986</v>
      </c>
      <c r="B17" s="51"/>
      <c r="C17" s="19" t="s">
        <v>79</v>
      </c>
      <c r="D17" s="19" t="s">
        <v>78</v>
      </c>
      <c r="E17" s="39">
        <v>0.02</v>
      </c>
      <c r="F17" s="39">
        <f>E17*F13</f>
        <v>1.44E-2</v>
      </c>
      <c r="G17" s="39"/>
      <c r="H17" s="39"/>
      <c r="I17" s="39"/>
      <c r="J17" s="39"/>
      <c r="K17" s="39"/>
      <c r="L17" s="39"/>
      <c r="M17" s="39"/>
    </row>
    <row r="18" spans="1:18" ht="34.5" customHeight="1" x14ac:dyDescent="0.25">
      <c r="A18" s="28">
        <v>5</v>
      </c>
      <c r="B18" s="225" t="s">
        <v>207</v>
      </c>
      <c r="C18" s="14" t="s">
        <v>108</v>
      </c>
      <c r="D18" s="14" t="s">
        <v>109</v>
      </c>
      <c r="E18" s="14"/>
      <c r="F18" s="14">
        <f>80*0.027</f>
        <v>2.16</v>
      </c>
      <c r="G18" s="14"/>
      <c r="H18" s="15"/>
      <c r="I18" s="14"/>
      <c r="J18" s="15"/>
      <c r="K18" s="14"/>
      <c r="L18" s="15"/>
      <c r="M18" s="15"/>
    </row>
    <row r="19" spans="1:18" ht="30" customHeight="1" x14ac:dyDescent="0.25">
      <c r="A19" s="386">
        <v>5.0999999999999996</v>
      </c>
      <c r="B19" s="171"/>
      <c r="C19" s="277" t="s">
        <v>50</v>
      </c>
      <c r="D19" s="134" t="s">
        <v>18</v>
      </c>
      <c r="E19" s="61">
        <v>4.5</v>
      </c>
      <c r="F19" s="61">
        <f>E19*F18</f>
        <v>9.7200000000000006</v>
      </c>
      <c r="G19" s="177"/>
      <c r="H19" s="177"/>
      <c r="I19" s="24"/>
      <c r="J19" s="61"/>
      <c r="K19" s="177"/>
      <c r="L19" s="177"/>
      <c r="M19" s="61"/>
    </row>
    <row r="20" spans="1:18" ht="24" customHeight="1" x14ac:dyDescent="0.25">
      <c r="A20" s="123">
        <f>A19+0.1</f>
        <v>5.1999999999999993</v>
      </c>
      <c r="B20" s="341"/>
      <c r="C20" s="123" t="s">
        <v>75</v>
      </c>
      <c r="D20" s="123" t="s">
        <v>20</v>
      </c>
      <c r="E20" s="64">
        <v>0.37</v>
      </c>
      <c r="F20" s="64">
        <f>E20*F18</f>
        <v>0.79920000000000002</v>
      </c>
      <c r="G20" s="74"/>
      <c r="H20" s="74"/>
      <c r="I20" s="74"/>
      <c r="J20" s="74"/>
      <c r="K20" s="64"/>
      <c r="L20" s="64"/>
      <c r="M20" s="74"/>
    </row>
    <row r="21" spans="1:18" s="164" customFormat="1" ht="24" customHeight="1" x14ac:dyDescent="0.25">
      <c r="A21" s="51">
        <f>A20+0.1</f>
        <v>5.2999999999999989</v>
      </c>
      <c r="B21" s="171" t="s">
        <v>317</v>
      </c>
      <c r="C21" s="51" t="s">
        <v>301</v>
      </c>
      <c r="D21" s="51" t="s">
        <v>65</v>
      </c>
      <c r="E21" s="67">
        <v>1.02</v>
      </c>
      <c r="F21" s="67">
        <f>E21*F18</f>
        <v>2.2032000000000003</v>
      </c>
      <c r="G21" s="178"/>
      <c r="H21" s="67"/>
      <c r="I21" s="77"/>
      <c r="J21" s="77"/>
      <c r="K21" s="77"/>
      <c r="L21" s="77"/>
      <c r="M21" s="77"/>
    </row>
    <row r="22" spans="1:18" s="164" customFormat="1" ht="24" customHeight="1" x14ac:dyDescent="0.25">
      <c r="A22" s="51">
        <f t="shared" ref="A22:A24" si="1">A21+0.1</f>
        <v>5.3999999999999986</v>
      </c>
      <c r="B22" s="171" t="s">
        <v>318</v>
      </c>
      <c r="C22" s="51" t="s">
        <v>362</v>
      </c>
      <c r="D22" s="51" t="s">
        <v>208</v>
      </c>
      <c r="E22" s="67">
        <v>1.61</v>
      </c>
      <c r="F22" s="67">
        <f>F18*E22</f>
        <v>3.4776000000000002</v>
      </c>
      <c r="G22" s="178"/>
      <c r="H22" s="67"/>
      <c r="I22" s="77"/>
      <c r="J22" s="77"/>
      <c r="K22" s="77"/>
      <c r="L22" s="77"/>
      <c r="M22" s="77"/>
    </row>
    <row r="23" spans="1:18" s="164" customFormat="1" ht="24" customHeight="1" x14ac:dyDescent="0.25">
      <c r="A23" s="51">
        <f t="shared" si="1"/>
        <v>5.4999999999999982</v>
      </c>
      <c r="B23" s="352">
        <v>5.0999999999999996</v>
      </c>
      <c r="C23" s="51" t="s">
        <v>221</v>
      </c>
      <c r="D23" s="51" t="s">
        <v>200</v>
      </c>
      <c r="E23" s="67">
        <f>1.72/100</f>
        <v>1.72E-2</v>
      </c>
      <c r="F23" s="67">
        <f>F18*E23</f>
        <v>3.7152000000000004E-2</v>
      </c>
      <c r="G23" s="178"/>
      <c r="H23" s="67"/>
      <c r="I23" s="77"/>
      <c r="J23" s="77"/>
      <c r="K23" s="77"/>
      <c r="L23" s="77"/>
      <c r="M23" s="77"/>
    </row>
    <row r="24" spans="1:18" s="164" customFormat="1" ht="24" customHeight="1" x14ac:dyDescent="0.25">
      <c r="A24" s="51">
        <f t="shared" si="1"/>
        <v>5.5999999999999979</v>
      </c>
      <c r="B24" s="171"/>
      <c r="C24" s="51" t="s">
        <v>68</v>
      </c>
      <c r="D24" s="51" t="s">
        <v>76</v>
      </c>
      <c r="E24" s="67">
        <v>0.28000000000000003</v>
      </c>
      <c r="F24" s="67">
        <f>E24*F18</f>
        <v>0.60480000000000012</v>
      </c>
      <c r="G24" s="67"/>
      <c r="H24" s="67"/>
      <c r="I24" s="77"/>
      <c r="J24" s="77"/>
      <c r="K24" s="77"/>
      <c r="L24" s="77"/>
      <c r="M24" s="77"/>
    </row>
    <row r="25" spans="1:18" ht="19.5" customHeight="1" x14ac:dyDescent="0.25">
      <c r="A25" s="28">
        <v>6</v>
      </c>
      <c r="B25" s="129"/>
      <c r="C25" s="28" t="s">
        <v>262</v>
      </c>
      <c r="D25" s="32"/>
      <c r="E25" s="32"/>
      <c r="F25" s="354">
        <f>SUM(F26:F27)</f>
        <v>20</v>
      </c>
      <c r="G25" s="32"/>
      <c r="H25" s="38"/>
      <c r="I25" s="32"/>
      <c r="J25" s="38"/>
      <c r="K25" s="32"/>
      <c r="L25" s="38"/>
      <c r="M25" s="38"/>
      <c r="Q25" s="1"/>
      <c r="R25" s="1"/>
    </row>
    <row r="26" spans="1:18" ht="27" x14ac:dyDescent="0.25">
      <c r="A26" s="51">
        <f>A25+0.1</f>
        <v>6.1</v>
      </c>
      <c r="B26" s="129" t="s">
        <v>122</v>
      </c>
      <c r="C26" s="32" t="s">
        <v>261</v>
      </c>
      <c r="D26" s="32" t="s">
        <v>30</v>
      </c>
      <c r="E26" s="32" t="s">
        <v>91</v>
      </c>
      <c r="F26" s="38">
        <v>14</v>
      </c>
      <c r="G26" s="32"/>
      <c r="H26" s="38"/>
      <c r="I26" s="32"/>
      <c r="J26" s="38"/>
      <c r="K26" s="32"/>
      <c r="L26" s="38"/>
      <c r="M26" s="38"/>
      <c r="Q26" s="1"/>
      <c r="R26" s="1"/>
    </row>
    <row r="27" spans="1:18" ht="27" x14ac:dyDescent="0.25">
      <c r="A27" s="51">
        <f>A26+0.1</f>
        <v>6.1999999999999993</v>
      </c>
      <c r="B27" s="129" t="s">
        <v>122</v>
      </c>
      <c r="C27" s="32" t="s">
        <v>260</v>
      </c>
      <c r="D27" s="32" t="s">
        <v>30</v>
      </c>
      <c r="E27" s="32" t="s">
        <v>91</v>
      </c>
      <c r="F27" s="38">
        <v>6</v>
      </c>
      <c r="G27" s="32"/>
      <c r="H27" s="38"/>
      <c r="I27" s="32"/>
      <c r="J27" s="38"/>
      <c r="K27" s="32"/>
      <c r="L27" s="38"/>
      <c r="M27" s="38"/>
    </row>
    <row r="28" spans="1:18" ht="23.25" customHeight="1" x14ac:dyDescent="0.25">
      <c r="A28" s="379">
        <v>7</v>
      </c>
      <c r="B28" s="378"/>
      <c r="C28" s="379" t="s">
        <v>349</v>
      </c>
      <c r="D28" s="380"/>
      <c r="E28" s="380"/>
      <c r="F28" s="381"/>
      <c r="G28" s="382"/>
      <c r="H28" s="382"/>
      <c r="I28" s="381"/>
      <c r="J28" s="381"/>
      <c r="K28" s="381"/>
      <c r="L28" s="381"/>
      <c r="M28" s="381"/>
    </row>
    <row r="29" spans="1:18" ht="24" customHeight="1" x14ac:dyDescent="0.25">
      <c r="A29" s="51">
        <v>7.1</v>
      </c>
      <c r="B29" s="129" t="s">
        <v>309</v>
      </c>
      <c r="C29" s="32" t="s">
        <v>350</v>
      </c>
      <c r="D29" s="32" t="s">
        <v>363</v>
      </c>
      <c r="E29" s="32" t="s">
        <v>91</v>
      </c>
      <c r="F29" s="38">
        <v>1</v>
      </c>
      <c r="G29" s="32"/>
      <c r="H29" s="38"/>
      <c r="I29" s="32"/>
      <c r="J29" s="38"/>
      <c r="K29" s="32"/>
      <c r="L29" s="38"/>
      <c r="M29" s="38"/>
    </row>
    <row r="30" spans="1:18" ht="27" x14ac:dyDescent="0.25">
      <c r="A30" s="51">
        <v>7.1</v>
      </c>
      <c r="B30" s="129" t="s">
        <v>122</v>
      </c>
      <c r="C30" s="32" t="s">
        <v>213</v>
      </c>
      <c r="D30" s="32" t="s">
        <v>30</v>
      </c>
      <c r="E30" s="55" t="s">
        <v>91</v>
      </c>
      <c r="F30" s="38">
        <v>1</v>
      </c>
      <c r="G30" s="32"/>
      <c r="H30" s="38"/>
      <c r="I30" s="32"/>
      <c r="J30" s="38"/>
      <c r="K30" s="32"/>
      <c r="L30" s="38"/>
      <c r="M30" s="38"/>
    </row>
    <row r="31" spans="1:18" ht="27" x14ac:dyDescent="0.25">
      <c r="A31" s="51">
        <v>7.1</v>
      </c>
      <c r="B31" s="129" t="s">
        <v>122</v>
      </c>
      <c r="C31" s="32" t="s">
        <v>231</v>
      </c>
      <c r="D31" s="32" t="s">
        <v>30</v>
      </c>
      <c r="E31" s="55" t="s">
        <v>91</v>
      </c>
      <c r="F31" s="38">
        <v>1</v>
      </c>
      <c r="G31" s="32"/>
      <c r="H31" s="38"/>
      <c r="I31" s="32"/>
      <c r="J31" s="38"/>
      <c r="K31" s="32"/>
      <c r="L31" s="38"/>
      <c r="M31" s="38"/>
    </row>
    <row r="32" spans="1:18" ht="59.25" customHeight="1" x14ac:dyDescent="0.25">
      <c r="A32" s="51">
        <v>7.1</v>
      </c>
      <c r="B32" s="129" t="s">
        <v>122</v>
      </c>
      <c r="C32" s="32" t="s">
        <v>304</v>
      </c>
      <c r="D32" s="32" t="s">
        <v>30</v>
      </c>
      <c r="E32" s="55" t="s">
        <v>91</v>
      </c>
      <c r="F32" s="38">
        <v>2</v>
      </c>
      <c r="G32" s="32"/>
      <c r="H32" s="38"/>
      <c r="I32" s="32"/>
      <c r="J32" s="38"/>
      <c r="K32" s="32"/>
      <c r="L32" s="38"/>
      <c r="M32" s="38"/>
    </row>
    <row r="33" spans="1:16" ht="23.25" customHeight="1" x14ac:dyDescent="0.25">
      <c r="A33" s="378"/>
      <c r="B33" s="378"/>
      <c r="C33" s="379" t="s">
        <v>263</v>
      </c>
      <c r="D33" s="380"/>
      <c r="E33" s="380"/>
      <c r="F33" s="381"/>
      <c r="G33" s="382"/>
      <c r="H33" s="382"/>
      <c r="I33" s="381"/>
      <c r="J33" s="381"/>
      <c r="K33" s="381"/>
      <c r="L33" s="381"/>
      <c r="M33" s="381"/>
    </row>
    <row r="34" spans="1:16" ht="46.5" customHeight="1" x14ac:dyDescent="0.25">
      <c r="A34" s="28">
        <v>9</v>
      </c>
      <c r="B34" s="225" t="s">
        <v>207</v>
      </c>
      <c r="C34" s="14" t="s">
        <v>108</v>
      </c>
      <c r="D34" s="14" t="s">
        <v>109</v>
      </c>
      <c r="E34" s="14"/>
      <c r="F34" s="391">
        <v>5.26</v>
      </c>
      <c r="G34" s="14"/>
      <c r="H34" s="15"/>
      <c r="I34" s="14"/>
      <c r="J34" s="15"/>
      <c r="K34" s="14"/>
      <c r="L34" s="15"/>
      <c r="M34" s="15"/>
    </row>
    <row r="35" spans="1:16" ht="23.25" customHeight="1" x14ac:dyDescent="0.25">
      <c r="A35" s="134">
        <f t="shared" ref="A35:A41" si="2">A34+0.1</f>
        <v>9.1</v>
      </c>
      <c r="B35" s="171"/>
      <c r="C35" s="134" t="s">
        <v>50</v>
      </c>
      <c r="D35" s="277" t="s">
        <v>18</v>
      </c>
      <c r="E35" s="61">
        <v>4.5</v>
      </c>
      <c r="F35" s="359">
        <f>E35*F34</f>
        <v>23.669999999999998</v>
      </c>
      <c r="G35" s="177"/>
      <c r="H35" s="177"/>
      <c r="I35" s="24"/>
      <c r="J35" s="61"/>
      <c r="K35" s="177"/>
      <c r="L35" s="177"/>
      <c r="M35" s="61"/>
    </row>
    <row r="36" spans="1:16" ht="23.25" customHeight="1" x14ac:dyDescent="0.25">
      <c r="A36" s="123">
        <f t="shared" si="2"/>
        <v>9.1999999999999993</v>
      </c>
      <c r="B36" s="171"/>
      <c r="C36" s="123" t="s">
        <v>75</v>
      </c>
      <c r="D36" s="278" t="s">
        <v>20</v>
      </c>
      <c r="E36" s="64">
        <v>0.37</v>
      </c>
      <c r="F36" s="356">
        <f>E36*F34</f>
        <v>1.9461999999999999</v>
      </c>
      <c r="G36" s="74"/>
      <c r="H36" s="74"/>
      <c r="I36" s="74"/>
      <c r="J36" s="74"/>
      <c r="K36" s="64"/>
      <c r="L36" s="64"/>
      <c r="M36" s="74"/>
    </row>
    <row r="37" spans="1:16" ht="23.25" customHeight="1" x14ac:dyDescent="0.25">
      <c r="A37" s="51">
        <f t="shared" si="2"/>
        <v>9.2999999999999989</v>
      </c>
      <c r="B37" s="171" t="s">
        <v>313</v>
      </c>
      <c r="C37" s="51" t="s">
        <v>264</v>
      </c>
      <c r="D37" s="51" t="s">
        <v>65</v>
      </c>
      <c r="E37" s="67">
        <v>1.02</v>
      </c>
      <c r="F37" s="229">
        <f>E37*F34</f>
        <v>5.3651999999999997</v>
      </c>
      <c r="G37" s="178"/>
      <c r="H37" s="67"/>
      <c r="I37" s="77"/>
      <c r="J37" s="77"/>
      <c r="K37" s="77"/>
      <c r="L37" s="77"/>
      <c r="M37" s="77"/>
    </row>
    <row r="38" spans="1:16" ht="23.25" customHeight="1" x14ac:dyDescent="0.25">
      <c r="A38" s="51">
        <f t="shared" si="2"/>
        <v>9.3999999999999986</v>
      </c>
      <c r="B38" s="51" t="s">
        <v>348</v>
      </c>
      <c r="C38" s="63" t="s">
        <v>346</v>
      </c>
      <c r="D38" s="51" t="s">
        <v>65</v>
      </c>
      <c r="E38" s="62" t="s">
        <v>95</v>
      </c>
      <c r="F38" s="229">
        <v>1.32</v>
      </c>
      <c r="G38" s="67"/>
      <c r="H38" s="67"/>
      <c r="I38" s="77"/>
      <c r="J38" s="77"/>
      <c r="K38" s="77"/>
      <c r="L38" s="77"/>
      <c r="M38" s="77"/>
    </row>
    <row r="39" spans="1:16" ht="23.25" customHeight="1" x14ac:dyDescent="0.25">
      <c r="A39" s="51">
        <f t="shared" si="2"/>
        <v>9.4999999999999982</v>
      </c>
      <c r="B39" s="171">
        <v>5.149</v>
      </c>
      <c r="C39" s="32" t="s">
        <v>187</v>
      </c>
      <c r="D39" s="51" t="s">
        <v>106</v>
      </c>
      <c r="E39" s="67">
        <v>1.61</v>
      </c>
      <c r="F39" s="229">
        <f>F34*E39</f>
        <v>8.4686000000000003</v>
      </c>
      <c r="G39" s="178"/>
      <c r="H39" s="67"/>
      <c r="I39" s="77"/>
      <c r="J39" s="77"/>
      <c r="K39" s="77"/>
      <c r="L39" s="77"/>
      <c r="M39" s="77"/>
    </row>
    <row r="40" spans="1:16" ht="30" customHeight="1" x14ac:dyDescent="0.25">
      <c r="A40" s="51">
        <f t="shared" si="2"/>
        <v>9.5999999999999979</v>
      </c>
      <c r="B40" s="352">
        <v>5.0999999999999996</v>
      </c>
      <c r="C40" s="51" t="s">
        <v>221</v>
      </c>
      <c r="D40" s="51" t="s">
        <v>65</v>
      </c>
      <c r="E40" s="67">
        <f>1.72/100</f>
        <v>1.72E-2</v>
      </c>
      <c r="F40" s="229">
        <f>F34*E40</f>
        <v>9.0471999999999997E-2</v>
      </c>
      <c r="G40" s="178"/>
      <c r="H40" s="67"/>
      <c r="I40" s="77"/>
      <c r="J40" s="77"/>
      <c r="K40" s="77"/>
      <c r="L40" s="77"/>
      <c r="M40" s="77"/>
    </row>
    <row r="41" spans="1:16" ht="24" customHeight="1" x14ac:dyDescent="0.25">
      <c r="A41" s="51">
        <f t="shared" si="2"/>
        <v>9.6999999999999975</v>
      </c>
      <c r="B41" s="171"/>
      <c r="C41" s="51" t="s">
        <v>68</v>
      </c>
      <c r="D41" s="51" t="s">
        <v>20</v>
      </c>
      <c r="E41" s="67">
        <v>0.28000000000000003</v>
      </c>
      <c r="F41" s="229">
        <f>E41*F34</f>
        <v>1.4728000000000001</v>
      </c>
      <c r="G41" s="67"/>
      <c r="H41" s="67"/>
      <c r="I41" s="77"/>
      <c r="J41" s="77"/>
      <c r="K41" s="77"/>
      <c r="L41" s="77"/>
      <c r="M41" s="77"/>
    </row>
    <row r="42" spans="1:16" s="164" customFormat="1" ht="24" customHeight="1" x14ac:dyDescent="0.25">
      <c r="A42" s="250">
        <v>10</v>
      </c>
      <c r="B42" s="383" t="s">
        <v>240</v>
      </c>
      <c r="C42" s="117" t="s">
        <v>339</v>
      </c>
      <c r="D42" s="117" t="s">
        <v>86</v>
      </c>
      <c r="E42" s="118"/>
      <c r="F42" s="374">
        <f>O49/1000</f>
        <v>2.8011363999999999</v>
      </c>
      <c r="G42" s="118"/>
      <c r="H42" s="79"/>
      <c r="I42" s="79"/>
      <c r="J42" s="79"/>
      <c r="K42" s="78"/>
      <c r="L42" s="78"/>
      <c r="M42" s="251"/>
    </row>
    <row r="43" spans="1:16" ht="24" customHeight="1" x14ac:dyDescent="0.25">
      <c r="A43" s="119">
        <f t="shared" ref="A43:A50" si="3">A42+0.1</f>
        <v>10.1</v>
      </c>
      <c r="B43" s="252"/>
      <c r="C43" s="119" t="s">
        <v>77</v>
      </c>
      <c r="D43" s="119" t="s">
        <v>18</v>
      </c>
      <c r="E43" s="120">
        <v>30.1</v>
      </c>
      <c r="F43" s="375">
        <f>E43*F42</f>
        <v>84.314205639999997</v>
      </c>
      <c r="G43" s="121"/>
      <c r="H43" s="121"/>
      <c r="I43" s="24"/>
      <c r="J43" s="24"/>
      <c r="K43" s="253"/>
      <c r="L43" s="253"/>
      <c r="M43" s="49"/>
    </row>
    <row r="44" spans="1:16" s="164" customFormat="1" ht="24" customHeight="1" x14ac:dyDescent="0.25">
      <c r="A44" s="122">
        <f t="shared" si="3"/>
        <v>10.199999999999999</v>
      </c>
      <c r="B44" s="254"/>
      <c r="C44" s="122" t="s">
        <v>67</v>
      </c>
      <c r="D44" s="123" t="s">
        <v>20</v>
      </c>
      <c r="E44" s="124">
        <v>6.46</v>
      </c>
      <c r="F44" s="124">
        <f>E44*F42</f>
        <v>18.095341143999999</v>
      </c>
      <c r="G44" s="125"/>
      <c r="H44" s="125"/>
      <c r="I44" s="125"/>
      <c r="J44" s="125"/>
      <c r="K44" s="255"/>
      <c r="L44" s="255"/>
      <c r="M44" s="73"/>
    </row>
    <row r="45" spans="1:16" s="164" customFormat="1" ht="24" customHeight="1" x14ac:dyDescent="0.25">
      <c r="A45" s="126">
        <f t="shared" si="3"/>
        <v>10.299999999999999</v>
      </c>
      <c r="B45" s="126" t="s">
        <v>298</v>
      </c>
      <c r="C45" s="127" t="s">
        <v>340</v>
      </c>
      <c r="D45" s="127" t="s">
        <v>110</v>
      </c>
      <c r="E45" s="128" t="s">
        <v>91</v>
      </c>
      <c r="F45" s="128">
        <v>548.76</v>
      </c>
      <c r="G45" s="128"/>
      <c r="H45" s="128"/>
      <c r="I45" s="79"/>
      <c r="J45" s="79"/>
      <c r="K45" s="78"/>
      <c r="L45" s="78"/>
      <c r="M45" s="76"/>
      <c r="N45" s="164">
        <v>3.77</v>
      </c>
      <c r="O45" s="164">
        <f>N45*F45</f>
        <v>2068.8251999999998</v>
      </c>
      <c r="P45" s="164">
        <f>0.24*F45</f>
        <v>131.70239999999998</v>
      </c>
    </row>
    <row r="46" spans="1:16" s="164" customFormat="1" ht="24" customHeight="1" x14ac:dyDescent="0.25">
      <c r="A46" s="126">
        <f t="shared" si="3"/>
        <v>10.399999999999999</v>
      </c>
      <c r="B46" s="126" t="s">
        <v>242</v>
      </c>
      <c r="C46" s="127" t="s">
        <v>341</v>
      </c>
      <c r="D46" s="127" t="s">
        <v>110</v>
      </c>
      <c r="E46" s="128" t="s">
        <v>91</v>
      </c>
      <c r="F46" s="128">
        <v>12.24</v>
      </c>
      <c r="G46" s="128"/>
      <c r="H46" s="128"/>
      <c r="I46" s="79"/>
      <c r="J46" s="79"/>
      <c r="K46" s="78"/>
      <c r="L46" s="78"/>
      <c r="M46" s="76"/>
      <c r="N46" s="164">
        <v>1.88</v>
      </c>
      <c r="O46" s="164">
        <f>N46*F46</f>
        <v>23.011199999999999</v>
      </c>
      <c r="P46" s="164">
        <f>0.2*F46</f>
        <v>2.4480000000000004</v>
      </c>
    </row>
    <row r="47" spans="1:16" s="1" customFormat="1" ht="24.75" customHeight="1" x14ac:dyDescent="0.25">
      <c r="A47" s="126">
        <f t="shared" si="3"/>
        <v>10.499999999999998</v>
      </c>
      <c r="B47" s="126" t="s">
        <v>334</v>
      </c>
      <c r="C47" s="127" t="s">
        <v>342</v>
      </c>
      <c r="D47" s="127" t="s">
        <v>110</v>
      </c>
      <c r="E47" s="128" t="s">
        <v>91</v>
      </c>
      <c r="F47" s="128">
        <v>460</v>
      </c>
      <c r="G47" s="128"/>
      <c r="H47" s="128"/>
      <c r="I47" s="79"/>
      <c r="J47" s="79"/>
      <c r="K47" s="78"/>
      <c r="L47" s="78"/>
      <c r="M47" s="76"/>
      <c r="N47" s="1">
        <v>0.502</v>
      </c>
      <c r="O47" s="1">
        <f>N47*F47</f>
        <v>230.92</v>
      </c>
      <c r="P47" s="1">
        <f>0.032*F47</f>
        <v>14.72</v>
      </c>
    </row>
    <row r="48" spans="1:16" s="1" customFormat="1" ht="33" customHeight="1" x14ac:dyDescent="0.25">
      <c r="A48" s="51">
        <f t="shared" si="3"/>
        <v>10.599999999999998</v>
      </c>
      <c r="B48" s="126" t="s">
        <v>336</v>
      </c>
      <c r="C48" s="127" t="s">
        <v>343</v>
      </c>
      <c r="D48" s="127" t="s">
        <v>30</v>
      </c>
      <c r="E48" s="128" t="s">
        <v>91</v>
      </c>
      <c r="F48" s="128">
        <v>714</v>
      </c>
      <c r="G48" s="128"/>
      <c r="H48" s="128"/>
      <c r="I48" s="79"/>
      <c r="J48" s="79"/>
      <c r="K48" s="78"/>
      <c r="L48" s="78"/>
      <c r="M48" s="76"/>
      <c r="N48" s="1">
        <v>0.67</v>
      </c>
      <c r="O48" s="1">
        <f>N48*F48</f>
        <v>478.38000000000005</v>
      </c>
      <c r="P48" s="1">
        <f>13.8*2</f>
        <v>27.6</v>
      </c>
    </row>
    <row r="49" spans="1:18" s="1" customFormat="1" ht="24.75" customHeight="1" x14ac:dyDescent="0.25">
      <c r="A49" s="51">
        <f t="shared" si="3"/>
        <v>10.699999999999998</v>
      </c>
      <c r="B49" s="63" t="s">
        <v>111</v>
      </c>
      <c r="C49" s="127" t="s">
        <v>112</v>
      </c>
      <c r="D49" s="127" t="s">
        <v>81</v>
      </c>
      <c r="E49" s="128">
        <v>4.8</v>
      </c>
      <c r="F49" s="128">
        <f>E49*F42</f>
        <v>13.445454719999999</v>
      </c>
      <c r="G49" s="128"/>
      <c r="H49" s="128"/>
      <c r="I49" s="79"/>
      <c r="J49" s="79"/>
      <c r="K49" s="78"/>
      <c r="L49" s="78"/>
      <c r="M49" s="76"/>
      <c r="O49" s="1">
        <f>SUM(O45:O48)</f>
        <v>2801.1363999999999</v>
      </c>
      <c r="P49" s="1">
        <f>SUM(P45:P48)</f>
        <v>176.47039999999998</v>
      </c>
    </row>
    <row r="50" spans="1:18" s="1" customFormat="1" ht="24.75" customHeight="1" x14ac:dyDescent="0.25">
      <c r="A50" s="51">
        <f t="shared" si="3"/>
        <v>10.799999999999997</v>
      </c>
      <c r="B50" s="126"/>
      <c r="C50" s="127" t="s">
        <v>79</v>
      </c>
      <c r="D50" s="51" t="s">
        <v>76</v>
      </c>
      <c r="E50" s="128">
        <v>5.4</v>
      </c>
      <c r="F50" s="128">
        <f>E50*F42</f>
        <v>15.126136560000001</v>
      </c>
      <c r="G50" s="128"/>
      <c r="H50" s="128"/>
      <c r="I50" s="79"/>
      <c r="J50" s="79"/>
      <c r="K50" s="78"/>
      <c r="L50" s="78"/>
      <c r="M50" s="76"/>
    </row>
    <row r="51" spans="1:18" s="1" customFormat="1" ht="29.25" customHeight="1" x14ac:dyDescent="0.25">
      <c r="A51" s="28">
        <v>11</v>
      </c>
      <c r="B51" s="132" t="s">
        <v>113</v>
      </c>
      <c r="C51" s="28" t="s">
        <v>344</v>
      </c>
      <c r="D51" s="28" t="s">
        <v>28</v>
      </c>
      <c r="E51" s="28"/>
      <c r="F51" s="354">
        <f>P49*1.1</f>
        <v>194.11743999999999</v>
      </c>
      <c r="G51" s="133"/>
      <c r="H51" s="16"/>
      <c r="I51" s="28"/>
      <c r="J51" s="16"/>
      <c r="K51" s="28"/>
      <c r="L51" s="16"/>
      <c r="M51" s="16"/>
    </row>
    <row r="52" spans="1:18" s="1" customFormat="1" ht="24.75" customHeight="1" x14ac:dyDescent="0.25">
      <c r="A52" s="60">
        <f>A51+0.1</f>
        <v>11.1</v>
      </c>
      <c r="B52" s="129"/>
      <c r="C52" s="60" t="s">
        <v>114</v>
      </c>
      <c r="D52" s="60" t="s">
        <v>18</v>
      </c>
      <c r="E52" s="60">
        <v>0.68</v>
      </c>
      <c r="F52" s="49">
        <f>F51*E52</f>
        <v>131.9998592</v>
      </c>
      <c r="G52" s="40"/>
      <c r="H52" s="40"/>
      <c r="I52" s="113"/>
      <c r="J52" s="89"/>
      <c r="K52" s="40"/>
      <c r="L52" s="40"/>
      <c r="M52" s="89"/>
    </row>
    <row r="53" spans="1:18" ht="27" customHeight="1" x14ac:dyDescent="0.25">
      <c r="A53" s="87">
        <f>A52+0.1</f>
        <v>11.2</v>
      </c>
      <c r="B53" s="129"/>
      <c r="C53" s="87" t="s">
        <v>115</v>
      </c>
      <c r="D53" s="114" t="s">
        <v>20</v>
      </c>
      <c r="E53" s="103">
        <v>2.9999999999999997E-4</v>
      </c>
      <c r="F53" s="65">
        <f>F51*E53</f>
        <v>5.8235231999999991E-2</v>
      </c>
      <c r="G53" s="40"/>
      <c r="H53" s="40"/>
      <c r="I53" s="84"/>
      <c r="J53" s="84"/>
      <c r="K53" s="65"/>
      <c r="L53" s="65"/>
      <c r="M53" s="65"/>
      <c r="N53" s="1"/>
      <c r="O53" s="1"/>
      <c r="P53" s="384"/>
    </row>
    <row r="54" spans="1:18" s="1" customFormat="1" ht="27" customHeight="1" x14ac:dyDescent="0.25">
      <c r="A54" s="51">
        <f>A53+0.1</f>
        <v>11.299999999999999</v>
      </c>
      <c r="B54" s="129" t="s">
        <v>177</v>
      </c>
      <c r="C54" s="32" t="s">
        <v>116</v>
      </c>
      <c r="D54" s="32" t="s">
        <v>81</v>
      </c>
      <c r="E54" s="32">
        <v>0.5</v>
      </c>
      <c r="F54" s="38">
        <f>F51*E54</f>
        <v>97.058719999999994</v>
      </c>
      <c r="G54" s="276"/>
      <c r="H54" s="38"/>
      <c r="I54" s="32"/>
      <c r="J54" s="38"/>
      <c r="K54" s="32"/>
      <c r="L54" s="38"/>
      <c r="M54" s="38"/>
    </row>
    <row r="55" spans="1:18" s="1" customFormat="1" ht="24.75" customHeight="1" x14ac:dyDescent="0.25">
      <c r="A55" s="51">
        <f>A54+0.1</f>
        <v>11.399999999999999</v>
      </c>
      <c r="B55" s="129" t="s">
        <v>117</v>
      </c>
      <c r="C55" s="32" t="s">
        <v>118</v>
      </c>
      <c r="D55" s="32" t="s">
        <v>81</v>
      </c>
      <c r="E55" s="32">
        <v>2.7E-2</v>
      </c>
      <c r="F55" s="38">
        <f>F51*E55</f>
        <v>5.2411708799999994</v>
      </c>
      <c r="G55" s="32"/>
      <c r="H55" s="38"/>
      <c r="I55" s="32"/>
      <c r="J55" s="38"/>
      <c r="K55" s="32"/>
      <c r="L55" s="38"/>
      <c r="M55" s="38"/>
    </row>
    <row r="56" spans="1:18" s="1" customFormat="1" ht="24.75" customHeight="1" x14ac:dyDescent="0.25">
      <c r="A56" s="51">
        <f>A55+0.1</f>
        <v>11.499999999999998</v>
      </c>
      <c r="B56" s="129"/>
      <c r="C56" s="32" t="s">
        <v>68</v>
      </c>
      <c r="D56" s="32" t="s">
        <v>20</v>
      </c>
      <c r="E56" s="32">
        <v>1.9E-3</v>
      </c>
      <c r="F56" s="38">
        <f>E56*F51</f>
        <v>0.368823136</v>
      </c>
      <c r="G56" s="32"/>
      <c r="H56" s="38"/>
      <c r="I56" s="32"/>
      <c r="J56" s="38"/>
      <c r="K56" s="32"/>
      <c r="L56" s="38"/>
      <c r="M56" s="38"/>
    </row>
    <row r="57" spans="1:18" s="346" customFormat="1" ht="19.5" customHeight="1" x14ac:dyDescent="0.25">
      <c r="A57" s="347"/>
      <c r="B57" s="348"/>
      <c r="C57" s="345" t="s">
        <v>259</v>
      </c>
      <c r="D57" s="344"/>
      <c r="E57" s="344"/>
      <c r="F57" s="349"/>
      <c r="G57" s="344"/>
      <c r="H57" s="349"/>
      <c r="I57" s="344"/>
      <c r="J57" s="349"/>
      <c r="K57" s="344"/>
      <c r="L57" s="349"/>
      <c r="M57" s="349"/>
    </row>
    <row r="58" spans="1:18" ht="38.25" x14ac:dyDescent="0.25">
      <c r="A58" s="237" t="s">
        <v>352</v>
      </c>
      <c r="B58" s="237" t="s">
        <v>73</v>
      </c>
      <c r="C58" s="92" t="s">
        <v>235</v>
      </c>
      <c r="D58" s="92" t="s">
        <v>65</v>
      </c>
      <c r="E58" s="238"/>
      <c r="F58" s="358">
        <v>0.75</v>
      </c>
      <c r="G58" s="239"/>
      <c r="H58" s="240"/>
      <c r="I58" s="241"/>
      <c r="J58" s="240"/>
      <c r="K58" s="241"/>
      <c r="L58" s="240"/>
      <c r="M58" s="238"/>
      <c r="Q58" s="1"/>
      <c r="R58" s="1"/>
    </row>
    <row r="59" spans="1:18" ht="19.5" customHeight="1" x14ac:dyDescent="0.25">
      <c r="A59" s="242">
        <f>A58+0.1</f>
        <v>12.1</v>
      </c>
      <c r="B59" s="243"/>
      <c r="C59" s="49" t="s">
        <v>74</v>
      </c>
      <c r="D59" s="49" t="s">
        <v>18</v>
      </c>
      <c r="E59" s="49">
        <v>0.89</v>
      </c>
      <c r="F59" s="359">
        <f>E59*F58</f>
        <v>0.66749999999999998</v>
      </c>
      <c r="G59" s="41"/>
      <c r="H59" s="41"/>
      <c r="I59" s="49"/>
      <c r="J59" s="53"/>
      <c r="K59" s="41"/>
      <c r="L59" s="41"/>
      <c r="M59" s="53"/>
      <c r="Q59" s="1"/>
      <c r="R59" s="1"/>
    </row>
    <row r="60" spans="1:18" ht="19.5" customHeight="1" x14ac:dyDescent="0.25">
      <c r="A60" s="33">
        <f>A59+0.1</f>
        <v>12.2</v>
      </c>
      <c r="B60" s="92"/>
      <c r="C60" s="33" t="s">
        <v>119</v>
      </c>
      <c r="D60" s="33" t="s">
        <v>20</v>
      </c>
      <c r="E60" s="34">
        <v>0.37</v>
      </c>
      <c r="F60" s="356">
        <f>E60*F58</f>
        <v>0.27749999999999997</v>
      </c>
      <c r="G60" s="40"/>
      <c r="H60" s="40"/>
      <c r="I60" s="40"/>
      <c r="J60" s="40"/>
      <c r="K60" s="34"/>
      <c r="L60" s="34"/>
      <c r="M60" s="34"/>
      <c r="Q60" s="1"/>
      <c r="R60" s="1"/>
    </row>
    <row r="61" spans="1:18" ht="19.5" customHeight="1" x14ac:dyDescent="0.25">
      <c r="A61" s="75">
        <f>A60+0.1</f>
        <v>12.299999999999999</v>
      </c>
      <c r="B61" s="63" t="s">
        <v>348</v>
      </c>
      <c r="C61" s="63" t="s">
        <v>346</v>
      </c>
      <c r="D61" s="63" t="s">
        <v>65</v>
      </c>
      <c r="E61" s="66">
        <v>1.1499999999999999</v>
      </c>
      <c r="F61" s="229">
        <f>E61*F58</f>
        <v>0.86249999999999993</v>
      </c>
      <c r="G61" s="66"/>
      <c r="H61" s="66"/>
      <c r="I61" s="76"/>
      <c r="J61" s="76"/>
      <c r="K61" s="76"/>
      <c r="L61" s="76"/>
      <c r="M61" s="76"/>
      <c r="Q61" s="1"/>
      <c r="R61" s="1"/>
    </row>
    <row r="62" spans="1:18" ht="19.5" customHeight="1" x14ac:dyDescent="0.25">
      <c r="A62" s="63">
        <f>A61+0.1</f>
        <v>12.399999999999999</v>
      </c>
      <c r="B62" s="243"/>
      <c r="C62" s="243" t="s">
        <v>72</v>
      </c>
      <c r="D62" s="243" t="s">
        <v>20</v>
      </c>
      <c r="E62" s="244">
        <v>0.02</v>
      </c>
      <c r="F62" s="389">
        <f>E62*F58</f>
        <v>1.4999999999999999E-2</v>
      </c>
      <c r="G62" s="244"/>
      <c r="H62" s="245"/>
      <c r="I62" s="246"/>
      <c r="J62" s="247"/>
      <c r="K62" s="246"/>
      <c r="L62" s="247"/>
      <c r="M62" s="246"/>
      <c r="Q62" s="1"/>
      <c r="R62" s="1"/>
    </row>
    <row r="63" spans="1:18" ht="51" x14ac:dyDescent="0.25">
      <c r="A63" s="80">
        <v>13</v>
      </c>
      <c r="B63" s="92" t="s">
        <v>96</v>
      </c>
      <c r="C63" s="35" t="s">
        <v>236</v>
      </c>
      <c r="D63" s="35" t="s">
        <v>65</v>
      </c>
      <c r="E63" s="29"/>
      <c r="F63" s="365">
        <v>1.5</v>
      </c>
      <c r="G63" s="29"/>
      <c r="H63" s="76"/>
      <c r="I63" s="76"/>
      <c r="J63" s="77"/>
      <c r="K63" s="76"/>
      <c r="L63" s="76"/>
      <c r="M63" s="29"/>
      <c r="Q63" s="1"/>
      <c r="R63" s="1"/>
    </row>
    <row r="64" spans="1:18" ht="19.5" customHeight="1" x14ac:dyDescent="0.25">
      <c r="A64" s="86">
        <f>A63+0.1</f>
        <v>13.1</v>
      </c>
      <c r="B64" s="60"/>
      <c r="C64" s="60" t="s">
        <v>50</v>
      </c>
      <c r="D64" s="60" t="s">
        <v>18</v>
      </c>
      <c r="E64" s="49">
        <v>1.37</v>
      </c>
      <c r="F64" s="359">
        <f>E64*F63</f>
        <v>2.0550000000000002</v>
      </c>
      <c r="G64" s="93"/>
      <c r="H64" s="93"/>
      <c r="I64" s="21"/>
      <c r="J64" s="61"/>
      <c r="K64" s="93"/>
      <c r="L64" s="93"/>
      <c r="M64" s="49"/>
      <c r="Q64" s="1"/>
      <c r="R64" s="1"/>
    </row>
    <row r="65" spans="1:18" ht="19.5" customHeight="1" x14ac:dyDescent="0.25">
      <c r="A65" s="94">
        <f>A64+0.1</f>
        <v>13.2</v>
      </c>
      <c r="B65" s="33"/>
      <c r="C65" s="33" t="s">
        <v>75</v>
      </c>
      <c r="D65" s="33" t="s">
        <v>20</v>
      </c>
      <c r="E65" s="34">
        <v>0.28299999999999997</v>
      </c>
      <c r="F65" s="356">
        <f>E65*F63</f>
        <v>0.42449999999999999</v>
      </c>
      <c r="G65" s="73"/>
      <c r="H65" s="73"/>
      <c r="I65" s="73"/>
      <c r="J65" s="74"/>
      <c r="K65" s="34"/>
      <c r="L65" s="34"/>
      <c r="M65" s="73"/>
      <c r="Q65" s="1"/>
      <c r="R65" s="1"/>
    </row>
    <row r="66" spans="1:18" ht="19.5" customHeight="1" x14ac:dyDescent="0.25">
      <c r="A66" s="95">
        <f>A65+0.1</f>
        <v>13.299999999999999</v>
      </c>
      <c r="B66" s="112" t="s">
        <v>317</v>
      </c>
      <c r="C66" s="115" t="s">
        <v>237</v>
      </c>
      <c r="D66" s="115" t="s">
        <v>109</v>
      </c>
      <c r="E66" s="115">
        <v>1.02</v>
      </c>
      <c r="F66" s="390">
        <f>E66*F63</f>
        <v>1.53</v>
      </c>
      <c r="G66" s="115"/>
      <c r="H66" s="116"/>
      <c r="I66" s="115"/>
      <c r="J66" s="116"/>
      <c r="K66" s="115"/>
      <c r="L66" s="116"/>
      <c r="M66" s="116"/>
      <c r="Q66" s="1"/>
      <c r="R66" s="1"/>
    </row>
    <row r="67" spans="1:18" ht="19.5" customHeight="1" x14ac:dyDescent="0.25">
      <c r="A67" s="95">
        <f>A66+0.1</f>
        <v>13.399999999999999</v>
      </c>
      <c r="B67" s="63"/>
      <c r="C67" s="63" t="s">
        <v>68</v>
      </c>
      <c r="D67" s="63" t="s">
        <v>76</v>
      </c>
      <c r="E67" s="66">
        <v>0.62</v>
      </c>
      <c r="F67" s="229">
        <f>E67*F63</f>
        <v>0.92999999999999994</v>
      </c>
      <c r="G67" s="66"/>
      <c r="H67" s="66"/>
      <c r="I67" s="76"/>
      <c r="J67" s="77"/>
      <c r="K67" s="76"/>
      <c r="L67" s="76"/>
      <c r="M67" s="76"/>
      <c r="Q67" s="1"/>
      <c r="R67" s="1"/>
    </row>
    <row r="68" spans="1:18" ht="19.5" customHeight="1" x14ac:dyDescent="0.25">
      <c r="A68" s="28">
        <v>14</v>
      </c>
      <c r="B68" s="132" t="s">
        <v>22</v>
      </c>
      <c r="C68" s="28" t="s">
        <v>238</v>
      </c>
      <c r="D68" s="14" t="s">
        <v>120</v>
      </c>
      <c r="E68" s="28"/>
      <c r="F68" s="354">
        <v>9</v>
      </c>
      <c r="G68" s="133"/>
      <c r="H68" s="16"/>
      <c r="I68" s="28"/>
      <c r="J68" s="16"/>
      <c r="K68" s="28"/>
      <c r="L68" s="16"/>
      <c r="M68" s="16"/>
      <c r="Q68" s="1"/>
      <c r="R68" s="1"/>
    </row>
    <row r="69" spans="1:18" ht="19.5" customHeight="1" x14ac:dyDescent="0.25">
      <c r="A69" s="386">
        <f>A68+0.1</f>
        <v>14.1</v>
      </c>
      <c r="B69" s="129"/>
      <c r="C69" s="61" t="s">
        <v>114</v>
      </c>
      <c r="D69" s="61" t="s">
        <v>20</v>
      </c>
      <c r="E69" s="61">
        <v>1</v>
      </c>
      <c r="F69" s="359">
        <f>F68*E69</f>
        <v>9</v>
      </c>
      <c r="G69" s="71"/>
      <c r="H69" s="71"/>
      <c r="I69" s="72"/>
      <c r="J69" s="72"/>
      <c r="K69" s="248"/>
      <c r="L69" s="248"/>
      <c r="M69" s="249"/>
      <c r="Q69" s="1"/>
      <c r="R69" s="1"/>
    </row>
    <row r="70" spans="1:18" ht="19.5" customHeight="1" x14ac:dyDescent="0.25">
      <c r="A70" s="51">
        <f>A69+0.1</f>
        <v>14.2</v>
      </c>
      <c r="B70" s="171" t="s">
        <v>319</v>
      </c>
      <c r="C70" s="19" t="s">
        <v>239</v>
      </c>
      <c r="D70" s="51" t="s">
        <v>81</v>
      </c>
      <c r="E70" s="19">
        <v>6</v>
      </c>
      <c r="F70" s="39">
        <f>E70*F68</f>
        <v>54</v>
      </c>
      <c r="G70" s="39"/>
      <c r="H70" s="39"/>
      <c r="I70" s="19"/>
      <c r="J70" s="39"/>
      <c r="K70" s="19"/>
      <c r="L70" s="39"/>
      <c r="M70" s="39"/>
      <c r="N70" s="164"/>
      <c r="O70" s="164"/>
      <c r="P70" s="164"/>
      <c r="Q70" s="1"/>
      <c r="R70" s="1"/>
    </row>
    <row r="71" spans="1:18" ht="35.25" customHeight="1" x14ac:dyDescent="0.25">
      <c r="A71" s="51">
        <f>A70+0.1</f>
        <v>14.299999999999999</v>
      </c>
      <c r="B71" s="171" t="s">
        <v>320</v>
      </c>
      <c r="C71" s="19" t="s">
        <v>321</v>
      </c>
      <c r="D71" s="19" t="s">
        <v>121</v>
      </c>
      <c r="E71" s="19">
        <v>1</v>
      </c>
      <c r="F71" s="39">
        <f>E71*F68</f>
        <v>9</v>
      </c>
      <c r="G71" s="208"/>
      <c r="H71" s="39"/>
      <c r="I71" s="19"/>
      <c r="J71" s="39"/>
      <c r="K71" s="19"/>
      <c r="L71" s="39"/>
      <c r="M71" s="39"/>
      <c r="N71" s="164"/>
      <c r="O71" s="164"/>
      <c r="P71" s="164"/>
      <c r="Q71" s="1"/>
      <c r="R71" s="1"/>
    </row>
    <row r="72" spans="1:18" ht="19.5" customHeight="1" x14ac:dyDescent="0.25">
      <c r="A72" s="51">
        <f>A71+0.1</f>
        <v>14.399999999999999</v>
      </c>
      <c r="B72" s="129"/>
      <c r="C72" s="32" t="s">
        <v>68</v>
      </c>
      <c r="D72" s="32" t="s">
        <v>20</v>
      </c>
      <c r="E72" s="32">
        <v>0.05</v>
      </c>
      <c r="F72" s="38">
        <f>E72*F68</f>
        <v>0.45</v>
      </c>
      <c r="G72" s="32"/>
      <c r="H72" s="38"/>
      <c r="I72" s="32"/>
      <c r="J72" s="38"/>
      <c r="K72" s="32"/>
      <c r="L72" s="38"/>
      <c r="M72" s="38"/>
      <c r="Q72" s="1"/>
      <c r="R72" s="1"/>
    </row>
    <row r="73" spans="1:18" ht="41.25" customHeight="1" x14ac:dyDescent="0.25">
      <c r="A73" s="250">
        <v>15</v>
      </c>
      <c r="B73" s="28" t="s">
        <v>240</v>
      </c>
      <c r="C73" s="117" t="s">
        <v>241</v>
      </c>
      <c r="D73" s="117" t="s">
        <v>86</v>
      </c>
      <c r="E73" s="118"/>
      <c r="F73" s="374">
        <f>O81/1000</f>
        <v>0.32412560000000001</v>
      </c>
      <c r="G73" s="118"/>
      <c r="H73" s="79"/>
      <c r="I73" s="79"/>
      <c r="J73" s="79"/>
      <c r="K73" s="78"/>
      <c r="L73" s="78"/>
      <c r="M73" s="251"/>
      <c r="Q73" s="1"/>
      <c r="R73" s="1"/>
    </row>
    <row r="74" spans="1:18" ht="19.5" customHeight="1" x14ac:dyDescent="0.25">
      <c r="A74" s="119">
        <f t="shared" ref="A74:A82" si="4">A73+0.1</f>
        <v>15.1</v>
      </c>
      <c r="B74" s="252"/>
      <c r="C74" s="119" t="s">
        <v>77</v>
      </c>
      <c r="D74" s="119" t="s">
        <v>18</v>
      </c>
      <c r="E74" s="120">
        <v>30.1</v>
      </c>
      <c r="F74" s="375">
        <f>E74*F73</f>
        <v>9.7561805600000007</v>
      </c>
      <c r="G74" s="121"/>
      <c r="H74" s="121"/>
      <c r="I74" s="24"/>
      <c r="J74" s="24"/>
      <c r="K74" s="253"/>
      <c r="L74" s="253"/>
      <c r="M74" s="49"/>
      <c r="Q74" s="1"/>
      <c r="R74" s="1"/>
    </row>
    <row r="75" spans="1:18" ht="19.5" customHeight="1" x14ac:dyDescent="0.25">
      <c r="A75" s="122">
        <f t="shared" si="4"/>
        <v>15.2</v>
      </c>
      <c r="B75" s="254"/>
      <c r="C75" s="122" t="s">
        <v>67</v>
      </c>
      <c r="D75" s="123" t="s">
        <v>20</v>
      </c>
      <c r="E75" s="124">
        <v>6.46</v>
      </c>
      <c r="F75" s="234">
        <f>E75*F73</f>
        <v>2.0938513759999999</v>
      </c>
      <c r="G75" s="125"/>
      <c r="H75" s="125"/>
      <c r="I75" s="125"/>
      <c r="J75" s="125"/>
      <c r="K75" s="255"/>
      <c r="L75" s="255"/>
      <c r="M75" s="73"/>
      <c r="Q75" s="1"/>
      <c r="R75" s="1"/>
    </row>
    <row r="76" spans="1:18" ht="19.5" customHeight="1" x14ac:dyDescent="0.25">
      <c r="A76" s="126">
        <f t="shared" si="4"/>
        <v>15.299999999999999</v>
      </c>
      <c r="B76" s="126" t="s">
        <v>218</v>
      </c>
      <c r="C76" s="127" t="s">
        <v>181</v>
      </c>
      <c r="D76" s="127" t="s">
        <v>110</v>
      </c>
      <c r="E76" s="128" t="s">
        <v>95</v>
      </c>
      <c r="F76" s="376">
        <v>71.12</v>
      </c>
      <c r="G76" s="226"/>
      <c r="H76" s="226"/>
      <c r="I76" s="78"/>
      <c r="J76" s="78"/>
      <c r="K76" s="78"/>
      <c r="L76" s="78"/>
      <c r="M76" s="76"/>
      <c r="N76" s="173">
        <v>3.77</v>
      </c>
      <c r="O76" s="173">
        <f>N76*F76</f>
        <v>268.12240000000003</v>
      </c>
      <c r="P76" s="173">
        <f>0.16*F76</f>
        <v>11.379200000000001</v>
      </c>
      <c r="Q76" s="173"/>
      <c r="R76" s="174"/>
    </row>
    <row r="77" spans="1:18" ht="19.5" customHeight="1" x14ac:dyDescent="0.25">
      <c r="A77" s="126">
        <f t="shared" si="4"/>
        <v>15.399999999999999</v>
      </c>
      <c r="B77" s="126" t="s">
        <v>242</v>
      </c>
      <c r="C77" s="127" t="s">
        <v>243</v>
      </c>
      <c r="D77" s="127" t="s">
        <v>110</v>
      </c>
      <c r="E77" s="128" t="s">
        <v>95</v>
      </c>
      <c r="F77" s="376">
        <v>0.64</v>
      </c>
      <c r="G77" s="226"/>
      <c r="H77" s="226"/>
      <c r="I77" s="78"/>
      <c r="J77" s="78"/>
      <c r="K77" s="78"/>
      <c r="L77" s="78"/>
      <c r="M77" s="76"/>
      <c r="N77" s="173">
        <v>1.88</v>
      </c>
      <c r="O77" s="173">
        <f t="shared" ref="O77" si="5">N77*F77</f>
        <v>1.2032</v>
      </c>
      <c r="P77" s="173">
        <f>0.12*F77</f>
        <v>7.6799999999999993E-2</v>
      </c>
      <c r="Q77" s="173"/>
    </row>
    <row r="78" spans="1:18" ht="19.5" customHeight="1" x14ac:dyDescent="0.25">
      <c r="A78" s="126">
        <f t="shared" si="4"/>
        <v>15.499999999999998</v>
      </c>
      <c r="B78" s="126" t="s">
        <v>335</v>
      </c>
      <c r="C78" s="127" t="s">
        <v>333</v>
      </c>
      <c r="D78" s="127" t="s">
        <v>110</v>
      </c>
      <c r="E78" s="128" t="s">
        <v>91</v>
      </c>
      <c r="F78" s="376">
        <v>20</v>
      </c>
      <c r="G78" s="226"/>
      <c r="H78" s="226"/>
      <c r="I78" s="78"/>
      <c r="J78" s="78"/>
      <c r="K78" s="78"/>
      <c r="L78" s="78"/>
      <c r="M78" s="76"/>
      <c r="N78" s="1">
        <v>0.502</v>
      </c>
      <c r="O78" s="1">
        <f>N78*F78</f>
        <v>10.039999999999999</v>
      </c>
      <c r="P78" s="1">
        <f>F78*0.032</f>
        <v>0.64</v>
      </c>
    </row>
    <row r="79" spans="1:18" ht="19.5" customHeight="1" x14ac:dyDescent="0.25">
      <c r="A79" s="126">
        <f t="shared" si="4"/>
        <v>15.599999999999998</v>
      </c>
      <c r="B79" s="256" t="s">
        <v>22</v>
      </c>
      <c r="C79" s="127" t="s">
        <v>337</v>
      </c>
      <c r="D79" s="127" t="s">
        <v>30</v>
      </c>
      <c r="E79" s="128" t="s">
        <v>95</v>
      </c>
      <c r="F79" s="289">
        <v>4</v>
      </c>
      <c r="G79" s="226"/>
      <c r="H79" s="226"/>
      <c r="I79" s="78"/>
      <c r="J79" s="78"/>
      <c r="K79" s="78"/>
      <c r="L79" s="78"/>
      <c r="M79" s="76"/>
      <c r="N79" s="173">
        <v>6.5</v>
      </c>
      <c r="O79" s="173">
        <f>N79*F79</f>
        <v>26</v>
      </c>
      <c r="P79" s="257">
        <v>0</v>
      </c>
    </row>
    <row r="80" spans="1:18" ht="27.75" customHeight="1" x14ac:dyDescent="0.25">
      <c r="A80" s="126">
        <f t="shared" si="4"/>
        <v>15.699999999999998</v>
      </c>
      <c r="B80" s="256" t="s">
        <v>22</v>
      </c>
      <c r="C80" s="127" t="s">
        <v>338</v>
      </c>
      <c r="D80" s="127" t="s">
        <v>30</v>
      </c>
      <c r="E80" s="128" t="s">
        <v>95</v>
      </c>
      <c r="F80" s="289">
        <v>28</v>
      </c>
      <c r="G80" s="226"/>
      <c r="H80" s="226"/>
      <c r="I80" s="78"/>
      <c r="J80" s="78"/>
      <c r="K80" s="78"/>
      <c r="L80" s="78"/>
      <c r="M80" s="76"/>
      <c r="N80" s="173">
        <v>0.67</v>
      </c>
      <c r="O80" s="173">
        <f t="shared" ref="O80" si="6">N80*F80</f>
        <v>18.760000000000002</v>
      </c>
      <c r="P80" s="257">
        <f>0.8*2</f>
        <v>1.6</v>
      </c>
    </row>
    <row r="81" spans="1:18" ht="19.5" customHeight="1" x14ac:dyDescent="0.25">
      <c r="A81" s="126">
        <f t="shared" si="4"/>
        <v>15.799999999999997</v>
      </c>
      <c r="B81" s="66" t="s">
        <v>111</v>
      </c>
      <c r="C81" s="127" t="s">
        <v>112</v>
      </c>
      <c r="D81" s="127" t="s">
        <v>81</v>
      </c>
      <c r="E81" s="128">
        <v>4.8</v>
      </c>
      <c r="F81" s="376">
        <f>E81*F73</f>
        <v>1.5558028800000001</v>
      </c>
      <c r="G81" s="128"/>
      <c r="H81" s="128"/>
      <c r="I81" s="79"/>
      <c r="J81" s="79"/>
      <c r="K81" s="78"/>
      <c r="L81" s="78"/>
      <c r="M81" s="76"/>
      <c r="N81" s="1"/>
      <c r="O81" s="1">
        <f>SUM(O76:O80)</f>
        <v>324.12560000000002</v>
      </c>
      <c r="P81" s="1">
        <f>SUM(P76:P80)</f>
        <v>13.696000000000002</v>
      </c>
      <c r="Q81" s="1"/>
      <c r="R81" s="1"/>
    </row>
    <row r="82" spans="1:18" ht="19.5" customHeight="1" x14ac:dyDescent="0.25">
      <c r="A82" s="126">
        <f t="shared" si="4"/>
        <v>15.899999999999997</v>
      </c>
      <c r="B82" s="126"/>
      <c r="C82" s="127" t="s">
        <v>79</v>
      </c>
      <c r="D82" s="51" t="s">
        <v>76</v>
      </c>
      <c r="E82" s="128">
        <v>5.4</v>
      </c>
      <c r="F82" s="376">
        <f>E82*F73</f>
        <v>1.7502782400000001</v>
      </c>
      <c r="G82" s="128"/>
      <c r="H82" s="128"/>
      <c r="I82" s="79"/>
      <c r="J82" s="79"/>
      <c r="K82" s="78"/>
      <c r="L82" s="78"/>
      <c r="M82" s="76"/>
      <c r="Q82" s="1"/>
      <c r="R82" s="1"/>
    </row>
    <row r="83" spans="1:18" ht="57.75" customHeight="1" x14ac:dyDescent="0.25">
      <c r="A83" s="107">
        <v>16</v>
      </c>
      <c r="B83" s="50" t="s">
        <v>244</v>
      </c>
      <c r="C83" s="14" t="s">
        <v>245</v>
      </c>
      <c r="D83" s="14" t="s">
        <v>62</v>
      </c>
      <c r="E83" s="15"/>
      <c r="F83" s="354">
        <v>0.13439999999999999</v>
      </c>
      <c r="G83" s="70"/>
      <c r="H83" s="258"/>
      <c r="I83" s="258"/>
      <c r="J83" s="258"/>
      <c r="K83" s="259"/>
      <c r="L83" s="259"/>
      <c r="M83" s="260"/>
      <c r="Q83" s="1"/>
      <c r="R83" s="1"/>
    </row>
    <row r="84" spans="1:18" ht="19.5" customHeight="1" x14ac:dyDescent="0.25">
      <c r="A84" s="47">
        <f>A83+0.1</f>
        <v>16.100000000000001</v>
      </c>
      <c r="B84" s="261"/>
      <c r="C84" s="47" t="s">
        <v>17</v>
      </c>
      <c r="D84" s="47" t="s">
        <v>18</v>
      </c>
      <c r="E84" s="24">
        <v>43.9</v>
      </c>
      <c r="F84" s="24">
        <f>F83*E84</f>
        <v>5.9001599999999996</v>
      </c>
      <c r="G84" s="72"/>
      <c r="H84" s="72"/>
      <c r="I84" s="72"/>
      <c r="J84" s="72"/>
      <c r="K84" s="259"/>
      <c r="L84" s="259"/>
      <c r="M84" s="262"/>
      <c r="Q84" s="1"/>
      <c r="R84" s="1"/>
    </row>
    <row r="85" spans="1:18" ht="19.5" customHeight="1" x14ac:dyDescent="0.25">
      <c r="A85" s="130">
        <f t="shared" ref="A85:A88" si="7">A84+0.1</f>
        <v>16.200000000000003</v>
      </c>
      <c r="B85" s="261"/>
      <c r="C85" s="130" t="s">
        <v>246</v>
      </c>
      <c r="D85" s="130" t="s">
        <v>20</v>
      </c>
      <c r="E85" s="131">
        <v>3.5</v>
      </c>
      <c r="F85" s="131">
        <f>E85*F83</f>
        <v>0.47039999999999998</v>
      </c>
      <c r="G85" s="263"/>
      <c r="H85" s="263"/>
      <c r="I85" s="263"/>
      <c r="J85" s="263"/>
      <c r="K85" s="264"/>
      <c r="L85" s="265"/>
      <c r="M85" s="266"/>
      <c r="Q85" s="1"/>
      <c r="R85" s="1"/>
    </row>
    <row r="86" spans="1:18" ht="19.5" customHeight="1" x14ac:dyDescent="0.25">
      <c r="A86" s="75">
        <f t="shared" si="7"/>
        <v>16.300000000000004</v>
      </c>
      <c r="B86" s="267" t="s">
        <v>247</v>
      </c>
      <c r="C86" s="32" t="s">
        <v>248</v>
      </c>
      <c r="D86" s="32" t="s">
        <v>28</v>
      </c>
      <c r="E86" s="38">
        <v>135</v>
      </c>
      <c r="F86" s="38">
        <f>E86*F83</f>
        <v>18.143999999999998</v>
      </c>
      <c r="G86" s="259"/>
      <c r="H86" s="259"/>
      <c r="I86" s="259"/>
      <c r="J86" s="259"/>
      <c r="K86" s="268"/>
      <c r="L86" s="268"/>
      <c r="M86" s="269"/>
      <c r="Q86" s="1"/>
      <c r="R86" s="1"/>
    </row>
    <row r="87" spans="1:18" ht="19.5" customHeight="1" x14ac:dyDescent="0.25">
      <c r="A87" s="75">
        <f t="shared" si="7"/>
        <v>16.400000000000006</v>
      </c>
      <c r="B87" s="32" t="s">
        <v>22</v>
      </c>
      <c r="C87" s="32" t="s">
        <v>249</v>
      </c>
      <c r="D87" s="32" t="s">
        <v>81</v>
      </c>
      <c r="E87" s="38">
        <v>10.6</v>
      </c>
      <c r="F87" s="38">
        <f>E87*F83</f>
        <v>1.4246399999999999</v>
      </c>
      <c r="G87" s="259"/>
      <c r="H87" s="259"/>
      <c r="I87" s="259"/>
      <c r="J87" s="259"/>
      <c r="K87" s="248"/>
      <c r="L87" s="248"/>
      <c r="M87" s="269"/>
      <c r="Q87" s="1"/>
      <c r="R87" s="1"/>
    </row>
    <row r="88" spans="1:18" ht="19.5" customHeight="1" x14ac:dyDescent="0.25">
      <c r="A88" s="75">
        <f t="shared" si="7"/>
        <v>16.500000000000007</v>
      </c>
      <c r="B88" s="261"/>
      <c r="C88" s="19" t="s">
        <v>103</v>
      </c>
      <c r="D88" s="19" t="s">
        <v>20</v>
      </c>
      <c r="E88" s="39">
        <v>8.16</v>
      </c>
      <c r="F88" s="231">
        <f>E88*F83</f>
        <v>1.0967039999999999</v>
      </c>
      <c r="G88" s="258"/>
      <c r="H88" s="258"/>
      <c r="I88" s="258"/>
      <c r="J88" s="258"/>
      <c r="K88" s="248"/>
      <c r="L88" s="248"/>
      <c r="M88" s="270"/>
      <c r="Q88" s="1"/>
      <c r="R88" s="1"/>
    </row>
    <row r="89" spans="1:18" ht="30.75" customHeight="1" x14ac:dyDescent="0.25">
      <c r="A89" s="69">
        <v>17</v>
      </c>
      <c r="B89" s="271" t="s">
        <v>122</v>
      </c>
      <c r="C89" s="271" t="s">
        <v>250</v>
      </c>
      <c r="D89" s="28" t="s">
        <v>109</v>
      </c>
      <c r="E89" s="55"/>
      <c r="F89" s="388">
        <f>F92</f>
        <v>0.14000000000000001</v>
      </c>
      <c r="G89" s="272"/>
      <c r="H89" s="272"/>
      <c r="I89" s="272"/>
      <c r="J89" s="272"/>
      <c r="K89" s="272"/>
      <c r="L89" s="272"/>
      <c r="M89" s="273"/>
      <c r="Q89" s="1"/>
      <c r="R89" s="1"/>
    </row>
    <row r="90" spans="1:18" ht="19.5" customHeight="1" x14ac:dyDescent="0.25">
      <c r="A90" s="47">
        <f t="shared" ref="A90:A94" si="8">A89+0.1</f>
        <v>17.100000000000001</v>
      </c>
      <c r="B90" s="261"/>
      <c r="C90" s="47" t="s">
        <v>251</v>
      </c>
      <c r="D90" s="47" t="s">
        <v>123</v>
      </c>
      <c r="E90" s="24">
        <v>1</v>
      </c>
      <c r="F90" s="353">
        <f>F89*E90</f>
        <v>0.14000000000000001</v>
      </c>
      <c r="G90" s="72"/>
      <c r="H90" s="72"/>
      <c r="I90" s="72"/>
      <c r="J90" s="72"/>
      <c r="K90" s="259"/>
      <c r="L90" s="259"/>
      <c r="M90" s="262"/>
      <c r="Q90" s="1"/>
      <c r="R90" s="1"/>
    </row>
    <row r="91" spans="1:18" ht="19.5" customHeight="1" x14ac:dyDescent="0.25">
      <c r="A91" s="130">
        <f t="shared" si="8"/>
        <v>17.200000000000003</v>
      </c>
      <c r="B91" s="261"/>
      <c r="C91" s="130" t="s">
        <v>214</v>
      </c>
      <c r="D91" s="130" t="s">
        <v>20</v>
      </c>
      <c r="E91" s="131">
        <v>0.78</v>
      </c>
      <c r="F91" s="131">
        <f>E91*F89</f>
        <v>0.10920000000000002</v>
      </c>
      <c r="G91" s="263"/>
      <c r="H91" s="263"/>
      <c r="I91" s="263"/>
      <c r="J91" s="263"/>
      <c r="K91" s="264"/>
      <c r="L91" s="265"/>
      <c r="M91" s="266"/>
      <c r="Q91" s="1"/>
      <c r="R91" s="1"/>
    </row>
    <row r="92" spans="1:18" ht="19.5" customHeight="1" x14ac:dyDescent="0.25">
      <c r="A92" s="51">
        <f t="shared" si="8"/>
        <v>17.300000000000004</v>
      </c>
      <c r="B92" s="274" t="s">
        <v>252</v>
      </c>
      <c r="C92" s="275" t="s">
        <v>253</v>
      </c>
      <c r="D92" s="32" t="s">
        <v>109</v>
      </c>
      <c r="E92" s="55" t="s">
        <v>91</v>
      </c>
      <c r="F92" s="55">
        <v>0.14000000000000001</v>
      </c>
      <c r="G92" s="32"/>
      <c r="H92" s="38"/>
      <c r="I92" s="272"/>
      <c r="J92" s="272"/>
      <c r="K92" s="272"/>
      <c r="L92" s="272"/>
      <c r="M92" s="38"/>
      <c r="Q92" s="1"/>
      <c r="R92" s="1"/>
    </row>
    <row r="93" spans="1:18" ht="19.5" customHeight="1" x14ac:dyDescent="0.25">
      <c r="A93" s="51">
        <f t="shared" si="8"/>
        <v>17.400000000000006</v>
      </c>
      <c r="B93" s="32" t="s">
        <v>22</v>
      </c>
      <c r="C93" s="275" t="s">
        <v>254</v>
      </c>
      <c r="D93" s="32" t="s">
        <v>123</v>
      </c>
      <c r="E93" s="55" t="s">
        <v>91</v>
      </c>
      <c r="F93" s="187">
        <v>170</v>
      </c>
      <c r="G93" s="32"/>
      <c r="H93" s="38"/>
      <c r="I93" s="272"/>
      <c r="J93" s="272"/>
      <c r="K93" s="272"/>
      <c r="L93" s="272"/>
      <c r="M93" s="38"/>
      <c r="Q93" s="1"/>
      <c r="R93" s="1"/>
    </row>
    <row r="94" spans="1:18" ht="19.5" customHeight="1" x14ac:dyDescent="0.25">
      <c r="A94" s="51">
        <f t="shared" si="8"/>
        <v>17.500000000000007</v>
      </c>
      <c r="B94" s="129"/>
      <c r="C94" s="32" t="s">
        <v>68</v>
      </c>
      <c r="D94" s="32" t="s">
        <v>20</v>
      </c>
      <c r="E94" s="32">
        <v>0.32</v>
      </c>
      <c r="F94" s="38">
        <f>E94*F89</f>
        <v>4.4800000000000006E-2</v>
      </c>
      <c r="G94" s="32"/>
      <c r="H94" s="38"/>
      <c r="I94" s="32"/>
      <c r="J94" s="38"/>
      <c r="K94" s="32"/>
      <c r="L94" s="38"/>
      <c r="M94" s="38"/>
      <c r="Q94" s="1"/>
      <c r="R94" s="1"/>
    </row>
    <row r="95" spans="1:18" ht="35.25" customHeight="1" x14ac:dyDescent="0.25">
      <c r="A95" s="28">
        <v>18</v>
      </c>
      <c r="B95" s="132" t="s">
        <v>113</v>
      </c>
      <c r="C95" s="28" t="s">
        <v>255</v>
      </c>
      <c r="D95" s="28" t="s">
        <v>28</v>
      </c>
      <c r="E95" s="28"/>
      <c r="F95" s="16">
        <f>P81*1.1</f>
        <v>15.065600000000003</v>
      </c>
      <c r="G95" s="133"/>
      <c r="H95" s="16"/>
      <c r="I95" s="28"/>
      <c r="J95" s="16"/>
      <c r="K95" s="28"/>
      <c r="L95" s="16"/>
      <c r="M95" s="16"/>
      <c r="Q95" s="1"/>
      <c r="R95" s="1"/>
    </row>
    <row r="96" spans="1:18" ht="19.5" customHeight="1" x14ac:dyDescent="0.25">
      <c r="A96" s="47">
        <f>A95+0.1</f>
        <v>18.100000000000001</v>
      </c>
      <c r="B96" s="129"/>
      <c r="C96" s="60" t="s">
        <v>114</v>
      </c>
      <c r="D96" s="60" t="s">
        <v>18</v>
      </c>
      <c r="E96" s="60">
        <v>0.68</v>
      </c>
      <c r="F96" s="49">
        <f>F95*E96</f>
        <v>10.244608000000003</v>
      </c>
      <c r="G96" s="40"/>
      <c r="H96" s="40"/>
      <c r="I96" s="113"/>
      <c r="J96" s="89"/>
      <c r="K96" s="40"/>
      <c r="L96" s="40"/>
      <c r="M96" s="89"/>
      <c r="Q96" s="1"/>
      <c r="R96" s="1"/>
    </row>
    <row r="97" spans="1:18" ht="19.5" customHeight="1" x14ac:dyDescent="0.25">
      <c r="A97" s="281">
        <f>A96+0.1</f>
        <v>18.200000000000003</v>
      </c>
      <c r="B97" s="279"/>
      <c r="C97" s="280" t="s">
        <v>115</v>
      </c>
      <c r="D97" s="282" t="s">
        <v>20</v>
      </c>
      <c r="E97" s="283">
        <v>2.9999999999999997E-4</v>
      </c>
      <c r="F97" s="284">
        <f>F95*E97</f>
        <v>4.5196800000000007E-3</v>
      </c>
      <c r="G97" s="285"/>
      <c r="H97" s="285"/>
      <c r="I97" s="286"/>
      <c r="J97" s="286"/>
      <c r="K97" s="284"/>
      <c r="L97" s="284"/>
      <c r="M97" s="284"/>
      <c r="Q97" s="1"/>
      <c r="R97" s="1"/>
    </row>
    <row r="98" spans="1:18" ht="19.5" customHeight="1" x14ac:dyDescent="0.25">
      <c r="A98" s="51">
        <f>A97+0.1</f>
        <v>18.300000000000004</v>
      </c>
      <c r="B98" s="287" t="s">
        <v>177</v>
      </c>
      <c r="C98" s="32" t="s">
        <v>116</v>
      </c>
      <c r="D98" s="32" t="s">
        <v>81</v>
      </c>
      <c r="E98" s="32">
        <v>0.5</v>
      </c>
      <c r="F98" s="38">
        <f>F95*E98</f>
        <v>7.5328000000000017</v>
      </c>
      <c r="G98" s="276"/>
      <c r="H98" s="38"/>
      <c r="I98" s="32"/>
      <c r="J98" s="38"/>
      <c r="K98" s="32"/>
      <c r="L98" s="38"/>
      <c r="M98" s="38"/>
      <c r="Q98" s="1"/>
      <c r="R98" s="1"/>
    </row>
    <row r="99" spans="1:18" ht="19.5" customHeight="1" x14ac:dyDescent="0.25">
      <c r="A99" s="51">
        <f>A98+0.1</f>
        <v>18.400000000000006</v>
      </c>
      <c r="B99" s="287" t="s">
        <v>117</v>
      </c>
      <c r="C99" s="32" t="s">
        <v>118</v>
      </c>
      <c r="D99" s="32" t="s">
        <v>81</v>
      </c>
      <c r="E99" s="32">
        <v>2.7E-2</v>
      </c>
      <c r="F99" s="38">
        <f>F95*E99</f>
        <v>0.40677120000000011</v>
      </c>
      <c r="G99" s="32"/>
      <c r="H99" s="38"/>
      <c r="I99" s="32"/>
      <c r="J99" s="38"/>
      <c r="K99" s="32"/>
      <c r="L99" s="38"/>
      <c r="M99" s="38"/>
      <c r="Q99" s="1"/>
      <c r="R99" s="1"/>
    </row>
    <row r="100" spans="1:18" ht="19.5" customHeight="1" x14ac:dyDescent="0.25">
      <c r="A100" s="51">
        <f>A99+0.1</f>
        <v>18.500000000000007</v>
      </c>
      <c r="B100" s="288"/>
      <c r="C100" s="32" t="s">
        <v>68</v>
      </c>
      <c r="D100" s="32" t="s">
        <v>20</v>
      </c>
      <c r="E100" s="32">
        <v>0.2</v>
      </c>
      <c r="F100" s="38">
        <f>E100*F95</f>
        <v>3.0131200000000007</v>
      </c>
      <c r="G100" s="32"/>
      <c r="H100" s="38"/>
      <c r="I100" s="32"/>
      <c r="J100" s="38"/>
      <c r="K100" s="32"/>
      <c r="L100" s="38"/>
      <c r="M100" s="38"/>
      <c r="Q100" s="1"/>
      <c r="R100" s="1"/>
    </row>
    <row r="101" spans="1:18" ht="19.5" customHeight="1" x14ac:dyDescent="0.25">
      <c r="A101" s="69">
        <v>19</v>
      </c>
      <c r="B101" s="132" t="s">
        <v>113</v>
      </c>
      <c r="C101" s="28" t="s">
        <v>256</v>
      </c>
      <c r="D101" s="28" t="s">
        <v>28</v>
      </c>
      <c r="E101" s="28"/>
      <c r="F101" s="354">
        <v>9.6</v>
      </c>
      <c r="G101" s="133"/>
      <c r="H101" s="16"/>
      <c r="I101" s="28"/>
      <c r="J101" s="16"/>
      <c r="K101" s="28"/>
      <c r="L101" s="16"/>
      <c r="M101" s="16"/>
      <c r="Q101" s="1"/>
      <c r="R101" s="1"/>
    </row>
    <row r="102" spans="1:18" ht="19.5" customHeight="1" x14ac:dyDescent="0.25">
      <c r="A102" s="47">
        <f>A101+0.1</f>
        <v>19.100000000000001</v>
      </c>
      <c r="B102" s="112"/>
      <c r="C102" s="60" t="s">
        <v>114</v>
      </c>
      <c r="D102" s="60" t="s">
        <v>18</v>
      </c>
      <c r="E102" s="60">
        <v>1.2</v>
      </c>
      <c r="F102" s="60">
        <f>F101*E102</f>
        <v>11.52</v>
      </c>
      <c r="G102" s="40"/>
      <c r="H102" s="40"/>
      <c r="I102" s="113"/>
      <c r="J102" s="89"/>
      <c r="K102" s="40"/>
      <c r="L102" s="40"/>
      <c r="M102" s="89"/>
      <c r="Q102" s="1"/>
      <c r="R102" s="1"/>
    </row>
    <row r="103" spans="1:18" x14ac:dyDescent="0.25">
      <c r="A103" s="51">
        <f>A102+0.1</f>
        <v>19.200000000000003</v>
      </c>
      <c r="B103" s="129" t="s">
        <v>257</v>
      </c>
      <c r="C103" s="32" t="s">
        <v>258</v>
      </c>
      <c r="D103" s="32" t="s">
        <v>81</v>
      </c>
      <c r="E103" s="32">
        <v>0.5</v>
      </c>
      <c r="F103" s="38">
        <f>E103*F101</f>
        <v>4.8</v>
      </c>
      <c r="G103" s="276"/>
      <c r="H103" s="38"/>
      <c r="I103" s="32"/>
      <c r="J103" s="38"/>
      <c r="K103" s="32"/>
      <c r="L103" s="38"/>
      <c r="M103" s="38"/>
      <c r="Q103" s="1"/>
      <c r="R103" s="1"/>
    </row>
    <row r="104" spans="1:18" x14ac:dyDescent="0.25">
      <c r="A104" s="51">
        <f>A103+0.1</f>
        <v>19.300000000000004</v>
      </c>
      <c r="B104" s="129" t="s">
        <v>122</v>
      </c>
      <c r="C104" s="32" t="s">
        <v>68</v>
      </c>
      <c r="D104" s="32" t="s">
        <v>20</v>
      </c>
      <c r="E104" s="32">
        <v>0.8</v>
      </c>
      <c r="F104" s="38">
        <f>E104*F101</f>
        <v>7.68</v>
      </c>
      <c r="G104" s="32"/>
      <c r="H104" s="38"/>
      <c r="I104" s="32"/>
      <c r="J104" s="38"/>
      <c r="K104" s="32"/>
      <c r="L104" s="38"/>
      <c r="M104" s="38"/>
      <c r="Q104" s="1"/>
      <c r="R104" s="1"/>
    </row>
    <row r="105" spans="1:18" x14ac:dyDescent="0.25">
      <c r="A105" s="108"/>
      <c r="B105" s="92"/>
      <c r="C105" s="28" t="s">
        <v>42</v>
      </c>
      <c r="D105" s="28" t="s">
        <v>20</v>
      </c>
      <c r="E105" s="16"/>
      <c r="F105" s="15"/>
      <c r="G105" s="15"/>
      <c r="H105" s="111"/>
      <c r="I105" s="41"/>
      <c r="J105" s="111"/>
      <c r="K105" s="31"/>
      <c r="L105" s="111"/>
      <c r="M105" s="111"/>
      <c r="N105" s="165">
        <f>H105+J105+L105</f>
        <v>0</v>
      </c>
    </row>
    <row r="106" spans="1:18" x14ac:dyDescent="0.25">
      <c r="A106" s="32"/>
      <c r="B106" s="32"/>
      <c r="C106" s="32" t="s">
        <v>41</v>
      </c>
      <c r="D106" s="32" t="s">
        <v>20</v>
      </c>
      <c r="E106" s="38"/>
      <c r="F106" s="39"/>
      <c r="G106" s="39"/>
      <c r="H106" s="40"/>
      <c r="I106" s="40"/>
      <c r="J106" s="40"/>
      <c r="K106" s="40"/>
      <c r="L106" s="40"/>
      <c r="M106" s="38"/>
      <c r="N106" s="165"/>
      <c r="O106" s="172"/>
    </row>
    <row r="107" spans="1:18" x14ac:dyDescent="0.25">
      <c r="A107" s="28"/>
      <c r="B107" s="28"/>
      <c r="C107" s="28" t="s">
        <v>42</v>
      </c>
      <c r="D107" s="28" t="s">
        <v>20</v>
      </c>
      <c r="E107" s="16"/>
      <c r="F107" s="15"/>
      <c r="G107" s="15"/>
      <c r="H107" s="41"/>
      <c r="I107" s="41"/>
      <c r="J107" s="41"/>
      <c r="K107" s="41"/>
      <c r="L107" s="41"/>
      <c r="M107" s="16"/>
    </row>
    <row r="108" spans="1:18" x14ac:dyDescent="0.25">
      <c r="A108" s="32"/>
      <c r="B108" s="32"/>
      <c r="C108" s="32" t="s">
        <v>43</v>
      </c>
      <c r="D108" s="32" t="s">
        <v>20</v>
      </c>
      <c r="E108" s="38"/>
      <c r="F108" s="39"/>
      <c r="G108" s="39"/>
      <c r="H108" s="40"/>
      <c r="I108" s="40"/>
      <c r="J108" s="40"/>
      <c r="K108" s="40"/>
      <c r="L108" s="40"/>
      <c r="M108" s="38"/>
    </row>
    <row r="109" spans="1:18" x14ac:dyDescent="0.25">
      <c r="A109" s="42"/>
      <c r="B109" s="42"/>
      <c r="C109" s="42" t="s">
        <v>40</v>
      </c>
      <c r="D109" s="42" t="s">
        <v>20</v>
      </c>
      <c r="E109" s="43"/>
      <c r="F109" s="43"/>
      <c r="G109" s="43"/>
      <c r="H109" s="44"/>
      <c r="I109" s="44"/>
      <c r="J109" s="44"/>
      <c r="K109" s="44"/>
      <c r="L109" s="44"/>
      <c r="M109" s="43"/>
    </row>
    <row r="112" spans="1:18" ht="15.75" x14ac:dyDescent="0.3">
      <c r="C112" s="235"/>
      <c r="D112" s="157"/>
    </row>
    <row r="113" spans="3:4" ht="15.75" x14ac:dyDescent="0.3">
      <c r="C113" s="157"/>
      <c r="D113" s="157"/>
    </row>
    <row r="114" spans="3:4" ht="15.75" x14ac:dyDescent="0.3">
      <c r="C114" s="157"/>
      <c r="D114" s="157"/>
    </row>
  </sheetData>
  <mergeCells count="12">
    <mergeCell ref="A6:M6"/>
    <mergeCell ref="A1:M1"/>
    <mergeCell ref="A3:A4"/>
    <mergeCell ref="B3:B4"/>
    <mergeCell ref="C3:C4"/>
    <mergeCell ref="D3:D4"/>
    <mergeCell ref="E3:F3"/>
    <mergeCell ref="G3:H3"/>
    <mergeCell ref="I3:J3"/>
    <mergeCell ref="K3:L3"/>
    <mergeCell ref="M3:M4"/>
    <mergeCell ref="A2:C2"/>
  </mergeCells>
  <printOptions horizontalCentered="1"/>
  <pageMargins left="0" right="0" top="0.94488188976377963" bottom="0.55118110236220474" header="0.31496062992125984" footer="0.11811023622047245"/>
  <pageSetup paperSize="9" scale="80" orientation="landscape" horizontalDpi="4294967292" verticalDpi="0" r:id="rId1"/>
  <headerFooter>
    <oddFooter>Страница  &amp;P из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tabSelected="1" view="pageBreakPreview" zoomScaleNormal="100" zoomScaleSheetLayoutView="100" workbookViewId="0">
      <selection activeCell="S4" sqref="S4"/>
    </sheetView>
  </sheetViews>
  <sheetFormatPr defaultRowHeight="15" x14ac:dyDescent="0.25"/>
  <cols>
    <col min="2" max="2" width="14.5703125" customWidth="1"/>
    <col min="3" max="3" width="44" customWidth="1"/>
    <col min="4" max="4" width="11.5703125" customWidth="1"/>
    <col min="5" max="6" width="10.28515625" customWidth="1"/>
    <col min="13" max="13" width="13.7109375" customWidth="1"/>
    <col min="14" max="15" width="9.140625" hidden="1" customWidth="1"/>
    <col min="16" max="17" width="9.140625" customWidth="1"/>
  </cols>
  <sheetData>
    <row r="1" spans="1:16" x14ac:dyDescent="0.25">
      <c r="A1" s="403"/>
      <c r="B1" s="403"/>
      <c r="C1" s="403"/>
      <c r="D1" s="403"/>
      <c r="E1" s="403"/>
      <c r="F1" s="403"/>
      <c r="G1" s="403"/>
      <c r="H1" s="403"/>
      <c r="I1" s="404"/>
      <c r="J1" s="404"/>
      <c r="K1" s="404"/>
      <c r="L1" s="404"/>
      <c r="M1" s="404"/>
    </row>
    <row r="2" spans="1:16" x14ac:dyDescent="0.25">
      <c r="A2" s="1"/>
      <c r="B2" s="412"/>
      <c r="C2" s="413"/>
      <c r="D2" s="413"/>
      <c r="E2" s="1"/>
      <c r="F2" s="2"/>
      <c r="G2" s="2"/>
      <c r="H2" s="1"/>
      <c r="I2" s="1"/>
      <c r="J2" s="2"/>
      <c r="K2" s="1"/>
      <c r="L2" s="1"/>
      <c r="M2" s="1"/>
    </row>
    <row r="3" spans="1:16" ht="27" customHeight="1" x14ac:dyDescent="0.25">
      <c r="A3" s="405" t="s">
        <v>0</v>
      </c>
      <c r="B3" s="406" t="s">
        <v>1</v>
      </c>
      <c r="C3" s="408" t="s">
        <v>2</v>
      </c>
      <c r="D3" s="408" t="s">
        <v>3</v>
      </c>
      <c r="E3" s="410" t="s">
        <v>4</v>
      </c>
      <c r="F3" s="411"/>
      <c r="G3" s="408" t="s">
        <v>5</v>
      </c>
      <c r="H3" s="408"/>
      <c r="I3" s="408" t="s">
        <v>6</v>
      </c>
      <c r="J3" s="408"/>
      <c r="K3" s="408" t="s">
        <v>7</v>
      </c>
      <c r="L3" s="408"/>
      <c r="M3" s="408" t="s">
        <v>8</v>
      </c>
    </row>
    <row r="4" spans="1:16" ht="38.25" x14ac:dyDescent="0.25">
      <c r="A4" s="405" t="s">
        <v>0</v>
      </c>
      <c r="B4" s="407"/>
      <c r="C4" s="408" t="s">
        <v>9</v>
      </c>
      <c r="D4" s="409" t="s">
        <v>10</v>
      </c>
      <c r="E4" s="3" t="s">
        <v>11</v>
      </c>
      <c r="F4" s="4" t="s">
        <v>12</v>
      </c>
      <c r="G4" s="5" t="s">
        <v>13</v>
      </c>
      <c r="H4" s="6" t="s">
        <v>14</v>
      </c>
      <c r="I4" s="6" t="s">
        <v>13</v>
      </c>
      <c r="J4" s="7" t="s">
        <v>14</v>
      </c>
      <c r="K4" s="6" t="s">
        <v>13</v>
      </c>
      <c r="L4" s="6" t="s">
        <v>14</v>
      </c>
      <c r="M4" s="408" t="s">
        <v>14</v>
      </c>
    </row>
    <row r="5" spans="1:16" ht="21.75" customHeight="1" x14ac:dyDescent="0.25">
      <c r="A5" s="8">
        <v>1</v>
      </c>
      <c r="B5" s="9">
        <v>2</v>
      </c>
      <c r="C5" s="9">
        <v>3</v>
      </c>
      <c r="D5" s="9">
        <v>4</v>
      </c>
      <c r="E5" s="10">
        <v>5</v>
      </c>
      <c r="F5" s="11">
        <v>6</v>
      </c>
      <c r="G5" s="12">
        <v>7</v>
      </c>
      <c r="H5" s="9">
        <v>8</v>
      </c>
      <c r="I5" s="9">
        <v>9</v>
      </c>
      <c r="J5" s="12">
        <v>10</v>
      </c>
      <c r="K5" s="9">
        <v>11</v>
      </c>
      <c r="L5" s="9">
        <v>12</v>
      </c>
      <c r="M5" s="9">
        <v>13</v>
      </c>
    </row>
    <row r="6" spans="1:16" ht="23.25" customHeight="1" x14ac:dyDescent="0.25">
      <c r="A6" s="400" t="s">
        <v>173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5"/>
    </row>
    <row r="7" spans="1:16" ht="21" customHeight="1" x14ac:dyDescent="0.25">
      <c r="A7" s="400" t="s">
        <v>151</v>
      </c>
      <c r="B7" s="401"/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2"/>
    </row>
    <row r="8" spans="1:16" ht="28.5" customHeight="1" x14ac:dyDescent="0.25">
      <c r="A8" s="45">
        <v>1</v>
      </c>
      <c r="B8" s="13" t="s">
        <v>46</v>
      </c>
      <c r="C8" s="14" t="s">
        <v>164</v>
      </c>
      <c r="D8" s="14" t="s">
        <v>16</v>
      </c>
      <c r="E8" s="15"/>
      <c r="F8" s="342">
        <f>N8*0.5*0.8/100</f>
        <v>0.35200000000000004</v>
      </c>
      <c r="G8" s="16"/>
      <c r="H8" s="28"/>
      <c r="I8" s="28"/>
      <c r="J8" s="28"/>
      <c r="K8" s="28"/>
      <c r="L8" s="28"/>
      <c r="M8" s="16"/>
      <c r="N8">
        <v>88</v>
      </c>
    </row>
    <row r="9" spans="1:16" ht="23.25" customHeight="1" x14ac:dyDescent="0.25">
      <c r="A9" s="47">
        <f>A8+0.1</f>
        <v>1.1000000000000001</v>
      </c>
      <c r="B9" s="46"/>
      <c r="C9" s="47" t="s">
        <v>17</v>
      </c>
      <c r="D9" s="47" t="s">
        <v>18</v>
      </c>
      <c r="E9" s="24">
        <v>206</v>
      </c>
      <c r="F9" s="22">
        <f>F8*E9</f>
        <v>72.512</v>
      </c>
      <c r="G9" s="20"/>
      <c r="H9" s="48"/>
      <c r="I9" s="49"/>
      <c r="J9" s="21"/>
      <c r="K9" s="20"/>
      <c r="L9" s="20"/>
      <c r="M9" s="21"/>
    </row>
    <row r="10" spans="1:16" ht="38.25" customHeight="1" x14ac:dyDescent="0.25">
      <c r="A10" s="51">
        <v>2</v>
      </c>
      <c r="B10" s="209" t="s">
        <v>73</v>
      </c>
      <c r="C10" s="69" t="s">
        <v>206</v>
      </c>
      <c r="D10" s="69" t="s">
        <v>16</v>
      </c>
      <c r="E10" s="62"/>
      <c r="F10" s="58">
        <f>F15/5/100</f>
        <v>2.2500000000000003E-3</v>
      </c>
      <c r="G10" s="70"/>
      <c r="H10" s="176"/>
      <c r="I10" s="176"/>
      <c r="J10" s="176"/>
      <c r="K10" s="176"/>
      <c r="L10" s="176"/>
      <c r="M10" s="62"/>
    </row>
    <row r="11" spans="1:16" ht="24" customHeight="1" x14ac:dyDescent="0.25">
      <c r="A11" s="386">
        <f>A10+0.1</f>
        <v>2.1</v>
      </c>
      <c r="B11" s="134"/>
      <c r="C11" s="61" t="s">
        <v>74</v>
      </c>
      <c r="D11" s="61" t="s">
        <v>18</v>
      </c>
      <c r="E11" s="61">
        <v>89</v>
      </c>
      <c r="F11" s="61">
        <f>E11*F10</f>
        <v>0.20025000000000001</v>
      </c>
      <c r="G11" s="71"/>
      <c r="H11" s="71"/>
      <c r="I11" s="72"/>
      <c r="J11" s="72"/>
      <c r="K11" s="176"/>
      <c r="L11" s="176"/>
      <c r="M11" s="210"/>
    </row>
    <row r="12" spans="1:16" ht="24" customHeight="1" x14ac:dyDescent="0.25">
      <c r="A12" s="123">
        <f t="shared" ref="A12:A14" si="0">A11+0.1</f>
        <v>2.2000000000000002</v>
      </c>
      <c r="B12" s="69"/>
      <c r="C12" s="123" t="s">
        <v>75</v>
      </c>
      <c r="D12" s="123" t="s">
        <v>123</v>
      </c>
      <c r="E12" s="64">
        <v>37</v>
      </c>
      <c r="F12" s="64">
        <f>E12*F10</f>
        <v>8.3250000000000005E-2</v>
      </c>
      <c r="G12" s="74"/>
      <c r="H12" s="74"/>
      <c r="I12" s="74"/>
      <c r="J12" s="74"/>
      <c r="K12" s="64"/>
      <c r="L12" s="64"/>
      <c r="M12" s="74"/>
    </row>
    <row r="13" spans="1:16" ht="24" customHeight="1" x14ac:dyDescent="0.25">
      <c r="A13" s="51">
        <f t="shared" si="0"/>
        <v>2.3000000000000003</v>
      </c>
      <c r="B13" s="51" t="s">
        <v>306</v>
      </c>
      <c r="C13" s="63" t="s">
        <v>346</v>
      </c>
      <c r="D13" s="51" t="s">
        <v>65</v>
      </c>
      <c r="E13" s="67" t="s">
        <v>95</v>
      </c>
      <c r="F13" s="67">
        <v>0.8</v>
      </c>
      <c r="G13" s="67"/>
      <c r="H13" s="67"/>
      <c r="I13" s="77"/>
      <c r="J13" s="77"/>
      <c r="K13" s="77"/>
      <c r="L13" s="77"/>
      <c r="M13" s="77"/>
    </row>
    <row r="14" spans="1:16" ht="24" customHeight="1" x14ac:dyDescent="0.25">
      <c r="A14" s="51">
        <f t="shared" si="0"/>
        <v>2.4000000000000004</v>
      </c>
      <c r="B14" s="51"/>
      <c r="C14" s="19" t="s">
        <v>79</v>
      </c>
      <c r="D14" s="19" t="s">
        <v>78</v>
      </c>
      <c r="E14" s="39">
        <v>2</v>
      </c>
      <c r="F14" s="198">
        <f>E14*F10</f>
        <v>4.5000000000000005E-3</v>
      </c>
      <c r="G14" s="39"/>
      <c r="H14" s="39"/>
      <c r="I14" s="39"/>
      <c r="J14" s="39"/>
      <c r="K14" s="39"/>
      <c r="L14" s="39"/>
      <c r="M14" s="39"/>
    </row>
    <row r="15" spans="1:16" ht="24" customHeight="1" x14ac:dyDescent="0.25">
      <c r="A15" s="28">
        <v>3</v>
      </c>
      <c r="B15" s="225" t="s">
        <v>207</v>
      </c>
      <c r="C15" s="14" t="s">
        <v>108</v>
      </c>
      <c r="D15" s="28" t="s">
        <v>109</v>
      </c>
      <c r="E15" s="28"/>
      <c r="F15" s="14">
        <f>F22*0.5*0.5*0.5</f>
        <v>1.125</v>
      </c>
      <c r="G15" s="28"/>
      <c r="H15" s="16"/>
      <c r="I15" s="28"/>
      <c r="J15" s="16"/>
      <c r="K15" s="28"/>
      <c r="L15" s="16"/>
      <c r="M15" s="16"/>
      <c r="N15" s="1"/>
      <c r="O15" s="1"/>
      <c r="P15" s="1"/>
    </row>
    <row r="16" spans="1:16" ht="24" customHeight="1" x14ac:dyDescent="0.25">
      <c r="A16" s="60">
        <f>A15+0.1</f>
        <v>3.1</v>
      </c>
      <c r="B16" s="129"/>
      <c r="C16" s="60" t="s">
        <v>50</v>
      </c>
      <c r="D16" s="60" t="s">
        <v>18</v>
      </c>
      <c r="E16" s="49">
        <v>4.5</v>
      </c>
      <c r="F16" s="61">
        <f>E16*F15</f>
        <v>5.0625</v>
      </c>
      <c r="G16" s="177"/>
      <c r="H16" s="93"/>
      <c r="I16" s="21"/>
      <c r="J16" s="61"/>
      <c r="K16" s="177"/>
      <c r="L16" s="93"/>
      <c r="M16" s="49"/>
      <c r="N16" s="1"/>
      <c r="O16" s="1"/>
      <c r="P16" s="1"/>
    </row>
    <row r="17" spans="1:16" ht="24" customHeight="1" x14ac:dyDescent="0.25">
      <c r="A17" s="33">
        <f>A16+0.1</f>
        <v>3.2</v>
      </c>
      <c r="B17" s="129"/>
      <c r="C17" s="33" t="s">
        <v>75</v>
      </c>
      <c r="D17" s="33" t="s">
        <v>20</v>
      </c>
      <c r="E17" s="34">
        <v>0.37</v>
      </c>
      <c r="F17" s="64">
        <f>E17*F15</f>
        <v>0.41625000000000001</v>
      </c>
      <c r="G17" s="74"/>
      <c r="H17" s="73"/>
      <c r="I17" s="73"/>
      <c r="J17" s="74"/>
      <c r="K17" s="64"/>
      <c r="L17" s="34"/>
      <c r="M17" s="73"/>
      <c r="N17" s="1"/>
      <c r="O17" s="1"/>
      <c r="P17" s="1"/>
    </row>
    <row r="18" spans="1:16" ht="24" customHeight="1" x14ac:dyDescent="0.25">
      <c r="A18" s="51">
        <f>A17+0.1</f>
        <v>3.3000000000000003</v>
      </c>
      <c r="B18" s="171" t="s">
        <v>322</v>
      </c>
      <c r="C18" s="19" t="s">
        <v>219</v>
      </c>
      <c r="D18" s="63" t="s">
        <v>65</v>
      </c>
      <c r="E18" s="66">
        <v>1.02</v>
      </c>
      <c r="F18" s="67">
        <f>E18*F15</f>
        <v>1.1475</v>
      </c>
      <c r="G18" s="178"/>
      <c r="H18" s="66"/>
      <c r="I18" s="76"/>
      <c r="J18" s="77"/>
      <c r="K18" s="77"/>
      <c r="L18" s="76"/>
      <c r="M18" s="76"/>
      <c r="N18" s="1"/>
      <c r="O18" s="1"/>
      <c r="P18" s="1"/>
    </row>
    <row r="19" spans="1:16" ht="24" customHeight="1" x14ac:dyDescent="0.25">
      <c r="A19" s="51">
        <f t="shared" ref="A19:A21" si="1">A18+0.1</f>
        <v>3.4000000000000004</v>
      </c>
      <c r="B19" s="32">
        <v>5.149</v>
      </c>
      <c r="C19" s="19" t="s">
        <v>220</v>
      </c>
      <c r="D19" s="51" t="s">
        <v>208</v>
      </c>
      <c r="E19" s="67">
        <v>1.61</v>
      </c>
      <c r="F19" s="67">
        <f>F15*E19</f>
        <v>1.81125</v>
      </c>
      <c r="G19" s="178"/>
      <c r="H19" s="67"/>
      <c r="I19" s="77"/>
      <c r="J19" s="77"/>
      <c r="K19" s="77"/>
      <c r="L19" s="77"/>
      <c r="M19" s="77"/>
      <c r="N19" s="1"/>
      <c r="O19" s="1"/>
      <c r="P19" s="1"/>
    </row>
    <row r="20" spans="1:16" ht="24" customHeight="1" x14ac:dyDescent="0.25">
      <c r="A20" s="51">
        <f t="shared" si="1"/>
        <v>3.5000000000000004</v>
      </c>
      <c r="B20" s="352">
        <v>5.0999999999999996</v>
      </c>
      <c r="C20" s="19" t="s">
        <v>221</v>
      </c>
      <c r="D20" s="51" t="s">
        <v>200</v>
      </c>
      <c r="E20" s="67">
        <f>1.72/100</f>
        <v>1.72E-2</v>
      </c>
      <c r="F20" s="67">
        <f>F15*E20</f>
        <v>1.9349999999999999E-2</v>
      </c>
      <c r="G20" s="178"/>
      <c r="H20" s="67"/>
      <c r="I20" s="77"/>
      <c r="J20" s="77"/>
      <c r="K20" s="77"/>
      <c r="L20" s="77"/>
      <c r="M20" s="77"/>
      <c r="N20" s="1"/>
      <c r="O20" s="1"/>
      <c r="P20" s="1"/>
    </row>
    <row r="21" spans="1:16" ht="24" customHeight="1" x14ac:dyDescent="0.25">
      <c r="A21" s="51">
        <f t="shared" si="1"/>
        <v>3.6000000000000005</v>
      </c>
      <c r="B21" s="51"/>
      <c r="C21" s="51" t="s">
        <v>68</v>
      </c>
      <c r="D21" s="51" t="s">
        <v>76</v>
      </c>
      <c r="E21" s="67">
        <v>0.28000000000000003</v>
      </c>
      <c r="F21" s="67">
        <f>E21*F15</f>
        <v>0.31500000000000006</v>
      </c>
      <c r="G21" s="67"/>
      <c r="H21" s="67"/>
      <c r="I21" s="77"/>
      <c r="J21" s="77"/>
      <c r="K21" s="77"/>
      <c r="L21" s="77"/>
      <c r="M21" s="77"/>
      <c r="N21" s="1"/>
      <c r="O21" s="1"/>
      <c r="P21" s="1"/>
    </row>
    <row r="22" spans="1:16" ht="40.5" customHeight="1" x14ac:dyDescent="0.25">
      <c r="A22" s="14">
        <v>4</v>
      </c>
      <c r="B22" s="211" t="s">
        <v>210</v>
      </c>
      <c r="C22" s="69" t="s">
        <v>124</v>
      </c>
      <c r="D22" s="69" t="s">
        <v>30</v>
      </c>
      <c r="E22" s="62"/>
      <c r="F22" s="58">
        <v>9</v>
      </c>
      <c r="G22" s="204"/>
      <c r="H22" s="194"/>
      <c r="I22" s="83"/>
      <c r="J22" s="83"/>
      <c r="K22" s="83"/>
      <c r="L22" s="83"/>
      <c r="M22" s="15"/>
      <c r="N22" s="1"/>
      <c r="O22" s="1"/>
      <c r="P22" s="1"/>
    </row>
    <row r="23" spans="1:16" ht="24" customHeight="1" x14ac:dyDescent="0.25">
      <c r="A23" s="134">
        <f t="shared" ref="A23:A28" si="2">A22+0.1</f>
        <v>4.0999999999999996</v>
      </c>
      <c r="B23" s="69"/>
      <c r="C23" s="134" t="s">
        <v>77</v>
      </c>
      <c r="D23" s="134" t="s">
        <v>18</v>
      </c>
      <c r="E23" s="134">
        <v>5.4</v>
      </c>
      <c r="F23" s="134">
        <f>E23*F22</f>
        <v>48.6</v>
      </c>
      <c r="G23" s="194"/>
      <c r="H23" s="194"/>
      <c r="I23" s="206"/>
      <c r="J23" s="207"/>
      <c r="K23" s="194"/>
      <c r="L23" s="194"/>
      <c r="M23" s="207"/>
      <c r="N23" s="1"/>
      <c r="O23" s="1"/>
      <c r="P23" s="1"/>
    </row>
    <row r="24" spans="1:16" ht="24" customHeight="1" x14ac:dyDescent="0.25">
      <c r="A24" s="114">
        <f t="shared" si="2"/>
        <v>4.1999999999999993</v>
      </c>
      <c r="B24" s="114">
        <v>13.46</v>
      </c>
      <c r="C24" s="114" t="s">
        <v>211</v>
      </c>
      <c r="D24" s="114" t="s">
        <v>56</v>
      </c>
      <c r="E24" s="103">
        <v>1.25</v>
      </c>
      <c r="F24" s="103">
        <f>E24*F22</f>
        <v>11.25</v>
      </c>
      <c r="G24" s="194"/>
      <c r="H24" s="194"/>
      <c r="I24" s="103"/>
      <c r="J24" s="103"/>
      <c r="K24" s="103"/>
      <c r="L24" s="103"/>
      <c r="M24" s="103"/>
      <c r="N24" s="1"/>
      <c r="O24" s="1"/>
      <c r="P24" s="1"/>
    </row>
    <row r="25" spans="1:16" ht="24" customHeight="1" x14ac:dyDescent="0.25">
      <c r="A25" s="51">
        <f t="shared" si="2"/>
        <v>4.2999999999999989</v>
      </c>
      <c r="B25" s="39" t="s">
        <v>329</v>
      </c>
      <c r="C25" s="19" t="s">
        <v>125</v>
      </c>
      <c r="D25" s="19" t="s">
        <v>26</v>
      </c>
      <c r="E25" s="39" t="s">
        <v>91</v>
      </c>
      <c r="F25" s="186">
        <f>F22*N25</f>
        <v>22.5</v>
      </c>
      <c r="G25" s="39"/>
      <c r="H25" s="39"/>
      <c r="I25" s="39"/>
      <c r="J25" s="39"/>
      <c r="K25" s="212"/>
      <c r="L25" s="212"/>
      <c r="M25" s="39"/>
      <c r="N25" s="1">
        <v>2.5</v>
      </c>
      <c r="O25" s="1">
        <f>F25*0.34</f>
        <v>7.65</v>
      </c>
      <c r="P25" s="1"/>
    </row>
    <row r="26" spans="1:16" ht="24" customHeight="1" x14ac:dyDescent="0.25">
      <c r="A26" s="51">
        <f t="shared" si="2"/>
        <v>4.3999999999999986</v>
      </c>
      <c r="B26" s="39" t="s">
        <v>323</v>
      </c>
      <c r="C26" s="19" t="s">
        <v>126</v>
      </c>
      <c r="D26" s="19" t="s">
        <v>26</v>
      </c>
      <c r="E26" s="39" t="s">
        <v>91</v>
      </c>
      <c r="F26" s="186">
        <f>F22*N26</f>
        <v>11.700000000000001</v>
      </c>
      <c r="G26" s="39"/>
      <c r="H26" s="39"/>
      <c r="I26" s="39"/>
      <c r="J26" s="39"/>
      <c r="K26" s="212"/>
      <c r="L26" s="212"/>
      <c r="M26" s="39"/>
      <c r="N26" s="1">
        <v>1.3</v>
      </c>
      <c r="O26" s="1">
        <f>F26*0.24</f>
        <v>2.8080000000000003</v>
      </c>
      <c r="P26" s="1"/>
    </row>
    <row r="27" spans="1:16" ht="24" customHeight="1" x14ac:dyDescent="0.25">
      <c r="A27" s="51">
        <f t="shared" si="2"/>
        <v>4.4999999999999982</v>
      </c>
      <c r="B27" s="39" t="s">
        <v>324</v>
      </c>
      <c r="C27" s="19" t="s">
        <v>127</v>
      </c>
      <c r="D27" s="19" t="s">
        <v>26</v>
      </c>
      <c r="E27" s="39" t="s">
        <v>91</v>
      </c>
      <c r="F27" s="186">
        <f>F22*N27</f>
        <v>7.2</v>
      </c>
      <c r="G27" s="39"/>
      <c r="H27" s="39"/>
      <c r="I27" s="39"/>
      <c r="J27" s="39"/>
      <c r="K27" s="212"/>
      <c r="L27" s="212"/>
      <c r="M27" s="39"/>
      <c r="N27" s="1">
        <v>0.8</v>
      </c>
      <c r="O27" s="1">
        <f>F28*0.18</f>
        <v>2.4299999999999997</v>
      </c>
      <c r="P27" s="1"/>
    </row>
    <row r="28" spans="1:16" ht="24" customHeight="1" x14ac:dyDescent="0.25">
      <c r="A28" s="51">
        <f t="shared" si="2"/>
        <v>4.5999999999999979</v>
      </c>
      <c r="B28" s="19"/>
      <c r="C28" s="19" t="s">
        <v>72</v>
      </c>
      <c r="D28" s="19" t="s">
        <v>20</v>
      </c>
      <c r="E28" s="39">
        <v>1.5</v>
      </c>
      <c r="F28" s="39">
        <f>E28*F22</f>
        <v>13.5</v>
      </c>
      <c r="G28" s="39"/>
      <c r="H28" s="39"/>
      <c r="I28" s="39"/>
      <c r="J28" s="39"/>
      <c r="K28" s="39"/>
      <c r="L28" s="39"/>
      <c r="M28" s="39"/>
      <c r="N28" s="1"/>
      <c r="O28" s="1">
        <f>SUM(O25:O27)</f>
        <v>12.888</v>
      </c>
      <c r="P28" s="1"/>
    </row>
    <row r="29" spans="1:16" ht="24" customHeight="1" x14ac:dyDescent="0.25">
      <c r="A29" s="14">
        <v>5</v>
      </c>
      <c r="B29" s="136" t="s">
        <v>128</v>
      </c>
      <c r="C29" s="14" t="s">
        <v>189</v>
      </c>
      <c r="D29" s="14" t="s">
        <v>45</v>
      </c>
      <c r="E29" s="15"/>
      <c r="F29" s="15">
        <v>9</v>
      </c>
      <c r="G29" s="15"/>
      <c r="H29" s="39"/>
      <c r="I29" s="39"/>
      <c r="J29" s="39"/>
      <c r="K29" s="39"/>
      <c r="L29" s="39"/>
      <c r="M29" s="15"/>
      <c r="N29" s="1"/>
      <c r="O29" s="1"/>
      <c r="P29" s="1"/>
    </row>
    <row r="30" spans="1:16" ht="24" customHeight="1" x14ac:dyDescent="0.25">
      <c r="A30" s="47">
        <f t="shared" ref="A30:A35" si="3">A29+0.1</f>
        <v>5.0999999999999996</v>
      </c>
      <c r="B30" s="137"/>
      <c r="C30" s="47" t="s">
        <v>77</v>
      </c>
      <c r="D30" s="47" t="s">
        <v>18</v>
      </c>
      <c r="E30" s="24">
        <v>0.9</v>
      </c>
      <c r="F30" s="24">
        <f>F29*E30</f>
        <v>8.1</v>
      </c>
      <c r="G30" s="24"/>
      <c r="H30" s="24"/>
      <c r="I30" s="24"/>
      <c r="J30" s="24"/>
      <c r="K30" s="24"/>
      <c r="L30" s="24"/>
      <c r="M30" s="24"/>
      <c r="N30" s="1"/>
      <c r="O30" s="1"/>
      <c r="P30" s="1"/>
    </row>
    <row r="31" spans="1:16" ht="24" customHeight="1" x14ac:dyDescent="0.25">
      <c r="A31" s="130">
        <f t="shared" si="3"/>
        <v>5.1999999999999993</v>
      </c>
      <c r="B31" s="138"/>
      <c r="C31" s="130" t="s">
        <v>119</v>
      </c>
      <c r="D31" s="130" t="s">
        <v>20</v>
      </c>
      <c r="E31" s="131">
        <f>0.7/100</f>
        <v>6.9999999999999993E-3</v>
      </c>
      <c r="F31" s="131">
        <f>F29*E31</f>
        <v>6.3E-2</v>
      </c>
      <c r="G31" s="131"/>
      <c r="H31" s="131"/>
      <c r="I31" s="131"/>
      <c r="J31" s="131"/>
      <c r="K31" s="131"/>
      <c r="L31" s="131"/>
      <c r="M31" s="131"/>
      <c r="N31" s="1"/>
      <c r="O31" s="1"/>
      <c r="P31" s="1"/>
    </row>
    <row r="32" spans="1:16" ht="24" customHeight="1" x14ac:dyDescent="0.25">
      <c r="A32" s="51">
        <f t="shared" si="3"/>
        <v>5.2999999999999989</v>
      </c>
      <c r="B32" s="227" t="s">
        <v>330</v>
      </c>
      <c r="C32" s="139" t="s">
        <v>188</v>
      </c>
      <c r="D32" s="139" t="s">
        <v>129</v>
      </c>
      <c r="E32" s="39" t="s">
        <v>91</v>
      </c>
      <c r="F32" s="39">
        <v>40</v>
      </c>
      <c r="G32" s="140"/>
      <c r="H32" s="39"/>
      <c r="I32" s="39"/>
      <c r="J32" s="39"/>
      <c r="K32" s="39"/>
      <c r="L32" s="39"/>
      <c r="M32" s="39"/>
      <c r="N32" s="39">
        <v>8.5</v>
      </c>
      <c r="O32" s="1"/>
      <c r="P32" s="1"/>
    </row>
    <row r="33" spans="1:16" ht="24" customHeight="1" x14ac:dyDescent="0.25">
      <c r="A33" s="51">
        <f t="shared" si="3"/>
        <v>5.3999999999999986</v>
      </c>
      <c r="B33" s="139" t="s">
        <v>22</v>
      </c>
      <c r="C33" s="139" t="s">
        <v>165</v>
      </c>
      <c r="D33" s="139" t="s">
        <v>129</v>
      </c>
      <c r="E33" s="39" t="s">
        <v>91</v>
      </c>
      <c r="F33" s="185">
        <f>N8+(F29*0.9)</f>
        <v>96.1</v>
      </c>
      <c r="G33" s="140"/>
      <c r="H33" s="39"/>
      <c r="I33" s="39"/>
      <c r="J33" s="39"/>
      <c r="K33" s="39"/>
      <c r="L33" s="39"/>
      <c r="M33" s="39"/>
      <c r="N33" s="1"/>
      <c r="O33" s="1"/>
      <c r="P33" s="1"/>
    </row>
    <row r="34" spans="1:16" ht="24" customHeight="1" x14ac:dyDescent="0.25">
      <c r="A34" s="51">
        <f t="shared" si="3"/>
        <v>5.4999999999999982</v>
      </c>
      <c r="B34" s="139" t="s">
        <v>166</v>
      </c>
      <c r="C34" s="139" t="s">
        <v>167</v>
      </c>
      <c r="D34" s="139" t="s">
        <v>30</v>
      </c>
      <c r="E34" s="39" t="s">
        <v>91</v>
      </c>
      <c r="F34" s="39">
        <f>F22</f>
        <v>9</v>
      </c>
      <c r="G34" s="141"/>
      <c r="H34" s="39"/>
      <c r="I34" s="39"/>
      <c r="J34" s="39"/>
      <c r="K34" s="39"/>
      <c r="L34" s="39"/>
      <c r="M34" s="39"/>
      <c r="N34" s="1"/>
      <c r="O34" s="1"/>
      <c r="P34" s="1"/>
    </row>
    <row r="35" spans="1:16" ht="24" customHeight="1" x14ac:dyDescent="0.25">
      <c r="A35" s="51">
        <f t="shared" si="3"/>
        <v>5.5999999999999979</v>
      </c>
      <c r="B35" s="142"/>
      <c r="C35" s="143" t="s">
        <v>72</v>
      </c>
      <c r="D35" s="19" t="s">
        <v>20</v>
      </c>
      <c r="E35" s="144">
        <v>0.14000000000000001</v>
      </c>
      <c r="F35" s="144">
        <f>E35*F29</f>
        <v>1.2600000000000002</v>
      </c>
      <c r="G35" s="140"/>
      <c r="H35" s="144"/>
      <c r="I35" s="39"/>
      <c r="J35" s="39"/>
      <c r="K35" s="39"/>
      <c r="L35" s="39"/>
      <c r="M35" s="39"/>
      <c r="N35" s="1"/>
      <c r="O35" s="1"/>
      <c r="P35" s="1"/>
    </row>
    <row r="36" spans="1:16" ht="35.25" customHeight="1" x14ac:dyDescent="0.25">
      <c r="A36" s="14">
        <v>6</v>
      </c>
      <c r="B36" s="193" t="s">
        <v>113</v>
      </c>
      <c r="C36" s="14" t="s">
        <v>130</v>
      </c>
      <c r="D36" s="14" t="s">
        <v>28</v>
      </c>
      <c r="E36" s="14"/>
      <c r="F36" s="15">
        <f>O36*1.1</f>
        <v>28.353600000000004</v>
      </c>
      <c r="G36" s="13"/>
      <c r="H36" s="15"/>
      <c r="I36" s="14"/>
      <c r="J36" s="15"/>
      <c r="K36" s="14"/>
      <c r="L36" s="15"/>
      <c r="M36" s="15"/>
      <c r="N36" s="1"/>
      <c r="O36" s="1">
        <f>SUM(O25:O28)</f>
        <v>25.776</v>
      </c>
      <c r="P36" s="1"/>
    </row>
    <row r="37" spans="1:16" ht="24" customHeight="1" x14ac:dyDescent="0.25">
      <c r="A37" s="134">
        <f>A36+0.1</f>
        <v>6.1</v>
      </c>
      <c r="B37" s="171"/>
      <c r="C37" s="134" t="s">
        <v>114</v>
      </c>
      <c r="D37" s="134" t="s">
        <v>18</v>
      </c>
      <c r="E37" s="134">
        <v>0.68</v>
      </c>
      <c r="F37" s="134">
        <f>F36*E37</f>
        <v>19.280448000000003</v>
      </c>
      <c r="G37" s="194"/>
      <c r="H37" s="194"/>
      <c r="I37" s="206"/>
      <c r="J37" s="207"/>
      <c r="K37" s="194"/>
      <c r="L37" s="194"/>
      <c r="M37" s="207"/>
      <c r="N37" s="1"/>
      <c r="O37" s="1"/>
      <c r="P37" s="1"/>
    </row>
    <row r="38" spans="1:16" ht="24" customHeight="1" x14ac:dyDescent="0.25">
      <c r="A38" s="114">
        <f>A37+0.1</f>
        <v>6.1999999999999993</v>
      </c>
      <c r="B38" s="171"/>
      <c r="C38" s="114" t="s">
        <v>115</v>
      </c>
      <c r="D38" s="114" t="s">
        <v>20</v>
      </c>
      <c r="E38" s="179">
        <v>2.9999999999999997E-4</v>
      </c>
      <c r="F38" s="103">
        <f>F36*E38</f>
        <v>8.5060800000000009E-3</v>
      </c>
      <c r="G38" s="194"/>
      <c r="H38" s="194"/>
      <c r="I38" s="83"/>
      <c r="J38" s="83"/>
      <c r="K38" s="103"/>
      <c r="L38" s="103"/>
      <c r="M38" s="103"/>
      <c r="N38" s="1"/>
      <c r="O38" s="1"/>
      <c r="P38" s="1"/>
    </row>
    <row r="39" spans="1:16" ht="24" customHeight="1" x14ac:dyDescent="0.25">
      <c r="A39" s="51">
        <f>A38+0.1</f>
        <v>6.2999999999999989</v>
      </c>
      <c r="B39" s="171" t="s">
        <v>177</v>
      </c>
      <c r="C39" s="163" t="s">
        <v>116</v>
      </c>
      <c r="D39" s="19" t="s">
        <v>81</v>
      </c>
      <c r="E39" s="163">
        <f>25.3/100</f>
        <v>0.253</v>
      </c>
      <c r="F39" s="39">
        <f>F36*E39</f>
        <v>7.1734608000000009</v>
      </c>
      <c r="G39" s="208"/>
      <c r="H39" s="39"/>
      <c r="I39" s="19"/>
      <c r="J39" s="39"/>
      <c r="K39" s="19"/>
      <c r="L39" s="39"/>
      <c r="M39" s="39"/>
      <c r="N39" s="1"/>
      <c r="O39" s="1"/>
      <c r="P39" s="1"/>
    </row>
    <row r="40" spans="1:16" ht="24" customHeight="1" x14ac:dyDescent="0.25">
      <c r="A40" s="51">
        <f>A39+0.1</f>
        <v>6.3999999999999986</v>
      </c>
      <c r="B40" s="171" t="s">
        <v>117</v>
      </c>
      <c r="C40" s="19" t="s">
        <v>118</v>
      </c>
      <c r="D40" s="19" t="s">
        <v>81</v>
      </c>
      <c r="E40" s="163">
        <v>2.7E-2</v>
      </c>
      <c r="F40" s="39">
        <f>F36*E40</f>
        <v>0.76554720000000009</v>
      </c>
      <c r="G40" s="19"/>
      <c r="H40" s="39"/>
      <c r="I40" s="19"/>
      <c r="J40" s="39"/>
      <c r="K40" s="19"/>
      <c r="L40" s="39"/>
      <c r="M40" s="39"/>
      <c r="N40" s="1"/>
      <c r="O40" s="1"/>
      <c r="P40" s="1"/>
    </row>
    <row r="41" spans="1:16" ht="24" customHeight="1" x14ac:dyDescent="0.25">
      <c r="A41" s="51">
        <f>A40+0.1</f>
        <v>6.4999999999999982</v>
      </c>
      <c r="B41" s="171"/>
      <c r="C41" s="19" t="s">
        <v>68</v>
      </c>
      <c r="D41" s="19" t="s">
        <v>20</v>
      </c>
      <c r="E41" s="163">
        <f>0.19/100</f>
        <v>1.9E-3</v>
      </c>
      <c r="F41" s="39">
        <f>E41*F36</f>
        <v>5.3871840000000004E-2</v>
      </c>
      <c r="G41" s="19"/>
      <c r="H41" s="39"/>
      <c r="I41" s="19"/>
      <c r="J41" s="39"/>
      <c r="K41" s="19"/>
      <c r="L41" s="39"/>
      <c r="M41" s="39"/>
      <c r="N41" s="1"/>
      <c r="O41" s="1"/>
      <c r="P41" s="1"/>
    </row>
    <row r="42" spans="1:16" ht="39" customHeight="1" x14ac:dyDescent="0.25">
      <c r="A42" s="50" t="s">
        <v>32</v>
      </c>
      <c r="B42" s="69" t="s">
        <v>212</v>
      </c>
      <c r="C42" s="69" t="s">
        <v>64</v>
      </c>
      <c r="D42" s="69" t="s">
        <v>16</v>
      </c>
      <c r="E42" s="62"/>
      <c r="F42" s="62">
        <f>(N8*0.5*0.2)/100</f>
        <v>8.8000000000000009E-2</v>
      </c>
      <c r="G42" s="62"/>
      <c r="H42" s="185"/>
      <c r="I42" s="19"/>
      <c r="J42" s="19"/>
      <c r="K42" s="19"/>
      <c r="L42" s="19"/>
      <c r="M42" s="62"/>
    </row>
    <row r="43" spans="1:16" ht="24" customHeight="1" x14ac:dyDescent="0.25">
      <c r="A43" s="134">
        <f>A42+0.1</f>
        <v>7.1</v>
      </c>
      <c r="B43" s="134"/>
      <c r="C43" s="134" t="s">
        <v>63</v>
      </c>
      <c r="D43" s="134" t="s">
        <v>18</v>
      </c>
      <c r="E43" s="61">
        <v>300</v>
      </c>
      <c r="F43" s="61">
        <f>E43*F42</f>
        <v>26.400000000000002</v>
      </c>
      <c r="G43" s="19"/>
      <c r="H43" s="185"/>
      <c r="I43" s="61"/>
      <c r="J43" s="61"/>
      <c r="K43" s="19"/>
      <c r="L43" s="19"/>
      <c r="M43" s="204"/>
    </row>
    <row r="44" spans="1:16" ht="24" customHeight="1" x14ac:dyDescent="0.25">
      <c r="A44" s="51">
        <f>A43+0.1</f>
        <v>7.1999999999999993</v>
      </c>
      <c r="B44" s="51" t="s">
        <v>311</v>
      </c>
      <c r="C44" s="51" t="s">
        <v>107</v>
      </c>
      <c r="D44" s="51" t="s">
        <v>65</v>
      </c>
      <c r="E44" s="67">
        <v>115</v>
      </c>
      <c r="F44" s="67">
        <f>E44*F42</f>
        <v>10.120000000000001</v>
      </c>
      <c r="G44" s="67"/>
      <c r="H44" s="67"/>
      <c r="I44" s="19"/>
      <c r="J44" s="19"/>
      <c r="K44" s="19"/>
      <c r="L44" s="19"/>
      <c r="M44" s="39"/>
    </row>
    <row r="45" spans="1:16" ht="20.25" customHeight="1" x14ac:dyDescent="0.25">
      <c r="A45" s="51">
        <f>A44+0.1</f>
        <v>7.2999999999999989</v>
      </c>
      <c r="B45" s="51"/>
      <c r="C45" s="51" t="s">
        <v>68</v>
      </c>
      <c r="D45" s="51" t="s">
        <v>20</v>
      </c>
      <c r="E45" s="67">
        <v>1</v>
      </c>
      <c r="F45" s="67">
        <f>F42*E45</f>
        <v>8.8000000000000009E-2</v>
      </c>
      <c r="G45" s="67"/>
      <c r="H45" s="67"/>
      <c r="I45" s="19"/>
      <c r="J45" s="19"/>
      <c r="K45" s="19"/>
      <c r="L45" s="19"/>
      <c r="M45" s="39"/>
    </row>
    <row r="46" spans="1:16" ht="36.75" customHeight="1" x14ac:dyDescent="0.25">
      <c r="A46" s="54">
        <v>8</v>
      </c>
      <c r="B46" s="54" t="s">
        <v>52</v>
      </c>
      <c r="C46" s="54" t="s">
        <v>168</v>
      </c>
      <c r="D46" s="69" t="s">
        <v>16</v>
      </c>
      <c r="E46" s="187"/>
      <c r="F46" s="343">
        <f>(N8*0.5*0.6)/100</f>
        <v>0.26400000000000001</v>
      </c>
      <c r="G46" s="187"/>
      <c r="H46" s="187"/>
      <c r="I46" s="187"/>
      <c r="J46" s="205"/>
      <c r="K46" s="205"/>
      <c r="L46" s="205"/>
      <c r="M46" s="62"/>
    </row>
    <row r="47" spans="1:16" ht="24" customHeight="1" x14ac:dyDescent="0.25">
      <c r="A47" s="61">
        <f>A46+0.1</f>
        <v>8.1</v>
      </c>
      <c r="B47" s="188"/>
      <c r="C47" s="61" t="s">
        <v>50</v>
      </c>
      <c r="D47" s="47" t="s">
        <v>20</v>
      </c>
      <c r="E47" s="24">
        <v>121</v>
      </c>
      <c r="F47" s="189">
        <f>E47*F46</f>
        <v>31.944000000000003</v>
      </c>
      <c r="G47" s="47"/>
      <c r="H47" s="190"/>
      <c r="I47" s="61"/>
      <c r="J47" s="204"/>
      <c r="K47" s="47"/>
      <c r="L47" s="47"/>
      <c r="M47" s="24"/>
    </row>
    <row r="48" spans="1:16" ht="27" customHeight="1" x14ac:dyDescent="0.25">
      <c r="A48" s="13" t="s">
        <v>34</v>
      </c>
      <c r="B48" s="14" t="s">
        <v>204</v>
      </c>
      <c r="C48" s="14" t="s">
        <v>59</v>
      </c>
      <c r="D48" s="14" t="s">
        <v>60</v>
      </c>
      <c r="E48" s="15"/>
      <c r="F48" s="15">
        <f>F42</f>
        <v>8.8000000000000009E-2</v>
      </c>
      <c r="G48" s="15"/>
      <c r="H48" s="19"/>
      <c r="I48" s="19"/>
      <c r="J48" s="19"/>
      <c r="K48" s="19"/>
      <c r="L48" s="19"/>
      <c r="M48" s="62"/>
    </row>
    <row r="49" spans="1:14" ht="24" customHeight="1" x14ac:dyDescent="0.25">
      <c r="A49" s="61">
        <f>A48+0.1</f>
        <v>9.1</v>
      </c>
      <c r="B49" s="19"/>
      <c r="C49" s="61" t="s">
        <v>50</v>
      </c>
      <c r="D49" s="61" t="s">
        <v>18</v>
      </c>
      <c r="E49" s="183">
        <v>0.87</v>
      </c>
      <c r="F49" s="61">
        <f>F48*E49</f>
        <v>7.6560000000000003E-2</v>
      </c>
      <c r="G49" s="130"/>
      <c r="H49" s="130"/>
      <c r="I49" s="61"/>
      <c r="J49" s="61"/>
      <c r="K49" s="61"/>
      <c r="L49" s="61"/>
      <c r="M49" s="61"/>
    </row>
    <row r="50" spans="1:14" ht="24" customHeight="1" x14ac:dyDescent="0.25">
      <c r="A50" s="13" t="s">
        <v>37</v>
      </c>
      <c r="B50" s="14"/>
      <c r="C50" s="14" t="s">
        <v>159</v>
      </c>
      <c r="D50" s="14" t="s">
        <v>23</v>
      </c>
      <c r="E50" s="15"/>
      <c r="F50" s="15">
        <f>F48*185</f>
        <v>16.28</v>
      </c>
      <c r="G50" s="15"/>
      <c r="H50" s="19"/>
      <c r="I50" s="19"/>
      <c r="J50" s="19"/>
      <c r="K50" s="19"/>
      <c r="L50" s="19"/>
      <c r="M50" s="62"/>
    </row>
    <row r="51" spans="1:14" ht="30.75" customHeight="1" x14ac:dyDescent="0.25">
      <c r="A51" s="123">
        <f>A50+0.1</f>
        <v>10.1</v>
      </c>
      <c r="B51" s="19" t="s">
        <v>36</v>
      </c>
      <c r="C51" s="123" t="s">
        <v>39</v>
      </c>
      <c r="D51" s="123" t="s">
        <v>23</v>
      </c>
      <c r="E51" s="123">
        <v>1</v>
      </c>
      <c r="F51" s="64">
        <f>F50*E51</f>
        <v>16.28</v>
      </c>
      <c r="G51" s="24"/>
      <c r="H51" s="24"/>
      <c r="I51" s="64"/>
      <c r="J51" s="64"/>
      <c r="K51" s="64"/>
      <c r="L51" s="64"/>
      <c r="M51" s="64"/>
    </row>
    <row r="52" spans="1:14" ht="26.25" customHeight="1" x14ac:dyDescent="0.25">
      <c r="A52" s="213"/>
      <c r="B52" s="19"/>
      <c r="C52" s="14" t="s">
        <v>42</v>
      </c>
      <c r="D52" s="14" t="s">
        <v>20</v>
      </c>
      <c r="E52" s="15"/>
      <c r="F52" s="15"/>
      <c r="G52" s="15"/>
      <c r="H52" s="214"/>
      <c r="I52" s="215"/>
      <c r="J52" s="216"/>
      <c r="K52" s="192"/>
      <c r="L52" s="217"/>
      <c r="M52" s="15"/>
      <c r="N52" s="165"/>
    </row>
    <row r="53" spans="1:14" ht="21.75" customHeight="1" x14ac:dyDescent="0.25">
      <c r="A53" s="19"/>
      <c r="B53" s="19"/>
      <c r="C53" s="19" t="s">
        <v>41</v>
      </c>
      <c r="D53" s="19" t="s">
        <v>20</v>
      </c>
      <c r="E53" s="39"/>
      <c r="F53" s="39"/>
      <c r="G53" s="39"/>
      <c r="H53" s="194"/>
      <c r="I53" s="194"/>
      <c r="J53" s="194"/>
      <c r="K53" s="194"/>
      <c r="L53" s="194"/>
      <c r="M53" s="39"/>
    </row>
    <row r="54" spans="1:14" ht="23.25" customHeight="1" x14ac:dyDescent="0.25">
      <c r="A54" s="14"/>
      <c r="B54" s="19"/>
      <c r="C54" s="14" t="s">
        <v>42</v>
      </c>
      <c r="D54" s="14" t="s">
        <v>20</v>
      </c>
      <c r="E54" s="15"/>
      <c r="F54" s="15"/>
      <c r="G54" s="15"/>
      <c r="H54" s="215"/>
      <c r="I54" s="215"/>
      <c r="J54" s="215"/>
      <c r="K54" s="215"/>
      <c r="L54" s="215"/>
      <c r="M54" s="15"/>
    </row>
    <row r="55" spans="1:14" ht="23.25" customHeight="1" x14ac:dyDescent="0.25">
      <c r="A55" s="19"/>
      <c r="B55" s="19"/>
      <c r="C55" s="19" t="s">
        <v>43</v>
      </c>
      <c r="D55" s="19" t="s">
        <v>20</v>
      </c>
      <c r="E55" s="39"/>
      <c r="F55" s="39"/>
      <c r="G55" s="39"/>
      <c r="H55" s="194"/>
      <c r="I55" s="194"/>
      <c r="J55" s="194"/>
      <c r="K55" s="194"/>
      <c r="L55" s="194"/>
      <c r="M55" s="39"/>
    </row>
    <row r="56" spans="1:14" ht="21" customHeight="1" x14ac:dyDescent="0.25">
      <c r="A56" s="14"/>
      <c r="B56" s="14"/>
      <c r="C56" s="14" t="s">
        <v>44</v>
      </c>
      <c r="D56" s="14" t="s">
        <v>20</v>
      </c>
      <c r="E56" s="15"/>
      <c r="F56" s="15"/>
      <c r="G56" s="15"/>
      <c r="H56" s="215"/>
      <c r="I56" s="215"/>
      <c r="J56" s="215"/>
      <c r="K56" s="215"/>
      <c r="L56" s="215"/>
      <c r="M56" s="15"/>
    </row>
    <row r="57" spans="1:14" ht="21" customHeight="1" x14ac:dyDescent="0.25">
      <c r="A57" s="419" t="s">
        <v>152</v>
      </c>
      <c r="B57" s="420"/>
      <c r="C57" s="420"/>
      <c r="D57" s="420"/>
      <c r="E57" s="420"/>
      <c r="F57" s="420"/>
      <c r="G57" s="420"/>
      <c r="H57" s="420"/>
      <c r="I57" s="420"/>
      <c r="J57" s="420"/>
      <c r="K57" s="420"/>
      <c r="L57" s="420"/>
      <c r="M57" s="421"/>
    </row>
    <row r="58" spans="1:14" ht="39.75" customHeight="1" x14ac:dyDescent="0.25">
      <c r="A58" s="69">
        <v>1</v>
      </c>
      <c r="B58" s="218" t="s">
        <v>131</v>
      </c>
      <c r="C58" s="191" t="s">
        <v>132</v>
      </c>
      <c r="D58" s="69" t="s">
        <v>123</v>
      </c>
      <c r="E58" s="199"/>
      <c r="F58" s="199">
        <v>9</v>
      </c>
      <c r="G58" s="199"/>
      <c r="H58" s="200"/>
      <c r="I58" s="39"/>
      <c r="J58" s="15"/>
      <c r="K58" s="15"/>
      <c r="L58" s="15"/>
      <c r="M58" s="15"/>
    </row>
    <row r="59" spans="1:14" ht="19.5" customHeight="1" x14ac:dyDescent="0.25">
      <c r="A59" s="47">
        <f>A58+0.1</f>
        <v>1.1000000000000001</v>
      </c>
      <c r="B59" s="14"/>
      <c r="C59" s="47" t="s">
        <v>77</v>
      </c>
      <c r="D59" s="219" t="s">
        <v>20</v>
      </c>
      <c r="E59" s="220">
        <v>2.97</v>
      </c>
      <c r="F59" s="220">
        <f>E59*F58</f>
        <v>26.73</v>
      </c>
      <c r="G59" s="39"/>
      <c r="H59" s="39"/>
      <c r="I59" s="24"/>
      <c r="J59" s="207"/>
      <c r="K59" s="39"/>
      <c r="L59" s="39"/>
      <c r="M59" s="207"/>
    </row>
    <row r="60" spans="1:14" ht="21.75" customHeight="1" x14ac:dyDescent="0.25">
      <c r="A60" s="130">
        <f t="shared" ref="A60:A62" si="4">A59+0.1</f>
        <v>1.2000000000000002</v>
      </c>
      <c r="B60" s="14"/>
      <c r="C60" s="130" t="s">
        <v>119</v>
      </c>
      <c r="D60" s="221" t="s">
        <v>20</v>
      </c>
      <c r="E60" s="212">
        <v>1.05</v>
      </c>
      <c r="F60" s="222">
        <f>E60*F59</f>
        <v>28.066500000000001</v>
      </c>
      <c r="G60" s="39"/>
      <c r="H60" s="39"/>
      <c r="I60" s="39"/>
      <c r="J60" s="39"/>
      <c r="K60" s="212"/>
      <c r="L60" s="212"/>
      <c r="M60" s="103"/>
    </row>
    <row r="61" spans="1:14" ht="44.25" customHeight="1" x14ac:dyDescent="0.25">
      <c r="A61" s="19">
        <f t="shared" si="4"/>
        <v>1.3000000000000003</v>
      </c>
      <c r="B61" s="19" t="s">
        <v>22</v>
      </c>
      <c r="C61" s="19" t="s">
        <v>192</v>
      </c>
      <c r="D61" s="19" t="s">
        <v>123</v>
      </c>
      <c r="E61" s="186" t="s">
        <v>133</v>
      </c>
      <c r="F61" s="223">
        <f>F58</f>
        <v>9</v>
      </c>
      <c r="G61" s="39"/>
      <c r="H61" s="39"/>
      <c r="I61" s="39"/>
      <c r="J61" s="39"/>
      <c r="K61" s="212"/>
      <c r="L61" s="212"/>
      <c r="M61" s="39"/>
    </row>
    <row r="62" spans="1:14" ht="24" customHeight="1" x14ac:dyDescent="0.25">
      <c r="A62" s="19">
        <f t="shared" si="4"/>
        <v>1.4000000000000004</v>
      </c>
      <c r="B62" s="19"/>
      <c r="C62" s="19" t="s">
        <v>72</v>
      </c>
      <c r="D62" s="19" t="s">
        <v>20</v>
      </c>
      <c r="E62" s="39">
        <v>2.11</v>
      </c>
      <c r="F62" s="224">
        <f>E62*F58</f>
        <v>18.989999999999998</v>
      </c>
      <c r="G62" s="39"/>
      <c r="H62" s="39"/>
      <c r="I62" s="39"/>
      <c r="J62" s="39"/>
      <c r="K62" s="39"/>
      <c r="L62" s="39"/>
      <c r="M62" s="39"/>
    </row>
    <row r="63" spans="1:14" ht="24" customHeight="1" x14ac:dyDescent="0.25">
      <c r="A63" s="14">
        <v>2</v>
      </c>
      <c r="B63" s="145" t="s">
        <v>22</v>
      </c>
      <c r="C63" s="81" t="s">
        <v>169</v>
      </c>
      <c r="D63" s="35" t="s">
        <v>123</v>
      </c>
      <c r="E63" s="82"/>
      <c r="F63" s="82">
        <f>F58</f>
        <v>9</v>
      </c>
      <c r="G63" s="82"/>
      <c r="H63" s="85"/>
      <c r="I63" s="38"/>
      <c r="J63" s="16"/>
      <c r="K63" s="16"/>
      <c r="L63" s="16"/>
      <c r="M63" s="16"/>
    </row>
    <row r="64" spans="1:14" ht="24" customHeight="1" x14ac:dyDescent="0.25">
      <c r="A64" s="20">
        <f>A63+0.1</f>
        <v>2.1</v>
      </c>
      <c r="B64" s="28"/>
      <c r="C64" s="20" t="s">
        <v>77</v>
      </c>
      <c r="D64" s="146" t="s">
        <v>20</v>
      </c>
      <c r="E64" s="147">
        <v>1</v>
      </c>
      <c r="F64" s="147">
        <f>E64*F63</f>
        <v>9</v>
      </c>
      <c r="G64" s="38"/>
      <c r="H64" s="38"/>
      <c r="I64" s="21"/>
      <c r="J64" s="207"/>
      <c r="K64" s="38"/>
      <c r="L64" s="38"/>
      <c r="M64" s="89"/>
    </row>
    <row r="65" spans="1:13" ht="24" customHeight="1" x14ac:dyDescent="0.25">
      <c r="A65" s="51">
        <f>A64+0.1</f>
        <v>2.2000000000000002</v>
      </c>
      <c r="B65" s="32" t="s">
        <v>22</v>
      </c>
      <c r="C65" s="32" t="s">
        <v>193</v>
      </c>
      <c r="D65" s="32" t="s">
        <v>20</v>
      </c>
      <c r="E65" s="68">
        <v>1</v>
      </c>
      <c r="F65" s="148">
        <f>E65*F63</f>
        <v>9</v>
      </c>
      <c r="G65" s="38"/>
      <c r="H65" s="38"/>
      <c r="I65" s="38"/>
      <c r="J65" s="207"/>
      <c r="K65" s="135"/>
      <c r="L65" s="135"/>
      <c r="M65" s="38"/>
    </row>
    <row r="66" spans="1:13" ht="38.25" customHeight="1" x14ac:dyDescent="0.25">
      <c r="A66" s="35">
        <v>3</v>
      </c>
      <c r="B66" s="145" t="s">
        <v>134</v>
      </c>
      <c r="C66" s="81" t="s">
        <v>135</v>
      </c>
      <c r="D66" s="35" t="s">
        <v>136</v>
      </c>
      <c r="E66" s="82"/>
      <c r="F66" s="82">
        <f>F69+F70</f>
        <v>149</v>
      </c>
      <c r="G66" s="85"/>
      <c r="H66" s="38"/>
      <c r="I66" s="16"/>
      <c r="J66" s="16"/>
      <c r="K66" s="16"/>
      <c r="L66" s="16"/>
      <c r="M66" s="16"/>
    </row>
    <row r="67" spans="1:13" ht="23.25" customHeight="1" x14ac:dyDescent="0.25">
      <c r="A67" s="20">
        <f t="shared" ref="A67:A80" si="5">A66+0.1</f>
        <v>3.1</v>
      </c>
      <c r="B67" s="150"/>
      <c r="C67" s="20" t="s">
        <v>77</v>
      </c>
      <c r="D67" s="20" t="s">
        <v>20</v>
      </c>
      <c r="E67" s="22">
        <v>7.0000000000000007E-2</v>
      </c>
      <c r="F67" s="22">
        <f>E67*F66</f>
        <v>10.430000000000001</v>
      </c>
      <c r="G67" s="20"/>
      <c r="H67" s="48"/>
      <c r="I67" s="21"/>
      <c r="J67" s="21"/>
      <c r="K67" s="20"/>
      <c r="L67" s="20"/>
      <c r="M67" s="89"/>
    </row>
    <row r="68" spans="1:13" ht="24" customHeight="1" x14ac:dyDescent="0.25">
      <c r="A68" s="26">
        <f t="shared" si="5"/>
        <v>3.2</v>
      </c>
      <c r="B68" s="151"/>
      <c r="C68" s="26" t="s">
        <v>119</v>
      </c>
      <c r="D68" s="26" t="s">
        <v>56</v>
      </c>
      <c r="E68" s="152">
        <v>4.8399999999999999E-2</v>
      </c>
      <c r="F68" s="152">
        <f>E68*F66</f>
        <v>7.2115999999999998</v>
      </c>
      <c r="G68" s="26"/>
      <c r="H68" s="153"/>
      <c r="I68" s="153"/>
      <c r="J68" s="26"/>
      <c r="K68" s="27"/>
      <c r="L68" s="27"/>
      <c r="M68" s="65"/>
    </row>
    <row r="69" spans="1:13" ht="24" customHeight="1" x14ac:dyDescent="0.25">
      <c r="A69" s="51">
        <f t="shared" si="5"/>
        <v>3.3000000000000003</v>
      </c>
      <c r="B69" s="32" t="s">
        <v>137</v>
      </c>
      <c r="C69" s="32" t="s">
        <v>138</v>
      </c>
      <c r="D69" s="32" t="s">
        <v>136</v>
      </c>
      <c r="E69" s="67" t="s">
        <v>91</v>
      </c>
      <c r="F69" s="149">
        <v>109</v>
      </c>
      <c r="G69" s="38"/>
      <c r="H69" s="38"/>
      <c r="I69" s="59"/>
      <c r="J69" s="32"/>
      <c r="K69" s="32"/>
      <c r="L69" s="32"/>
      <c r="M69" s="38"/>
    </row>
    <row r="70" spans="1:13" ht="24" customHeight="1" x14ac:dyDescent="0.25">
      <c r="A70" s="51">
        <f t="shared" si="5"/>
        <v>3.4000000000000004</v>
      </c>
      <c r="B70" s="32" t="s">
        <v>139</v>
      </c>
      <c r="C70" s="32" t="s">
        <v>140</v>
      </c>
      <c r="D70" s="32" t="s">
        <v>136</v>
      </c>
      <c r="E70" s="67" t="s">
        <v>91</v>
      </c>
      <c r="F70" s="149">
        <v>40</v>
      </c>
      <c r="G70" s="38"/>
      <c r="H70" s="38"/>
      <c r="I70" s="59"/>
      <c r="J70" s="32"/>
      <c r="K70" s="32"/>
      <c r="L70" s="32"/>
      <c r="M70" s="38"/>
    </row>
    <row r="71" spans="1:13" ht="24" customHeight="1" x14ac:dyDescent="0.25">
      <c r="A71" s="51">
        <f t="shared" si="5"/>
        <v>3.5000000000000004</v>
      </c>
      <c r="B71" s="32" t="s">
        <v>22</v>
      </c>
      <c r="C71" s="32" t="s">
        <v>141</v>
      </c>
      <c r="D71" s="32" t="s">
        <v>136</v>
      </c>
      <c r="E71" s="67" t="s">
        <v>91</v>
      </c>
      <c r="F71" s="149">
        <f>N8</f>
        <v>88</v>
      </c>
      <c r="G71" s="38"/>
      <c r="H71" s="38"/>
      <c r="I71" s="59"/>
      <c r="J71" s="32"/>
      <c r="K71" s="32"/>
      <c r="L71" s="32"/>
      <c r="M71" s="38"/>
    </row>
    <row r="72" spans="1:13" ht="24" customHeight="1" x14ac:dyDescent="0.25">
      <c r="A72" s="51">
        <f t="shared" si="5"/>
        <v>3.6000000000000005</v>
      </c>
      <c r="B72" s="32" t="s">
        <v>22</v>
      </c>
      <c r="C72" s="32" t="s">
        <v>142</v>
      </c>
      <c r="D72" s="32" t="s">
        <v>136</v>
      </c>
      <c r="E72" s="67" t="s">
        <v>91</v>
      </c>
      <c r="F72" s="149">
        <f>F69</f>
        <v>109</v>
      </c>
      <c r="G72" s="32"/>
      <c r="H72" s="38"/>
      <c r="I72" s="59"/>
      <c r="J72" s="32"/>
      <c r="K72" s="32"/>
      <c r="L72" s="32"/>
      <c r="M72" s="38"/>
    </row>
    <row r="73" spans="1:13" ht="24" customHeight="1" x14ac:dyDescent="0.25">
      <c r="A73" s="51">
        <f t="shared" si="5"/>
        <v>3.7000000000000006</v>
      </c>
      <c r="B73" s="32"/>
      <c r="C73" s="32" t="s">
        <v>72</v>
      </c>
      <c r="D73" s="32" t="s">
        <v>20</v>
      </c>
      <c r="E73" s="154">
        <v>3.5000000000000001E-3</v>
      </c>
      <c r="F73" s="149">
        <f>E73*F66</f>
        <v>0.52149999999999996</v>
      </c>
      <c r="G73" s="38"/>
      <c r="H73" s="38"/>
      <c r="I73" s="59"/>
      <c r="J73" s="32"/>
      <c r="K73" s="32"/>
      <c r="L73" s="32"/>
      <c r="M73" s="38"/>
    </row>
    <row r="74" spans="1:13" ht="29.25" customHeight="1" x14ac:dyDescent="0.25">
      <c r="A74" s="35">
        <v>4</v>
      </c>
      <c r="B74" s="81" t="s">
        <v>143</v>
      </c>
      <c r="C74" s="81" t="s">
        <v>144</v>
      </c>
      <c r="D74" s="35" t="s">
        <v>145</v>
      </c>
      <c r="E74" s="82"/>
      <c r="F74" s="82">
        <v>1</v>
      </c>
      <c r="G74" s="85"/>
      <c r="H74" s="38"/>
      <c r="I74" s="16"/>
      <c r="J74" s="16"/>
      <c r="K74" s="16"/>
      <c r="L74" s="16"/>
      <c r="M74" s="16"/>
    </row>
    <row r="75" spans="1:13" x14ac:dyDescent="0.25">
      <c r="A75" s="20">
        <f t="shared" si="5"/>
        <v>4.0999999999999996</v>
      </c>
      <c r="B75" s="150"/>
      <c r="C75" s="20" t="s">
        <v>77</v>
      </c>
      <c r="D75" s="20" t="s">
        <v>18</v>
      </c>
      <c r="E75" s="21">
        <v>25</v>
      </c>
      <c r="F75" s="22">
        <f>E75*F74</f>
        <v>25</v>
      </c>
      <c r="G75" s="20"/>
      <c r="H75" s="48"/>
      <c r="I75" s="21"/>
      <c r="J75" s="21"/>
      <c r="K75" s="20"/>
      <c r="L75" s="20"/>
      <c r="M75" s="21"/>
    </row>
    <row r="76" spans="1:13" ht="18" customHeight="1" x14ac:dyDescent="0.25">
      <c r="A76" s="26">
        <f t="shared" si="5"/>
        <v>4.1999999999999993</v>
      </c>
      <c r="B76" s="151"/>
      <c r="C76" s="26" t="s">
        <v>119</v>
      </c>
      <c r="D76" s="26" t="s">
        <v>56</v>
      </c>
      <c r="E76" s="27">
        <v>0.7</v>
      </c>
      <c r="F76" s="152">
        <f>E76*F74</f>
        <v>0.7</v>
      </c>
      <c r="G76" s="26"/>
      <c r="H76" s="153"/>
      <c r="I76" s="153"/>
      <c r="J76" s="26"/>
      <c r="K76" s="27"/>
      <c r="L76" s="27"/>
      <c r="M76" s="27"/>
    </row>
    <row r="77" spans="1:13" ht="24.75" customHeight="1" x14ac:dyDescent="0.25">
      <c r="A77" s="51">
        <f t="shared" si="5"/>
        <v>4.2999999999999989</v>
      </c>
      <c r="B77" s="32" t="s">
        <v>22</v>
      </c>
      <c r="C77" s="228" t="s">
        <v>146</v>
      </c>
      <c r="D77" s="228" t="s">
        <v>30</v>
      </c>
      <c r="E77" s="229" t="s">
        <v>91</v>
      </c>
      <c r="F77" s="230">
        <v>1</v>
      </c>
      <c r="G77" s="231"/>
      <c r="H77" s="39"/>
      <c r="I77" s="59"/>
      <c r="J77" s="32"/>
      <c r="K77" s="32"/>
      <c r="L77" s="32"/>
      <c r="M77" s="38"/>
    </row>
    <row r="78" spans="1:13" ht="27" customHeight="1" x14ac:dyDescent="0.25">
      <c r="A78" s="51">
        <f t="shared" si="5"/>
        <v>4.3999999999999986</v>
      </c>
      <c r="B78" s="32" t="s">
        <v>22</v>
      </c>
      <c r="C78" s="228" t="s">
        <v>191</v>
      </c>
      <c r="D78" s="228" t="s">
        <v>30</v>
      </c>
      <c r="E78" s="229" t="s">
        <v>91</v>
      </c>
      <c r="F78" s="232">
        <v>1</v>
      </c>
      <c r="G78" s="228"/>
      <c r="H78" s="39"/>
      <c r="I78" s="59"/>
      <c r="J78" s="32"/>
      <c r="K78" s="32"/>
      <c r="L78" s="32"/>
      <c r="M78" s="38"/>
    </row>
    <row r="79" spans="1:13" x14ac:dyDescent="0.25">
      <c r="A79" s="51">
        <f t="shared" si="5"/>
        <v>4.4999999999999982</v>
      </c>
      <c r="B79" s="32" t="s">
        <v>22</v>
      </c>
      <c r="C79" s="228" t="s">
        <v>190</v>
      </c>
      <c r="D79" s="228" t="s">
        <v>30</v>
      </c>
      <c r="E79" s="229" t="s">
        <v>91</v>
      </c>
      <c r="F79" s="230">
        <v>1</v>
      </c>
      <c r="G79" s="228"/>
      <c r="H79" s="39"/>
      <c r="I79" s="59"/>
      <c r="J79" s="32"/>
      <c r="K79" s="32"/>
      <c r="L79" s="32"/>
      <c r="M79" s="38"/>
    </row>
    <row r="80" spans="1:13" ht="28.5" customHeight="1" x14ac:dyDescent="0.25">
      <c r="A80" s="51">
        <f t="shared" si="5"/>
        <v>4.5999999999999979</v>
      </c>
      <c r="B80" s="32" t="s">
        <v>147</v>
      </c>
      <c r="C80" s="32" t="s">
        <v>148</v>
      </c>
      <c r="D80" s="32" t="s">
        <v>30</v>
      </c>
      <c r="E80" s="67" t="s">
        <v>91</v>
      </c>
      <c r="F80" s="149">
        <v>1</v>
      </c>
      <c r="G80" s="38"/>
      <c r="H80" s="39"/>
      <c r="I80" s="59"/>
      <c r="J80" s="32"/>
      <c r="K80" s="32"/>
      <c r="L80" s="32"/>
      <c r="M80" s="38"/>
    </row>
    <row r="81" spans="1:14" ht="28.5" customHeight="1" x14ac:dyDescent="0.25">
      <c r="A81" s="51"/>
      <c r="B81" s="32"/>
      <c r="C81" s="19" t="s">
        <v>68</v>
      </c>
      <c r="D81" s="19" t="s">
        <v>20</v>
      </c>
      <c r="E81" s="67">
        <v>10.1</v>
      </c>
      <c r="F81" s="224">
        <f>F74*E81</f>
        <v>10.1</v>
      </c>
      <c r="G81" s="39"/>
      <c r="H81" s="39"/>
      <c r="I81" s="185"/>
      <c r="J81" s="19"/>
      <c r="K81" s="19"/>
      <c r="L81" s="19"/>
      <c r="M81" s="39"/>
    </row>
    <row r="82" spans="1:14" ht="19.5" customHeight="1" x14ac:dyDescent="0.25">
      <c r="A82" s="108"/>
      <c r="B82" s="92"/>
      <c r="C82" s="28" t="s">
        <v>42</v>
      </c>
      <c r="D82" s="28" t="s">
        <v>20</v>
      </c>
      <c r="E82" s="16"/>
      <c r="F82" s="15"/>
      <c r="G82" s="15"/>
      <c r="H82" s="109"/>
      <c r="I82" s="41"/>
      <c r="J82" s="109"/>
      <c r="K82" s="31"/>
      <c r="L82" s="109"/>
      <c r="M82" s="16"/>
      <c r="N82" s="165"/>
    </row>
    <row r="83" spans="1:14" x14ac:dyDescent="0.25">
      <c r="A83" s="32"/>
      <c r="B83" s="32"/>
      <c r="C83" s="32" t="s">
        <v>149</v>
      </c>
      <c r="D83" s="32" t="s">
        <v>20</v>
      </c>
      <c r="E83" s="38"/>
      <c r="F83" s="39"/>
      <c r="G83" s="39"/>
      <c r="H83" s="40"/>
      <c r="I83" s="40"/>
      <c r="J83" s="40"/>
      <c r="K83" s="40"/>
      <c r="L83" s="40"/>
      <c r="M83" s="38"/>
    </row>
    <row r="84" spans="1:14" x14ac:dyDescent="0.25">
      <c r="A84" s="28"/>
      <c r="B84" s="28"/>
      <c r="C84" s="28" t="s">
        <v>42</v>
      </c>
      <c r="D84" s="28" t="s">
        <v>20</v>
      </c>
      <c r="E84" s="16"/>
      <c r="F84" s="15"/>
      <c r="G84" s="15"/>
      <c r="H84" s="41"/>
      <c r="I84" s="41"/>
      <c r="J84" s="41"/>
      <c r="K84" s="41"/>
      <c r="L84" s="41"/>
      <c r="M84" s="16"/>
    </row>
    <row r="85" spans="1:14" x14ac:dyDescent="0.25">
      <c r="A85" s="32"/>
      <c r="B85" s="32"/>
      <c r="C85" s="32" t="s">
        <v>43</v>
      </c>
      <c r="D85" s="32" t="s">
        <v>20</v>
      </c>
      <c r="E85" s="38"/>
      <c r="F85" s="39"/>
      <c r="G85" s="39"/>
      <c r="H85" s="40"/>
      <c r="I85" s="40"/>
      <c r="J85" s="40"/>
      <c r="K85" s="40"/>
      <c r="L85" s="40"/>
      <c r="M85" s="38"/>
    </row>
    <row r="86" spans="1:14" x14ac:dyDescent="0.25">
      <c r="A86" s="42"/>
      <c r="B86" s="42"/>
      <c r="C86" s="42" t="s">
        <v>61</v>
      </c>
      <c r="D86" s="42" t="s">
        <v>20</v>
      </c>
      <c r="E86" s="43"/>
      <c r="F86" s="43"/>
      <c r="G86" s="43"/>
      <c r="H86" s="44"/>
      <c r="I86" s="44"/>
      <c r="J86" s="44"/>
      <c r="K86" s="44"/>
      <c r="L86" s="44"/>
      <c r="M86" s="43"/>
    </row>
    <row r="87" spans="1:14" ht="25.5" customHeight="1" x14ac:dyDescent="0.25">
      <c r="A87" s="42"/>
      <c r="B87" s="42"/>
      <c r="C87" s="42" t="s">
        <v>150</v>
      </c>
      <c r="D87" s="42" t="s">
        <v>20</v>
      </c>
      <c r="E87" s="43"/>
      <c r="F87" s="43"/>
      <c r="G87" s="43"/>
      <c r="H87" s="44"/>
      <c r="I87" s="44"/>
      <c r="J87" s="44"/>
      <c r="K87" s="44"/>
      <c r="L87" s="44"/>
      <c r="M87" s="43"/>
    </row>
    <row r="88" spans="1:14" ht="30.75" customHeight="1" x14ac:dyDescent="0.25">
      <c r="A88" s="51"/>
      <c r="B88" s="99"/>
      <c r="C88" s="100"/>
      <c r="D88" s="101"/>
      <c r="E88" s="102"/>
      <c r="F88" s="49"/>
      <c r="G88" s="40"/>
      <c r="H88" s="40"/>
      <c r="I88" s="49"/>
      <c r="J88" s="49"/>
      <c r="K88" s="40"/>
      <c r="L88" s="40"/>
      <c r="M88" s="49"/>
    </row>
    <row r="91" spans="1:14" ht="15.75" x14ac:dyDescent="0.3">
      <c r="C91" s="235"/>
      <c r="D91" s="157"/>
    </row>
    <row r="92" spans="1:14" ht="15.75" x14ac:dyDescent="0.3">
      <c r="C92" s="157"/>
      <c r="D92" s="157"/>
    </row>
    <row r="93" spans="1:14" ht="15.75" x14ac:dyDescent="0.3">
      <c r="C93" s="157"/>
      <c r="D93" s="157"/>
    </row>
  </sheetData>
  <mergeCells count="14">
    <mergeCell ref="A57:M57"/>
    <mergeCell ref="A7:M7"/>
    <mergeCell ref="A6:M6"/>
    <mergeCell ref="A1:M1"/>
    <mergeCell ref="A3:A4"/>
    <mergeCell ref="B3:B4"/>
    <mergeCell ref="C3:C4"/>
    <mergeCell ref="D3:D4"/>
    <mergeCell ref="E3:F3"/>
    <mergeCell ref="G3:H3"/>
    <mergeCell ref="I3:J3"/>
    <mergeCell ref="K3:L3"/>
    <mergeCell ref="M3:M4"/>
    <mergeCell ref="B2:D2"/>
  </mergeCells>
  <printOptions horizontalCentered="1"/>
  <pageMargins left="0" right="0" top="0.74803149606299213" bottom="0.74803149606299213" header="0.31496062992125984" footer="0.31496062992125984"/>
  <pageSetup paperSize="9" scale="85" orientation="landscape" horizontalDpi="4294967292" verticalDpi="0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საერთო</vt:lpstr>
      <vt:lpstr>დემონტაჟი</vt:lpstr>
      <vt:lpstr>გამწვანება</vt:lpstr>
      <vt:lpstr>კეთილმოწყობა</vt:lpstr>
      <vt:lpstr>მცირე არქ.</vt:lpstr>
      <vt:lpstr>ელექტროობა</vt:lpstr>
      <vt:lpstr>გამწვანება!Print_Area</vt:lpstr>
      <vt:lpstr>დემონტაჟი!Print_Area</vt:lpstr>
      <vt:lpstr>ელექტროობა!Print_Area</vt:lpstr>
      <vt:lpstr>კეთილმოწყობა!Print_Area</vt:lpstr>
      <vt:lpstr>'მცირე არქ.'!Print_Area</vt:lpstr>
      <vt:lpstr>საერთო!Print_Area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2019-12-13T14:55:18Z</dcterms:modified>
</cp:coreProperties>
</file>