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  <sheet name="x.a.5" sheetId="6" r:id="rId6"/>
  </sheets>
  <definedNames>
    <definedName name="_xlnm.Print_Area" localSheetId="0">'nakrebi'!$A$1:$M$42</definedName>
    <definedName name="_xlnm.Print_Area" localSheetId="1">'x.a.1'!$A$1:$M$27</definedName>
    <definedName name="_xlnm.Print_Area" localSheetId="2">'x.a.2'!$A$1:$M$48</definedName>
    <definedName name="_xlnm.Print_Area" localSheetId="3">'x.a.3'!$A$1:$M$94</definedName>
    <definedName name="_xlnm.Print_Area" localSheetId="4">'x.a.4'!$A$1:$M$83</definedName>
    <definedName name="_xlnm.Print_Area" localSheetId="5">'x.a.5'!$A$1:$M$22</definedName>
    <definedName name="_xlnm.Print_Titles" localSheetId="0">'nakrebi'!$29:$29</definedName>
    <definedName name="_xlnm.Print_Titles" localSheetId="2">'x.a.2'!$14:$14</definedName>
    <definedName name="_xlnm.Print_Titles" localSheetId="3">'x.a.3'!$14:$14</definedName>
  </definedNames>
  <calcPr fullCalcOnLoad="1"/>
</workbook>
</file>

<file path=xl/sharedStrings.xml><?xml version="1.0" encoding="utf-8"?>
<sst xmlns="http://schemas.openxmlformats.org/spreadsheetml/2006/main" count="771" uniqueCount="256">
  <si>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</si>
  <si>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</si>
  <si>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</si>
  <si>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</si>
  <si>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</si>
  <si>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</si>
  <si>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</si>
  <si>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</si>
  <si>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</si>
  <si>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</si>
  <si>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</si>
  <si>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</si>
  <si>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</si>
  <si>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</si>
  <si>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</si>
  <si>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</si>
  <si>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</si>
  <si>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</si>
  <si>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</si>
  <si>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</si>
  <si>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</si>
  <si>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</si>
  <si>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</si>
  <si>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</si>
  <si>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</si>
  <si>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</si>
  <si>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t>normatiuli Sromatevadoba</t>
  </si>
  <si>
    <t>kac/sT</t>
  </si>
  <si>
    <t>manq/sT</t>
  </si>
  <si>
    <t>mosarwyav-mosarecxi manqana 6000l</t>
  </si>
  <si>
    <t>lari</t>
  </si>
  <si>
    <t>t</t>
  </si>
  <si>
    <t>g.m.</t>
  </si>
  <si>
    <t>sxva manqanebi</t>
  </si>
  <si>
    <t>4.1.p.223</t>
  </si>
  <si>
    <t>manqanebi</t>
  </si>
  <si>
    <t>proeqtiT</t>
  </si>
  <si>
    <t>5.1.p.138</t>
  </si>
  <si>
    <t>5.1.p.37</t>
  </si>
  <si>
    <t>5.1.p.22</t>
  </si>
  <si>
    <t>sxva masala</t>
  </si>
  <si>
    <t>sxva masalebi</t>
  </si>
  <si>
    <t>14.p.142</t>
  </si>
  <si>
    <t>buldozeri 79kvt</t>
  </si>
  <si>
    <t>##</t>
  </si>
  <si>
    <t>xarjTa-Rricx-vebis angari-Sebis 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</si>
  <si>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</si>
  <si>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</si>
  <si>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</si>
  <si>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</si>
  <si>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</si>
  <si>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</si>
  <si>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</si>
  <si>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Tavi I</t>
  </si>
  <si>
    <t>mSeneblobis teritoriis momzadeba</t>
  </si>
  <si>
    <t>x.a.#1</t>
  </si>
  <si>
    <t>sul Tavi I</t>
  </si>
  <si>
    <t>x.a.#2</t>
  </si>
  <si>
    <t>Tavi IV</t>
  </si>
  <si>
    <t>xelovnuri nagebobebi</t>
  </si>
  <si>
    <t>sul Tavi IV</t>
  </si>
  <si>
    <t>gauTvaliswinebeli xarjebi 3%</t>
  </si>
  <si>
    <t>dRg 18%</t>
  </si>
  <si>
    <t>sul mSeneblobis Rirebulebis nakrebi saxarjTaRrivxvo angariSiT</t>
  </si>
  <si>
    <t>trasis aRdgena da damagreba</t>
  </si>
  <si>
    <t>avtogreideri saSualo tipis 79kvt</t>
  </si>
  <si>
    <t>saZiebo sam. kreb. kap. mSeneb. gv. 557, cx. 17</t>
  </si>
  <si>
    <t>satkepni sagzao TviTmavali gluvi 5t</t>
  </si>
  <si>
    <t>igive, 10t</t>
  </si>
  <si>
    <t>4</t>
  </si>
  <si>
    <t>buldozeri 79 kvt</t>
  </si>
  <si>
    <t>14.p.61</t>
  </si>
  <si>
    <t xml:space="preserve">nayarSi muSaoba </t>
  </si>
  <si>
    <t>15.gv.140</t>
  </si>
  <si>
    <t>1-25-2</t>
  </si>
  <si>
    <t>14.p.43</t>
  </si>
  <si>
    <t>kg</t>
  </si>
  <si>
    <t>2</t>
  </si>
  <si>
    <t>Tavi III</t>
  </si>
  <si>
    <t>sagzao samosi</t>
  </si>
  <si>
    <t>x.a.#3</t>
  </si>
  <si>
    <t>sul Tavi III</t>
  </si>
  <si>
    <t>x.a.#4</t>
  </si>
  <si>
    <t>gzis kuTvnileba da keTilmowyoba</t>
  </si>
  <si>
    <t>WanWiki</t>
  </si>
  <si>
    <t>1.9.p.17</t>
  </si>
  <si>
    <t>betoni</t>
  </si>
  <si>
    <t>14.p.119</t>
  </si>
  <si>
    <t>30-51-3</t>
  </si>
  <si>
    <t>wasacxebi hidroizolaciis          2 fenis mowyoba</t>
  </si>
  <si>
    <t>4.p.532</t>
  </si>
  <si>
    <t>bitumi navTobis</t>
  </si>
  <si>
    <t>amwe muxluxa svlaze 10 t</t>
  </si>
  <si>
    <t>4.1.p.369</t>
  </si>
  <si>
    <t>cementis xsnari</t>
  </si>
  <si>
    <t>fari ficris, yalibis</t>
  </si>
  <si>
    <t xml:space="preserve">Zeli </t>
  </si>
  <si>
    <t>1-123-8</t>
  </si>
  <si>
    <t xml:space="preserve">qvis risbermis mowyoba </t>
  </si>
  <si>
    <t>Zeli</t>
  </si>
  <si>
    <t xml:space="preserve">1-80-3    </t>
  </si>
  <si>
    <t xml:space="preserve">III jgufis gruntis damuSaveba xeliT  </t>
  </si>
  <si>
    <t>qviSa-xreSovani</t>
  </si>
  <si>
    <t>14.p.207</t>
  </si>
  <si>
    <t>vibraciuli satkepni</t>
  </si>
  <si>
    <t>14.p.7</t>
  </si>
  <si>
    <t>traqtori 79kvt</t>
  </si>
  <si>
    <t>1-22-9</t>
  </si>
  <si>
    <t>1-118-5,6</t>
  </si>
  <si>
    <t>yrilis datkepna vibraciuli satkepniT fenebad 6-jer gavliT fenis sisqiT 20 sm</t>
  </si>
  <si>
    <t>gatana nayarSi 5 km manZilze</t>
  </si>
  <si>
    <t>30-3-2</t>
  </si>
  <si>
    <t>qviSa-xreSovani safuZvlis mowyoba</t>
  </si>
  <si>
    <t>5</t>
  </si>
  <si>
    <t>6-1-1</t>
  </si>
  <si>
    <t>37-64-8</t>
  </si>
  <si>
    <t xml:space="preserve">betoni </t>
  </si>
  <si>
    <t>ficari Camoganuli 40-60 mm, III xarisxis</t>
  </si>
  <si>
    <t>37-66-1</t>
  </si>
  <si>
    <t>armaturis dawyoba</t>
  </si>
  <si>
    <t>mili</t>
  </si>
  <si>
    <t>saTavisi</t>
  </si>
  <si>
    <t>sagzao samosis mowyoba</t>
  </si>
  <si>
    <t>1</t>
  </si>
  <si>
    <t>3</t>
  </si>
  <si>
    <t>safari</t>
  </si>
  <si>
    <t>7</t>
  </si>
  <si>
    <t>11</t>
  </si>
  <si>
    <t>Casatanebeli detalebi</t>
  </si>
  <si>
    <t>37-64-4</t>
  </si>
  <si>
    <t>1.9.p.565</t>
  </si>
  <si>
    <t>27-50-1</t>
  </si>
  <si>
    <t>avtoamwe saburRi mowyobilobiT</t>
  </si>
  <si>
    <t>amwe saavtomobilo svlaze             3 t</t>
  </si>
  <si>
    <t xml:space="preserve"> specprofilis parapeti "niu jersi" </t>
  </si>
  <si>
    <t>betonis specprofilis parapetis mowyoba</t>
  </si>
  <si>
    <t xml:space="preserve"> lokaluri  xarjTaRricxva # 1</t>
  </si>
  <si>
    <t xml:space="preserve"> lokaluri  xarjTaRricxva # 2</t>
  </si>
  <si>
    <t xml:space="preserve">ficari Camoganuli III xarisxis, 40-60 mm </t>
  </si>
  <si>
    <t>rkina-betonis specprofilis parapetis mowyoba "niu jersi" 80 X50 sm  L=3 m</t>
  </si>
  <si>
    <t>Tavi II</t>
  </si>
  <si>
    <t>sul Tavi II</t>
  </si>
  <si>
    <t>qviSa-xreSovani narevis   eqskavatoriT uku Cayra</t>
  </si>
  <si>
    <t>transportireba nayarSi 5 km-mde</t>
  </si>
  <si>
    <t>4.1.p.341</t>
  </si>
  <si>
    <t>4.1.p.367</t>
  </si>
  <si>
    <t xml:space="preserve">4.p.367,     </t>
  </si>
  <si>
    <t>4.1.p.353</t>
  </si>
  <si>
    <t xml:space="preserve">rkina-betonis  marTkuTxa milis kveTiT 4,0X2,0 m mowyoba  </t>
  </si>
  <si>
    <r>
      <t>m</t>
    </r>
    <r>
      <rPr>
        <vertAlign val="superscript"/>
        <sz val="11"/>
        <rFont val="AcadNusx"/>
        <family val="0"/>
      </rPr>
      <t>3</t>
    </r>
  </si>
  <si>
    <t>eqskavatori</t>
  </si>
  <si>
    <t>meqanizmebze momsaxure personalis xelfasi</t>
  </si>
  <si>
    <t>1-22-15</t>
  </si>
  <si>
    <r>
      <t>m</t>
    </r>
    <r>
      <rPr>
        <u val="single"/>
        <vertAlign val="superscript"/>
        <sz val="11"/>
        <rFont val="AcadNusx"/>
        <family val="0"/>
      </rPr>
      <t>3</t>
    </r>
  </si>
  <si>
    <t>eqskavatori  0.5</t>
  </si>
  <si>
    <t>transportireba 5 km-mde nayarSi</t>
  </si>
  <si>
    <t>ტ</t>
  </si>
  <si>
    <t>1-80- 3  vzer1-3</t>
  </si>
  <si>
    <t>III kategoriis gruntis damuSaveba xeliT qvabulis sesaqmnelad, datvirTva a/TviTmclelebze da zidva nayarSi 5 km-mde</t>
  </si>
  <si>
    <t>transportireba nayarSi 5 km manძილზe</t>
  </si>
  <si>
    <t>23-1-3</t>
  </si>
  <si>
    <t>nagebobis saZirkvelSi qviSa-xreSovani baliSis mowyoba sisqiT 20sm</t>
  </si>
  <si>
    <t>qviSa-xreSovani narevi</t>
  </si>
  <si>
    <t>6-11-7</t>
  </si>
  <si>
    <r>
      <t>rk/betonis kedlis mowyoba</t>
    </r>
    <r>
      <rPr>
        <b/>
        <sz val="11"/>
        <rFont val="Calibri"/>
        <family val="2"/>
      </rPr>
      <t xml:space="preserve"> B25 F200 W6 </t>
    </r>
    <r>
      <rPr>
        <b/>
        <sz val="11"/>
        <rFont val="AcadNusx"/>
        <family val="0"/>
      </rPr>
      <t>betoniT</t>
    </r>
  </si>
  <si>
    <r>
      <t>betoni</t>
    </r>
    <r>
      <rPr>
        <sz val="11"/>
        <rFont val="Calibri"/>
        <family val="2"/>
      </rPr>
      <t>B25 F200 W6</t>
    </r>
  </si>
  <si>
    <t xml:space="preserve">armatura AAIII </t>
  </si>
  <si>
    <t>armatura</t>
  </si>
  <si>
    <t xml:space="preserve">armatura AAI </t>
  </si>
  <si>
    <r>
      <t>m</t>
    </r>
    <r>
      <rPr>
        <vertAlign val="superscript"/>
        <sz val="11"/>
        <rFont val="AcadNusx"/>
        <family val="0"/>
      </rPr>
      <t>2</t>
    </r>
  </si>
  <si>
    <t>eleqtrodi</t>
  </si>
  <si>
    <t>sadrenaJo sistemis mowyoba</t>
  </si>
  <si>
    <t>22-8-3 misad</t>
  </si>
  <si>
    <t>sadrenaJo plastmasis milebi Ǿ100 mm</t>
  </si>
  <si>
    <t>polieTilenis mili</t>
  </si>
  <si>
    <t>8-4-8</t>
  </si>
  <si>
    <t>poxieri Tixis ekranis mowyoba, sisqiT 20 sm</t>
  </si>
  <si>
    <t>Tixa</t>
  </si>
  <si>
    <t>riyis qva</t>
  </si>
  <si>
    <t>kedlis wasacxebi hidroizolacia</t>
  </si>
  <si>
    <t>cementis xsnari M150</t>
  </si>
  <si>
    <t>kedlis seqciebs Soris bitumSi gaJRenTili ZenZis Catenva</t>
  </si>
  <si>
    <t>გ.მ.</t>
  </si>
  <si>
    <t>1-11-15</t>
  </si>
  <si>
    <t>kedlis ukana da wina sivrceebis Sevseba qviSa-xreSovani masaliT</t>
  </si>
  <si>
    <t>15</t>
  </si>
  <si>
    <t xml:space="preserve">qviSa-xreSovani narevis  datkepna vibraciuli satkepniT fenebad     </t>
  </si>
  <si>
    <t>III kategoriis gruntis damuSaveba meqanizmebiT qvabulis Sesaqmnelad, datvirTva a/TviTmclelebze da zidva nayarSi 5 km-mde</t>
  </si>
  <si>
    <t>mdinaris kalapotis gawmenda</t>
  </si>
  <si>
    <t>III kategoriis gruntis damuSaveba meqanizmebiT datvirTva a/TviTmclelebze da zidva nayarSi 5 km-mde</t>
  </si>
  <si>
    <t>mosamzadebeli samuSaoebi</t>
  </si>
  <si>
    <t xml:space="preserve"> lokaluri  xarjTaRricxva # 3</t>
  </si>
  <si>
    <t xml:space="preserve"> lokaluri  xarjTaRricxva # 4</t>
  </si>
  <si>
    <t xml:space="preserve"> lokaluri  xarjTaRricxva #5 </t>
  </si>
  <si>
    <t>rkina-betonis kedlis mowyoba</t>
  </si>
  <si>
    <t>Tavi V</t>
  </si>
  <si>
    <t>sul Tavi V</t>
  </si>
  <si>
    <t>sul Tavi I-V</t>
  </si>
  <si>
    <t>x.a.#5</t>
  </si>
  <si>
    <r>
      <t>III jgufis gruntis damuSaveba eqskavatoriT CamCis tevadobiT 0,65m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avtoTviTmclelebze datvirTviT</t>
    </r>
  </si>
  <si>
    <r>
      <t>eqskavatori CamCis tevadobiT 0,65 m</t>
    </r>
    <r>
      <rPr>
        <vertAlign val="superscript"/>
        <sz val="11"/>
        <rFont val="AcadNusx"/>
        <family val="0"/>
      </rPr>
      <t>3</t>
    </r>
  </si>
  <si>
    <t>armatura  AAA III klasis Ǿ14</t>
  </si>
  <si>
    <t>armatura  AAA III klasis Ǿ25</t>
  </si>
  <si>
    <t>armatura  AAA I klasis Ǿ10</t>
  </si>
  <si>
    <t>armatura  AAA III klasis Ǿ12</t>
  </si>
  <si>
    <t>armatura  AAA III klasis Ǿ10</t>
  </si>
  <si>
    <t>armatura  AAA I klasis Ǿ8</t>
  </si>
  <si>
    <t>monoliTuri rkina-betonis saTavisis mowyoba                           B30  F200  W6 (Ziri, kbili, frTebi, sajeni)</t>
  </si>
  <si>
    <t>monoliTuri oTxkuTxa rkina-betonis milis mowyoba                                              B30 F200 W6 (saZirkveli, kedeli)</t>
  </si>
  <si>
    <t>Camouganavi mori III xarisx.                40-60mm</t>
  </si>
  <si>
    <t>,</t>
  </si>
  <si>
    <t>27-11-1</t>
  </si>
  <si>
    <t>qvis namtvrevebis gamanawilebeli</t>
  </si>
  <si>
    <t>m/sT</t>
  </si>
  <si>
    <t>wyali</t>
  </si>
  <si>
    <t>m2</t>
  </si>
  <si>
    <t xml:space="preserve"> safaris zeda fenis mowyoba  fraqciuli RorRiT (0-40) mm, sisqiT 15 sm (43 მ3)</t>
  </si>
  <si>
    <t>RorRi (0-40 mm) (15 sm) (286.67*0.15*1.26)</t>
  </si>
  <si>
    <r>
      <t>betonis momzadeba, saSualo sisqiT 10 sm</t>
    </r>
    <r>
      <rPr>
        <sz val="11"/>
        <rFont val="Arial"/>
        <family val="2"/>
      </rPr>
      <t>, B20</t>
    </r>
  </si>
  <si>
    <r>
      <t>betoni B</t>
    </r>
    <r>
      <rPr>
        <sz val="11"/>
        <rFont val="Arial"/>
        <family val="2"/>
      </rPr>
      <t>B-20</t>
    </r>
  </si>
  <si>
    <t>1.1-2</t>
  </si>
  <si>
    <t>1-1-26</t>
  </si>
  <si>
    <t>1-11-9</t>
  </si>
  <si>
    <t xml:space="preserve"> qva</t>
  </si>
  <si>
    <t>4.1,p.239</t>
  </si>
  <si>
    <t>7-50-2</t>
  </si>
  <si>
    <t>cementis xsnari M100</t>
  </si>
  <si>
    <t>kubm</t>
  </si>
  <si>
    <t xml:space="preserve"> gaJRenTili ZenZi</t>
  </si>
  <si>
    <t>pergamini</t>
  </si>
  <si>
    <t>kvm</t>
  </si>
  <si>
    <t>4.1-383</t>
  </si>
  <si>
    <t>kalkulac.</t>
  </si>
  <si>
    <r>
      <t>armatura  AA</t>
    </r>
    <r>
      <rPr>
        <sz val="11"/>
        <rFont val="Arial"/>
        <family val="2"/>
      </rPr>
      <t>A</t>
    </r>
    <r>
      <rPr>
        <sz val="11"/>
        <rFont val="Arachveulebrivi Thin"/>
        <family val="2"/>
      </rPr>
      <t xml:space="preserve"> I klasis Ǿ8</t>
    </r>
  </si>
  <si>
    <r>
      <t>safaris mowyoba</t>
    </r>
    <r>
      <rPr>
        <b/>
        <sz val="11"/>
        <rFont val="Calibri"/>
        <family val="2"/>
      </rPr>
      <t xml:space="preserve"> B25 F200 W6 </t>
    </r>
    <r>
      <rPr>
        <b/>
        <sz val="11"/>
        <rFont val="AcadNusx"/>
        <family val="0"/>
      </rPr>
      <t>betoniT</t>
    </r>
  </si>
  <si>
    <t>14.p.300</t>
  </si>
  <si>
    <t>4.1.p.177</t>
  </si>
  <si>
    <t>პრეტენდენტის დასახელება</t>
  </si>
  <si>
    <t>დანართი #1</t>
  </si>
  <si>
    <t>შენიშვნა: გაუთვალისწინებელი სამუშაოების პროცენტული მაჩვენებელი არ უნდა იყოს წარმოდგენილი მითითებულზე ნაკლები, დანართების №1- დან N№1-5-ის ჩათვლით წარმოუდგენლობა ან და თუ წარდგენილ ხარჯთაღრიცხვაში განუფასებელი პოზიცი(ებ)ის რაოდენობა აღემატება განსაფასებელი პოზიციების 1%-ს  გამოიწვევს პრეტენდენტის დისკვალიფიკაციას.</t>
  </si>
  <si>
    <t>დანართი #1-1</t>
  </si>
  <si>
    <t>%</t>
  </si>
  <si>
    <t>დანართი#1-2</t>
  </si>
  <si>
    <t>დანართი#1-3</t>
  </si>
  <si>
    <t>დანართი#1-4</t>
  </si>
  <si>
    <t>დანართი#1-5</t>
  </si>
  <si>
    <t>masalebis transportireba   masalebis Rirebulebidan</t>
  </si>
  <si>
    <t xml:space="preserve">zednadebi xarjebi  </t>
  </si>
  <si>
    <t xml:space="preserve">gegmiuri mogeba   </t>
  </si>
  <si>
    <t>masalebis transportireba    masalebis Rirebulebidan</t>
  </si>
  <si>
    <t xml:space="preserve">zednadebi xarjebi </t>
  </si>
  <si>
    <t xml:space="preserve">gegmiuri mogeba </t>
  </si>
  <si>
    <t>masalebis transportireba  masalebis Rirebulebidan</t>
  </si>
  <si>
    <t>zednadebi xarjebi</t>
  </si>
  <si>
    <t>ახალციხის მუნიციპალიტეტში სოფელ ურავლის და აგარების მონასტრის დამაკავშირებელ გზაზე მართკუთხა მილის მოწყობის სამუშაოების  ნაკრები ხარჯთაღრიცხვა</t>
  </si>
  <si>
    <t>ახალციხის მუნიციპალიტეტში სოფელ ურავლის და აგარების მონასტრის დამაკავშირებელ გზაზე მართკუთხა მილის მოწყობის სამუშაოების ხარჯთაღრიცხვა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</si>
</sst>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0.0"/>
    <numFmt numFmtId="197" formatCode="0.000"/>
    <numFmt numFmtId="198" formatCode="0.0000"/>
    <numFmt numFmtId="199" formatCode="0.00000"/>
    <numFmt numFmtId="200" formatCode="[$-FC19]d\ mmmm\ yyyy\ &quot;г.&quot;"/>
    <numFmt numFmtId="201" formatCode="0;[Red]0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_);_(* \(#,##0.000\);_(* &quot;-&quot;???_);_(@_)"/>
    <numFmt numFmtId="206" formatCode="0.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9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cadNusx"/>
      <family val="0"/>
    </font>
    <font>
      <sz val="10"/>
      <name val="AcadNusx"/>
      <family val="0"/>
    </font>
    <font>
      <b/>
      <sz val="14"/>
      <name val="AcadNusx"/>
      <family val="0"/>
    </font>
    <font>
      <sz val="12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9"/>
      <name val="AcadNusx"/>
      <family val="0"/>
    </font>
    <font>
      <b/>
      <u val="single"/>
      <sz val="11"/>
      <name val="AcadNusx"/>
      <family val="0"/>
    </font>
    <font>
      <vertAlign val="superscript"/>
      <sz val="11"/>
      <name val="AcadNusx"/>
      <family val="0"/>
    </font>
    <font>
      <u val="single"/>
      <sz val="11"/>
      <name val="AcadNusx"/>
      <family val="0"/>
    </font>
    <font>
      <u val="single"/>
      <vertAlign val="superscript"/>
      <sz val="11"/>
      <name val="AcadNusx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AcadNusx"/>
      <family val="0"/>
    </font>
    <font>
      <sz val="14"/>
      <name val="AcadNusx"/>
      <family val="0"/>
    </font>
    <font>
      <sz val="11"/>
      <color indexed="10"/>
      <name val="AcadNusx"/>
      <family val="0"/>
    </font>
    <font>
      <u val="single"/>
      <sz val="11"/>
      <color indexed="10"/>
      <name val="AcadNusx"/>
      <family val="0"/>
    </font>
    <font>
      <sz val="11"/>
      <name val="Arial"/>
      <family val="2"/>
    </font>
    <font>
      <u val="single"/>
      <sz val="11"/>
      <name val="Arachveulebrivi Thin"/>
      <family val="2"/>
    </font>
    <font>
      <sz val="9"/>
      <name val="Arachveulebrivi Thin"/>
      <family val="2"/>
    </font>
    <font>
      <b/>
      <sz val="11"/>
      <name val="Sylfaen"/>
      <family val="1"/>
    </font>
    <font>
      <b/>
      <sz val="11"/>
      <name val="Arachveulebrivi Thin"/>
      <family val="2"/>
    </font>
    <font>
      <b/>
      <sz val="11"/>
      <color indexed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sz val="11"/>
      <color indexed="8"/>
      <name val="AcadNusx"/>
      <family val="0"/>
    </font>
    <font>
      <sz val="12"/>
      <color indexed="10"/>
      <name val="AcadNusx"/>
      <family val="0"/>
    </font>
    <font>
      <sz val="11"/>
      <color indexed="10"/>
      <name val="Arachveulebrivi Thi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  <font>
      <sz val="12"/>
      <color theme="1"/>
      <name val="AcadNusx"/>
      <family val="0"/>
    </font>
    <font>
      <sz val="11"/>
      <color theme="1"/>
      <name val="AcadNusx"/>
      <family val="0"/>
    </font>
    <font>
      <sz val="12"/>
      <color rgb="FFFF0000"/>
      <name val="AcadNusx"/>
      <family val="0"/>
    </font>
    <font>
      <sz val="11"/>
      <color rgb="FFFF0000"/>
      <name val="Arachveulebrivi Thi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</cellStyleXfs>
  <cellXfs count="46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2" fontId="9" fillId="0" borderId="11" xfId="64" applyNumberFormat="1" applyFont="1" applyBorder="1" applyAlignment="1">
      <alignment horizontal="center" vertical="center"/>
      <protection/>
    </xf>
    <xf numFmtId="2" fontId="9" fillId="0" borderId="12" xfId="64" applyNumberFormat="1" applyFont="1" applyBorder="1" applyAlignment="1">
      <alignment horizontal="center" vertical="center"/>
      <protection/>
    </xf>
    <xf numFmtId="2" fontId="9" fillId="0" borderId="13" xfId="64" applyNumberFormat="1" applyFont="1" applyBorder="1" applyAlignment="1">
      <alignment horizontal="center" vertical="center"/>
      <protection/>
    </xf>
    <xf numFmtId="2" fontId="9" fillId="0" borderId="10" xfId="64" applyNumberFormat="1" applyFont="1" applyBorder="1" applyAlignment="1">
      <alignment horizontal="center" vertical="center"/>
      <protection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64" applyNumberFormat="1" applyFont="1" applyBorder="1" applyAlignment="1">
      <alignment horizontal="center" vertical="center"/>
      <protection/>
    </xf>
    <xf numFmtId="1" fontId="9" fillId="0" borderId="15" xfId="0" applyNumberFormat="1" applyFont="1" applyBorder="1" applyAlignment="1">
      <alignment horizontal="center" vertical="center"/>
    </xf>
    <xf numFmtId="0" fontId="9" fillId="0" borderId="16" xfId="64" applyFont="1" applyBorder="1" applyAlignment="1">
      <alignment horizontal="center" vertical="center"/>
      <protection/>
    </xf>
    <xf numFmtId="2" fontId="9" fillId="0" borderId="16" xfId="64" applyNumberFormat="1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2" fontId="13" fillId="0" borderId="17" xfId="64" applyNumberFormat="1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197" fontId="9" fillId="0" borderId="10" xfId="64" applyNumberFormat="1" applyFont="1" applyBorder="1" applyAlignment="1">
      <alignment horizontal="center" vertical="center"/>
      <protection/>
    </xf>
    <xf numFmtId="198" fontId="9" fillId="0" borderId="10" xfId="64" applyNumberFormat="1" applyFont="1" applyBorder="1" applyAlignment="1">
      <alignment horizontal="center" vertical="center"/>
      <protection/>
    </xf>
    <xf numFmtId="49" fontId="9" fillId="0" borderId="10" xfId="64" applyNumberFormat="1" applyFont="1" applyBorder="1" applyAlignment="1">
      <alignment horizontal="center" vertical="center"/>
      <protection/>
    </xf>
    <xf numFmtId="49" fontId="9" fillId="0" borderId="14" xfId="64" applyNumberFormat="1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/>
    </xf>
    <xf numFmtId="0" fontId="9" fillId="0" borderId="10" xfId="55" applyFont="1" applyBorder="1" applyAlignment="1">
      <alignment horizontal="center"/>
      <protection/>
    </xf>
    <xf numFmtId="9" fontId="9" fillId="0" borderId="10" xfId="68" applyFont="1" applyBorder="1" applyAlignment="1">
      <alignment horizontal="center" vertical="center"/>
    </xf>
    <xf numFmtId="0" fontId="9" fillId="0" borderId="10" xfId="55" applyFont="1" applyBorder="1" applyAlignment="1">
      <alignment horizontal="center" vertical="center" wrapText="1"/>
      <protection/>
    </xf>
    <xf numFmtId="9" fontId="9" fillId="0" borderId="10" xfId="55" applyNumberFormat="1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wrapText="1"/>
      <protection/>
    </xf>
    <xf numFmtId="197" fontId="9" fillId="0" borderId="10" xfId="55" applyNumberFormat="1" applyFont="1" applyBorder="1" applyAlignment="1">
      <alignment horizontal="center" wrapText="1"/>
      <protection/>
    </xf>
    <xf numFmtId="2" fontId="9" fillId="0" borderId="10" xfId="55" applyNumberFormat="1" applyFont="1" applyBorder="1" applyAlignment="1">
      <alignment horizontal="center" wrapText="1"/>
      <protection/>
    </xf>
    <xf numFmtId="2" fontId="9" fillId="0" borderId="10" xfId="55" applyNumberFormat="1" applyFont="1" applyBorder="1" applyAlignment="1">
      <alignment horizontal="center" vertical="center" wrapText="1"/>
      <protection/>
    </xf>
    <xf numFmtId="2" fontId="9" fillId="0" borderId="10" xfId="55" applyNumberFormat="1" applyFont="1" applyBorder="1" applyAlignment="1">
      <alignment horizontal="center" vertical="center"/>
      <protection/>
    </xf>
    <xf numFmtId="197" fontId="9" fillId="0" borderId="10" xfId="55" applyNumberFormat="1" applyFont="1" applyBorder="1" applyAlignment="1">
      <alignment horizontal="center" vertical="center" wrapText="1"/>
      <protection/>
    </xf>
    <xf numFmtId="0" fontId="9" fillId="0" borderId="14" xfId="55" applyFont="1" applyBorder="1" applyAlignment="1">
      <alignment horizontal="center"/>
      <protection/>
    </xf>
    <xf numFmtId="9" fontId="9" fillId="0" borderId="14" xfId="68" applyFont="1" applyBorder="1" applyAlignment="1">
      <alignment horizontal="center" vertical="center"/>
    </xf>
    <xf numFmtId="2" fontId="9" fillId="0" borderId="14" xfId="55" applyNumberFormat="1" applyFont="1" applyBorder="1" applyAlignment="1">
      <alignment horizontal="center"/>
      <protection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8" xfId="64" applyFont="1" applyBorder="1" applyAlignment="1">
      <alignment horizontal="center" vertical="center"/>
      <protection/>
    </xf>
    <xf numFmtId="49" fontId="9" fillId="0" borderId="15" xfId="64" applyNumberFormat="1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" vertical="center" wrapText="1"/>
      <protection/>
    </xf>
    <xf numFmtId="2" fontId="9" fillId="0" borderId="18" xfId="64" applyNumberFormat="1" applyFont="1" applyBorder="1" applyAlignment="1">
      <alignment horizontal="center" vertical="center"/>
      <protection/>
    </xf>
    <xf numFmtId="2" fontId="9" fillId="0" borderId="15" xfId="64" applyNumberFormat="1" applyFont="1" applyBorder="1" applyAlignment="1">
      <alignment horizontal="center" vertical="center"/>
      <protection/>
    </xf>
    <xf numFmtId="2" fontId="9" fillId="0" borderId="20" xfId="64" applyNumberFormat="1" applyFont="1" applyBorder="1" applyAlignment="1">
      <alignment horizontal="center" vertical="center"/>
      <protection/>
    </xf>
    <xf numFmtId="2" fontId="9" fillId="0" borderId="19" xfId="64" applyNumberFormat="1" applyFont="1" applyBorder="1" applyAlignment="1">
      <alignment horizontal="center" vertical="center"/>
      <protection/>
    </xf>
    <xf numFmtId="49" fontId="9" fillId="0" borderId="10" xfId="55" applyNumberFormat="1" applyFont="1" applyBorder="1" applyAlignment="1">
      <alignment horizontal="center" vertical="center" wrapText="1"/>
      <protection/>
    </xf>
    <xf numFmtId="49" fontId="9" fillId="0" borderId="14" xfId="55" applyNumberFormat="1" applyFont="1" applyBorder="1" applyAlignment="1">
      <alignment horizontal="center" vertical="center" wrapText="1"/>
      <protection/>
    </xf>
    <xf numFmtId="2" fontId="9" fillId="0" borderId="0" xfId="64" applyNumberFormat="1" applyFont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2" fontId="9" fillId="0" borderId="10" xfId="63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63" applyNumberFormat="1" applyFont="1" applyFill="1" applyBorder="1" applyAlignment="1">
      <alignment horizontal="center" vertical="center"/>
      <protection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/>
    </xf>
    <xf numFmtId="2" fontId="9" fillId="0" borderId="14" xfId="63" applyNumberFormat="1" applyFont="1" applyFill="1" applyBorder="1" applyAlignment="1">
      <alignment horizontal="center"/>
      <protection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9" fillId="0" borderId="0" xfId="64" applyFont="1" applyBorder="1" applyAlignment="1">
      <alignment horizontal="center" vertical="center" wrapText="1"/>
      <protection/>
    </xf>
    <xf numFmtId="2" fontId="9" fillId="0" borderId="17" xfId="64" applyNumberFormat="1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wrapText="1"/>
      <protection/>
    </xf>
    <xf numFmtId="49" fontId="9" fillId="0" borderId="10" xfId="64" applyNumberFormat="1" applyFont="1" applyFill="1" applyBorder="1" applyAlignment="1">
      <alignment horizontal="center" vertical="center"/>
      <protection/>
    </xf>
    <xf numFmtId="0" fontId="9" fillId="0" borderId="12" xfId="64" applyFont="1" applyBorder="1" applyAlignment="1">
      <alignment horizont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55" applyFont="1" applyBorder="1" applyAlignment="1">
      <alignment horizontal="center" vertical="center"/>
      <protection/>
    </xf>
    <xf numFmtId="197" fontId="10" fillId="0" borderId="10" xfId="64" applyNumberFormat="1" applyFont="1" applyBorder="1" applyAlignment="1">
      <alignment horizontal="center" vertical="center"/>
      <protection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3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2" fontId="9" fillId="32" borderId="10" xfId="55" applyNumberFormat="1" applyFont="1" applyFill="1" applyBorder="1" applyAlignment="1">
      <alignment horizontal="center" vertical="center" wrapText="1"/>
      <protection/>
    </xf>
    <xf numFmtId="2" fontId="9" fillId="32" borderId="10" xfId="55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9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9" fontId="9" fillId="0" borderId="10" xfId="0" applyNumberFormat="1" applyFont="1" applyFill="1" applyBorder="1" applyAlignment="1">
      <alignment horizontal="center" vertical="center"/>
    </xf>
    <xf numFmtId="198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197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21" xfId="64" applyFont="1" applyFill="1" applyBorder="1" applyAlignment="1">
      <alignment horizontal="center" vertical="center"/>
      <protection/>
    </xf>
    <xf numFmtId="2" fontId="9" fillId="0" borderId="22" xfId="64" applyNumberFormat="1" applyFont="1" applyFill="1" applyBorder="1" applyAlignment="1">
      <alignment horizontal="center" vertical="center"/>
      <protection/>
    </xf>
    <xf numFmtId="2" fontId="9" fillId="0" borderId="23" xfId="64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2" fontId="9" fillId="0" borderId="11" xfId="64" applyNumberFormat="1" applyFont="1" applyFill="1" applyBorder="1" applyAlignment="1">
      <alignment horizontal="center" vertical="center"/>
      <protection/>
    </xf>
    <xf numFmtId="2" fontId="9" fillId="0" borderId="12" xfId="64" applyNumberFormat="1" applyFont="1" applyFill="1" applyBorder="1" applyAlignment="1">
      <alignment horizontal="center" vertical="center"/>
      <protection/>
    </xf>
    <xf numFmtId="2" fontId="9" fillId="0" borderId="13" xfId="64" applyNumberFormat="1" applyFont="1" applyFill="1" applyBorder="1" applyAlignment="1">
      <alignment horizontal="center" vertical="center"/>
      <protection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21" xfId="64" applyNumberFormat="1" applyFont="1" applyFill="1" applyBorder="1" applyAlignment="1">
      <alignment horizontal="center" vertical="center"/>
      <protection/>
    </xf>
    <xf numFmtId="2" fontId="9" fillId="0" borderId="10" xfId="64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2" fontId="9" fillId="0" borderId="14" xfId="64" applyNumberFormat="1" applyFont="1" applyFill="1" applyBorder="1" applyAlignment="1">
      <alignment horizontal="center" vertical="center"/>
      <protection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5" xfId="64" applyNumberFormat="1" applyFont="1" applyFill="1" applyBorder="1" applyAlignment="1">
      <alignment horizontal="center" vertical="center"/>
      <protection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64" applyNumberFormat="1" applyFont="1" applyFill="1" applyBorder="1" applyAlignment="1">
      <alignment horizontal="center" vertical="center"/>
      <protection/>
    </xf>
    <xf numFmtId="1" fontId="8" fillId="0" borderId="21" xfId="0" applyNumberFormat="1" applyFont="1" applyFill="1" applyBorder="1" applyAlignment="1">
      <alignment horizontal="center" vertical="center" wrapText="1"/>
    </xf>
    <xf numFmtId="1" fontId="9" fillId="0" borderId="21" xfId="64" applyNumberFormat="1" applyFont="1" applyFill="1" applyBorder="1" applyAlignment="1">
      <alignment horizontal="center" vertical="center"/>
      <protection/>
    </xf>
    <xf numFmtId="1" fontId="9" fillId="0" borderId="2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2" fontId="9" fillId="0" borderId="0" xfId="64" applyNumberFormat="1" applyFont="1" applyFill="1" applyAlignment="1">
      <alignment horizontal="center" vertical="center"/>
      <protection/>
    </xf>
    <xf numFmtId="2" fontId="9" fillId="0" borderId="16" xfId="64" applyNumberFormat="1" applyFont="1" applyFill="1" applyBorder="1" applyAlignment="1">
      <alignment horizontal="center" vertical="center"/>
      <protection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16" xfId="64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3" fillId="0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" fontId="9" fillId="0" borderId="21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55" applyFont="1" applyFill="1" applyBorder="1" applyAlignment="1">
      <alignment horizontal="center"/>
      <protection/>
    </xf>
    <xf numFmtId="9" fontId="9" fillId="0" borderId="10" xfId="68" applyFont="1" applyFill="1" applyBorder="1" applyAlignment="1">
      <alignment horizontal="center" vertical="center"/>
    </xf>
    <xf numFmtId="2" fontId="64" fillId="0" borderId="0" xfId="0" applyNumberFormat="1" applyFont="1" applyFill="1" applyAlignment="1">
      <alignment/>
    </xf>
    <xf numFmtId="0" fontId="9" fillId="0" borderId="10" xfId="55" applyFont="1" applyFill="1" applyBorder="1" applyAlignment="1">
      <alignment horizontal="center" vertical="center" wrapText="1"/>
      <protection/>
    </xf>
    <xf numFmtId="9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wrapText="1"/>
      <protection/>
    </xf>
    <xf numFmtId="2" fontId="9" fillId="0" borderId="10" xfId="55" applyNumberFormat="1" applyFont="1" applyFill="1" applyBorder="1" applyAlignment="1">
      <alignment horizontal="center" wrapText="1"/>
      <protection/>
    </xf>
    <xf numFmtId="2" fontId="9" fillId="0" borderId="10" xfId="55" applyNumberFormat="1" applyFont="1" applyFill="1" applyBorder="1" applyAlignment="1">
      <alignment horizontal="center" vertical="center" wrapText="1"/>
      <protection/>
    </xf>
    <xf numFmtId="9" fontId="9" fillId="0" borderId="10" xfId="55" applyNumberFormat="1" applyFont="1" applyFill="1" applyBorder="1" applyAlignment="1">
      <alignment horizontal="center" vertical="center"/>
      <protection/>
    </xf>
    <xf numFmtId="2" fontId="9" fillId="0" borderId="10" xfId="55" applyNumberFormat="1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>
      <alignment horizontal="center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9" fontId="9" fillId="0" borderId="14" xfId="68" applyFont="1" applyFill="1" applyBorder="1" applyAlignment="1">
      <alignment horizontal="center" vertical="center"/>
    </xf>
    <xf numFmtId="2" fontId="9" fillId="0" borderId="14" xfId="55" applyNumberFormat="1" applyFont="1" applyFill="1" applyBorder="1" applyAlignment="1">
      <alignment horizontal="center"/>
      <protection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18" xfId="64" applyFont="1" applyFill="1" applyBorder="1" applyAlignment="1">
      <alignment horizontal="center" vertical="center"/>
      <protection/>
    </xf>
    <xf numFmtId="49" fontId="9" fillId="0" borderId="15" xfId="64" applyNumberFormat="1" applyFont="1" applyFill="1" applyBorder="1" applyAlignment="1">
      <alignment horizontal="center" vertical="center" wrapText="1"/>
      <protection/>
    </xf>
    <xf numFmtId="0" fontId="9" fillId="0" borderId="20" xfId="64" applyFont="1" applyFill="1" applyBorder="1" applyAlignment="1">
      <alignment horizontal="center" vertical="center" wrapText="1"/>
      <protection/>
    </xf>
    <xf numFmtId="2" fontId="9" fillId="0" borderId="18" xfId="64" applyNumberFormat="1" applyFont="1" applyFill="1" applyBorder="1" applyAlignment="1">
      <alignment horizontal="center" vertical="center"/>
      <protection/>
    </xf>
    <xf numFmtId="2" fontId="9" fillId="0" borderId="15" xfId="64" applyNumberFormat="1" applyFont="1" applyFill="1" applyBorder="1" applyAlignment="1">
      <alignment horizontal="center" vertical="center"/>
      <protection/>
    </xf>
    <xf numFmtId="2" fontId="9" fillId="0" borderId="20" xfId="64" applyNumberFormat="1" applyFont="1" applyFill="1" applyBorder="1" applyAlignment="1">
      <alignment horizontal="center" vertical="center"/>
      <protection/>
    </xf>
    <xf numFmtId="2" fontId="9" fillId="0" borderId="19" xfId="64" applyNumberFormat="1" applyFont="1" applyFill="1" applyBorder="1" applyAlignment="1">
      <alignment horizontal="center" vertical="center"/>
      <protection/>
    </xf>
    <xf numFmtId="0" fontId="17" fillId="0" borderId="20" xfId="64" applyFont="1" applyFill="1" applyBorder="1" applyAlignment="1">
      <alignment horizontal="center" vertical="center" wrapText="1"/>
      <protection/>
    </xf>
    <xf numFmtId="0" fontId="64" fillId="0" borderId="0" xfId="0" applyFont="1" applyFill="1" applyBorder="1" applyAlignment="1">
      <alignment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197" fontId="9" fillId="0" borderId="10" xfId="55" applyNumberFormat="1" applyFont="1" applyFill="1" applyBorder="1" applyAlignment="1">
      <alignment horizontal="center" wrapText="1"/>
      <protection/>
    </xf>
    <xf numFmtId="197" fontId="9" fillId="0" borderId="10" xfId="55" applyNumberFormat="1" applyFont="1" applyFill="1" applyBorder="1" applyAlignment="1">
      <alignment horizontal="center" vertical="center" wrapText="1"/>
      <protection/>
    </xf>
    <xf numFmtId="49" fontId="9" fillId="0" borderId="14" xfId="55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9" fillId="0" borderId="14" xfId="64" applyNumberFormat="1" applyFont="1" applyFill="1" applyBorder="1" applyAlignment="1">
      <alignment horizontal="center" vertical="center"/>
      <protection/>
    </xf>
    <xf numFmtId="49" fontId="9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49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5" fillId="0" borderId="17" xfId="64" applyFont="1" applyFill="1" applyBorder="1" applyAlignment="1">
      <alignment horizontal="center" vertical="center"/>
      <protection/>
    </xf>
    <xf numFmtId="49" fontId="65" fillId="0" borderId="15" xfId="64" applyNumberFormat="1" applyFont="1" applyFill="1" applyBorder="1" applyAlignment="1">
      <alignment horizontal="center" vertical="center" wrapText="1"/>
      <protection/>
    </xf>
    <xf numFmtId="2" fontId="65" fillId="0" borderId="15" xfId="64" applyNumberFormat="1" applyFont="1" applyFill="1" applyBorder="1" applyAlignment="1">
      <alignment horizontal="center" vertical="center"/>
      <protection/>
    </xf>
    <xf numFmtId="2" fontId="66" fillId="0" borderId="15" xfId="64" applyNumberFormat="1" applyFont="1" applyFill="1" applyBorder="1" applyAlignment="1">
      <alignment horizontal="center" vertical="center"/>
      <protection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99" fontId="9" fillId="0" borderId="14" xfId="0" applyNumberFormat="1" applyFont="1" applyFill="1" applyBorder="1" applyAlignment="1">
      <alignment horizontal="center" vertical="center"/>
    </xf>
    <xf numFmtId="49" fontId="9" fillId="0" borderId="21" xfId="64" applyNumberFormat="1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 wrapText="1"/>
      <protection/>
    </xf>
    <xf numFmtId="2" fontId="13" fillId="0" borderId="21" xfId="64" applyNumberFormat="1" applyFont="1" applyFill="1" applyBorder="1" applyAlignment="1">
      <alignment horizontal="center" vertical="center"/>
      <protection/>
    </xf>
    <xf numFmtId="2" fontId="19" fillId="0" borderId="21" xfId="64" applyNumberFormat="1" applyFont="1" applyFill="1" applyBorder="1" applyAlignment="1">
      <alignment horizontal="center" vertical="center"/>
      <protection/>
    </xf>
    <xf numFmtId="49" fontId="9" fillId="0" borderId="16" xfId="0" applyNumberFormat="1" applyFont="1" applyFill="1" applyBorder="1" applyAlignment="1">
      <alignment horizontal="center" vertical="center"/>
    </xf>
    <xf numFmtId="2" fontId="9" fillId="0" borderId="0" xfId="64" applyNumberFormat="1" applyFont="1" applyFill="1" applyBorder="1" applyAlignment="1">
      <alignment horizontal="center" vertical="center"/>
      <protection/>
    </xf>
    <xf numFmtId="49" fontId="9" fillId="0" borderId="16" xfId="64" applyNumberFormat="1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2" fontId="13" fillId="0" borderId="17" xfId="64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center" vertical="center" wrapText="1"/>
      <protection/>
    </xf>
    <xf numFmtId="179" fontId="9" fillId="0" borderId="10" xfId="42" applyFont="1" applyFill="1" applyBorder="1" applyAlignment="1">
      <alignment horizontal="center" vertical="center"/>
    </xf>
    <xf numFmtId="2" fontId="9" fillId="0" borderId="17" xfId="64" applyNumberFormat="1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49" fontId="19" fillId="0" borderId="16" xfId="64" applyNumberFormat="1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wrapText="1"/>
      <protection/>
    </xf>
    <xf numFmtId="49" fontId="9" fillId="0" borderId="18" xfId="0" applyNumberFormat="1" applyFont="1" applyFill="1" applyBorder="1" applyAlignment="1">
      <alignment/>
    </xf>
    <xf numFmtId="0" fontId="17" fillId="0" borderId="20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0" xfId="64" applyNumberFormat="1" applyFont="1" applyFill="1" applyBorder="1" applyAlignment="1">
      <alignment horizontal="center"/>
      <protection/>
    </xf>
    <xf numFmtId="2" fontId="9" fillId="0" borderId="10" xfId="64" applyNumberFormat="1" applyFont="1" applyFill="1" applyBorder="1" applyAlignment="1">
      <alignment horizontal="center"/>
      <protection/>
    </xf>
    <xf numFmtId="2" fontId="9" fillId="0" borderId="16" xfId="64" applyNumberFormat="1" applyFont="1" applyFill="1" applyBorder="1" applyAlignment="1">
      <alignment horizontal="center"/>
      <protection/>
    </xf>
    <xf numFmtId="2" fontId="9" fillId="0" borderId="17" xfId="64" applyNumberFormat="1" applyFont="1" applyFill="1" applyBorder="1" applyAlignment="1">
      <alignment horizontal="center"/>
      <protection/>
    </xf>
    <xf numFmtId="0" fontId="9" fillId="0" borderId="12" xfId="64" applyFont="1" applyFill="1" applyBorder="1" applyAlignment="1">
      <alignment horizontal="center" wrapText="1"/>
      <protection/>
    </xf>
    <xf numFmtId="2" fontId="9" fillId="0" borderId="12" xfId="64" applyNumberFormat="1" applyFont="1" applyFill="1" applyBorder="1" applyAlignment="1">
      <alignment horizontal="center"/>
      <protection/>
    </xf>
    <xf numFmtId="2" fontId="9" fillId="0" borderId="11" xfId="64" applyNumberFormat="1" applyFont="1" applyFill="1" applyBorder="1" applyAlignment="1">
      <alignment horizontal="center"/>
      <protection/>
    </xf>
    <xf numFmtId="2" fontId="13" fillId="0" borderId="10" xfId="64" applyNumberFormat="1" applyFont="1" applyFill="1" applyBorder="1" applyAlignment="1">
      <alignment horizontal="center" vertical="center"/>
      <protection/>
    </xf>
    <xf numFmtId="198" fontId="9" fillId="0" borderId="14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197" fontId="9" fillId="0" borderId="10" xfId="0" applyNumberFormat="1" applyFont="1" applyFill="1" applyBorder="1" applyAlignment="1">
      <alignment horizontal="center"/>
    </xf>
    <xf numFmtId="49" fontId="9" fillId="0" borderId="10" xfId="55" applyNumberFormat="1" applyFont="1" applyFill="1" applyBorder="1" applyAlignment="1">
      <alignment horizontal="center" wrapText="1"/>
      <protection/>
    </xf>
    <xf numFmtId="49" fontId="9" fillId="0" borderId="10" xfId="55" applyNumberFormat="1" applyFont="1" applyFill="1" applyBorder="1" applyAlignment="1">
      <alignment horizontal="center"/>
      <protection/>
    </xf>
    <xf numFmtId="49" fontId="9" fillId="0" borderId="14" xfId="55" applyNumberFormat="1" applyFont="1" applyFill="1" applyBorder="1" applyAlignment="1">
      <alignment horizontal="center"/>
      <protection/>
    </xf>
    <xf numFmtId="49" fontId="13" fillId="0" borderId="21" xfId="0" applyNumberFormat="1" applyFont="1" applyFill="1" applyBorder="1" applyAlignment="1">
      <alignment horizontal="center" vertical="center" wrapText="1"/>
    </xf>
    <xf numFmtId="2" fontId="13" fillId="0" borderId="16" xfId="64" applyNumberFormat="1" applyFont="1" applyFill="1" applyBorder="1" applyAlignment="1">
      <alignment horizontal="center" vertical="center"/>
      <protection/>
    </xf>
    <xf numFmtId="198" fontId="64" fillId="0" borderId="0" xfId="0" applyNumberFormat="1" applyFont="1" applyFill="1" applyAlignment="1">
      <alignment/>
    </xf>
    <xf numFmtId="2" fontId="13" fillId="0" borderId="13" xfId="64" applyNumberFormat="1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49" fontId="9" fillId="0" borderId="21" xfId="64" applyNumberFormat="1" applyFont="1" applyFill="1" applyBorder="1" applyAlignment="1">
      <alignment horizontal="center" vertical="center" wrapText="1"/>
      <protection/>
    </xf>
    <xf numFmtId="2" fontId="13" fillId="0" borderId="24" xfId="64" applyNumberFormat="1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9" fillId="0" borderId="10" xfId="6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wrapText="1"/>
      <protection/>
    </xf>
    <xf numFmtId="0" fontId="9" fillId="0" borderId="14" xfId="64" applyFont="1" applyFill="1" applyBorder="1" applyAlignment="1">
      <alignment horizontal="center" wrapText="1"/>
      <protection/>
    </xf>
    <xf numFmtId="0" fontId="9" fillId="0" borderId="15" xfId="0" applyFont="1" applyFill="1" applyBorder="1" applyAlignment="1">
      <alignment wrapText="1"/>
    </xf>
    <xf numFmtId="0" fontId="17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/>
    </xf>
    <xf numFmtId="199" fontId="9" fillId="0" borderId="15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197" fontId="9" fillId="0" borderId="10" xfId="64" applyNumberFormat="1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198" fontId="9" fillId="0" borderId="10" xfId="64" applyNumberFormat="1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199" fontId="9" fillId="0" borderId="14" xfId="64" applyNumberFormat="1" applyFont="1" applyFill="1" applyBorder="1" applyAlignment="1">
      <alignment horizontal="center" vertical="center"/>
      <protection/>
    </xf>
    <xf numFmtId="197" fontId="9" fillId="0" borderId="17" xfId="0" applyNumberFormat="1" applyFont="1" applyFill="1" applyBorder="1" applyAlignment="1">
      <alignment horizontal="center" vertical="center"/>
    </xf>
    <xf numFmtId="197" fontId="9" fillId="0" borderId="13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98" fontId="9" fillId="0" borderId="10" xfId="0" applyNumberFormat="1" applyFont="1" applyFill="1" applyBorder="1" applyAlignment="1">
      <alignment horizontal="center" vertical="center" wrapText="1"/>
    </xf>
    <xf numFmtId="197" fontId="9" fillId="0" borderId="10" xfId="0" applyNumberFormat="1" applyFont="1" applyFill="1" applyBorder="1" applyAlignment="1">
      <alignment horizontal="center" vertical="center" wrapText="1"/>
    </xf>
    <xf numFmtId="0" fontId="1" fillId="0" borderId="16" xfId="64" applyFont="1" applyBorder="1" applyAlignment="1">
      <alignment horizontal="center" vertical="center"/>
      <protection/>
    </xf>
    <xf numFmtId="49" fontId="1" fillId="0" borderId="10" xfId="64" applyNumberFormat="1" applyFont="1" applyBorder="1" applyAlignment="1">
      <alignment horizontal="center" vertical="center"/>
      <protection/>
    </xf>
    <xf numFmtId="0" fontId="1" fillId="0" borderId="0" xfId="64" applyFont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/>
      <protection/>
    </xf>
    <xf numFmtId="2" fontId="22" fillId="0" borderId="17" xfId="64" applyNumberFormat="1" applyFont="1" applyBorder="1" applyAlignment="1">
      <alignment horizontal="center" vertical="center"/>
      <protection/>
    </xf>
    <xf numFmtId="2" fontId="1" fillId="0" borderId="0" xfId="64" applyNumberFormat="1" applyFont="1" applyAlignment="1">
      <alignment horizontal="center" vertical="center"/>
      <protection/>
    </xf>
    <xf numFmtId="2" fontId="1" fillId="0" borderId="16" xfId="64" applyNumberFormat="1" applyFont="1" applyBorder="1" applyAlignment="1">
      <alignment horizontal="center" vertical="center"/>
      <protection/>
    </xf>
    <xf numFmtId="2" fontId="1" fillId="0" borderId="10" xfId="64" applyNumberFormat="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79" fontId="1" fillId="0" borderId="10" xfId="42" applyFont="1" applyBorder="1" applyAlignment="1">
      <alignment horizontal="center" vertical="center"/>
    </xf>
    <xf numFmtId="2" fontId="1" fillId="0" borderId="17" xfId="64" applyNumberFormat="1" applyFont="1" applyBorder="1" applyAlignment="1">
      <alignment horizontal="center" vertical="center"/>
      <protection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64" applyFont="1" applyBorder="1" applyAlignment="1">
      <alignment horizontal="center" vertical="center"/>
      <protection/>
    </xf>
    <xf numFmtId="0" fontId="1" fillId="0" borderId="11" xfId="64" applyFont="1" applyBorder="1" applyAlignment="1">
      <alignment horizontal="center" vertical="center"/>
      <protection/>
    </xf>
    <xf numFmtId="49" fontId="1" fillId="0" borderId="14" xfId="64" applyNumberFormat="1" applyFont="1" applyBorder="1" applyAlignment="1">
      <alignment horizontal="center" vertical="center"/>
      <protection/>
    </xf>
    <xf numFmtId="0" fontId="1" fillId="0" borderId="12" xfId="64" applyFont="1" applyBorder="1" applyAlignment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/>
    </xf>
    <xf numFmtId="0" fontId="1" fillId="0" borderId="14" xfId="64" applyFont="1" applyBorder="1" applyAlignment="1">
      <alignment horizontal="center" vertical="center"/>
      <protection/>
    </xf>
    <xf numFmtId="2" fontId="1" fillId="0" borderId="13" xfId="64" applyNumberFormat="1" applyFont="1" applyBorder="1" applyAlignment="1">
      <alignment horizontal="center" vertical="center"/>
      <protection/>
    </xf>
    <xf numFmtId="2" fontId="1" fillId="0" borderId="12" xfId="64" applyNumberFormat="1" applyFont="1" applyBorder="1" applyAlignment="1">
      <alignment horizontal="center" vertical="center"/>
      <protection/>
    </xf>
    <xf numFmtId="2" fontId="1" fillId="0" borderId="11" xfId="64" applyNumberFormat="1" applyFont="1" applyBorder="1" applyAlignment="1">
      <alignment horizontal="center" vertical="center"/>
      <protection/>
    </xf>
    <xf numFmtId="2" fontId="1" fillId="0" borderId="14" xfId="64" applyNumberFormat="1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99" fontId="9" fillId="0" borderId="10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0" xfId="64" applyNumberFormat="1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49" fontId="9" fillId="0" borderId="10" xfId="64" applyNumberFormat="1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wrapText="1"/>
      <protection/>
    </xf>
    <xf numFmtId="198" fontId="9" fillId="0" borderId="10" xfId="0" applyNumberFormat="1" applyFont="1" applyBorder="1" applyAlignment="1">
      <alignment horizontal="center" vertical="center"/>
    </xf>
    <xf numFmtId="197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64" applyFont="1" applyBorder="1" applyAlignment="1">
      <alignment horizontal="center" wrapText="1"/>
      <protection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64" applyNumberFormat="1" applyFont="1" applyFill="1" applyBorder="1" applyAlignment="1">
      <alignment horizontal="center" vertical="center"/>
      <protection/>
    </xf>
    <xf numFmtId="2" fontId="8" fillId="0" borderId="10" xfId="64" applyNumberFormat="1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2" fontId="25" fillId="0" borderId="10" xfId="64" applyNumberFormat="1" applyFont="1" applyBorder="1" applyAlignment="1">
      <alignment horizontal="center" vertical="center"/>
      <protection/>
    </xf>
    <xf numFmtId="2" fontId="25" fillId="0" borderId="14" xfId="64" applyNumberFormat="1" applyFont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64" applyNumberFormat="1" applyFont="1" applyBorder="1" applyAlignment="1">
      <alignment horizontal="center"/>
      <protection/>
    </xf>
    <xf numFmtId="2" fontId="8" fillId="0" borderId="1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0" xfId="55" applyNumberFormat="1" applyFont="1" applyFill="1" applyBorder="1" applyAlignment="1">
      <alignment horizontal="center" vertical="center" wrapText="1"/>
      <protection/>
    </xf>
    <xf numFmtId="2" fontId="8" fillId="0" borderId="10" xfId="55" applyNumberFormat="1" applyFont="1" applyFill="1" applyBorder="1" applyAlignment="1">
      <alignment horizontal="center" vertical="center"/>
      <protection/>
    </xf>
    <xf numFmtId="2" fontId="8" fillId="0" borderId="14" xfId="55" applyNumberFormat="1" applyFont="1" applyFill="1" applyBorder="1" applyAlignment="1">
      <alignment horizontal="center"/>
      <protection/>
    </xf>
    <xf numFmtId="2" fontId="2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9" fillId="0" borderId="22" xfId="64" applyNumberFormat="1" applyFont="1" applyFill="1" applyBorder="1" applyAlignment="1">
      <alignment horizontal="center" vertical="center"/>
      <protection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4" xfId="64" applyNumberFormat="1" applyFont="1" applyFill="1" applyBorder="1" applyAlignment="1">
      <alignment horizontal="center" vertical="center"/>
      <protection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1" xfId="64" applyNumberFormat="1" applyFont="1" applyFill="1" applyBorder="1" applyAlignment="1">
      <alignment horizontal="center" vertical="center"/>
      <protection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21" xfId="64" applyNumberFormat="1" applyFont="1" applyFill="1" applyBorder="1" applyAlignment="1">
      <alignment horizontal="center" vertical="center"/>
      <protection/>
    </xf>
    <xf numFmtId="2" fontId="9" fillId="0" borderId="14" xfId="6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21" xfId="64" applyNumberFormat="1" applyFont="1" applyFill="1" applyBorder="1" applyAlignment="1">
      <alignment horizontal="center" vertical="center" textRotation="90" wrapText="1"/>
      <protection/>
    </xf>
    <xf numFmtId="49" fontId="9" fillId="0" borderId="10" xfId="64" applyNumberFormat="1" applyFont="1" applyFill="1" applyBorder="1" applyAlignment="1">
      <alignment horizontal="center" vertical="center" textRotation="90" wrapText="1"/>
      <protection/>
    </xf>
    <xf numFmtId="49" fontId="9" fillId="0" borderId="14" xfId="64" applyNumberFormat="1" applyFont="1" applyFill="1" applyBorder="1" applyAlignment="1">
      <alignment horizontal="center" vertical="center" textRotation="90" wrapText="1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9" fillId="0" borderId="23" xfId="64" applyNumberFormat="1" applyFont="1" applyFill="1" applyBorder="1" applyAlignment="1">
      <alignment horizontal="center" vertical="center"/>
      <protection/>
    </xf>
    <xf numFmtId="2" fontId="9" fillId="0" borderId="12" xfId="64" applyNumberFormat="1" applyFont="1" applyFill="1" applyBorder="1" applyAlignment="1">
      <alignment horizontal="center" vertical="center"/>
      <protection/>
    </xf>
    <xf numFmtId="2" fontId="9" fillId="0" borderId="13" xfId="64" applyNumberFormat="1" applyFont="1" applyFill="1" applyBorder="1" applyAlignment="1">
      <alignment horizontal="center" vertical="center"/>
      <protection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2" fontId="8" fillId="0" borderId="24" xfId="64" applyNumberFormat="1" applyFont="1" applyFill="1" applyBorder="1" applyAlignment="1">
      <alignment horizontal="center" vertical="center"/>
      <protection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 wrapText="1"/>
    </xf>
    <xf numFmtId="2" fontId="64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21" xfId="64" applyFont="1" applyBorder="1" applyAlignment="1">
      <alignment horizontal="center" vertical="center"/>
      <protection/>
    </xf>
    <xf numFmtId="49" fontId="9" fillId="0" borderId="21" xfId="64" applyNumberFormat="1" applyFont="1" applyBorder="1" applyAlignment="1">
      <alignment horizontal="center" vertical="center" textRotation="90" wrapText="1"/>
      <protection/>
    </xf>
    <xf numFmtId="49" fontId="9" fillId="0" borderId="10" xfId="64" applyNumberFormat="1" applyFont="1" applyBorder="1" applyAlignment="1">
      <alignment horizontal="center" vertical="center" textRotation="90" wrapText="1"/>
      <protection/>
    </xf>
    <xf numFmtId="49" fontId="9" fillId="0" borderId="14" xfId="64" applyNumberFormat="1" applyFont="1" applyBorder="1" applyAlignment="1">
      <alignment horizontal="center" vertical="center" textRotation="90" wrapText="1"/>
      <protection/>
    </xf>
    <xf numFmtId="2" fontId="9" fillId="0" borderId="22" xfId="64" applyNumberFormat="1" applyFont="1" applyBorder="1" applyAlignment="1">
      <alignment horizontal="center" vertical="center"/>
      <protection/>
    </xf>
    <xf numFmtId="2" fontId="9" fillId="0" borderId="23" xfId="64" applyNumberFormat="1" applyFont="1" applyBorder="1" applyAlignment="1">
      <alignment horizontal="center" vertical="center"/>
      <protection/>
    </xf>
    <xf numFmtId="2" fontId="9" fillId="0" borderId="24" xfId="64" applyNumberFormat="1" applyFont="1" applyBorder="1" applyAlignment="1">
      <alignment horizontal="center" vertical="center"/>
      <protection/>
    </xf>
    <xf numFmtId="2" fontId="9" fillId="0" borderId="11" xfId="64" applyNumberFormat="1" applyFont="1" applyBorder="1" applyAlignment="1">
      <alignment horizontal="center" vertical="center"/>
      <protection/>
    </xf>
    <xf numFmtId="2" fontId="9" fillId="0" borderId="12" xfId="64" applyNumberFormat="1" applyFont="1" applyBorder="1" applyAlignment="1">
      <alignment horizontal="center" vertical="center"/>
      <protection/>
    </xf>
    <xf numFmtId="2" fontId="9" fillId="0" borderId="13" xfId="64" applyNumberFormat="1" applyFont="1" applyBorder="1" applyAlignment="1">
      <alignment horizontal="center" vertical="center"/>
      <protection/>
    </xf>
    <xf numFmtId="2" fontId="9" fillId="0" borderId="24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21" xfId="64" applyNumberFormat="1" applyFont="1" applyBorder="1" applyAlignment="1">
      <alignment horizontal="center" vertical="center"/>
      <protection/>
    </xf>
    <xf numFmtId="2" fontId="9" fillId="0" borderId="14" xfId="64" applyNumberFormat="1" applyFont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axalqalaqis skola " xfId="63"/>
    <cellStyle name="Normal_gare wyalsadfenigagarini 2_SMSH2008-IIkv .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4" xfId="7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5.28125" style="43" customWidth="1"/>
    <col min="2" max="2" width="12.7109375" style="43" customWidth="1"/>
    <col min="3" max="3" width="51.140625" style="66" customWidth="1"/>
    <col min="4" max="4" width="8.57421875" style="43" hidden="1" customWidth="1"/>
    <col min="5" max="5" width="8.7109375" style="43" hidden="1" customWidth="1"/>
    <col min="6" max="6" width="8.57421875" style="43" hidden="1" customWidth="1"/>
    <col min="7" max="7" width="9.57421875" style="43" hidden="1" customWidth="1"/>
    <col min="8" max="8" width="3.28125" style="43" hidden="1" customWidth="1"/>
    <col min="9" max="9" width="13.421875" style="43" customWidth="1"/>
    <col min="10" max="10" width="12.00390625" style="43" customWidth="1"/>
    <col min="11" max="11" width="12.7109375" style="61" customWidth="1"/>
    <col min="12" max="12" width="13.8515625" style="43" customWidth="1"/>
    <col min="13" max="13" width="21.7109375" style="43" customWidth="1"/>
    <col min="14" max="14" width="9.140625" style="43" customWidth="1"/>
    <col min="15" max="15" width="12.28125" style="43" bestFit="1" customWidth="1"/>
    <col min="16" max="16384" width="9.140625" style="43" customWidth="1"/>
  </cols>
  <sheetData>
    <row r="1" spans="3:13" ht="21">
      <c r="C1" s="353" t="s">
        <v>237</v>
      </c>
      <c r="D1" s="354"/>
      <c r="E1" s="354"/>
      <c r="F1" s="354"/>
      <c r="G1" s="354"/>
      <c r="H1" s="354"/>
      <c r="I1" s="354"/>
      <c r="J1" s="354"/>
      <c r="K1" s="355"/>
      <c r="L1" s="354"/>
      <c r="M1" s="356" t="s">
        <v>238</v>
      </c>
    </row>
    <row r="2" spans="1:13" ht="60.75" customHeight="1">
      <c r="A2" s="375" t="s">
        <v>254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3" ht="53.25" customHeight="1">
      <c r="A3" s="399" t="s">
        <v>44</v>
      </c>
      <c r="B3" s="382" t="s">
        <v>45</v>
      </c>
      <c r="C3" s="394" t="s">
        <v>46</v>
      </c>
      <c r="D3" s="395"/>
      <c r="E3" s="395"/>
      <c r="F3" s="395"/>
      <c r="G3" s="395"/>
      <c r="H3" s="395"/>
      <c r="I3" s="394" t="s">
        <v>47</v>
      </c>
      <c r="J3" s="395"/>
      <c r="K3" s="395"/>
      <c r="L3" s="403"/>
      <c r="M3" s="382" t="s">
        <v>48</v>
      </c>
    </row>
    <row r="4" spans="1:13" ht="26.25" customHeight="1">
      <c r="A4" s="400"/>
      <c r="B4" s="383"/>
      <c r="C4" s="402"/>
      <c r="D4" s="377"/>
      <c r="E4" s="377"/>
      <c r="F4" s="377"/>
      <c r="G4" s="377"/>
      <c r="H4" s="377"/>
      <c r="I4" s="396"/>
      <c r="J4" s="397"/>
      <c r="K4" s="397"/>
      <c r="L4" s="404"/>
      <c r="M4" s="383"/>
    </row>
    <row r="5" spans="1:13" ht="53.25" customHeight="1" hidden="1">
      <c r="A5" s="400"/>
      <c r="B5" s="383"/>
      <c r="C5" s="402"/>
      <c r="D5" s="377"/>
      <c r="E5" s="377"/>
      <c r="F5" s="377"/>
      <c r="G5" s="377"/>
      <c r="H5" s="377"/>
      <c r="I5" s="382" t="s">
        <v>49</v>
      </c>
      <c r="J5" s="382" t="s">
        <v>50</v>
      </c>
      <c r="K5" s="379" t="s">
        <v>51</v>
      </c>
      <c r="L5" s="382" t="s">
        <v>52</v>
      </c>
      <c r="M5" s="383"/>
    </row>
    <row r="6" spans="1:13" ht="53.25" customHeight="1" hidden="1">
      <c r="A6" s="400"/>
      <c r="B6" s="383"/>
      <c r="C6" s="402"/>
      <c r="D6" s="377"/>
      <c r="E6" s="377"/>
      <c r="F6" s="377"/>
      <c r="G6" s="377"/>
      <c r="H6" s="377"/>
      <c r="I6" s="383"/>
      <c r="J6" s="383"/>
      <c r="K6" s="380"/>
      <c r="L6" s="383"/>
      <c r="M6" s="383"/>
    </row>
    <row r="7" spans="1:13" ht="7.5" customHeight="1" hidden="1">
      <c r="A7" s="400"/>
      <c r="B7" s="383"/>
      <c r="C7" s="402"/>
      <c r="D7" s="377"/>
      <c r="E7" s="377"/>
      <c r="F7" s="377"/>
      <c r="G7" s="377"/>
      <c r="H7" s="377"/>
      <c r="I7" s="383"/>
      <c r="J7" s="383"/>
      <c r="K7" s="380"/>
      <c r="L7" s="383"/>
      <c r="M7" s="383"/>
    </row>
    <row r="8" spans="1:13" ht="53.25" customHeight="1" hidden="1">
      <c r="A8" s="400"/>
      <c r="B8" s="383"/>
      <c r="C8" s="402"/>
      <c r="D8" s="377"/>
      <c r="E8" s="377"/>
      <c r="F8" s="377"/>
      <c r="G8" s="377"/>
      <c r="H8" s="377"/>
      <c r="I8" s="383"/>
      <c r="J8" s="383"/>
      <c r="K8" s="380"/>
      <c r="L8" s="383"/>
      <c r="M8" s="383"/>
    </row>
    <row r="9" spans="1:13" ht="86.25" customHeight="1">
      <c r="A9" s="401"/>
      <c r="B9" s="384"/>
      <c r="C9" s="396"/>
      <c r="D9" s="397"/>
      <c r="E9" s="397"/>
      <c r="F9" s="397"/>
      <c r="G9" s="397"/>
      <c r="H9" s="397"/>
      <c r="I9" s="384"/>
      <c r="J9" s="384"/>
      <c r="K9" s="381"/>
      <c r="L9" s="384"/>
      <c r="M9" s="384"/>
    </row>
    <row r="10" spans="1:13" ht="21">
      <c r="A10" s="21">
        <v>1</v>
      </c>
      <c r="B10" s="48">
        <v>2</v>
      </c>
      <c r="C10" s="385">
        <v>3</v>
      </c>
      <c r="D10" s="386"/>
      <c r="E10" s="386"/>
      <c r="F10" s="386"/>
      <c r="G10" s="386"/>
      <c r="H10" s="386"/>
      <c r="I10" s="48">
        <v>4</v>
      </c>
      <c r="J10" s="49">
        <v>5</v>
      </c>
      <c r="K10" s="11">
        <v>6</v>
      </c>
      <c r="L10" s="49">
        <v>7</v>
      </c>
      <c r="M10" s="48">
        <v>8</v>
      </c>
    </row>
    <row r="11" spans="1:13" ht="21">
      <c r="A11" s="50"/>
      <c r="B11" s="51"/>
      <c r="C11" s="52" t="s">
        <v>53</v>
      </c>
      <c r="D11" s="22"/>
      <c r="E11" s="22"/>
      <c r="F11" s="22"/>
      <c r="G11" s="22"/>
      <c r="H11" s="22"/>
      <c r="I11" s="51"/>
      <c r="J11" s="53"/>
      <c r="K11" s="54"/>
      <c r="L11" s="53"/>
      <c r="M11" s="51"/>
    </row>
    <row r="12" spans="1:13" ht="21">
      <c r="A12" s="50"/>
      <c r="B12" s="51"/>
      <c r="C12" s="52" t="s">
        <v>54</v>
      </c>
      <c r="D12" s="22"/>
      <c r="E12" s="22"/>
      <c r="F12" s="22"/>
      <c r="G12" s="22"/>
      <c r="H12" s="22"/>
      <c r="I12" s="51"/>
      <c r="J12" s="53"/>
      <c r="K12" s="54"/>
      <c r="L12" s="53"/>
      <c r="M12" s="51"/>
    </row>
    <row r="13" spans="1:13" ht="21" customHeight="1">
      <c r="A13" s="21">
        <v>1</v>
      </c>
      <c r="B13" s="55" t="s">
        <v>66</v>
      </c>
      <c r="C13" s="21" t="s">
        <v>64</v>
      </c>
      <c r="D13" s="22"/>
      <c r="E13" s="22"/>
      <c r="F13" s="22"/>
      <c r="G13" s="22"/>
      <c r="H13" s="22"/>
      <c r="I13" s="51"/>
      <c r="J13" s="53"/>
      <c r="K13" s="54"/>
      <c r="L13" s="56"/>
      <c r="M13" s="24"/>
    </row>
    <row r="14" spans="1:13" ht="21" customHeight="1">
      <c r="A14" s="50"/>
      <c r="B14" s="51"/>
      <c r="C14" s="52" t="s">
        <v>56</v>
      </c>
      <c r="D14" s="22"/>
      <c r="E14" s="22"/>
      <c r="F14" s="22"/>
      <c r="G14" s="22"/>
      <c r="H14" s="22"/>
      <c r="I14" s="23"/>
      <c r="J14" s="53"/>
      <c r="K14" s="54"/>
      <c r="L14" s="57"/>
      <c r="M14" s="24"/>
    </row>
    <row r="15" spans="1:14" ht="21">
      <c r="A15" s="50"/>
      <c r="B15" s="51"/>
      <c r="C15" s="52"/>
      <c r="D15" s="22"/>
      <c r="E15" s="22"/>
      <c r="F15" s="22"/>
      <c r="G15" s="22"/>
      <c r="H15" s="22"/>
      <c r="I15" s="23"/>
      <c r="J15" s="53"/>
      <c r="K15" s="54"/>
      <c r="L15" s="57"/>
      <c r="M15" s="23"/>
      <c r="N15" s="1"/>
    </row>
    <row r="16" spans="1:14" ht="21">
      <c r="A16" s="50"/>
      <c r="B16" s="51"/>
      <c r="C16" s="52" t="s">
        <v>140</v>
      </c>
      <c r="D16" s="22"/>
      <c r="E16" s="22"/>
      <c r="F16" s="22"/>
      <c r="G16" s="22"/>
      <c r="H16" s="22"/>
      <c r="I16" s="23"/>
      <c r="J16" s="53"/>
      <c r="K16" s="54"/>
      <c r="L16" s="57"/>
      <c r="M16" s="23"/>
      <c r="N16" s="1"/>
    </row>
    <row r="17" spans="1:14" ht="21">
      <c r="A17" s="50"/>
      <c r="B17" s="51"/>
      <c r="C17" s="52" t="s">
        <v>79</v>
      </c>
      <c r="D17" s="22"/>
      <c r="E17" s="22"/>
      <c r="F17" s="22"/>
      <c r="G17" s="22"/>
      <c r="H17" s="22"/>
      <c r="I17" s="23"/>
      <c r="J17" s="53"/>
      <c r="K17" s="54"/>
      <c r="L17" s="57"/>
      <c r="M17" s="23"/>
      <c r="N17" s="44"/>
    </row>
    <row r="18" spans="1:14" ht="35.25" customHeight="1">
      <c r="A18" s="50">
        <v>2</v>
      </c>
      <c r="B18" s="51" t="s">
        <v>55</v>
      </c>
      <c r="C18" s="50" t="s">
        <v>190</v>
      </c>
      <c r="D18" s="22"/>
      <c r="E18" s="22"/>
      <c r="F18" s="22"/>
      <c r="G18" s="22"/>
      <c r="H18" s="22"/>
      <c r="I18" s="23"/>
      <c r="J18" s="53"/>
      <c r="K18" s="54"/>
      <c r="L18" s="57"/>
      <c r="M18" s="23"/>
      <c r="N18" s="1"/>
    </row>
    <row r="19" spans="1:14" ht="17.25" customHeight="1">
      <c r="A19" s="50"/>
      <c r="B19" s="51"/>
      <c r="C19" s="52" t="s">
        <v>141</v>
      </c>
      <c r="D19" s="22"/>
      <c r="E19" s="22"/>
      <c r="F19" s="22"/>
      <c r="G19" s="22"/>
      <c r="H19" s="22"/>
      <c r="I19" s="23"/>
      <c r="J19" s="53"/>
      <c r="K19" s="54"/>
      <c r="L19" s="57"/>
      <c r="M19" s="23"/>
      <c r="N19" s="1"/>
    </row>
    <row r="20" spans="1:14" ht="17.25" customHeight="1">
      <c r="A20" s="50"/>
      <c r="B20" s="51"/>
      <c r="C20" s="52"/>
      <c r="D20" s="22"/>
      <c r="E20" s="22"/>
      <c r="F20" s="22"/>
      <c r="G20" s="22"/>
      <c r="H20" s="22"/>
      <c r="I20" s="23"/>
      <c r="J20" s="53"/>
      <c r="K20" s="54"/>
      <c r="L20" s="57"/>
      <c r="M20" s="23"/>
      <c r="N20" s="2"/>
    </row>
    <row r="21" spans="1:13" ht="18" customHeight="1">
      <c r="A21" s="50"/>
      <c r="B21" s="51"/>
      <c r="C21" s="52" t="s">
        <v>78</v>
      </c>
      <c r="D21" s="22"/>
      <c r="E21" s="22"/>
      <c r="F21" s="22"/>
      <c r="G21" s="22"/>
      <c r="H21" s="22"/>
      <c r="I21" s="23"/>
      <c r="J21" s="53"/>
      <c r="K21" s="54"/>
      <c r="L21" s="57"/>
      <c r="M21" s="23"/>
    </row>
    <row r="22" spans="1:13" ht="21">
      <c r="A22" s="50"/>
      <c r="B22" s="58" t="s">
        <v>57</v>
      </c>
      <c r="C22" s="50" t="s">
        <v>122</v>
      </c>
      <c r="D22" s="22"/>
      <c r="E22" s="22"/>
      <c r="F22" s="22"/>
      <c r="G22" s="22"/>
      <c r="H22" s="22"/>
      <c r="I22" s="23"/>
      <c r="J22" s="53"/>
      <c r="K22" s="54"/>
      <c r="L22" s="57"/>
      <c r="M22" s="23"/>
    </row>
    <row r="23" spans="1:13" ht="21">
      <c r="A23" s="50"/>
      <c r="B23" s="51"/>
      <c r="C23" s="52" t="s">
        <v>81</v>
      </c>
      <c r="D23" s="22"/>
      <c r="E23" s="22"/>
      <c r="F23" s="22"/>
      <c r="G23" s="22"/>
      <c r="H23" s="22"/>
      <c r="I23" s="23"/>
      <c r="J23" s="53"/>
      <c r="K23" s="54"/>
      <c r="L23" s="53"/>
      <c r="M23" s="23"/>
    </row>
    <row r="24" spans="1:13" ht="21">
      <c r="A24" s="50"/>
      <c r="B24" s="51"/>
      <c r="C24" s="52" t="s">
        <v>58</v>
      </c>
      <c r="D24" s="22"/>
      <c r="E24" s="22"/>
      <c r="F24" s="22"/>
      <c r="G24" s="22"/>
      <c r="H24" s="22"/>
      <c r="I24" s="51"/>
      <c r="J24" s="53"/>
      <c r="K24" s="54"/>
      <c r="L24" s="53"/>
      <c r="M24" s="51"/>
    </row>
    <row r="25" spans="1:13" ht="21">
      <c r="A25" s="50"/>
      <c r="B25" s="51"/>
      <c r="C25" s="52" t="s">
        <v>59</v>
      </c>
      <c r="D25" s="22"/>
      <c r="E25" s="22"/>
      <c r="F25" s="22"/>
      <c r="G25" s="22"/>
      <c r="H25" s="22"/>
      <c r="I25" s="51"/>
      <c r="J25" s="53"/>
      <c r="K25" s="54"/>
      <c r="L25" s="53"/>
      <c r="M25" s="51"/>
    </row>
    <row r="26" spans="1:13" ht="31.5">
      <c r="A26" s="58">
        <v>3</v>
      </c>
      <c r="B26" s="58" t="s">
        <v>80</v>
      </c>
      <c r="C26" s="59" t="s">
        <v>148</v>
      </c>
      <c r="D26" s="22"/>
      <c r="E26" s="22"/>
      <c r="F26" s="22"/>
      <c r="G26" s="22"/>
      <c r="H26" s="22"/>
      <c r="I26" s="24"/>
      <c r="J26" s="53"/>
      <c r="K26" s="54"/>
      <c r="L26" s="53"/>
      <c r="M26" s="24"/>
    </row>
    <row r="27" spans="1:13" ht="21">
      <c r="A27" s="58"/>
      <c r="B27" s="58" t="s">
        <v>82</v>
      </c>
      <c r="C27" s="59" t="s">
        <v>194</v>
      </c>
      <c r="D27" s="22"/>
      <c r="E27" s="22"/>
      <c r="F27" s="22"/>
      <c r="G27" s="22"/>
      <c r="H27" s="22"/>
      <c r="I27" s="24"/>
      <c r="J27" s="53"/>
      <c r="K27" s="54"/>
      <c r="L27" s="53"/>
      <c r="M27" s="24"/>
    </row>
    <row r="28" spans="1:13" ht="21">
      <c r="A28" s="58"/>
      <c r="B28" s="58"/>
      <c r="C28" s="52" t="s">
        <v>60</v>
      </c>
      <c r="D28" s="22"/>
      <c r="E28" s="22"/>
      <c r="F28" s="22"/>
      <c r="G28" s="22"/>
      <c r="H28" s="22"/>
      <c r="I28" s="24"/>
      <c r="J28" s="53"/>
      <c r="K28" s="54"/>
      <c r="L28" s="53"/>
      <c r="M28" s="24"/>
    </row>
    <row r="29" spans="1:13" ht="12.75" customHeight="1">
      <c r="A29" s="58"/>
      <c r="B29" s="58"/>
      <c r="C29" s="52"/>
      <c r="D29" s="22"/>
      <c r="E29" s="22"/>
      <c r="F29" s="22"/>
      <c r="G29" s="22"/>
      <c r="H29" s="22"/>
      <c r="I29" s="24"/>
      <c r="J29" s="53"/>
      <c r="K29" s="54"/>
      <c r="L29" s="53"/>
      <c r="M29" s="24"/>
    </row>
    <row r="30" spans="1:13" ht="21">
      <c r="A30" s="58"/>
      <c r="B30" s="58"/>
      <c r="C30" s="52" t="s">
        <v>195</v>
      </c>
      <c r="D30" s="22"/>
      <c r="E30" s="22"/>
      <c r="F30" s="22"/>
      <c r="G30" s="22"/>
      <c r="H30" s="22"/>
      <c r="I30" s="24"/>
      <c r="J30" s="53"/>
      <c r="K30" s="54"/>
      <c r="L30" s="53"/>
      <c r="M30" s="24"/>
    </row>
    <row r="31" spans="1:13" ht="21">
      <c r="A31" s="58"/>
      <c r="B31" s="58"/>
      <c r="C31" s="52" t="s">
        <v>83</v>
      </c>
      <c r="D31" s="22"/>
      <c r="E31" s="22"/>
      <c r="F31" s="22"/>
      <c r="G31" s="22"/>
      <c r="H31" s="22"/>
      <c r="I31" s="24"/>
      <c r="J31" s="53"/>
      <c r="K31" s="54"/>
      <c r="L31" s="53"/>
      <c r="M31" s="24"/>
    </row>
    <row r="32" spans="1:13" ht="21">
      <c r="A32" s="58">
        <v>4</v>
      </c>
      <c r="B32" s="58" t="s">
        <v>198</v>
      </c>
      <c r="C32" s="59" t="s">
        <v>135</v>
      </c>
      <c r="D32" s="22"/>
      <c r="E32" s="22"/>
      <c r="F32" s="22"/>
      <c r="G32" s="22"/>
      <c r="H32" s="22"/>
      <c r="I32" s="24"/>
      <c r="J32" s="53"/>
      <c r="K32" s="54"/>
      <c r="L32" s="53"/>
      <c r="M32" s="24"/>
    </row>
    <row r="33" spans="1:13" ht="21">
      <c r="A33" s="58"/>
      <c r="B33" s="58"/>
      <c r="C33" s="52" t="s">
        <v>196</v>
      </c>
      <c r="D33" s="22"/>
      <c r="E33" s="22"/>
      <c r="F33" s="22"/>
      <c r="G33" s="22"/>
      <c r="H33" s="22"/>
      <c r="I33" s="24"/>
      <c r="J33" s="53"/>
      <c r="K33" s="54"/>
      <c r="L33" s="53"/>
      <c r="M33" s="24"/>
    </row>
    <row r="34" spans="1:13" ht="21">
      <c r="A34" s="58"/>
      <c r="B34" s="58"/>
      <c r="C34" s="59"/>
      <c r="D34" s="22"/>
      <c r="E34" s="22"/>
      <c r="F34" s="22"/>
      <c r="G34" s="22"/>
      <c r="H34" s="22"/>
      <c r="I34" s="24"/>
      <c r="J34" s="53"/>
      <c r="K34" s="54"/>
      <c r="L34" s="53"/>
      <c r="M34" s="24"/>
    </row>
    <row r="35" spans="1:13" ht="21">
      <c r="A35" s="48"/>
      <c r="B35" s="48"/>
      <c r="C35" s="60" t="s">
        <v>197</v>
      </c>
      <c r="D35" s="49"/>
      <c r="E35" s="49"/>
      <c r="F35" s="49"/>
      <c r="G35" s="49"/>
      <c r="H35" s="49"/>
      <c r="I35" s="24"/>
      <c r="J35" s="24"/>
      <c r="K35" s="24"/>
      <c r="L35" s="24"/>
      <c r="M35" s="24"/>
    </row>
    <row r="36" spans="1:13" ht="21">
      <c r="A36" s="48"/>
      <c r="B36" s="48"/>
      <c r="C36" s="60"/>
      <c r="D36" s="49"/>
      <c r="E36" s="49"/>
      <c r="F36" s="49"/>
      <c r="G36" s="49"/>
      <c r="H36" s="49"/>
      <c r="I36" s="24"/>
      <c r="J36" s="24"/>
      <c r="K36" s="24"/>
      <c r="L36" s="24"/>
      <c r="M36" s="24"/>
    </row>
    <row r="37" spans="1:13" ht="21">
      <c r="A37" s="48">
        <v>5</v>
      </c>
      <c r="B37" s="62"/>
      <c r="C37" s="58" t="s">
        <v>61</v>
      </c>
      <c r="D37" s="48"/>
      <c r="E37" s="48"/>
      <c r="F37" s="48"/>
      <c r="G37" s="48"/>
      <c r="H37" s="48"/>
      <c r="I37" s="24"/>
      <c r="J37" s="24"/>
      <c r="K37" s="24"/>
      <c r="L37" s="24"/>
      <c r="M37" s="24"/>
    </row>
    <row r="38" spans="1:13" ht="21">
      <c r="A38" s="48"/>
      <c r="B38" s="62"/>
      <c r="C38" s="387" t="s">
        <v>10</v>
      </c>
      <c r="D38" s="387"/>
      <c r="E38" s="387"/>
      <c r="F38" s="387"/>
      <c r="G38" s="387"/>
      <c r="H38" s="387"/>
      <c r="I38" s="24"/>
      <c r="J38" s="24"/>
      <c r="K38" s="24"/>
      <c r="L38" s="24"/>
      <c r="M38" s="24"/>
    </row>
    <row r="39" spans="1:13" ht="21">
      <c r="A39" s="48">
        <v>6</v>
      </c>
      <c r="B39" s="62"/>
      <c r="C39" s="58" t="s">
        <v>62</v>
      </c>
      <c r="D39" s="48"/>
      <c r="E39" s="48"/>
      <c r="F39" s="48"/>
      <c r="G39" s="48"/>
      <c r="H39" s="48"/>
      <c r="I39" s="24"/>
      <c r="J39" s="24"/>
      <c r="K39" s="24"/>
      <c r="L39" s="24"/>
      <c r="M39" s="24"/>
    </row>
    <row r="40" spans="1:13" ht="21">
      <c r="A40" s="392"/>
      <c r="B40" s="392"/>
      <c r="C40" s="394" t="s">
        <v>63</v>
      </c>
      <c r="D40" s="395"/>
      <c r="E40" s="395"/>
      <c r="F40" s="395"/>
      <c r="G40" s="395"/>
      <c r="H40" s="395"/>
      <c r="I40" s="379"/>
      <c r="J40" s="388"/>
      <c r="K40" s="388"/>
      <c r="L40" s="388"/>
      <c r="M40" s="390"/>
    </row>
    <row r="41" spans="1:13" ht="63" customHeight="1">
      <c r="A41" s="393"/>
      <c r="B41" s="393"/>
      <c r="C41" s="396"/>
      <c r="D41" s="397"/>
      <c r="E41" s="397"/>
      <c r="F41" s="397"/>
      <c r="G41" s="397"/>
      <c r="H41" s="397"/>
      <c r="I41" s="381"/>
      <c r="J41" s="389"/>
      <c r="K41" s="389"/>
      <c r="L41" s="389"/>
      <c r="M41" s="391"/>
    </row>
    <row r="42" spans="1:13" ht="68.25" customHeight="1">
      <c r="A42" s="352"/>
      <c r="B42" s="398" t="s">
        <v>239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</row>
    <row r="43" spans="3:11" ht="21">
      <c r="C43" s="43"/>
      <c r="K43" s="43"/>
    </row>
    <row r="44" spans="3:11" ht="21">
      <c r="C44" s="43"/>
      <c r="K44" s="43"/>
    </row>
    <row r="45" spans="1:13" ht="21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</row>
    <row r="46" spans="1:13" ht="21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</row>
    <row r="47" spans="1:13" ht="21">
      <c r="A47" s="377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</row>
    <row r="48" spans="1:13" ht="21">
      <c r="A48" s="376"/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</row>
    <row r="49" spans="1:13" ht="21">
      <c r="A49" s="45"/>
      <c r="B49" s="45"/>
      <c r="C49" s="46"/>
      <c r="D49" s="45"/>
      <c r="E49" s="45"/>
      <c r="F49" s="45"/>
      <c r="G49" s="45"/>
      <c r="H49" s="45"/>
      <c r="I49" s="45"/>
      <c r="J49" s="45"/>
      <c r="K49" s="45"/>
      <c r="L49" s="64"/>
      <c r="M49" s="47"/>
    </row>
    <row r="50" spans="1:13" ht="21">
      <c r="A50" s="377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ht="21">
      <c r="A51" s="3"/>
      <c r="B51" s="3"/>
      <c r="C51" s="65"/>
      <c r="D51" s="3"/>
      <c r="E51" s="3"/>
      <c r="F51" s="3"/>
      <c r="G51" s="3"/>
      <c r="H51" s="3"/>
      <c r="I51" s="3"/>
      <c r="J51" s="3"/>
      <c r="K51" s="3"/>
      <c r="L51" s="3"/>
      <c r="M51" s="17"/>
    </row>
    <row r="52" spans="1:13" ht="21">
      <c r="A52" s="3"/>
      <c r="B52" s="3"/>
      <c r="C52" s="65"/>
      <c r="D52" s="3"/>
      <c r="E52" s="3"/>
      <c r="F52" s="3"/>
      <c r="G52" s="3"/>
      <c r="H52" s="3"/>
      <c r="I52" s="3"/>
      <c r="J52" s="3"/>
      <c r="K52" s="17"/>
      <c r="L52" s="3"/>
      <c r="M52" s="17"/>
    </row>
    <row r="53" spans="1:13" ht="21">
      <c r="A53" s="3"/>
      <c r="B53" s="3"/>
      <c r="C53" s="65"/>
      <c r="D53" s="3"/>
      <c r="E53" s="3"/>
      <c r="F53" s="3"/>
      <c r="G53" s="3"/>
      <c r="H53" s="3"/>
      <c r="I53" s="3"/>
      <c r="J53" s="3"/>
      <c r="K53" s="17"/>
      <c r="L53" s="3"/>
      <c r="M53" s="3"/>
    </row>
    <row r="54" spans="1:13" ht="21">
      <c r="A54" s="3"/>
      <c r="B54" s="3"/>
      <c r="C54" s="65"/>
      <c r="D54" s="3"/>
      <c r="E54" s="3"/>
      <c r="F54" s="3"/>
      <c r="G54" s="3"/>
      <c r="H54" s="3"/>
      <c r="I54" s="3"/>
      <c r="J54" s="3"/>
      <c r="K54" s="17"/>
      <c r="L54" s="17"/>
      <c r="M54" s="3"/>
    </row>
    <row r="55" spans="1:13" ht="21">
      <c r="A55" s="3"/>
      <c r="B55" s="3"/>
      <c r="C55" s="65"/>
      <c r="D55" s="3"/>
      <c r="E55" s="3"/>
      <c r="F55" s="3"/>
      <c r="G55" s="3"/>
      <c r="H55" s="3"/>
      <c r="I55" s="3"/>
      <c r="J55" s="3"/>
      <c r="K55" s="17"/>
      <c r="L55" s="3"/>
      <c r="M55" s="3"/>
    </row>
    <row r="56" ht="21">
      <c r="N56" s="61"/>
    </row>
    <row r="57" ht="21">
      <c r="N57" s="61"/>
    </row>
    <row r="62" ht="20.25" customHeight="1"/>
    <row r="64" ht="18" customHeight="1"/>
    <row r="65" ht="15.75" customHeight="1"/>
    <row r="67" ht="16.5" customHeight="1"/>
    <row r="68" ht="21">
      <c r="N68" s="61"/>
    </row>
    <row r="70" ht="21" customHeight="1"/>
  </sheetData>
  <sheetProtection/>
  <mergeCells count="26">
    <mergeCell ref="B42:M42"/>
    <mergeCell ref="M3:M9"/>
    <mergeCell ref="I5:I9"/>
    <mergeCell ref="J5:J9"/>
    <mergeCell ref="A3:A9"/>
    <mergeCell ref="B3:B9"/>
    <mergeCell ref="C3:H9"/>
    <mergeCell ref="I3:L4"/>
    <mergeCell ref="J40:J41"/>
    <mergeCell ref="K40:K41"/>
    <mergeCell ref="L40:L41"/>
    <mergeCell ref="M40:M41"/>
    <mergeCell ref="A40:A41"/>
    <mergeCell ref="B40:B41"/>
    <mergeCell ref="C40:H41"/>
    <mergeCell ref="I40:I41"/>
    <mergeCell ref="A2:M2"/>
    <mergeCell ref="A48:M48"/>
    <mergeCell ref="A50:M50"/>
    <mergeCell ref="A45:M45"/>
    <mergeCell ref="A46:M46"/>
    <mergeCell ref="K5:K9"/>
    <mergeCell ref="L5:L9"/>
    <mergeCell ref="C10:H10"/>
    <mergeCell ref="C38:H38"/>
    <mergeCell ref="A47:M4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140" zoomScaleSheetLayoutView="140" zoomScalePageLayoutView="0" workbookViewId="0" topLeftCell="A1">
      <selection activeCell="A2" sqref="A2:M2"/>
    </sheetView>
  </sheetViews>
  <sheetFormatPr defaultColWidth="9.00390625" defaultRowHeight="12.75"/>
  <cols>
    <col min="1" max="1" width="3.7109375" style="128" customWidth="1"/>
    <col min="2" max="2" width="9.7109375" style="129" customWidth="1"/>
    <col min="3" max="3" width="46.421875" style="129" customWidth="1"/>
    <col min="4" max="4" width="8.28125" style="186" customWidth="1"/>
    <col min="5" max="5" width="9.421875" style="186" bestFit="1" customWidth="1"/>
    <col min="6" max="6" width="11.57421875" style="186" customWidth="1"/>
    <col min="7" max="7" width="9.7109375" style="186" customWidth="1"/>
    <col min="8" max="8" width="10.28125" style="186" customWidth="1"/>
    <col min="9" max="9" width="10.00390625" style="186" customWidth="1"/>
    <col min="10" max="10" width="10.28125" style="186" customWidth="1"/>
    <col min="11" max="11" width="8.7109375" style="186" customWidth="1"/>
    <col min="12" max="12" width="10.421875" style="186" customWidth="1"/>
    <col min="13" max="13" width="16.57421875" style="186" customWidth="1"/>
    <col min="14" max="15" width="9.00390625" style="127" customWidth="1"/>
    <col min="16" max="16" width="16.28125" style="127" customWidth="1"/>
    <col min="17" max="17" width="9.00390625" style="127" customWidth="1"/>
    <col min="18" max="18" width="7.28125" style="127" customWidth="1"/>
    <col min="19" max="22" width="9.00390625" style="127" customWidth="1"/>
    <col min="23" max="23" width="6.8515625" style="127" customWidth="1"/>
    <col min="24" max="16384" width="9.00390625" style="127" customWidth="1"/>
  </cols>
  <sheetData>
    <row r="1" spans="1:13" ht="31.5">
      <c r="A1" s="126"/>
      <c r="B1" s="126"/>
      <c r="C1" s="126" t="s">
        <v>237</v>
      </c>
      <c r="D1" s="126"/>
      <c r="E1" s="126"/>
      <c r="F1" s="126"/>
      <c r="G1" s="126"/>
      <c r="H1" s="126"/>
      <c r="I1" s="126"/>
      <c r="J1" s="126"/>
      <c r="K1" s="126"/>
      <c r="L1" s="126"/>
      <c r="M1" s="126" t="s">
        <v>240</v>
      </c>
    </row>
    <row r="2" spans="1:13" ht="35.25" customHeight="1">
      <c r="A2" s="407" t="s">
        <v>255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15.75">
      <c r="A3" s="418" t="s">
        <v>136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ht="15.75">
      <c r="A4" s="419" t="s">
        <v>0</v>
      </c>
      <c r="B4" s="422" t="s">
        <v>1</v>
      </c>
      <c r="C4" s="425" t="s">
        <v>25</v>
      </c>
      <c r="D4" s="408" t="s">
        <v>2</v>
      </c>
      <c r="E4" s="428"/>
      <c r="F4" s="410"/>
      <c r="G4" s="408" t="s">
        <v>3</v>
      </c>
      <c r="H4" s="409"/>
      <c r="I4" s="408" t="s">
        <v>4</v>
      </c>
      <c r="J4" s="432"/>
      <c r="K4" s="408" t="s">
        <v>5</v>
      </c>
      <c r="L4" s="409"/>
      <c r="M4" s="410" t="s">
        <v>6</v>
      </c>
    </row>
    <row r="5" spans="1:13" ht="15.75">
      <c r="A5" s="420"/>
      <c r="B5" s="423"/>
      <c r="C5" s="426"/>
      <c r="D5" s="414"/>
      <c r="E5" s="429"/>
      <c r="F5" s="430"/>
      <c r="G5" s="431"/>
      <c r="H5" s="415"/>
      <c r="I5" s="431"/>
      <c r="J5" s="433"/>
      <c r="K5" s="414" t="s">
        <v>7</v>
      </c>
      <c r="L5" s="415"/>
      <c r="M5" s="411"/>
    </row>
    <row r="6" spans="1:13" ht="15.75">
      <c r="A6" s="420"/>
      <c r="B6" s="423"/>
      <c r="C6" s="426"/>
      <c r="D6" s="416" t="s">
        <v>8</v>
      </c>
      <c r="E6" s="416" t="s">
        <v>9</v>
      </c>
      <c r="F6" s="416" t="s">
        <v>10</v>
      </c>
      <c r="G6" s="139" t="s">
        <v>9</v>
      </c>
      <c r="H6" s="416" t="s">
        <v>10</v>
      </c>
      <c r="I6" s="139" t="s">
        <v>9</v>
      </c>
      <c r="J6" s="416" t="s">
        <v>10</v>
      </c>
      <c r="K6" s="139" t="s">
        <v>9</v>
      </c>
      <c r="L6" s="416" t="s">
        <v>10</v>
      </c>
      <c r="M6" s="412"/>
    </row>
    <row r="7" spans="1:13" ht="15.75">
      <c r="A7" s="421"/>
      <c r="B7" s="424"/>
      <c r="C7" s="427"/>
      <c r="D7" s="417"/>
      <c r="E7" s="417"/>
      <c r="F7" s="417"/>
      <c r="G7" s="142" t="s">
        <v>11</v>
      </c>
      <c r="H7" s="417"/>
      <c r="I7" s="142" t="s">
        <v>11</v>
      </c>
      <c r="J7" s="417"/>
      <c r="K7" s="142" t="s">
        <v>11</v>
      </c>
      <c r="L7" s="417"/>
      <c r="M7" s="413"/>
    </row>
    <row r="8" spans="1:13" ht="15.75">
      <c r="A8" s="143">
        <v>1</v>
      </c>
      <c r="B8" s="144" t="s">
        <v>77</v>
      </c>
      <c r="C8" s="145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3">
        <v>13</v>
      </c>
    </row>
    <row r="9" spans="1:13" ht="15.75">
      <c r="A9" s="146"/>
      <c r="B9" s="147"/>
      <c r="C9" s="148" t="s">
        <v>188</v>
      </c>
      <c r="D9" s="147"/>
      <c r="E9" s="147"/>
      <c r="F9" s="147"/>
      <c r="G9" s="147"/>
      <c r="H9" s="147"/>
      <c r="I9" s="147"/>
      <c r="J9" s="149"/>
      <c r="K9" s="149"/>
      <c r="L9" s="149"/>
      <c r="M9" s="150"/>
    </row>
    <row r="10" spans="1:13" ht="63">
      <c r="A10" s="79" t="s">
        <v>123</v>
      </c>
      <c r="B10" s="151" t="s">
        <v>152</v>
      </c>
      <c r="C10" s="152" t="s">
        <v>189</v>
      </c>
      <c r="D10" s="82" t="s">
        <v>153</v>
      </c>
      <c r="E10" s="82"/>
      <c r="F10" s="82">
        <v>531</v>
      </c>
      <c r="G10" s="82"/>
      <c r="H10" s="85"/>
      <c r="I10" s="85"/>
      <c r="J10" s="153"/>
      <c r="K10" s="153"/>
      <c r="L10" s="154"/>
      <c r="M10" s="154"/>
    </row>
    <row r="11" spans="1:13" ht="15.75">
      <c r="A11" s="79"/>
      <c r="B11" s="79"/>
      <c r="C11" s="107" t="s">
        <v>26</v>
      </c>
      <c r="D11" s="85" t="s">
        <v>27</v>
      </c>
      <c r="E11" s="116">
        <f>20/1000</f>
        <v>0.02</v>
      </c>
      <c r="F11" s="85">
        <f>E11*F10</f>
        <v>10.620000000000001</v>
      </c>
      <c r="G11" s="85"/>
      <c r="H11" s="85"/>
      <c r="I11" s="139"/>
      <c r="J11" s="139"/>
      <c r="K11" s="139"/>
      <c r="L11" s="139"/>
      <c r="M11" s="139"/>
    </row>
    <row r="12" spans="1:13" ht="15.75">
      <c r="A12" s="79"/>
      <c r="B12" s="79"/>
      <c r="C12" s="107" t="s">
        <v>154</v>
      </c>
      <c r="D12" s="85" t="s">
        <v>28</v>
      </c>
      <c r="E12" s="119">
        <f>44.8/1000</f>
        <v>0.0448</v>
      </c>
      <c r="F12" s="85">
        <f>E12*F10</f>
        <v>23.7888</v>
      </c>
      <c r="G12" s="85"/>
      <c r="H12" s="85"/>
      <c r="I12" s="139"/>
      <c r="J12" s="156"/>
      <c r="K12" s="85"/>
      <c r="L12" s="157"/>
      <c r="M12" s="139"/>
    </row>
    <row r="13" spans="1:13" ht="31.5">
      <c r="A13" s="79"/>
      <c r="B13" s="79"/>
      <c r="C13" s="107" t="s">
        <v>151</v>
      </c>
      <c r="D13" s="85" t="s">
        <v>27</v>
      </c>
      <c r="E13" s="116"/>
      <c r="F13" s="158">
        <f>F12</f>
        <v>23.7888</v>
      </c>
      <c r="G13" s="85"/>
      <c r="H13" s="85"/>
      <c r="I13" s="139"/>
      <c r="J13" s="156"/>
      <c r="K13" s="139"/>
      <c r="L13" s="157"/>
      <c r="M13" s="139"/>
    </row>
    <row r="14" spans="1:13" ht="15.75">
      <c r="A14" s="79"/>
      <c r="B14" s="79"/>
      <c r="C14" s="107" t="s">
        <v>33</v>
      </c>
      <c r="D14" s="85" t="s">
        <v>30</v>
      </c>
      <c r="E14" s="119">
        <f>2.1/1000</f>
        <v>0.0021000000000000003</v>
      </c>
      <c r="F14" s="158">
        <f>E14*F10</f>
        <v>1.1151000000000002</v>
      </c>
      <c r="G14" s="85"/>
      <c r="H14" s="85"/>
      <c r="I14" s="85"/>
      <c r="J14" s="85"/>
      <c r="K14" s="85"/>
      <c r="L14" s="85"/>
      <c r="M14" s="139"/>
    </row>
    <row r="15" spans="1:13" ht="15.75">
      <c r="A15" s="87"/>
      <c r="B15" s="87"/>
      <c r="C15" s="159" t="s">
        <v>155</v>
      </c>
      <c r="D15" s="89" t="s">
        <v>156</v>
      </c>
      <c r="E15" s="121">
        <v>1.8</v>
      </c>
      <c r="F15" s="89">
        <f>F10*1.8</f>
        <v>955.8000000000001</v>
      </c>
      <c r="G15" s="89"/>
      <c r="H15" s="89"/>
      <c r="I15" s="89"/>
      <c r="J15" s="89"/>
      <c r="K15" s="140"/>
      <c r="L15" s="89"/>
      <c r="M15" s="142"/>
    </row>
    <row r="16" spans="1:16" ht="18">
      <c r="A16" s="160">
        <v>2</v>
      </c>
      <c r="B16" s="161" t="s">
        <v>74</v>
      </c>
      <c r="C16" s="162" t="s">
        <v>72</v>
      </c>
      <c r="D16" s="163" t="s">
        <v>153</v>
      </c>
      <c r="E16" s="164"/>
      <c r="F16" s="163">
        <f>F10</f>
        <v>531</v>
      </c>
      <c r="G16" s="165"/>
      <c r="H16" s="165"/>
      <c r="I16" s="165"/>
      <c r="J16" s="166"/>
      <c r="K16" s="165"/>
      <c r="L16" s="165"/>
      <c r="M16" s="165"/>
      <c r="N16" s="155"/>
      <c r="O16" s="155"/>
      <c r="P16" s="155"/>
    </row>
    <row r="17" spans="1:16" ht="15.75">
      <c r="A17" s="167"/>
      <c r="B17" s="167"/>
      <c r="C17" s="107" t="s">
        <v>26</v>
      </c>
      <c r="D17" s="85" t="s">
        <v>27</v>
      </c>
      <c r="E17" s="118">
        <f>3.23/1000</f>
        <v>0.00323</v>
      </c>
      <c r="F17" s="85">
        <f>E17*F16</f>
        <v>1.7151299999999998</v>
      </c>
      <c r="G17" s="83"/>
      <c r="H17" s="85"/>
      <c r="I17" s="168"/>
      <c r="J17" s="169"/>
      <c r="K17" s="168"/>
      <c r="L17" s="168"/>
      <c r="M17" s="139"/>
      <c r="N17" s="155"/>
      <c r="O17" s="155"/>
      <c r="P17" s="155"/>
    </row>
    <row r="18" spans="1:16" ht="15.75">
      <c r="A18" s="79"/>
      <c r="B18" s="79"/>
      <c r="C18" s="107" t="s">
        <v>70</v>
      </c>
      <c r="D18" s="85" t="s">
        <v>28</v>
      </c>
      <c r="E18" s="118">
        <f>3.62/1000</f>
        <v>0.00362</v>
      </c>
      <c r="F18" s="85">
        <f>E18*F16</f>
        <v>1.92222</v>
      </c>
      <c r="G18" s="85"/>
      <c r="H18" s="85"/>
      <c r="I18" s="85"/>
      <c r="J18" s="85"/>
      <c r="K18" s="85"/>
      <c r="L18" s="85"/>
      <c r="M18" s="139"/>
      <c r="N18" s="405"/>
      <c r="O18" s="405"/>
      <c r="P18" s="405"/>
    </row>
    <row r="19" spans="1:16" ht="31.5">
      <c r="A19" s="79"/>
      <c r="B19" s="79"/>
      <c r="C19" s="107" t="s">
        <v>151</v>
      </c>
      <c r="D19" s="85" t="s">
        <v>27</v>
      </c>
      <c r="E19" s="85"/>
      <c r="F19" s="85">
        <f>F18</f>
        <v>1.92222</v>
      </c>
      <c r="G19" s="85"/>
      <c r="H19" s="85"/>
      <c r="I19" s="85"/>
      <c r="J19" s="85"/>
      <c r="K19" s="117"/>
      <c r="L19" s="117"/>
      <c r="M19" s="139"/>
      <c r="N19" s="155"/>
      <c r="O19" s="155"/>
      <c r="P19" s="155"/>
    </row>
    <row r="20" spans="1:16" ht="15.75">
      <c r="A20" s="167"/>
      <c r="B20" s="167"/>
      <c r="C20" s="168" t="s">
        <v>33</v>
      </c>
      <c r="D20" s="167" t="s">
        <v>30</v>
      </c>
      <c r="E20" s="118">
        <f>0.18/1000</f>
        <v>0.00017999999999999998</v>
      </c>
      <c r="F20" s="85">
        <f>E20*F16</f>
        <v>0.09558</v>
      </c>
      <c r="G20" s="167"/>
      <c r="H20" s="167"/>
      <c r="I20" s="167"/>
      <c r="J20" s="170"/>
      <c r="K20" s="83"/>
      <c r="L20" s="85"/>
      <c r="M20" s="139"/>
      <c r="N20" s="155"/>
      <c r="O20" s="155"/>
      <c r="P20" s="155"/>
    </row>
    <row r="21" spans="1:16" ht="15.75">
      <c r="A21" s="171"/>
      <c r="B21" s="79"/>
      <c r="C21" s="172" t="s">
        <v>10</v>
      </c>
      <c r="D21" s="173" t="s">
        <v>30</v>
      </c>
      <c r="E21" s="85"/>
      <c r="F21" s="85"/>
      <c r="G21" s="85"/>
      <c r="H21" s="85"/>
      <c r="I21" s="85"/>
      <c r="J21" s="85"/>
      <c r="K21" s="85"/>
      <c r="L21" s="85"/>
      <c r="M21" s="85"/>
      <c r="N21" s="155"/>
      <c r="O21" s="155"/>
      <c r="P21" s="155"/>
    </row>
    <row r="22" spans="1:16" ht="31.5">
      <c r="A22" s="171"/>
      <c r="B22" s="79"/>
      <c r="C22" s="175" t="s">
        <v>246</v>
      </c>
      <c r="D22" s="173"/>
      <c r="E22" s="176" t="s">
        <v>241</v>
      </c>
      <c r="F22" s="85"/>
      <c r="G22" s="85"/>
      <c r="H22" s="85"/>
      <c r="I22" s="85"/>
      <c r="J22" s="85"/>
      <c r="K22" s="117"/>
      <c r="L22" s="85"/>
      <c r="M22" s="85"/>
      <c r="N22" s="155"/>
      <c r="O22" s="155"/>
      <c r="P22" s="155"/>
    </row>
    <row r="23" spans="1:16" ht="15.75">
      <c r="A23" s="171"/>
      <c r="B23" s="79"/>
      <c r="C23" s="172" t="s">
        <v>6</v>
      </c>
      <c r="D23" s="173"/>
      <c r="E23" s="85"/>
      <c r="F23" s="85"/>
      <c r="G23" s="85"/>
      <c r="H23" s="85"/>
      <c r="I23" s="85"/>
      <c r="J23" s="85"/>
      <c r="K23" s="85"/>
      <c r="L23" s="85"/>
      <c r="M23" s="85"/>
      <c r="N23" s="155"/>
      <c r="O23" s="155"/>
      <c r="P23" s="155"/>
    </row>
    <row r="24" spans="1:16" ht="15.75">
      <c r="A24" s="177"/>
      <c r="B24" s="175"/>
      <c r="C24" s="177" t="s">
        <v>247</v>
      </c>
      <c r="D24" s="173" t="s">
        <v>30</v>
      </c>
      <c r="E24" s="176" t="s">
        <v>241</v>
      </c>
      <c r="F24" s="178"/>
      <c r="G24" s="178"/>
      <c r="H24" s="179"/>
      <c r="I24" s="179"/>
      <c r="J24" s="179"/>
      <c r="K24" s="179"/>
      <c r="L24" s="179"/>
      <c r="M24" s="179"/>
      <c r="N24" s="405"/>
      <c r="O24" s="405"/>
      <c r="P24" s="405"/>
    </row>
    <row r="25" spans="1:16" ht="15.75">
      <c r="A25" s="172"/>
      <c r="B25" s="175"/>
      <c r="C25" s="172" t="s">
        <v>10</v>
      </c>
      <c r="D25" s="173" t="s">
        <v>30</v>
      </c>
      <c r="E25" s="180"/>
      <c r="F25" s="172"/>
      <c r="G25" s="172"/>
      <c r="H25" s="181"/>
      <c r="I25" s="181"/>
      <c r="J25" s="181"/>
      <c r="K25" s="181"/>
      <c r="L25" s="181"/>
      <c r="M25" s="181"/>
      <c r="N25" s="155"/>
      <c r="O25" s="155"/>
      <c r="P25" s="155"/>
    </row>
    <row r="26" spans="1:16" ht="15.75">
      <c r="A26" s="177"/>
      <c r="B26" s="175"/>
      <c r="C26" s="175" t="s">
        <v>248</v>
      </c>
      <c r="D26" s="173" t="s">
        <v>30</v>
      </c>
      <c r="E26" s="176" t="s">
        <v>241</v>
      </c>
      <c r="F26" s="172"/>
      <c r="G26" s="179"/>
      <c r="H26" s="179"/>
      <c r="I26" s="179"/>
      <c r="J26" s="179"/>
      <c r="K26" s="179"/>
      <c r="L26" s="179"/>
      <c r="M26" s="179"/>
      <c r="N26" s="155"/>
      <c r="O26" s="155"/>
      <c r="P26" s="155"/>
    </row>
    <row r="27" spans="1:16" ht="15.75">
      <c r="A27" s="182"/>
      <c r="B27" s="183"/>
      <c r="C27" s="182" t="s">
        <v>10</v>
      </c>
      <c r="D27" s="184" t="s">
        <v>30</v>
      </c>
      <c r="E27" s="182"/>
      <c r="F27" s="182"/>
      <c r="G27" s="182"/>
      <c r="H27" s="185"/>
      <c r="I27" s="185"/>
      <c r="J27" s="185"/>
      <c r="K27" s="185"/>
      <c r="L27" s="185"/>
      <c r="M27" s="185"/>
      <c r="N27" s="155"/>
      <c r="O27" s="155"/>
      <c r="P27" s="155"/>
    </row>
    <row r="28" spans="14:16" ht="15.75">
      <c r="N28" s="155"/>
      <c r="O28" s="155"/>
      <c r="P28" s="155"/>
    </row>
    <row r="29" spans="14:16" ht="15.75">
      <c r="N29" s="155"/>
      <c r="O29" s="155"/>
      <c r="P29" s="155"/>
    </row>
    <row r="30" spans="14:17" ht="15.75">
      <c r="N30" s="406"/>
      <c r="O30" s="406"/>
      <c r="P30" s="406"/>
      <c r="Q30" s="112"/>
    </row>
    <row r="31" spans="14:16" ht="15.75">
      <c r="N31" s="155"/>
      <c r="O31" s="155"/>
      <c r="P31" s="155"/>
    </row>
    <row r="32" spans="14:16" ht="15.75">
      <c r="N32" s="155"/>
      <c r="O32" s="155"/>
      <c r="P32" s="155"/>
    </row>
    <row r="33" spans="14:16" ht="15.75">
      <c r="N33" s="155"/>
      <c r="O33" s="155"/>
      <c r="P33" s="155"/>
    </row>
  </sheetData>
  <sheetProtection/>
  <mergeCells count="20">
    <mergeCell ref="A3:M3"/>
    <mergeCell ref="H6:H7"/>
    <mergeCell ref="J6:J7"/>
    <mergeCell ref="L6:L7"/>
    <mergeCell ref="A4:A7"/>
    <mergeCell ref="B4:B7"/>
    <mergeCell ref="C4:C7"/>
    <mergeCell ref="D4:F5"/>
    <mergeCell ref="G4:H5"/>
    <mergeCell ref="I4:J5"/>
    <mergeCell ref="N24:P24"/>
    <mergeCell ref="N18:P18"/>
    <mergeCell ref="N30:P30"/>
    <mergeCell ref="A2:M2"/>
    <mergeCell ref="K4:L4"/>
    <mergeCell ref="M4:M7"/>
    <mergeCell ref="K5:L5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zoomScalePageLayoutView="0" workbookViewId="0" topLeftCell="A1">
      <selection activeCell="B2" sqref="B2:M2"/>
    </sheetView>
  </sheetViews>
  <sheetFormatPr defaultColWidth="9.00390625" defaultRowHeight="12.75"/>
  <cols>
    <col min="1" max="1" width="3.8515625" style="188" customWidth="1"/>
    <col min="2" max="2" width="9.7109375" style="122" customWidth="1"/>
    <col min="3" max="3" width="55.28125" style="122" customWidth="1"/>
    <col min="4" max="4" width="8.28125" style="209" customWidth="1"/>
    <col min="5" max="5" width="9.00390625" style="209" customWidth="1"/>
    <col min="6" max="6" width="10.8515625" style="209" customWidth="1"/>
    <col min="7" max="7" width="9.7109375" style="209" customWidth="1"/>
    <col min="8" max="8" width="11.8515625" style="209" customWidth="1"/>
    <col min="9" max="9" width="11.28125" style="209" customWidth="1"/>
    <col min="10" max="10" width="12.57421875" style="209" customWidth="1"/>
    <col min="11" max="11" width="10.28125" style="209" customWidth="1"/>
    <col min="12" max="12" width="10.421875" style="209" customWidth="1"/>
    <col min="13" max="13" width="18.7109375" style="358" customWidth="1"/>
    <col min="14" max="16384" width="9.00390625" style="187" customWidth="1"/>
  </cols>
  <sheetData>
    <row r="1" spans="1:13" ht="57" customHeight="1">
      <c r="A1" s="189"/>
      <c r="B1" s="189"/>
      <c r="C1" s="358" t="s">
        <v>237</v>
      </c>
      <c r="D1" s="189"/>
      <c r="E1" s="189"/>
      <c r="F1" s="189"/>
      <c r="G1" s="189"/>
      <c r="H1" s="189"/>
      <c r="I1" s="189"/>
      <c r="J1" s="189"/>
      <c r="K1" s="189"/>
      <c r="L1" s="189"/>
      <c r="M1" s="357" t="s">
        <v>242</v>
      </c>
    </row>
    <row r="2" spans="1:13" ht="45.75" customHeight="1">
      <c r="A2" s="189"/>
      <c r="B2" s="434" t="s">
        <v>255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48.75" customHeight="1">
      <c r="A3" s="443" t="s">
        <v>137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3" ht="15.75">
      <c r="A4" s="419" t="s">
        <v>0</v>
      </c>
      <c r="B4" s="422" t="s">
        <v>1</v>
      </c>
      <c r="C4" s="425" t="s">
        <v>25</v>
      </c>
      <c r="D4" s="408" t="s">
        <v>2</v>
      </c>
      <c r="E4" s="428"/>
      <c r="F4" s="410"/>
      <c r="G4" s="408" t="s">
        <v>3</v>
      </c>
      <c r="H4" s="409"/>
      <c r="I4" s="408" t="s">
        <v>4</v>
      </c>
      <c r="J4" s="432"/>
      <c r="K4" s="408" t="s">
        <v>5</v>
      </c>
      <c r="L4" s="409"/>
      <c r="M4" s="436" t="s">
        <v>6</v>
      </c>
    </row>
    <row r="5" spans="1:13" ht="15.75">
      <c r="A5" s="420"/>
      <c r="B5" s="423"/>
      <c r="C5" s="426"/>
      <c r="D5" s="414"/>
      <c r="E5" s="429"/>
      <c r="F5" s="430"/>
      <c r="G5" s="431"/>
      <c r="H5" s="415"/>
      <c r="I5" s="431"/>
      <c r="J5" s="433"/>
      <c r="K5" s="414" t="s">
        <v>7</v>
      </c>
      <c r="L5" s="415"/>
      <c r="M5" s="437"/>
    </row>
    <row r="6" spans="1:13" ht="15.75">
      <c r="A6" s="420"/>
      <c r="B6" s="423"/>
      <c r="C6" s="426"/>
      <c r="D6" s="416" t="s">
        <v>8</v>
      </c>
      <c r="E6" s="416" t="s">
        <v>9</v>
      </c>
      <c r="F6" s="416" t="s">
        <v>10</v>
      </c>
      <c r="G6" s="139" t="s">
        <v>9</v>
      </c>
      <c r="H6" s="416" t="s">
        <v>10</v>
      </c>
      <c r="I6" s="139" t="s">
        <v>9</v>
      </c>
      <c r="J6" s="416" t="s">
        <v>10</v>
      </c>
      <c r="K6" s="139" t="s">
        <v>9</v>
      </c>
      <c r="L6" s="416" t="s">
        <v>10</v>
      </c>
      <c r="M6" s="438"/>
    </row>
    <row r="7" spans="1:13" ht="15.75">
      <c r="A7" s="421"/>
      <c r="B7" s="424"/>
      <c r="C7" s="427"/>
      <c r="D7" s="417"/>
      <c r="E7" s="417"/>
      <c r="F7" s="417"/>
      <c r="G7" s="142" t="s">
        <v>11</v>
      </c>
      <c r="H7" s="417"/>
      <c r="I7" s="142" t="s">
        <v>11</v>
      </c>
      <c r="J7" s="417"/>
      <c r="K7" s="142" t="s">
        <v>11</v>
      </c>
      <c r="L7" s="417"/>
      <c r="M7" s="439"/>
    </row>
    <row r="8" spans="1:13" ht="15.75">
      <c r="A8" s="190" t="s">
        <v>12</v>
      </c>
      <c r="B8" s="191" t="s">
        <v>13</v>
      </c>
      <c r="C8" s="192" t="s">
        <v>14</v>
      </c>
      <c r="D8" s="193" t="s">
        <v>15</v>
      </c>
      <c r="E8" s="194" t="s">
        <v>16</v>
      </c>
      <c r="F8" s="195" t="s">
        <v>17</v>
      </c>
      <c r="G8" s="196" t="s">
        <v>18</v>
      </c>
      <c r="H8" s="193" t="s">
        <v>19</v>
      </c>
      <c r="I8" s="194" t="s">
        <v>20</v>
      </c>
      <c r="J8" s="196" t="s">
        <v>21</v>
      </c>
      <c r="K8" s="194" t="s">
        <v>22</v>
      </c>
      <c r="L8" s="193" t="s">
        <v>23</v>
      </c>
      <c r="M8" s="361" t="s">
        <v>24</v>
      </c>
    </row>
    <row r="9" spans="1:13" ht="15.75">
      <c r="A9" s="190"/>
      <c r="B9" s="191"/>
      <c r="C9" s="197" t="s">
        <v>125</v>
      </c>
      <c r="D9" s="193"/>
      <c r="E9" s="194"/>
      <c r="F9" s="195"/>
      <c r="G9" s="196"/>
      <c r="H9" s="193"/>
      <c r="I9" s="194"/>
      <c r="J9" s="196"/>
      <c r="K9" s="194"/>
      <c r="L9" s="194"/>
      <c r="M9" s="362"/>
    </row>
    <row r="10" spans="1:13" ht="31.5">
      <c r="A10" s="199" t="s">
        <v>123</v>
      </c>
      <c r="B10" s="440" t="s">
        <v>211</v>
      </c>
      <c r="C10" s="200" t="s">
        <v>216</v>
      </c>
      <c r="D10" s="153" t="s">
        <v>215</v>
      </c>
      <c r="E10" s="153"/>
      <c r="F10" s="163">
        <f>43/0.15</f>
        <v>286.6666666666667</v>
      </c>
      <c r="G10" s="163"/>
      <c r="H10" s="163"/>
      <c r="I10" s="163"/>
      <c r="J10" s="154"/>
      <c r="K10" s="154"/>
      <c r="L10" s="154"/>
      <c r="M10" s="363"/>
    </row>
    <row r="11" spans="1:13" ht="15.75">
      <c r="A11" s="79"/>
      <c r="B11" s="441"/>
      <c r="C11" s="115" t="s">
        <v>26</v>
      </c>
      <c r="D11" s="85" t="s">
        <v>27</v>
      </c>
      <c r="E11" s="116">
        <f>33/1000</f>
        <v>0.033</v>
      </c>
      <c r="F11" s="85">
        <f>E11*F10</f>
        <v>9.46</v>
      </c>
      <c r="G11" s="85"/>
      <c r="H11" s="85"/>
      <c r="I11" s="117"/>
      <c r="J11" s="117"/>
      <c r="K11" s="117"/>
      <c r="L11" s="117"/>
      <c r="M11" s="359"/>
    </row>
    <row r="12" spans="1:13" ht="15.75">
      <c r="A12" s="79"/>
      <c r="B12" s="441"/>
      <c r="C12" s="115" t="s">
        <v>65</v>
      </c>
      <c r="D12" s="85" t="s">
        <v>28</v>
      </c>
      <c r="E12" s="118">
        <f>0.42/1000</f>
        <v>0.00041999999999999996</v>
      </c>
      <c r="F12" s="85">
        <f>E12*F10</f>
        <v>0.1204</v>
      </c>
      <c r="G12" s="85"/>
      <c r="H12" s="117"/>
      <c r="I12" s="117"/>
      <c r="J12" s="117"/>
      <c r="K12" s="85"/>
      <c r="L12" s="85"/>
      <c r="M12" s="359"/>
    </row>
    <row r="13" spans="1:13" ht="15.75">
      <c r="A13" s="79"/>
      <c r="B13" s="441"/>
      <c r="C13" s="115" t="s">
        <v>151</v>
      </c>
      <c r="D13" s="85" t="s">
        <v>27</v>
      </c>
      <c r="E13" s="85"/>
      <c r="F13" s="85">
        <f>F12</f>
        <v>0.1204</v>
      </c>
      <c r="G13" s="85"/>
      <c r="H13" s="85"/>
      <c r="I13" s="85"/>
      <c r="J13" s="85"/>
      <c r="K13" s="85"/>
      <c r="L13" s="85"/>
      <c r="M13" s="359"/>
    </row>
    <row r="14" spans="1:13" ht="15.75">
      <c r="A14" s="79"/>
      <c r="B14" s="441"/>
      <c r="C14" s="115" t="s">
        <v>43</v>
      </c>
      <c r="D14" s="85" t="s">
        <v>28</v>
      </c>
      <c r="E14" s="116">
        <f>2.58/1000</f>
        <v>0.0025800000000000003</v>
      </c>
      <c r="F14" s="85">
        <f>E14*F10</f>
        <v>0.7396000000000001</v>
      </c>
      <c r="G14" s="85"/>
      <c r="H14" s="85"/>
      <c r="I14" s="85"/>
      <c r="J14" s="85"/>
      <c r="K14" s="85"/>
      <c r="L14" s="85"/>
      <c r="M14" s="359"/>
    </row>
    <row r="15" spans="1:17" ht="15.75">
      <c r="A15" s="79"/>
      <c r="B15" s="441"/>
      <c r="C15" s="115" t="s">
        <v>151</v>
      </c>
      <c r="D15" s="85" t="s">
        <v>27</v>
      </c>
      <c r="E15" s="85"/>
      <c r="F15" s="85">
        <f>F14</f>
        <v>0.7396000000000001</v>
      </c>
      <c r="G15" s="85"/>
      <c r="H15" s="85"/>
      <c r="I15" s="85"/>
      <c r="J15" s="85"/>
      <c r="K15" s="85"/>
      <c r="L15" s="85"/>
      <c r="M15" s="359"/>
      <c r="N15" s="198"/>
      <c r="O15" s="198"/>
      <c r="P15" s="198"/>
      <c r="Q15" s="198"/>
    </row>
    <row r="16" spans="1:17" ht="15.75">
      <c r="A16" s="79"/>
      <c r="B16" s="441"/>
      <c r="C16" s="115" t="s">
        <v>67</v>
      </c>
      <c r="D16" s="85" t="s">
        <v>28</v>
      </c>
      <c r="E16" s="116">
        <f>11.2/1000</f>
        <v>0.0112</v>
      </c>
      <c r="F16" s="85">
        <f>E16*F10</f>
        <v>3.210666666666667</v>
      </c>
      <c r="G16" s="85"/>
      <c r="H16" s="85"/>
      <c r="I16" s="85"/>
      <c r="J16" s="85"/>
      <c r="K16" s="85"/>
      <c r="L16" s="85"/>
      <c r="M16" s="359"/>
      <c r="N16" s="435"/>
      <c r="O16" s="435"/>
      <c r="P16" s="435"/>
      <c r="Q16" s="435"/>
    </row>
    <row r="17" spans="1:17" ht="15.75">
      <c r="A17" s="87"/>
      <c r="B17" s="441"/>
      <c r="C17" s="115" t="s">
        <v>151</v>
      </c>
      <c r="D17" s="85" t="s">
        <v>27</v>
      </c>
      <c r="E17" s="85"/>
      <c r="F17" s="85">
        <f>F16</f>
        <v>3.210666666666667</v>
      </c>
      <c r="G17" s="85"/>
      <c r="H17" s="85"/>
      <c r="I17" s="85"/>
      <c r="J17" s="85"/>
      <c r="K17" s="85"/>
      <c r="L17" s="85"/>
      <c r="M17" s="359"/>
      <c r="N17" s="198"/>
      <c r="O17" s="198"/>
      <c r="P17" s="198"/>
      <c r="Q17" s="198"/>
    </row>
    <row r="18" spans="1:17" ht="15.75">
      <c r="A18" s="79"/>
      <c r="B18" s="441"/>
      <c r="C18" s="115" t="s">
        <v>68</v>
      </c>
      <c r="D18" s="85" t="s">
        <v>28</v>
      </c>
      <c r="E18" s="116">
        <f>24.8/1000</f>
        <v>0.0248</v>
      </c>
      <c r="F18" s="85">
        <f>E18*F10</f>
        <v>7.109333333333334</v>
      </c>
      <c r="G18" s="85"/>
      <c r="H18" s="85"/>
      <c r="I18" s="85"/>
      <c r="J18" s="85"/>
      <c r="K18" s="85"/>
      <c r="L18" s="85"/>
      <c r="M18" s="359"/>
      <c r="N18" s="198"/>
      <c r="O18" s="198"/>
      <c r="P18" s="198"/>
      <c r="Q18" s="198"/>
    </row>
    <row r="19" spans="1:17" ht="15.75">
      <c r="A19" s="79"/>
      <c r="B19" s="441"/>
      <c r="C19" s="115" t="s">
        <v>151</v>
      </c>
      <c r="D19" s="85" t="s">
        <v>27</v>
      </c>
      <c r="E19" s="85"/>
      <c r="F19" s="85">
        <f>F18</f>
        <v>7.109333333333334</v>
      </c>
      <c r="G19" s="85"/>
      <c r="H19" s="85"/>
      <c r="I19" s="85"/>
      <c r="J19" s="85"/>
      <c r="K19" s="85"/>
      <c r="L19" s="85"/>
      <c r="M19" s="359"/>
      <c r="N19" s="198"/>
      <c r="O19" s="198"/>
      <c r="P19" s="198"/>
      <c r="Q19" s="198"/>
    </row>
    <row r="20" spans="1:17" ht="15.75">
      <c r="A20" s="79"/>
      <c r="B20" s="441"/>
      <c r="C20" s="115" t="s">
        <v>29</v>
      </c>
      <c r="D20" s="85" t="s">
        <v>28</v>
      </c>
      <c r="E20" s="116">
        <f>4.14/1000</f>
        <v>0.00414</v>
      </c>
      <c r="F20" s="85">
        <f>E20*F10</f>
        <v>1.1867999999999999</v>
      </c>
      <c r="G20" s="85"/>
      <c r="H20" s="85"/>
      <c r="I20" s="85"/>
      <c r="J20" s="85"/>
      <c r="K20" s="85"/>
      <c r="L20" s="85"/>
      <c r="M20" s="359"/>
      <c r="N20" s="198"/>
      <c r="O20" s="198"/>
      <c r="P20" s="198"/>
      <c r="Q20" s="198"/>
    </row>
    <row r="21" spans="1:17" ht="15.75">
      <c r="A21" s="79"/>
      <c r="B21" s="441"/>
      <c r="C21" s="115" t="s">
        <v>151</v>
      </c>
      <c r="D21" s="85" t="s">
        <v>27</v>
      </c>
      <c r="E21" s="85"/>
      <c r="F21" s="85">
        <f>F20</f>
        <v>1.1867999999999999</v>
      </c>
      <c r="G21" s="85"/>
      <c r="H21" s="85"/>
      <c r="I21" s="85"/>
      <c r="J21" s="85"/>
      <c r="K21" s="85"/>
      <c r="L21" s="85"/>
      <c r="M21" s="359"/>
      <c r="N21" s="198"/>
      <c r="O21" s="198"/>
      <c r="P21" s="198"/>
      <c r="Q21" s="198"/>
    </row>
    <row r="22" spans="1:17" ht="15.75">
      <c r="A22" s="79"/>
      <c r="B22" s="441"/>
      <c r="C22" s="115" t="s">
        <v>212</v>
      </c>
      <c r="D22" s="85" t="s">
        <v>213</v>
      </c>
      <c r="E22" s="119">
        <f>0.53/1000</f>
        <v>0.00053</v>
      </c>
      <c r="F22" s="85">
        <f>F10*E22</f>
        <v>0.15193333333333334</v>
      </c>
      <c r="G22" s="85"/>
      <c r="H22" s="85"/>
      <c r="I22" s="85"/>
      <c r="J22" s="85"/>
      <c r="K22" s="85"/>
      <c r="L22" s="85"/>
      <c r="M22" s="359"/>
      <c r="N22" s="198"/>
      <c r="O22" s="198"/>
      <c r="P22" s="198"/>
      <c r="Q22" s="198"/>
    </row>
    <row r="23" spans="1:17" ht="15.75">
      <c r="A23" s="79"/>
      <c r="B23" s="441"/>
      <c r="C23" s="115" t="s">
        <v>151</v>
      </c>
      <c r="D23" s="85" t="s">
        <v>27</v>
      </c>
      <c r="E23" s="85"/>
      <c r="F23" s="85">
        <f>F22</f>
        <v>0.15193333333333334</v>
      </c>
      <c r="G23" s="85"/>
      <c r="H23" s="85"/>
      <c r="I23" s="85"/>
      <c r="J23" s="85"/>
      <c r="K23" s="85"/>
      <c r="L23" s="85"/>
      <c r="M23" s="359"/>
      <c r="N23" s="198"/>
      <c r="O23" s="198"/>
      <c r="P23" s="198"/>
      <c r="Q23" s="198"/>
    </row>
    <row r="24" spans="1:17" ht="18">
      <c r="A24" s="79"/>
      <c r="B24" s="441"/>
      <c r="C24" s="115" t="s">
        <v>217</v>
      </c>
      <c r="D24" s="85" t="s">
        <v>149</v>
      </c>
      <c r="E24" s="85">
        <v>1.26</v>
      </c>
      <c r="F24" s="85">
        <f>F10*0.15*1.26</f>
        <v>54.18</v>
      </c>
      <c r="G24" s="85"/>
      <c r="H24" s="85"/>
      <c r="I24" s="85"/>
      <c r="J24" s="85"/>
      <c r="K24" s="85"/>
      <c r="L24" s="85"/>
      <c r="M24" s="359"/>
      <c r="N24" s="198"/>
      <c r="O24" s="198"/>
      <c r="P24" s="198"/>
      <c r="Q24" s="198"/>
    </row>
    <row r="25" spans="1:17" ht="18">
      <c r="A25" s="79"/>
      <c r="B25" s="442"/>
      <c r="C25" s="120" t="s">
        <v>214</v>
      </c>
      <c r="D25" s="89" t="s">
        <v>149</v>
      </c>
      <c r="E25" s="121">
        <f>30/1000</f>
        <v>0.03</v>
      </c>
      <c r="F25" s="89">
        <f>E25*F10</f>
        <v>8.6</v>
      </c>
      <c r="G25" s="89"/>
      <c r="H25" s="89"/>
      <c r="I25" s="89"/>
      <c r="J25" s="89"/>
      <c r="K25" s="89"/>
      <c r="L25" s="89"/>
      <c r="M25" s="360"/>
      <c r="N25" s="198"/>
      <c r="O25" s="198"/>
      <c r="P25" s="198"/>
      <c r="Q25" s="198"/>
    </row>
    <row r="26" spans="1:17" ht="15.75">
      <c r="A26" s="306">
        <v>2</v>
      </c>
      <c r="B26" s="307" t="s">
        <v>118</v>
      </c>
      <c r="C26" s="308" t="s">
        <v>119</v>
      </c>
      <c r="D26" s="306" t="s">
        <v>31</v>
      </c>
      <c r="E26" s="309"/>
      <c r="F26" s="310">
        <v>1.07</v>
      </c>
      <c r="G26" s="311"/>
      <c r="H26" s="312"/>
      <c r="I26" s="313"/>
      <c r="J26" s="311"/>
      <c r="K26" s="313"/>
      <c r="L26" s="312"/>
      <c r="M26" s="364"/>
      <c r="N26" s="198"/>
      <c r="O26" s="198"/>
      <c r="P26" s="198"/>
      <c r="Q26" s="198"/>
    </row>
    <row r="27" spans="1:17" ht="15.75">
      <c r="A27" s="306"/>
      <c r="B27" s="307"/>
      <c r="C27" s="315" t="s">
        <v>26</v>
      </c>
      <c r="D27" s="316" t="s">
        <v>27</v>
      </c>
      <c r="E27" s="317">
        <v>14.4</v>
      </c>
      <c r="F27" s="318">
        <f>E27*F26</f>
        <v>15.408000000000001</v>
      </c>
      <c r="G27" s="311"/>
      <c r="H27" s="312"/>
      <c r="I27" s="313"/>
      <c r="J27" s="311"/>
      <c r="K27" s="313"/>
      <c r="L27" s="312"/>
      <c r="M27" s="364"/>
      <c r="N27" s="198"/>
      <c r="O27" s="198"/>
      <c r="P27" s="198"/>
      <c r="Q27" s="198"/>
    </row>
    <row r="28" spans="1:17" ht="15.75">
      <c r="A28" s="306"/>
      <c r="B28" s="307" t="s">
        <v>71</v>
      </c>
      <c r="C28" s="308" t="s">
        <v>92</v>
      </c>
      <c r="D28" s="316" t="s">
        <v>28</v>
      </c>
      <c r="E28" s="309">
        <v>1.93</v>
      </c>
      <c r="F28" s="318">
        <f>E28*F26</f>
        <v>2.0651</v>
      </c>
      <c r="G28" s="311"/>
      <c r="H28" s="312"/>
      <c r="I28" s="313"/>
      <c r="J28" s="311"/>
      <c r="K28" s="313"/>
      <c r="L28" s="312"/>
      <c r="M28" s="364"/>
      <c r="N28" s="198"/>
      <c r="O28" s="198"/>
      <c r="P28" s="198"/>
      <c r="Q28" s="198"/>
    </row>
    <row r="29" spans="1:17" ht="15.75">
      <c r="A29" s="306"/>
      <c r="B29" s="307"/>
      <c r="C29" s="308" t="s">
        <v>33</v>
      </c>
      <c r="D29" s="306" t="s">
        <v>30</v>
      </c>
      <c r="E29" s="309">
        <v>5.93</v>
      </c>
      <c r="F29" s="318">
        <f>E29*F26</f>
        <v>6.3451</v>
      </c>
      <c r="G29" s="311"/>
      <c r="H29" s="312"/>
      <c r="I29" s="313"/>
      <c r="J29" s="311"/>
      <c r="K29" s="313"/>
      <c r="L29" s="312"/>
      <c r="M29" s="364"/>
      <c r="N29" s="198"/>
      <c r="O29" s="198"/>
      <c r="P29" s="198"/>
      <c r="Q29" s="198"/>
    </row>
    <row r="30" spans="1:17" ht="15.75">
      <c r="A30" s="306"/>
      <c r="B30" s="319" t="s">
        <v>232</v>
      </c>
      <c r="C30" s="308" t="s">
        <v>233</v>
      </c>
      <c r="D30" s="306" t="s">
        <v>31</v>
      </c>
      <c r="E30" s="320" t="s">
        <v>36</v>
      </c>
      <c r="F30" s="318">
        <v>1.07</v>
      </c>
      <c r="G30" s="311"/>
      <c r="H30" s="312"/>
      <c r="I30" s="313"/>
      <c r="J30" s="311"/>
      <c r="K30" s="313"/>
      <c r="L30" s="312"/>
      <c r="M30" s="364"/>
      <c r="N30" s="198"/>
      <c r="O30" s="198"/>
      <c r="P30" s="198"/>
      <c r="Q30" s="198"/>
    </row>
    <row r="31" spans="1:17" ht="15.75">
      <c r="A31" s="321"/>
      <c r="B31" s="322"/>
      <c r="C31" s="323" t="s">
        <v>41</v>
      </c>
      <c r="D31" s="324" t="s">
        <v>30</v>
      </c>
      <c r="E31" s="325">
        <v>9.08</v>
      </c>
      <c r="F31" s="326">
        <f>E31*F26</f>
        <v>9.7156</v>
      </c>
      <c r="G31" s="327"/>
      <c r="H31" s="328"/>
      <c r="I31" s="329"/>
      <c r="J31" s="327"/>
      <c r="K31" s="329"/>
      <c r="L31" s="328"/>
      <c r="M31" s="365"/>
      <c r="N31" s="198"/>
      <c r="O31" s="198"/>
      <c r="P31" s="198"/>
      <c r="Q31" s="198"/>
    </row>
    <row r="32" spans="1:13" s="314" customFormat="1" ht="18">
      <c r="A32" s="330">
        <v>3</v>
      </c>
      <c r="B32" s="331" t="s">
        <v>163</v>
      </c>
      <c r="C32" s="332" t="s">
        <v>234</v>
      </c>
      <c r="D32" s="9" t="s">
        <v>149</v>
      </c>
      <c r="E32" s="333"/>
      <c r="F32" s="334">
        <v>37.8</v>
      </c>
      <c r="G32" s="3"/>
      <c r="H32" s="335"/>
      <c r="I32" s="336"/>
      <c r="J32" s="3"/>
      <c r="K32" s="337"/>
      <c r="L32" s="338"/>
      <c r="M32" s="366"/>
    </row>
    <row r="33" spans="1:13" s="314" customFormat="1" ht="15.75">
      <c r="A33" s="4"/>
      <c r="B33" s="331"/>
      <c r="C33" s="123" t="s">
        <v>26</v>
      </c>
      <c r="D33" s="9" t="s">
        <v>27</v>
      </c>
      <c r="E33" s="339">
        <v>5.99</v>
      </c>
      <c r="F33" s="8">
        <f>E33*F32</f>
        <v>226.422</v>
      </c>
      <c r="G33" s="339"/>
      <c r="H33" s="339"/>
      <c r="I33" s="339"/>
      <c r="J33" s="339"/>
      <c r="K33" s="339"/>
      <c r="L33" s="339"/>
      <c r="M33" s="367"/>
    </row>
    <row r="34" spans="1:13" s="314" customFormat="1" ht="15.75">
      <c r="A34" s="4"/>
      <c r="B34" s="331"/>
      <c r="C34" s="340" t="s">
        <v>35</v>
      </c>
      <c r="D34" s="4" t="s">
        <v>30</v>
      </c>
      <c r="E34" s="340">
        <v>1.09</v>
      </c>
      <c r="F34" s="9">
        <f>E34*F32</f>
        <v>41.202</v>
      </c>
      <c r="G34" s="337"/>
      <c r="H34" s="337"/>
      <c r="I34" s="337"/>
      <c r="J34" s="337"/>
      <c r="K34" s="337"/>
      <c r="L34" s="337"/>
      <c r="M34" s="368"/>
    </row>
    <row r="35" spans="1:13" s="314" customFormat="1" ht="18">
      <c r="A35" s="4"/>
      <c r="B35" s="341"/>
      <c r="C35" s="340" t="s">
        <v>165</v>
      </c>
      <c r="D35" s="19" t="s">
        <v>149</v>
      </c>
      <c r="E35" s="340">
        <v>1.015</v>
      </c>
      <c r="F35" s="9">
        <f>E35*F32</f>
        <v>38.36699999999999</v>
      </c>
      <c r="G35" s="337"/>
      <c r="H35" s="337"/>
      <c r="I35" s="339"/>
      <c r="J35" s="337"/>
      <c r="K35" s="9"/>
      <c r="L35" s="9"/>
      <c r="M35" s="366"/>
    </row>
    <row r="36" spans="1:13" s="314" customFormat="1" ht="18">
      <c r="A36" s="4"/>
      <c r="B36" s="341"/>
      <c r="C36" s="342" t="s">
        <v>95</v>
      </c>
      <c r="D36" s="19" t="s">
        <v>169</v>
      </c>
      <c r="E36" s="340">
        <v>1.18</v>
      </c>
      <c r="F36" s="9">
        <f>E36*F32</f>
        <v>44.60399999999999</v>
      </c>
      <c r="G36" s="337"/>
      <c r="H36" s="337"/>
      <c r="I36" s="8"/>
      <c r="J36" s="337"/>
      <c r="K36" s="9"/>
      <c r="L36" s="9"/>
      <c r="M36" s="366"/>
    </row>
    <row r="37" spans="1:13" s="314" customFormat="1" ht="18">
      <c r="A37" s="4"/>
      <c r="B37" s="341"/>
      <c r="C37" s="343" t="s">
        <v>96</v>
      </c>
      <c r="D37" s="19" t="s">
        <v>149</v>
      </c>
      <c r="E37" s="340">
        <f>0.21/100</f>
        <v>0.0021</v>
      </c>
      <c r="F37" s="9">
        <f>E37*F32</f>
        <v>0.07937999999999999</v>
      </c>
      <c r="G37" s="337"/>
      <c r="H37" s="337"/>
      <c r="I37" s="8"/>
      <c r="J37" s="337"/>
      <c r="K37" s="9"/>
      <c r="L37" s="9"/>
      <c r="M37" s="366"/>
    </row>
    <row r="38" spans="1:13" s="314" customFormat="1" ht="18">
      <c r="A38" s="4"/>
      <c r="B38" s="341"/>
      <c r="C38" s="342" t="s">
        <v>138</v>
      </c>
      <c r="D38" s="19" t="s">
        <v>149</v>
      </c>
      <c r="E38" s="344">
        <f>2.78/100</f>
        <v>0.0278</v>
      </c>
      <c r="F38" s="9">
        <f>E38*F32</f>
        <v>1.0508399999999998</v>
      </c>
      <c r="G38" s="337"/>
      <c r="H38" s="337"/>
      <c r="I38" s="8"/>
      <c r="J38" s="9"/>
      <c r="K38" s="9"/>
      <c r="L38" s="9"/>
      <c r="M38" s="366"/>
    </row>
    <row r="39" spans="1:13" s="314" customFormat="1" ht="15.75">
      <c r="A39" s="4"/>
      <c r="B39" s="341"/>
      <c r="C39" s="343" t="s">
        <v>84</v>
      </c>
      <c r="D39" s="19" t="s">
        <v>31</v>
      </c>
      <c r="E39" s="340">
        <f>0.14/100</f>
        <v>0.0014000000000000002</v>
      </c>
      <c r="F39" s="9">
        <f>E39*F32</f>
        <v>0.05292</v>
      </c>
      <c r="G39" s="337"/>
      <c r="H39" s="337"/>
      <c r="I39" s="337"/>
      <c r="J39" s="337"/>
      <c r="K39" s="9"/>
      <c r="L39" s="9"/>
      <c r="M39" s="366"/>
    </row>
    <row r="40" spans="1:13" s="314" customFormat="1" ht="15.75">
      <c r="A40" s="4"/>
      <c r="B40" s="341"/>
      <c r="C40" s="343" t="s">
        <v>170</v>
      </c>
      <c r="D40" s="19" t="s">
        <v>31</v>
      </c>
      <c r="E40" s="345">
        <f>0.11/100</f>
        <v>0.0011</v>
      </c>
      <c r="F40" s="9">
        <f>E40*F32</f>
        <v>0.04158</v>
      </c>
      <c r="G40" s="337"/>
      <c r="H40" s="337"/>
      <c r="I40" s="337"/>
      <c r="J40" s="337"/>
      <c r="K40" s="9"/>
      <c r="L40" s="9"/>
      <c r="M40" s="366"/>
    </row>
    <row r="41" spans="1:13" s="314" customFormat="1" ht="15.75">
      <c r="A41" s="125"/>
      <c r="B41" s="346"/>
      <c r="C41" s="347" t="s">
        <v>41</v>
      </c>
      <c r="D41" s="20" t="s">
        <v>30</v>
      </c>
      <c r="E41" s="348">
        <v>0.32</v>
      </c>
      <c r="F41" s="124">
        <f>E41*F32</f>
        <v>12.096</v>
      </c>
      <c r="G41" s="349"/>
      <c r="H41" s="349"/>
      <c r="I41" s="349"/>
      <c r="J41" s="349"/>
      <c r="K41" s="349"/>
      <c r="L41" s="349"/>
      <c r="M41" s="369"/>
    </row>
    <row r="42" spans="1:13" s="314" customFormat="1" ht="15.75">
      <c r="A42" s="171"/>
      <c r="B42" s="79"/>
      <c r="C42" s="172" t="s">
        <v>10</v>
      </c>
      <c r="D42" s="173" t="s">
        <v>30</v>
      </c>
      <c r="E42" s="85"/>
      <c r="F42" s="85"/>
      <c r="G42" s="85"/>
      <c r="H42" s="85"/>
      <c r="I42" s="85"/>
      <c r="J42" s="85"/>
      <c r="K42" s="117"/>
      <c r="L42" s="85"/>
      <c r="M42" s="359"/>
    </row>
    <row r="43" spans="1:13" s="314" customFormat="1" ht="31.5">
      <c r="A43" s="171"/>
      <c r="B43" s="79"/>
      <c r="C43" s="175" t="s">
        <v>249</v>
      </c>
      <c r="D43" s="173"/>
      <c r="E43" s="176" t="s">
        <v>241</v>
      </c>
      <c r="F43" s="85"/>
      <c r="G43" s="85"/>
      <c r="H43" s="85"/>
      <c r="I43" s="85"/>
      <c r="J43" s="85"/>
      <c r="K43" s="117"/>
      <c r="L43" s="85"/>
      <c r="M43" s="359"/>
    </row>
    <row r="44" spans="1:13" s="314" customFormat="1" ht="15.75">
      <c r="A44" s="171"/>
      <c r="B44" s="79"/>
      <c r="C44" s="175" t="s">
        <v>6</v>
      </c>
      <c r="D44" s="173"/>
      <c r="E44" s="176"/>
      <c r="F44" s="85"/>
      <c r="G44" s="85"/>
      <c r="H44" s="85"/>
      <c r="I44" s="85"/>
      <c r="J44" s="85"/>
      <c r="K44" s="117"/>
      <c r="L44" s="85"/>
      <c r="M44" s="359"/>
    </row>
    <row r="45" spans="1:13" s="314" customFormat="1" ht="15.75">
      <c r="A45" s="177"/>
      <c r="B45" s="202"/>
      <c r="C45" s="177" t="s">
        <v>250</v>
      </c>
      <c r="D45" s="173" t="s">
        <v>30</v>
      </c>
      <c r="E45" s="176" t="s">
        <v>241</v>
      </c>
      <c r="F45" s="203"/>
      <c r="G45" s="178"/>
      <c r="H45" s="179"/>
      <c r="I45" s="179"/>
      <c r="J45" s="179"/>
      <c r="K45" s="179"/>
      <c r="L45" s="179"/>
      <c r="M45" s="370"/>
    </row>
    <row r="46" spans="1:13" s="314" customFormat="1" ht="15.75">
      <c r="A46" s="172"/>
      <c r="B46" s="202"/>
      <c r="C46" s="172" t="s">
        <v>10</v>
      </c>
      <c r="D46" s="173" t="s">
        <v>30</v>
      </c>
      <c r="E46" s="181"/>
      <c r="F46" s="172"/>
      <c r="G46" s="172"/>
      <c r="H46" s="181"/>
      <c r="I46" s="181"/>
      <c r="J46" s="181"/>
      <c r="K46" s="181"/>
      <c r="L46" s="181"/>
      <c r="M46" s="371"/>
    </row>
    <row r="47" spans="1:13" s="314" customFormat="1" ht="15.75">
      <c r="A47" s="177"/>
      <c r="B47" s="202"/>
      <c r="C47" s="175" t="s">
        <v>251</v>
      </c>
      <c r="D47" s="173" t="s">
        <v>30</v>
      </c>
      <c r="E47" s="176" t="s">
        <v>241</v>
      </c>
      <c r="F47" s="204"/>
      <c r="G47" s="179"/>
      <c r="H47" s="179"/>
      <c r="I47" s="179"/>
      <c r="J47" s="179"/>
      <c r="K47" s="179"/>
      <c r="L47" s="179"/>
      <c r="M47" s="370"/>
    </row>
    <row r="48" spans="1:17" s="201" customFormat="1" ht="15.75">
      <c r="A48" s="182"/>
      <c r="B48" s="205"/>
      <c r="C48" s="182" t="s">
        <v>10</v>
      </c>
      <c r="D48" s="184" t="s">
        <v>30</v>
      </c>
      <c r="E48" s="182"/>
      <c r="F48" s="182"/>
      <c r="G48" s="182"/>
      <c r="H48" s="185"/>
      <c r="I48" s="185"/>
      <c r="J48" s="185"/>
      <c r="K48" s="185"/>
      <c r="L48" s="185"/>
      <c r="M48" s="372"/>
      <c r="N48" s="198"/>
      <c r="O48" s="198"/>
      <c r="P48" s="198"/>
      <c r="Q48" s="198"/>
    </row>
    <row r="49" spans="1:16" s="127" customFormat="1" ht="15.75">
      <c r="A49" s="206"/>
      <c r="B49" s="207"/>
      <c r="C49" s="207"/>
      <c r="D49" s="208"/>
      <c r="E49" s="208"/>
      <c r="F49" s="208"/>
      <c r="G49" s="208"/>
      <c r="H49" s="208"/>
      <c r="I49" s="208"/>
      <c r="J49" s="208"/>
      <c r="K49" s="208"/>
      <c r="L49" s="208"/>
      <c r="M49" s="373"/>
      <c r="N49" s="155"/>
      <c r="O49" s="155"/>
      <c r="P49" s="155"/>
    </row>
    <row r="50" spans="1:16" s="127" customFormat="1" ht="15.75">
      <c r="A50" s="206"/>
      <c r="B50" s="207"/>
      <c r="C50" s="207"/>
      <c r="D50" s="208"/>
      <c r="E50" s="208"/>
      <c r="F50" s="208"/>
      <c r="G50" s="208"/>
      <c r="H50" s="208"/>
      <c r="I50" s="208"/>
      <c r="J50" s="208"/>
      <c r="K50" s="208"/>
      <c r="L50" s="208"/>
      <c r="M50" s="373"/>
      <c r="N50" s="155"/>
      <c r="O50" s="155"/>
      <c r="P50" s="155"/>
    </row>
    <row r="51" spans="1:17" s="201" customFormat="1" ht="15.75">
      <c r="A51" s="206"/>
      <c r="B51" s="207"/>
      <c r="C51" s="207"/>
      <c r="D51" s="208"/>
      <c r="E51" s="208"/>
      <c r="F51" s="208"/>
      <c r="G51" s="208"/>
      <c r="H51" s="208"/>
      <c r="I51" s="208"/>
      <c r="J51" s="208"/>
      <c r="K51" s="208"/>
      <c r="L51" s="208"/>
      <c r="M51" s="373"/>
      <c r="N51" s="406"/>
      <c r="O51" s="406"/>
      <c r="P51" s="406"/>
      <c r="Q51" s="406"/>
    </row>
    <row r="52" spans="1:17" s="201" customFormat="1" ht="15.75">
      <c r="A52" s="206"/>
      <c r="B52" s="207"/>
      <c r="C52" s="207"/>
      <c r="D52" s="208"/>
      <c r="E52" s="208"/>
      <c r="F52" s="208"/>
      <c r="G52" s="208"/>
      <c r="H52" s="208"/>
      <c r="I52" s="208"/>
      <c r="J52" s="208"/>
      <c r="K52" s="208"/>
      <c r="L52" s="208"/>
      <c r="M52" s="373"/>
      <c r="N52" s="198"/>
      <c r="O52" s="198"/>
      <c r="P52" s="198"/>
      <c r="Q52" s="198"/>
    </row>
    <row r="53" spans="1:17" s="201" customFormat="1" ht="15.75">
      <c r="A53" s="206"/>
      <c r="B53" s="207"/>
      <c r="C53" s="207"/>
      <c r="D53" s="208"/>
      <c r="E53" s="208"/>
      <c r="F53" s="208"/>
      <c r="G53" s="208"/>
      <c r="H53" s="208"/>
      <c r="I53" s="208"/>
      <c r="J53" s="208"/>
      <c r="K53" s="208"/>
      <c r="L53" s="208"/>
      <c r="M53" s="373"/>
      <c r="N53" s="198"/>
      <c r="O53" s="198"/>
      <c r="P53" s="198"/>
      <c r="Q53" s="198"/>
    </row>
    <row r="54" spans="1:17" s="201" customFormat="1" ht="15.75">
      <c r="A54" s="206"/>
      <c r="B54" s="207"/>
      <c r="C54" s="207"/>
      <c r="D54" s="208"/>
      <c r="E54" s="208"/>
      <c r="F54" s="208"/>
      <c r="G54" s="208"/>
      <c r="H54" s="208"/>
      <c r="I54" s="208"/>
      <c r="J54" s="208"/>
      <c r="K54" s="208"/>
      <c r="L54" s="208"/>
      <c r="M54" s="373"/>
      <c r="N54" s="198"/>
      <c r="O54" s="198"/>
      <c r="P54" s="198"/>
      <c r="Q54" s="198"/>
    </row>
    <row r="55" spans="1:13" s="201" customFormat="1" ht="15.75">
      <c r="A55" s="206"/>
      <c r="B55" s="207"/>
      <c r="C55" s="207"/>
      <c r="D55" s="208"/>
      <c r="E55" s="208"/>
      <c r="F55" s="208"/>
      <c r="G55" s="208"/>
      <c r="H55" s="208"/>
      <c r="I55" s="208"/>
      <c r="J55" s="208"/>
      <c r="K55" s="208"/>
      <c r="L55" s="208"/>
      <c r="M55" s="373"/>
    </row>
    <row r="56" spans="1:13" s="201" customFormat="1" ht="15.75">
      <c r="A56" s="206"/>
      <c r="B56" s="207"/>
      <c r="C56" s="207"/>
      <c r="D56" s="208"/>
      <c r="E56" s="208"/>
      <c r="F56" s="208"/>
      <c r="G56" s="208"/>
      <c r="H56" s="208"/>
      <c r="I56" s="208"/>
      <c r="J56" s="208"/>
      <c r="K56" s="208"/>
      <c r="L56" s="208"/>
      <c r="M56" s="373"/>
    </row>
    <row r="57" spans="1:13" s="201" customFormat="1" ht="15.75">
      <c r="A57" s="206"/>
      <c r="B57" s="207"/>
      <c r="C57" s="207"/>
      <c r="D57" s="208"/>
      <c r="E57" s="208"/>
      <c r="F57" s="208"/>
      <c r="G57" s="208"/>
      <c r="H57" s="208"/>
      <c r="I57" s="208"/>
      <c r="J57" s="208"/>
      <c r="K57" s="208"/>
      <c r="L57" s="208"/>
      <c r="M57" s="373"/>
    </row>
    <row r="58" spans="1:13" s="201" customFormat="1" ht="15.75">
      <c r="A58" s="206"/>
      <c r="B58" s="207"/>
      <c r="C58" s="207"/>
      <c r="D58" s="208"/>
      <c r="E58" s="208"/>
      <c r="F58" s="208"/>
      <c r="G58" s="208"/>
      <c r="H58" s="208"/>
      <c r="I58" s="208"/>
      <c r="J58" s="208"/>
      <c r="K58" s="208"/>
      <c r="L58" s="208"/>
      <c r="M58" s="373"/>
    </row>
    <row r="59" spans="1:13" s="201" customFormat="1" ht="15.75">
      <c r="A59" s="206"/>
      <c r="B59" s="207"/>
      <c r="C59" s="207"/>
      <c r="D59" s="208"/>
      <c r="E59" s="208"/>
      <c r="F59" s="208"/>
      <c r="G59" s="208"/>
      <c r="H59" s="208"/>
      <c r="I59" s="208"/>
      <c r="J59" s="208"/>
      <c r="K59" s="208"/>
      <c r="L59" s="208"/>
      <c r="M59" s="373"/>
    </row>
    <row r="60" spans="1:13" s="201" customFormat="1" ht="15.75">
      <c r="A60" s="206"/>
      <c r="B60" s="207"/>
      <c r="C60" s="207"/>
      <c r="D60" s="208"/>
      <c r="E60" s="208"/>
      <c r="F60" s="208"/>
      <c r="G60" s="208"/>
      <c r="H60" s="208"/>
      <c r="I60" s="208"/>
      <c r="J60" s="208"/>
      <c r="K60" s="208"/>
      <c r="L60" s="208"/>
      <c r="M60" s="373"/>
    </row>
    <row r="61" spans="1:13" s="201" customFormat="1" ht="15.75">
      <c r="A61" s="206"/>
      <c r="B61" s="207"/>
      <c r="C61" s="207"/>
      <c r="D61" s="208"/>
      <c r="E61" s="208"/>
      <c r="F61" s="208"/>
      <c r="G61" s="208"/>
      <c r="H61" s="208"/>
      <c r="I61" s="208"/>
      <c r="J61" s="208"/>
      <c r="K61" s="208"/>
      <c r="L61" s="208"/>
      <c r="M61" s="373"/>
    </row>
    <row r="62" spans="1:13" s="201" customFormat="1" ht="15.75">
      <c r="A62" s="206"/>
      <c r="B62" s="207"/>
      <c r="C62" s="207"/>
      <c r="D62" s="208"/>
      <c r="E62" s="208"/>
      <c r="F62" s="208"/>
      <c r="G62" s="208"/>
      <c r="H62" s="208"/>
      <c r="I62" s="208"/>
      <c r="J62" s="208"/>
      <c r="K62" s="208"/>
      <c r="L62" s="208"/>
      <c r="M62" s="373"/>
    </row>
    <row r="63" spans="1:13" s="201" customFormat="1" ht="15.75">
      <c r="A63" s="206"/>
      <c r="B63" s="207"/>
      <c r="C63" s="207"/>
      <c r="D63" s="208"/>
      <c r="E63" s="208"/>
      <c r="F63" s="208"/>
      <c r="G63" s="208"/>
      <c r="H63" s="208"/>
      <c r="I63" s="208"/>
      <c r="J63" s="208"/>
      <c r="K63" s="208"/>
      <c r="L63" s="208"/>
      <c r="M63" s="373"/>
    </row>
    <row r="64" spans="1:13" s="201" customFormat="1" ht="15.75">
      <c r="A64" s="206"/>
      <c r="B64" s="207"/>
      <c r="C64" s="207"/>
      <c r="D64" s="208"/>
      <c r="E64" s="208"/>
      <c r="F64" s="208"/>
      <c r="G64" s="208"/>
      <c r="H64" s="208"/>
      <c r="I64" s="208"/>
      <c r="J64" s="208"/>
      <c r="K64" s="208"/>
      <c r="L64" s="208"/>
      <c r="M64" s="373"/>
    </row>
    <row r="65" spans="1:13" s="201" customFormat="1" ht="15.75">
      <c r="A65" s="206"/>
      <c r="B65" s="207"/>
      <c r="C65" s="207"/>
      <c r="D65" s="208"/>
      <c r="E65" s="208"/>
      <c r="F65" s="208"/>
      <c r="G65" s="208"/>
      <c r="H65" s="208"/>
      <c r="I65" s="208"/>
      <c r="J65" s="208"/>
      <c r="K65" s="208"/>
      <c r="L65" s="208"/>
      <c r="M65" s="373"/>
    </row>
    <row r="66" spans="1:13" s="201" customFormat="1" ht="15.75">
      <c r="A66" s="206"/>
      <c r="B66" s="207"/>
      <c r="C66" s="207"/>
      <c r="D66" s="208"/>
      <c r="E66" s="208"/>
      <c r="F66" s="208"/>
      <c r="G66" s="208"/>
      <c r="H66" s="208"/>
      <c r="I66" s="208"/>
      <c r="J66" s="208"/>
      <c r="K66" s="208"/>
      <c r="L66" s="208"/>
      <c r="M66" s="373"/>
    </row>
    <row r="67" spans="1:13" s="201" customFormat="1" ht="15.75">
      <c r="A67" s="206"/>
      <c r="B67" s="207"/>
      <c r="C67" s="207"/>
      <c r="D67" s="208"/>
      <c r="E67" s="208"/>
      <c r="F67" s="208"/>
      <c r="G67" s="208"/>
      <c r="H67" s="208"/>
      <c r="I67" s="208"/>
      <c r="J67" s="208"/>
      <c r="K67" s="208"/>
      <c r="L67" s="208"/>
      <c r="M67" s="373"/>
    </row>
    <row r="68" spans="1:13" s="201" customFormat="1" ht="15.75">
      <c r="A68" s="206"/>
      <c r="B68" s="207"/>
      <c r="C68" s="207"/>
      <c r="D68" s="208"/>
      <c r="E68" s="208"/>
      <c r="F68" s="208"/>
      <c r="G68" s="208"/>
      <c r="H68" s="208"/>
      <c r="I68" s="208"/>
      <c r="J68" s="208"/>
      <c r="K68" s="208"/>
      <c r="L68" s="208"/>
      <c r="M68" s="373"/>
    </row>
    <row r="69" spans="1:13" s="201" customFormat="1" ht="15.75">
      <c r="A69" s="206"/>
      <c r="B69" s="207"/>
      <c r="C69" s="207"/>
      <c r="D69" s="208"/>
      <c r="E69" s="208"/>
      <c r="F69" s="208"/>
      <c r="G69" s="208"/>
      <c r="H69" s="208"/>
      <c r="I69" s="208"/>
      <c r="J69" s="208"/>
      <c r="K69" s="208"/>
      <c r="L69" s="208"/>
      <c r="M69" s="373"/>
    </row>
    <row r="70" spans="1:13" s="201" customFormat="1" ht="15.75">
      <c r="A70" s="206"/>
      <c r="B70" s="207"/>
      <c r="C70" s="207"/>
      <c r="D70" s="208"/>
      <c r="E70" s="208"/>
      <c r="F70" s="208"/>
      <c r="G70" s="208"/>
      <c r="H70" s="208"/>
      <c r="I70" s="208"/>
      <c r="J70" s="208"/>
      <c r="K70" s="208"/>
      <c r="L70" s="208"/>
      <c r="M70" s="373"/>
    </row>
    <row r="71" spans="1:13" s="201" customFormat="1" ht="15.75">
      <c r="A71" s="206"/>
      <c r="B71" s="207"/>
      <c r="C71" s="207"/>
      <c r="D71" s="208"/>
      <c r="E71" s="208"/>
      <c r="F71" s="208"/>
      <c r="G71" s="208"/>
      <c r="H71" s="208"/>
      <c r="I71" s="208"/>
      <c r="J71" s="208"/>
      <c r="K71" s="208"/>
      <c r="L71" s="208"/>
      <c r="M71" s="373"/>
    </row>
    <row r="72" spans="1:13" s="201" customFormat="1" ht="15.75">
      <c r="A72" s="206"/>
      <c r="B72" s="207"/>
      <c r="C72" s="207"/>
      <c r="D72" s="208"/>
      <c r="E72" s="208"/>
      <c r="F72" s="208"/>
      <c r="G72" s="208"/>
      <c r="H72" s="208"/>
      <c r="I72" s="208"/>
      <c r="J72" s="208"/>
      <c r="K72" s="208"/>
      <c r="L72" s="208"/>
      <c r="M72" s="373"/>
    </row>
    <row r="73" spans="1:13" s="201" customFormat="1" ht="15.75">
      <c r="A73" s="206"/>
      <c r="B73" s="207"/>
      <c r="C73" s="207"/>
      <c r="D73" s="208"/>
      <c r="E73" s="208"/>
      <c r="F73" s="208"/>
      <c r="G73" s="208"/>
      <c r="H73" s="208"/>
      <c r="I73" s="208"/>
      <c r="J73" s="208"/>
      <c r="K73" s="208"/>
      <c r="L73" s="208"/>
      <c r="M73" s="373"/>
    </row>
    <row r="74" spans="1:13" s="201" customFormat="1" ht="15.75">
      <c r="A74" s="206"/>
      <c r="B74" s="207"/>
      <c r="C74" s="207"/>
      <c r="D74" s="208"/>
      <c r="E74" s="208"/>
      <c r="F74" s="208"/>
      <c r="G74" s="208"/>
      <c r="H74" s="208"/>
      <c r="I74" s="208"/>
      <c r="J74" s="208"/>
      <c r="K74" s="208"/>
      <c r="L74" s="208"/>
      <c r="M74" s="373"/>
    </row>
    <row r="75" spans="1:13" s="201" customFormat="1" ht="15.75">
      <c r="A75" s="206"/>
      <c r="B75" s="207"/>
      <c r="C75" s="207"/>
      <c r="D75" s="208"/>
      <c r="E75" s="208"/>
      <c r="F75" s="208"/>
      <c r="G75" s="208"/>
      <c r="H75" s="208"/>
      <c r="I75" s="208"/>
      <c r="J75" s="208"/>
      <c r="K75" s="208"/>
      <c r="L75" s="208"/>
      <c r="M75" s="373"/>
    </row>
    <row r="76" spans="1:13" s="201" customFormat="1" ht="15.75">
      <c r="A76" s="206"/>
      <c r="B76" s="207"/>
      <c r="C76" s="207"/>
      <c r="D76" s="208"/>
      <c r="E76" s="208"/>
      <c r="F76" s="208"/>
      <c r="G76" s="208"/>
      <c r="H76" s="208"/>
      <c r="I76" s="208"/>
      <c r="J76" s="208"/>
      <c r="K76" s="208"/>
      <c r="L76" s="208"/>
      <c r="M76" s="373"/>
    </row>
    <row r="77" spans="1:13" s="201" customFormat="1" ht="15.75">
      <c r="A77" s="206"/>
      <c r="B77" s="207"/>
      <c r="C77" s="207"/>
      <c r="D77" s="208"/>
      <c r="E77" s="208"/>
      <c r="F77" s="208"/>
      <c r="G77" s="208"/>
      <c r="H77" s="208"/>
      <c r="I77" s="208"/>
      <c r="J77" s="208"/>
      <c r="K77" s="208"/>
      <c r="L77" s="208"/>
      <c r="M77" s="373"/>
    </row>
    <row r="78" spans="1:13" s="201" customFormat="1" ht="15.75">
      <c r="A78" s="206"/>
      <c r="B78" s="207"/>
      <c r="C78" s="207"/>
      <c r="D78" s="208"/>
      <c r="E78" s="208"/>
      <c r="F78" s="208"/>
      <c r="G78" s="208"/>
      <c r="H78" s="208"/>
      <c r="I78" s="208"/>
      <c r="J78" s="208"/>
      <c r="K78" s="208"/>
      <c r="L78" s="208"/>
      <c r="M78" s="373"/>
    </row>
    <row r="79" spans="1:13" s="201" customFormat="1" ht="15.75">
      <c r="A79" s="206"/>
      <c r="B79" s="207"/>
      <c r="C79" s="207"/>
      <c r="D79" s="208"/>
      <c r="E79" s="208"/>
      <c r="F79" s="208"/>
      <c r="G79" s="208"/>
      <c r="H79" s="208"/>
      <c r="I79" s="208"/>
      <c r="J79" s="208"/>
      <c r="K79" s="208"/>
      <c r="L79" s="208"/>
      <c r="M79" s="373"/>
    </row>
    <row r="80" spans="1:13" s="201" customFormat="1" ht="15.75">
      <c r="A80" s="206"/>
      <c r="B80" s="207"/>
      <c r="C80" s="207"/>
      <c r="D80" s="208"/>
      <c r="E80" s="208"/>
      <c r="F80" s="208"/>
      <c r="G80" s="208"/>
      <c r="H80" s="208"/>
      <c r="I80" s="208"/>
      <c r="J80" s="208"/>
      <c r="K80" s="208"/>
      <c r="L80" s="208"/>
      <c r="M80" s="373"/>
    </row>
    <row r="81" spans="1:13" s="201" customFormat="1" ht="15.75">
      <c r="A81" s="206"/>
      <c r="B81" s="207"/>
      <c r="C81" s="207"/>
      <c r="D81" s="208"/>
      <c r="E81" s="208"/>
      <c r="F81" s="208"/>
      <c r="G81" s="208"/>
      <c r="H81" s="208"/>
      <c r="I81" s="208"/>
      <c r="J81" s="208"/>
      <c r="K81" s="208"/>
      <c r="L81" s="208"/>
      <c r="M81" s="373"/>
    </row>
    <row r="82" spans="1:13" s="201" customFormat="1" ht="15.75">
      <c r="A82" s="206"/>
      <c r="B82" s="207"/>
      <c r="C82" s="207"/>
      <c r="D82" s="208"/>
      <c r="E82" s="208"/>
      <c r="F82" s="208"/>
      <c r="G82" s="208"/>
      <c r="H82" s="208"/>
      <c r="I82" s="208"/>
      <c r="J82" s="208"/>
      <c r="K82" s="208"/>
      <c r="L82" s="208"/>
      <c r="M82" s="373"/>
    </row>
    <row r="83" spans="1:13" s="201" customFormat="1" ht="15.75">
      <c r="A83" s="206"/>
      <c r="B83" s="207"/>
      <c r="C83" s="207"/>
      <c r="D83" s="208"/>
      <c r="E83" s="208"/>
      <c r="F83" s="208"/>
      <c r="G83" s="208"/>
      <c r="H83" s="208"/>
      <c r="I83" s="208"/>
      <c r="J83" s="208"/>
      <c r="K83" s="208"/>
      <c r="L83" s="208"/>
      <c r="M83" s="373"/>
    </row>
    <row r="84" spans="1:13" s="201" customFormat="1" ht="15.75">
      <c r="A84" s="206"/>
      <c r="B84" s="207"/>
      <c r="C84" s="207"/>
      <c r="D84" s="208"/>
      <c r="E84" s="208"/>
      <c r="F84" s="208"/>
      <c r="G84" s="208"/>
      <c r="H84" s="208"/>
      <c r="I84" s="208"/>
      <c r="J84" s="208"/>
      <c r="K84" s="208"/>
      <c r="L84" s="208"/>
      <c r="M84" s="373"/>
    </row>
    <row r="85" spans="1:13" s="201" customFormat="1" ht="15.75">
      <c r="A85" s="206"/>
      <c r="B85" s="207"/>
      <c r="C85" s="207"/>
      <c r="D85" s="208"/>
      <c r="E85" s="208"/>
      <c r="F85" s="208"/>
      <c r="G85" s="208"/>
      <c r="H85" s="208"/>
      <c r="I85" s="208"/>
      <c r="J85" s="208"/>
      <c r="K85" s="208"/>
      <c r="L85" s="208"/>
      <c r="M85" s="373"/>
    </row>
    <row r="86" spans="1:13" s="201" customFormat="1" ht="15.75">
      <c r="A86" s="206"/>
      <c r="B86" s="207"/>
      <c r="C86" s="207"/>
      <c r="D86" s="208"/>
      <c r="E86" s="208"/>
      <c r="F86" s="208"/>
      <c r="G86" s="208"/>
      <c r="H86" s="208"/>
      <c r="I86" s="208"/>
      <c r="J86" s="208"/>
      <c r="K86" s="208"/>
      <c r="L86" s="208"/>
      <c r="M86" s="373"/>
    </row>
    <row r="87" spans="1:13" s="201" customFormat="1" ht="15.75">
      <c r="A87" s="206"/>
      <c r="B87" s="207"/>
      <c r="C87" s="207"/>
      <c r="D87" s="208"/>
      <c r="E87" s="208"/>
      <c r="F87" s="208"/>
      <c r="G87" s="208"/>
      <c r="H87" s="208"/>
      <c r="I87" s="208"/>
      <c r="J87" s="208"/>
      <c r="K87" s="208"/>
      <c r="L87" s="208"/>
      <c r="M87" s="373"/>
    </row>
    <row r="88" spans="1:13" s="201" customFormat="1" ht="15.75">
      <c r="A88" s="206"/>
      <c r="B88" s="207"/>
      <c r="C88" s="207"/>
      <c r="D88" s="208"/>
      <c r="E88" s="208"/>
      <c r="F88" s="208"/>
      <c r="G88" s="208"/>
      <c r="H88" s="208"/>
      <c r="I88" s="208"/>
      <c r="J88" s="208"/>
      <c r="K88" s="208"/>
      <c r="L88" s="208"/>
      <c r="M88" s="373"/>
    </row>
    <row r="89" spans="1:13" s="201" customFormat="1" ht="15.75">
      <c r="A89" s="206"/>
      <c r="B89" s="207"/>
      <c r="C89" s="207"/>
      <c r="D89" s="208"/>
      <c r="E89" s="208"/>
      <c r="F89" s="208"/>
      <c r="G89" s="208"/>
      <c r="H89" s="208"/>
      <c r="I89" s="208"/>
      <c r="J89" s="208"/>
      <c r="K89" s="208"/>
      <c r="L89" s="208"/>
      <c r="M89" s="373"/>
    </row>
    <row r="90" spans="1:13" s="201" customFormat="1" ht="15.75">
      <c r="A90" s="206"/>
      <c r="B90" s="207"/>
      <c r="C90" s="207"/>
      <c r="D90" s="208"/>
      <c r="E90" s="208"/>
      <c r="F90" s="208"/>
      <c r="G90" s="208"/>
      <c r="H90" s="208"/>
      <c r="I90" s="208"/>
      <c r="J90" s="208"/>
      <c r="K90" s="208"/>
      <c r="L90" s="208"/>
      <c r="M90" s="373"/>
    </row>
    <row r="91" spans="1:13" s="201" customFormat="1" ht="15.75">
      <c r="A91" s="206"/>
      <c r="B91" s="207"/>
      <c r="C91" s="207"/>
      <c r="D91" s="208"/>
      <c r="E91" s="208"/>
      <c r="F91" s="208"/>
      <c r="G91" s="208"/>
      <c r="H91" s="208"/>
      <c r="I91" s="208"/>
      <c r="J91" s="208"/>
      <c r="K91" s="208"/>
      <c r="L91" s="208"/>
      <c r="M91" s="373"/>
    </row>
    <row r="92" spans="1:13" s="201" customFormat="1" ht="15.75">
      <c r="A92" s="206"/>
      <c r="B92" s="207"/>
      <c r="C92" s="207"/>
      <c r="D92" s="208"/>
      <c r="E92" s="208"/>
      <c r="F92" s="208"/>
      <c r="G92" s="208"/>
      <c r="H92" s="208"/>
      <c r="I92" s="208"/>
      <c r="J92" s="208"/>
      <c r="K92" s="208"/>
      <c r="L92" s="208"/>
      <c r="M92" s="373"/>
    </row>
    <row r="93" spans="1:13" s="201" customFormat="1" ht="15.75">
      <c r="A93" s="206"/>
      <c r="B93" s="207"/>
      <c r="C93" s="207"/>
      <c r="D93" s="208"/>
      <c r="E93" s="208"/>
      <c r="F93" s="208"/>
      <c r="G93" s="208"/>
      <c r="H93" s="208"/>
      <c r="I93" s="208"/>
      <c r="J93" s="208"/>
      <c r="K93" s="208"/>
      <c r="L93" s="208"/>
      <c r="M93" s="373"/>
    </row>
    <row r="94" spans="1:13" s="201" customFormat="1" ht="15.75">
      <c r="A94" s="206"/>
      <c r="B94" s="207"/>
      <c r="C94" s="207"/>
      <c r="D94" s="208"/>
      <c r="E94" s="208"/>
      <c r="F94" s="208"/>
      <c r="G94" s="208"/>
      <c r="H94" s="208"/>
      <c r="I94" s="208"/>
      <c r="J94" s="208"/>
      <c r="K94" s="208"/>
      <c r="L94" s="208"/>
      <c r="M94" s="373"/>
    </row>
    <row r="95" spans="1:13" s="201" customFormat="1" ht="15.75">
      <c r="A95" s="206"/>
      <c r="B95" s="207"/>
      <c r="C95" s="207"/>
      <c r="D95" s="208"/>
      <c r="E95" s="208"/>
      <c r="F95" s="208"/>
      <c r="G95" s="208"/>
      <c r="H95" s="208"/>
      <c r="I95" s="208"/>
      <c r="J95" s="208"/>
      <c r="K95" s="208"/>
      <c r="L95" s="208"/>
      <c r="M95" s="373"/>
    </row>
    <row r="96" spans="1:13" s="201" customFormat="1" ht="15.75">
      <c r="A96" s="206"/>
      <c r="B96" s="207"/>
      <c r="C96" s="207"/>
      <c r="D96" s="208"/>
      <c r="E96" s="208"/>
      <c r="F96" s="208"/>
      <c r="G96" s="208"/>
      <c r="H96" s="208"/>
      <c r="I96" s="208"/>
      <c r="J96" s="208"/>
      <c r="K96" s="208"/>
      <c r="L96" s="208"/>
      <c r="M96" s="373"/>
    </row>
    <row r="97" spans="1:13" s="201" customFormat="1" ht="15.75">
      <c r="A97" s="206"/>
      <c r="B97" s="207"/>
      <c r="C97" s="207"/>
      <c r="D97" s="208"/>
      <c r="E97" s="208"/>
      <c r="F97" s="208"/>
      <c r="G97" s="208"/>
      <c r="H97" s="208"/>
      <c r="I97" s="208"/>
      <c r="J97" s="208"/>
      <c r="K97" s="208"/>
      <c r="L97" s="208"/>
      <c r="M97" s="373"/>
    </row>
    <row r="98" spans="1:13" s="201" customFormat="1" ht="15.75">
      <c r="A98" s="206"/>
      <c r="B98" s="207"/>
      <c r="C98" s="207"/>
      <c r="D98" s="208"/>
      <c r="E98" s="208"/>
      <c r="F98" s="208"/>
      <c r="G98" s="208"/>
      <c r="H98" s="208"/>
      <c r="I98" s="208"/>
      <c r="J98" s="208"/>
      <c r="K98" s="208"/>
      <c r="L98" s="208"/>
      <c r="M98" s="373"/>
    </row>
    <row r="99" spans="1:13" s="201" customFormat="1" ht="15.75">
      <c r="A99" s="206"/>
      <c r="B99" s="207"/>
      <c r="C99" s="207"/>
      <c r="D99" s="208"/>
      <c r="E99" s="208"/>
      <c r="F99" s="208"/>
      <c r="G99" s="208"/>
      <c r="H99" s="208"/>
      <c r="I99" s="208"/>
      <c r="J99" s="208"/>
      <c r="K99" s="208"/>
      <c r="L99" s="208"/>
      <c r="M99" s="373"/>
    </row>
    <row r="100" spans="1:13" s="201" customFormat="1" ht="15.75">
      <c r="A100" s="206"/>
      <c r="B100" s="207"/>
      <c r="C100" s="207"/>
      <c r="D100" s="208"/>
      <c r="E100" s="208"/>
      <c r="F100" s="208"/>
      <c r="G100" s="208"/>
      <c r="H100" s="208"/>
      <c r="I100" s="208"/>
      <c r="J100" s="208"/>
      <c r="K100" s="208"/>
      <c r="L100" s="208"/>
      <c r="M100" s="373"/>
    </row>
    <row r="101" spans="1:13" s="201" customFormat="1" ht="15.75">
      <c r="A101" s="206"/>
      <c r="B101" s="207"/>
      <c r="C101" s="207"/>
      <c r="D101" s="208"/>
      <c r="E101" s="208"/>
      <c r="F101" s="208"/>
      <c r="G101" s="208"/>
      <c r="H101" s="208"/>
      <c r="I101" s="208"/>
      <c r="J101" s="208"/>
      <c r="K101" s="208"/>
      <c r="L101" s="208"/>
      <c r="M101" s="373"/>
    </row>
    <row r="102" spans="1:13" s="201" customFormat="1" ht="15.75">
      <c r="A102" s="206"/>
      <c r="B102" s="207"/>
      <c r="C102" s="207"/>
      <c r="D102" s="208"/>
      <c r="E102" s="208"/>
      <c r="F102" s="208"/>
      <c r="G102" s="208"/>
      <c r="H102" s="208"/>
      <c r="I102" s="208"/>
      <c r="J102" s="208"/>
      <c r="K102" s="208"/>
      <c r="L102" s="208"/>
      <c r="M102" s="373"/>
    </row>
    <row r="103" spans="1:13" s="201" customFormat="1" ht="15.75">
      <c r="A103" s="206"/>
      <c r="B103" s="207"/>
      <c r="C103" s="207"/>
      <c r="D103" s="208"/>
      <c r="E103" s="208"/>
      <c r="F103" s="208"/>
      <c r="G103" s="208"/>
      <c r="H103" s="208"/>
      <c r="I103" s="208"/>
      <c r="J103" s="208"/>
      <c r="K103" s="208"/>
      <c r="L103" s="208"/>
      <c r="M103" s="373"/>
    </row>
    <row r="104" spans="1:13" s="201" customFormat="1" ht="15.75">
      <c r="A104" s="206"/>
      <c r="B104" s="207"/>
      <c r="C104" s="207"/>
      <c r="D104" s="208"/>
      <c r="E104" s="208"/>
      <c r="F104" s="208"/>
      <c r="G104" s="208"/>
      <c r="H104" s="208"/>
      <c r="I104" s="208"/>
      <c r="J104" s="208"/>
      <c r="K104" s="208"/>
      <c r="L104" s="208"/>
      <c r="M104" s="373"/>
    </row>
    <row r="105" spans="1:13" s="201" customFormat="1" ht="15.75">
      <c r="A105" s="206"/>
      <c r="B105" s="207"/>
      <c r="C105" s="207"/>
      <c r="D105" s="208"/>
      <c r="E105" s="208"/>
      <c r="F105" s="208"/>
      <c r="G105" s="208"/>
      <c r="H105" s="208"/>
      <c r="I105" s="208"/>
      <c r="J105" s="208"/>
      <c r="K105" s="208"/>
      <c r="L105" s="208"/>
      <c r="M105" s="373"/>
    </row>
    <row r="106" spans="1:13" s="201" customFormat="1" ht="15.75">
      <c r="A106" s="206"/>
      <c r="B106" s="207"/>
      <c r="C106" s="207"/>
      <c r="D106" s="208"/>
      <c r="E106" s="208"/>
      <c r="F106" s="208"/>
      <c r="G106" s="208"/>
      <c r="H106" s="208"/>
      <c r="I106" s="208"/>
      <c r="J106" s="208"/>
      <c r="K106" s="208"/>
      <c r="L106" s="208"/>
      <c r="M106" s="373"/>
    </row>
    <row r="107" spans="1:13" s="201" customFormat="1" ht="15.75">
      <c r="A107" s="206"/>
      <c r="B107" s="207"/>
      <c r="C107" s="207"/>
      <c r="D107" s="208"/>
      <c r="E107" s="208"/>
      <c r="F107" s="208"/>
      <c r="G107" s="208"/>
      <c r="H107" s="208"/>
      <c r="I107" s="208"/>
      <c r="J107" s="208"/>
      <c r="K107" s="208"/>
      <c r="L107" s="208"/>
      <c r="M107" s="373"/>
    </row>
    <row r="108" spans="1:13" s="201" customFormat="1" ht="15.75">
      <c r="A108" s="206"/>
      <c r="B108" s="207"/>
      <c r="C108" s="207"/>
      <c r="D108" s="208"/>
      <c r="E108" s="208"/>
      <c r="F108" s="208"/>
      <c r="G108" s="208"/>
      <c r="H108" s="208"/>
      <c r="I108" s="208"/>
      <c r="J108" s="208"/>
      <c r="K108" s="208"/>
      <c r="L108" s="208"/>
      <c r="M108" s="373"/>
    </row>
    <row r="109" spans="1:13" s="201" customFormat="1" ht="15.75">
      <c r="A109" s="206"/>
      <c r="B109" s="207"/>
      <c r="C109" s="207"/>
      <c r="D109" s="208"/>
      <c r="E109" s="208"/>
      <c r="F109" s="208"/>
      <c r="G109" s="208"/>
      <c r="H109" s="208"/>
      <c r="I109" s="208"/>
      <c r="J109" s="208"/>
      <c r="K109" s="208"/>
      <c r="L109" s="208"/>
      <c r="M109" s="373"/>
    </row>
    <row r="110" spans="1:13" s="201" customFormat="1" ht="15.75">
      <c r="A110" s="206"/>
      <c r="B110" s="207"/>
      <c r="C110" s="207"/>
      <c r="D110" s="208"/>
      <c r="E110" s="208"/>
      <c r="F110" s="208"/>
      <c r="G110" s="208"/>
      <c r="H110" s="208"/>
      <c r="I110" s="208"/>
      <c r="J110" s="208"/>
      <c r="K110" s="208"/>
      <c r="L110" s="208"/>
      <c r="M110" s="373"/>
    </row>
    <row r="111" spans="1:13" s="201" customFormat="1" ht="15.75">
      <c r="A111" s="206"/>
      <c r="B111" s="207"/>
      <c r="C111" s="207"/>
      <c r="D111" s="208"/>
      <c r="E111" s="208"/>
      <c r="F111" s="208"/>
      <c r="G111" s="208"/>
      <c r="H111" s="208"/>
      <c r="I111" s="208"/>
      <c r="J111" s="208"/>
      <c r="K111" s="208"/>
      <c r="L111" s="208"/>
      <c r="M111" s="373"/>
    </row>
    <row r="112" spans="1:13" s="201" customFormat="1" ht="15.75">
      <c r="A112" s="188"/>
      <c r="B112" s="122"/>
      <c r="C112" s="122"/>
      <c r="D112" s="209"/>
      <c r="E112" s="209"/>
      <c r="F112" s="209"/>
      <c r="G112" s="209"/>
      <c r="H112" s="209"/>
      <c r="I112" s="209"/>
      <c r="J112" s="209"/>
      <c r="K112" s="209"/>
      <c r="L112" s="209"/>
      <c r="M112" s="358"/>
    </row>
    <row r="113" spans="1:13" s="201" customFormat="1" ht="15.75">
      <c r="A113" s="188"/>
      <c r="B113" s="122"/>
      <c r="C113" s="122"/>
      <c r="D113" s="209"/>
      <c r="E113" s="209"/>
      <c r="F113" s="209"/>
      <c r="G113" s="209"/>
      <c r="H113" s="209"/>
      <c r="I113" s="209"/>
      <c r="J113" s="209"/>
      <c r="K113" s="209"/>
      <c r="L113" s="209"/>
      <c r="M113" s="358"/>
    </row>
    <row r="114" spans="1:13" s="201" customFormat="1" ht="15.75">
      <c r="A114" s="188"/>
      <c r="B114" s="122"/>
      <c r="C114" s="122"/>
      <c r="D114" s="209"/>
      <c r="E114" s="209"/>
      <c r="F114" s="209"/>
      <c r="G114" s="209"/>
      <c r="H114" s="209"/>
      <c r="I114" s="209"/>
      <c r="J114" s="209"/>
      <c r="K114" s="209"/>
      <c r="L114" s="209"/>
      <c r="M114" s="358"/>
    </row>
    <row r="115" spans="1:13" s="201" customFormat="1" ht="15.75">
      <c r="A115" s="188"/>
      <c r="B115" s="122"/>
      <c r="C115" s="122"/>
      <c r="D115" s="209"/>
      <c r="E115" s="209"/>
      <c r="F115" s="209"/>
      <c r="G115" s="209"/>
      <c r="H115" s="209"/>
      <c r="I115" s="209"/>
      <c r="J115" s="209"/>
      <c r="K115" s="209"/>
      <c r="L115" s="209"/>
      <c r="M115" s="358"/>
    </row>
    <row r="116" spans="1:13" s="201" customFormat="1" ht="15.75">
      <c r="A116" s="188"/>
      <c r="B116" s="122"/>
      <c r="C116" s="122"/>
      <c r="D116" s="209"/>
      <c r="E116" s="209"/>
      <c r="F116" s="209"/>
      <c r="G116" s="209"/>
      <c r="H116" s="209"/>
      <c r="I116" s="209"/>
      <c r="J116" s="209"/>
      <c r="K116" s="209"/>
      <c r="L116" s="209"/>
      <c r="M116" s="358"/>
    </row>
    <row r="117" spans="1:13" s="201" customFormat="1" ht="15.75">
      <c r="A117" s="188"/>
      <c r="B117" s="122"/>
      <c r="C117" s="122"/>
      <c r="D117" s="209"/>
      <c r="E117" s="209"/>
      <c r="F117" s="209"/>
      <c r="G117" s="209"/>
      <c r="H117" s="209"/>
      <c r="I117" s="209"/>
      <c r="J117" s="209"/>
      <c r="K117" s="209"/>
      <c r="L117" s="209"/>
      <c r="M117" s="358"/>
    </row>
  </sheetData>
  <sheetProtection/>
  <mergeCells count="20">
    <mergeCell ref="B10:B25"/>
    <mergeCell ref="A3:M3"/>
    <mergeCell ref="J6:J7"/>
    <mergeCell ref="L6:L7"/>
    <mergeCell ref="A4:A7"/>
    <mergeCell ref="B4:B7"/>
    <mergeCell ref="C4:C7"/>
    <mergeCell ref="D4:F5"/>
    <mergeCell ref="G4:H5"/>
    <mergeCell ref="I4:J5"/>
    <mergeCell ref="B2:M2"/>
    <mergeCell ref="N16:Q16"/>
    <mergeCell ref="N51:Q51"/>
    <mergeCell ref="K4:L4"/>
    <mergeCell ref="M4:M7"/>
    <mergeCell ref="K5:L5"/>
    <mergeCell ref="D6:D7"/>
    <mergeCell ref="E6:E7"/>
    <mergeCell ref="F6:F7"/>
    <mergeCell ref="H6:H7"/>
  </mergeCells>
  <printOptions/>
  <pageMargins left="0.5905511811023623" right="0" top="0.5905511811023623" bottom="0.5905511811023623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SheetLayoutView="100" zoomScalePageLayoutView="0" workbookViewId="0" topLeftCell="A1">
      <selection activeCell="B2" sqref="B2:M2"/>
    </sheetView>
  </sheetViews>
  <sheetFormatPr defaultColWidth="9.00390625" defaultRowHeight="12.75"/>
  <cols>
    <col min="1" max="1" width="3.8515625" style="188" customWidth="1"/>
    <col min="2" max="2" width="9.7109375" style="122" customWidth="1"/>
    <col min="3" max="3" width="62.28125" style="122" customWidth="1"/>
    <col min="4" max="4" width="8.28125" style="209" customWidth="1"/>
    <col min="5" max="5" width="9.00390625" style="209" customWidth="1"/>
    <col min="6" max="6" width="9.140625" style="209" customWidth="1"/>
    <col min="7" max="7" width="9.7109375" style="209" customWidth="1"/>
    <col min="8" max="8" width="10.28125" style="209" customWidth="1"/>
    <col min="9" max="9" width="8.8515625" style="209" customWidth="1"/>
    <col min="10" max="10" width="11.28125" style="209" customWidth="1"/>
    <col min="11" max="11" width="8.8515625" style="209" customWidth="1"/>
    <col min="12" max="12" width="10.421875" style="209" customWidth="1"/>
    <col min="13" max="13" width="17.00390625" style="209" customWidth="1"/>
    <col min="14" max="17" width="9.00390625" style="187" customWidth="1"/>
    <col min="18" max="18" width="0.2890625" style="187" customWidth="1"/>
    <col min="19" max="16384" width="9.00390625" style="187" customWidth="1"/>
  </cols>
  <sheetData>
    <row r="1" spans="1:13" ht="32.25" customHeight="1">
      <c r="A1" s="122"/>
      <c r="C1" s="350" t="s">
        <v>237</v>
      </c>
      <c r="D1" s="122"/>
      <c r="E1" s="122"/>
      <c r="F1" s="122"/>
      <c r="G1" s="122"/>
      <c r="H1" s="122"/>
      <c r="I1" s="122"/>
      <c r="J1" s="122"/>
      <c r="K1" s="122"/>
      <c r="L1" s="122"/>
      <c r="M1" s="350" t="s">
        <v>243</v>
      </c>
    </row>
    <row r="2" spans="1:13" ht="42" customHeight="1">
      <c r="A2" s="189"/>
      <c r="B2" s="434" t="s">
        <v>255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32.25" customHeight="1">
      <c r="A3" s="443" t="s">
        <v>191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</row>
    <row r="4" spans="1:13" ht="15.75">
      <c r="A4" s="419" t="s">
        <v>0</v>
      </c>
      <c r="B4" s="422" t="s">
        <v>1</v>
      </c>
      <c r="C4" s="425" t="s">
        <v>25</v>
      </c>
      <c r="D4" s="408" t="s">
        <v>2</v>
      </c>
      <c r="E4" s="428"/>
      <c r="F4" s="410"/>
      <c r="G4" s="408" t="s">
        <v>3</v>
      </c>
      <c r="H4" s="409"/>
      <c r="I4" s="408" t="s">
        <v>4</v>
      </c>
      <c r="J4" s="432"/>
      <c r="K4" s="408" t="s">
        <v>5</v>
      </c>
      <c r="L4" s="409"/>
      <c r="M4" s="410" t="s">
        <v>6</v>
      </c>
    </row>
    <row r="5" spans="1:13" ht="15.75">
      <c r="A5" s="420"/>
      <c r="B5" s="423"/>
      <c r="C5" s="426"/>
      <c r="D5" s="414"/>
      <c r="E5" s="429"/>
      <c r="F5" s="430"/>
      <c r="G5" s="431"/>
      <c r="H5" s="415"/>
      <c r="I5" s="431"/>
      <c r="J5" s="433"/>
      <c r="K5" s="414" t="s">
        <v>7</v>
      </c>
      <c r="L5" s="415"/>
      <c r="M5" s="411"/>
    </row>
    <row r="6" spans="1:13" ht="15.75">
      <c r="A6" s="420"/>
      <c r="B6" s="423"/>
      <c r="C6" s="426"/>
      <c r="D6" s="416" t="s">
        <v>8</v>
      </c>
      <c r="E6" s="416" t="s">
        <v>9</v>
      </c>
      <c r="F6" s="416" t="s">
        <v>10</v>
      </c>
      <c r="G6" s="139" t="s">
        <v>9</v>
      </c>
      <c r="H6" s="416" t="s">
        <v>10</v>
      </c>
      <c r="I6" s="139" t="s">
        <v>9</v>
      </c>
      <c r="J6" s="416" t="s">
        <v>10</v>
      </c>
      <c r="K6" s="139" t="s">
        <v>9</v>
      </c>
      <c r="L6" s="416" t="s">
        <v>10</v>
      </c>
      <c r="M6" s="412"/>
    </row>
    <row r="7" spans="1:13" ht="15.75">
      <c r="A7" s="421"/>
      <c r="B7" s="424"/>
      <c r="C7" s="427"/>
      <c r="D7" s="417"/>
      <c r="E7" s="417"/>
      <c r="F7" s="417"/>
      <c r="G7" s="142" t="s">
        <v>11</v>
      </c>
      <c r="H7" s="417"/>
      <c r="I7" s="142" t="s">
        <v>11</v>
      </c>
      <c r="J7" s="417"/>
      <c r="K7" s="142" t="s">
        <v>11</v>
      </c>
      <c r="L7" s="417"/>
      <c r="M7" s="413"/>
    </row>
    <row r="8" spans="1:13" ht="15.75">
      <c r="A8" s="190" t="s">
        <v>12</v>
      </c>
      <c r="B8" s="191" t="s">
        <v>13</v>
      </c>
      <c r="C8" s="192" t="s">
        <v>14</v>
      </c>
      <c r="D8" s="193" t="s">
        <v>15</v>
      </c>
      <c r="E8" s="194" t="s">
        <v>16</v>
      </c>
      <c r="F8" s="195" t="s">
        <v>17</v>
      </c>
      <c r="G8" s="196" t="s">
        <v>18</v>
      </c>
      <c r="H8" s="193" t="s">
        <v>19</v>
      </c>
      <c r="I8" s="194" t="s">
        <v>20</v>
      </c>
      <c r="J8" s="196" t="s">
        <v>21</v>
      </c>
      <c r="K8" s="194" t="s">
        <v>22</v>
      </c>
      <c r="L8" s="193" t="s">
        <v>23</v>
      </c>
      <c r="M8" s="194" t="s">
        <v>24</v>
      </c>
    </row>
    <row r="9" spans="1:13" ht="33.75">
      <c r="A9" s="79" t="s">
        <v>123</v>
      </c>
      <c r="B9" s="79" t="s">
        <v>107</v>
      </c>
      <c r="C9" s="107" t="s">
        <v>199</v>
      </c>
      <c r="D9" s="85" t="s">
        <v>149</v>
      </c>
      <c r="E9" s="85"/>
      <c r="F9" s="82">
        <v>264.6</v>
      </c>
      <c r="G9" s="210"/>
      <c r="H9" s="211"/>
      <c r="I9" s="211"/>
      <c r="J9" s="211"/>
      <c r="K9" s="211"/>
      <c r="L9" s="212"/>
      <c r="M9" s="212"/>
    </row>
    <row r="10" spans="1:13" ht="15.75">
      <c r="A10" s="79"/>
      <c r="B10" s="79"/>
      <c r="C10" s="107" t="s">
        <v>26</v>
      </c>
      <c r="D10" s="85" t="s">
        <v>27</v>
      </c>
      <c r="E10" s="119">
        <f>13.2/1000</f>
        <v>0.0132</v>
      </c>
      <c r="F10" s="85">
        <f>E10*F9</f>
        <v>3.4927200000000003</v>
      </c>
      <c r="G10" s="85"/>
      <c r="H10" s="85"/>
      <c r="I10" s="85"/>
      <c r="J10" s="85"/>
      <c r="K10" s="117"/>
      <c r="L10" s="117"/>
      <c r="M10" s="85"/>
    </row>
    <row r="11" spans="1:13" ht="18">
      <c r="A11" s="79"/>
      <c r="B11" s="79" t="s">
        <v>87</v>
      </c>
      <c r="C11" s="107" t="s">
        <v>200</v>
      </c>
      <c r="D11" s="85" t="s">
        <v>28</v>
      </c>
      <c r="E11" s="119">
        <f>29.5/1000</f>
        <v>0.0295</v>
      </c>
      <c r="F11" s="85">
        <f>E11*F9</f>
        <v>7.8057</v>
      </c>
      <c r="G11" s="85"/>
      <c r="H11" s="85"/>
      <c r="I11" s="85"/>
      <c r="J11" s="85"/>
      <c r="K11" s="85"/>
      <c r="L11" s="85"/>
      <c r="M11" s="85"/>
    </row>
    <row r="12" spans="1:13" ht="15.75">
      <c r="A12" s="79"/>
      <c r="B12" s="79"/>
      <c r="C12" s="107" t="s">
        <v>33</v>
      </c>
      <c r="D12" s="85" t="s">
        <v>30</v>
      </c>
      <c r="E12" s="119">
        <f>2.1/1000</f>
        <v>0.0021000000000000003</v>
      </c>
      <c r="F12" s="158">
        <f>E12*F9</f>
        <v>0.5556600000000002</v>
      </c>
      <c r="G12" s="85"/>
      <c r="H12" s="85"/>
      <c r="I12" s="85"/>
      <c r="J12" s="85"/>
      <c r="K12" s="85"/>
      <c r="L12" s="85"/>
      <c r="M12" s="85"/>
    </row>
    <row r="13" spans="1:13" ht="15.75">
      <c r="A13" s="213"/>
      <c r="B13" s="214" t="s">
        <v>73</v>
      </c>
      <c r="C13" s="215" t="s">
        <v>110</v>
      </c>
      <c r="D13" s="142" t="s">
        <v>31</v>
      </c>
      <c r="E13" s="142"/>
      <c r="F13" s="142">
        <f>F9*1.95</f>
        <v>515.97</v>
      </c>
      <c r="G13" s="142"/>
      <c r="H13" s="142"/>
      <c r="I13" s="142"/>
      <c r="J13" s="142"/>
      <c r="K13" s="142"/>
      <c r="L13" s="142"/>
      <c r="M13" s="142"/>
    </row>
    <row r="14" spans="1:18" ht="18">
      <c r="A14" s="79" t="s">
        <v>77</v>
      </c>
      <c r="B14" s="200" t="s">
        <v>100</v>
      </c>
      <c r="C14" s="122" t="s">
        <v>101</v>
      </c>
      <c r="D14" s="153" t="s">
        <v>149</v>
      </c>
      <c r="E14" s="85"/>
      <c r="F14" s="82">
        <v>26.5</v>
      </c>
      <c r="G14" s="85"/>
      <c r="H14" s="85"/>
      <c r="I14" s="85"/>
      <c r="J14" s="85"/>
      <c r="K14" s="85"/>
      <c r="L14" s="85"/>
      <c r="M14" s="85"/>
      <c r="N14" s="198"/>
      <c r="O14" s="198"/>
      <c r="P14" s="198"/>
      <c r="Q14" s="198"/>
      <c r="R14" s="198"/>
    </row>
    <row r="15" spans="1:18" s="201" customFormat="1" ht="15.75">
      <c r="A15" s="79"/>
      <c r="B15" s="216"/>
      <c r="C15" s="217" t="s">
        <v>26</v>
      </c>
      <c r="D15" s="96" t="s">
        <v>27</v>
      </c>
      <c r="E15" s="96">
        <f>2.06</f>
        <v>2.06</v>
      </c>
      <c r="F15" s="96">
        <f>E15*F14</f>
        <v>54.59</v>
      </c>
      <c r="G15" s="96"/>
      <c r="H15" s="96"/>
      <c r="I15" s="96"/>
      <c r="J15" s="96"/>
      <c r="K15" s="218"/>
      <c r="L15" s="218"/>
      <c r="M15" s="96"/>
      <c r="N15" s="198"/>
      <c r="O15" s="198"/>
      <c r="P15" s="198"/>
      <c r="Q15" s="198"/>
      <c r="R15" s="198"/>
    </row>
    <row r="16" spans="1:18" s="201" customFormat="1" ht="16.5">
      <c r="A16" s="219"/>
      <c r="B16" s="220"/>
      <c r="C16" s="217" t="s">
        <v>143</v>
      </c>
      <c r="D16" s="221" t="s">
        <v>31</v>
      </c>
      <c r="E16" s="221"/>
      <c r="F16" s="221">
        <f>F14*1.95</f>
        <v>51.675</v>
      </c>
      <c r="G16" s="221"/>
      <c r="H16" s="221"/>
      <c r="I16" s="221"/>
      <c r="J16" s="221"/>
      <c r="K16" s="222"/>
      <c r="L16" s="221"/>
      <c r="M16" s="221"/>
      <c r="N16" s="198"/>
      <c r="O16" s="198"/>
      <c r="P16" s="198"/>
      <c r="Q16" s="198"/>
      <c r="R16" s="198"/>
    </row>
    <row r="17" spans="1:18" s="201" customFormat="1" ht="18">
      <c r="A17" s="79"/>
      <c r="B17" s="216" t="s">
        <v>74</v>
      </c>
      <c r="C17" s="226" t="s">
        <v>72</v>
      </c>
      <c r="D17" s="96" t="s">
        <v>149</v>
      </c>
      <c r="E17" s="227"/>
      <c r="F17" s="228">
        <f>F9</f>
        <v>264.6</v>
      </c>
      <c r="G17" s="227"/>
      <c r="H17" s="227"/>
      <c r="I17" s="227"/>
      <c r="J17" s="227"/>
      <c r="K17" s="227"/>
      <c r="L17" s="227"/>
      <c r="M17" s="227"/>
      <c r="N17" s="406"/>
      <c r="O17" s="406"/>
      <c r="P17" s="406"/>
      <c r="Q17" s="406"/>
      <c r="R17" s="406"/>
    </row>
    <row r="18" spans="1:18" s="201" customFormat="1" ht="15.75">
      <c r="A18" s="229"/>
      <c r="B18" s="229"/>
      <c r="C18" s="107" t="s">
        <v>26</v>
      </c>
      <c r="D18" s="85" t="s">
        <v>27</v>
      </c>
      <c r="E18" s="118">
        <f>3.23/1000</f>
        <v>0.00323</v>
      </c>
      <c r="F18" s="158">
        <f>E18*F17</f>
        <v>0.854658</v>
      </c>
      <c r="G18" s="83"/>
      <c r="H18" s="83"/>
      <c r="I18" s="168"/>
      <c r="J18" s="168"/>
      <c r="K18" s="168"/>
      <c r="L18" s="168"/>
      <c r="M18" s="83"/>
      <c r="N18" s="198"/>
      <c r="O18" s="198"/>
      <c r="P18" s="198"/>
      <c r="Q18" s="198"/>
      <c r="R18" s="198"/>
    </row>
    <row r="19" spans="1:18" s="201" customFormat="1" ht="15.75">
      <c r="A19" s="79"/>
      <c r="B19" s="79" t="s">
        <v>42</v>
      </c>
      <c r="C19" s="107" t="s">
        <v>70</v>
      </c>
      <c r="D19" s="85" t="s">
        <v>28</v>
      </c>
      <c r="E19" s="118">
        <f>3.62/1000</f>
        <v>0.00362</v>
      </c>
      <c r="F19" s="158">
        <f>E19*F17</f>
        <v>0.957852</v>
      </c>
      <c r="G19" s="85"/>
      <c r="H19" s="85"/>
      <c r="I19" s="85"/>
      <c r="J19" s="85"/>
      <c r="K19" s="85"/>
      <c r="L19" s="85"/>
      <c r="M19" s="85"/>
      <c r="N19" s="435"/>
      <c r="O19" s="435"/>
      <c r="P19" s="435"/>
      <c r="Q19" s="435"/>
      <c r="R19" s="435"/>
    </row>
    <row r="20" spans="1:18" s="201" customFormat="1" ht="15.75">
      <c r="A20" s="230"/>
      <c r="B20" s="230"/>
      <c r="C20" s="231" t="s">
        <v>33</v>
      </c>
      <c r="D20" s="232" t="s">
        <v>30</v>
      </c>
      <c r="E20" s="233">
        <f>0.18/1000</f>
        <v>0.00017999999999999998</v>
      </c>
      <c r="F20" s="158">
        <f>E20*F17</f>
        <v>0.047628</v>
      </c>
      <c r="G20" s="232"/>
      <c r="H20" s="232"/>
      <c r="I20" s="232"/>
      <c r="J20" s="232"/>
      <c r="K20" s="90"/>
      <c r="L20" s="232"/>
      <c r="M20" s="89"/>
      <c r="N20" s="198"/>
      <c r="O20" s="198"/>
      <c r="P20" s="198"/>
      <c r="Q20" s="198"/>
      <c r="R20" s="198"/>
    </row>
    <row r="21" spans="1:18" s="201" customFormat="1" ht="18">
      <c r="A21" s="234" t="s">
        <v>124</v>
      </c>
      <c r="B21" s="79" t="s">
        <v>111</v>
      </c>
      <c r="C21" s="235" t="s">
        <v>112</v>
      </c>
      <c r="D21" s="130" t="s">
        <v>149</v>
      </c>
      <c r="E21" s="130"/>
      <c r="F21" s="236">
        <v>34</v>
      </c>
      <c r="G21" s="237"/>
      <c r="H21" s="237"/>
      <c r="I21" s="237"/>
      <c r="J21" s="237"/>
      <c r="K21" s="237"/>
      <c r="L21" s="237"/>
      <c r="M21" s="237"/>
      <c r="N21" s="198"/>
      <c r="O21" s="198"/>
      <c r="P21" s="198"/>
      <c r="Q21" s="198"/>
      <c r="R21" s="198"/>
    </row>
    <row r="22" spans="1:18" s="225" customFormat="1" ht="16.5">
      <c r="A22" s="79"/>
      <c r="B22" s="238"/>
      <c r="C22" s="107" t="s">
        <v>26</v>
      </c>
      <c r="D22" s="81" t="s">
        <v>27</v>
      </c>
      <c r="E22" s="139">
        <v>2.12</v>
      </c>
      <c r="F22" s="139">
        <f>E22*F21</f>
        <v>72.08</v>
      </c>
      <c r="G22" s="139"/>
      <c r="H22" s="157"/>
      <c r="I22" s="139"/>
      <c r="J22" s="239"/>
      <c r="K22" s="139"/>
      <c r="L22" s="157"/>
      <c r="M22" s="139"/>
      <c r="N22" s="223"/>
      <c r="O22" s="223"/>
      <c r="P22" s="223"/>
      <c r="Q22" s="223"/>
      <c r="R22" s="224"/>
    </row>
    <row r="23" spans="1:18" s="201" customFormat="1" ht="15.75">
      <c r="A23" s="79"/>
      <c r="B23" s="79"/>
      <c r="C23" s="189" t="s">
        <v>33</v>
      </c>
      <c r="D23" s="158" t="s">
        <v>30</v>
      </c>
      <c r="E23" s="116">
        <v>0.101</v>
      </c>
      <c r="F23" s="85">
        <f>E23*F21</f>
        <v>3.434</v>
      </c>
      <c r="G23" s="85"/>
      <c r="H23" s="158"/>
      <c r="I23" s="85"/>
      <c r="J23" s="209"/>
      <c r="K23" s="85"/>
      <c r="L23" s="158"/>
      <c r="M23" s="85"/>
      <c r="N23" s="198"/>
      <c r="O23" s="198"/>
      <c r="P23" s="198"/>
      <c r="Q23" s="198"/>
      <c r="R23" s="198"/>
    </row>
    <row r="24" spans="1:18" s="201" customFormat="1" ht="18">
      <c r="A24" s="87"/>
      <c r="B24" s="87" t="s">
        <v>34</v>
      </c>
      <c r="C24" s="141" t="s">
        <v>102</v>
      </c>
      <c r="D24" s="89" t="s">
        <v>149</v>
      </c>
      <c r="E24" s="89">
        <v>1.1</v>
      </c>
      <c r="F24" s="89">
        <f>E24*F21</f>
        <v>37.400000000000006</v>
      </c>
      <c r="G24" s="89"/>
      <c r="H24" s="89"/>
      <c r="I24" s="89"/>
      <c r="J24" s="89"/>
      <c r="K24" s="89"/>
      <c r="L24" s="89"/>
      <c r="M24" s="89"/>
      <c r="N24" s="198"/>
      <c r="O24" s="198"/>
      <c r="P24" s="198"/>
      <c r="Q24" s="198"/>
      <c r="R24" s="198"/>
    </row>
    <row r="25" spans="1:18" s="201" customFormat="1" ht="18">
      <c r="A25" s="240" t="s">
        <v>69</v>
      </c>
      <c r="B25" s="199" t="s">
        <v>114</v>
      </c>
      <c r="C25" s="241" t="s">
        <v>218</v>
      </c>
      <c r="D25" s="130" t="s">
        <v>149</v>
      </c>
      <c r="E25" s="139"/>
      <c r="F25" s="242">
        <v>3.6</v>
      </c>
      <c r="G25" s="239"/>
      <c r="H25" s="157"/>
      <c r="I25" s="139"/>
      <c r="J25" s="239"/>
      <c r="K25" s="139"/>
      <c r="L25" s="157"/>
      <c r="M25" s="139"/>
      <c r="N25" s="198"/>
      <c r="O25" s="198"/>
      <c r="P25" s="198"/>
      <c r="Q25" s="198"/>
      <c r="R25" s="198"/>
    </row>
    <row r="26" spans="1:18" s="201" customFormat="1" ht="15.75">
      <c r="A26" s="229"/>
      <c r="B26" s="79"/>
      <c r="C26" s="117" t="s">
        <v>26</v>
      </c>
      <c r="D26" s="85" t="s">
        <v>27</v>
      </c>
      <c r="E26" s="85">
        <v>1.37</v>
      </c>
      <c r="F26" s="85">
        <f>E26*F25</f>
        <v>4.932</v>
      </c>
      <c r="G26" s="83"/>
      <c r="H26" s="83"/>
      <c r="I26" s="83"/>
      <c r="J26" s="83"/>
      <c r="K26" s="83"/>
      <c r="L26" s="83"/>
      <c r="M26" s="83"/>
      <c r="N26" s="198"/>
      <c r="O26" s="198"/>
      <c r="P26" s="198"/>
      <c r="Q26" s="198"/>
      <c r="R26" s="198"/>
    </row>
    <row r="27" spans="1:18" s="201" customFormat="1" ht="15.75">
      <c r="A27" s="229"/>
      <c r="B27" s="79"/>
      <c r="C27" s="117" t="s">
        <v>35</v>
      </c>
      <c r="D27" s="85" t="s">
        <v>30</v>
      </c>
      <c r="E27" s="116">
        <v>0.283</v>
      </c>
      <c r="F27" s="85">
        <f>E27*F25</f>
        <v>1.0188</v>
      </c>
      <c r="G27" s="83"/>
      <c r="H27" s="83"/>
      <c r="I27" s="83"/>
      <c r="J27" s="83"/>
      <c r="K27" s="83"/>
      <c r="L27" s="83"/>
      <c r="M27" s="83"/>
      <c r="N27" s="198"/>
      <c r="O27" s="198"/>
      <c r="P27" s="198"/>
      <c r="Q27" s="198"/>
      <c r="R27" s="198"/>
    </row>
    <row r="28" spans="1:18" s="201" customFormat="1" ht="18">
      <c r="A28" s="229"/>
      <c r="B28" s="243"/>
      <c r="C28" s="117" t="s">
        <v>219</v>
      </c>
      <c r="D28" s="117" t="s">
        <v>149</v>
      </c>
      <c r="E28" s="85">
        <v>1.02</v>
      </c>
      <c r="F28" s="85">
        <f>E28*F25</f>
        <v>3.672</v>
      </c>
      <c r="G28" s="85"/>
      <c r="H28" s="85"/>
      <c r="I28" s="85"/>
      <c r="J28" s="85"/>
      <c r="K28" s="85"/>
      <c r="L28" s="85"/>
      <c r="M28" s="85"/>
      <c r="N28" s="198"/>
      <c r="O28" s="198"/>
      <c r="P28" s="198"/>
      <c r="Q28" s="198"/>
      <c r="R28" s="198"/>
    </row>
    <row r="29" spans="1:18" s="201" customFormat="1" ht="15.75">
      <c r="A29" s="230"/>
      <c r="B29" s="87"/>
      <c r="C29" s="140" t="s">
        <v>41</v>
      </c>
      <c r="D29" s="89" t="s">
        <v>30</v>
      </c>
      <c r="E29" s="89">
        <v>0.62</v>
      </c>
      <c r="F29" s="89">
        <f>E29*F25</f>
        <v>2.232</v>
      </c>
      <c r="G29" s="90"/>
      <c r="H29" s="90"/>
      <c r="I29" s="90"/>
      <c r="J29" s="90"/>
      <c r="K29" s="90"/>
      <c r="L29" s="90"/>
      <c r="M29" s="90"/>
      <c r="N29" s="198"/>
      <c r="O29" s="198"/>
      <c r="P29" s="198"/>
      <c r="Q29" s="198"/>
      <c r="R29" s="198"/>
    </row>
    <row r="30" spans="1:18" s="201" customFormat="1" ht="31.5">
      <c r="A30" s="79" t="s">
        <v>113</v>
      </c>
      <c r="B30" s="80" t="s">
        <v>88</v>
      </c>
      <c r="C30" s="107" t="s">
        <v>89</v>
      </c>
      <c r="D30" s="85" t="s">
        <v>169</v>
      </c>
      <c r="E30" s="81"/>
      <c r="F30" s="82">
        <v>71.4</v>
      </c>
      <c r="G30" s="83"/>
      <c r="H30" s="83"/>
      <c r="I30" s="83"/>
      <c r="J30" s="83"/>
      <c r="K30" s="83"/>
      <c r="L30" s="83"/>
      <c r="M30" s="84"/>
      <c r="N30" s="198"/>
      <c r="O30" s="198"/>
      <c r="P30" s="198"/>
      <c r="Q30" s="198"/>
      <c r="R30" s="198"/>
    </row>
    <row r="31" spans="1:18" s="201" customFormat="1" ht="15.75">
      <c r="A31" s="79"/>
      <c r="B31" s="79"/>
      <c r="C31" s="107" t="s">
        <v>26</v>
      </c>
      <c r="D31" s="85" t="s">
        <v>27</v>
      </c>
      <c r="E31" s="116">
        <v>0.564</v>
      </c>
      <c r="F31" s="85">
        <f>E31*F30</f>
        <v>40.2696</v>
      </c>
      <c r="G31" s="83"/>
      <c r="H31" s="83"/>
      <c r="I31" s="83"/>
      <c r="J31" s="83"/>
      <c r="K31" s="83"/>
      <c r="L31" s="83"/>
      <c r="M31" s="83"/>
      <c r="N31" s="198"/>
      <c r="O31" s="198"/>
      <c r="P31" s="198"/>
      <c r="Q31" s="198"/>
      <c r="R31" s="198"/>
    </row>
    <row r="32" spans="1:18" s="201" customFormat="1" ht="15.75">
      <c r="A32" s="79"/>
      <c r="B32" s="80"/>
      <c r="C32" s="107" t="s">
        <v>35</v>
      </c>
      <c r="D32" s="85" t="s">
        <v>30</v>
      </c>
      <c r="E32" s="110">
        <f>4.09/100</f>
        <v>0.0409</v>
      </c>
      <c r="F32" s="85">
        <f>E32*F30</f>
        <v>2.9202600000000003</v>
      </c>
      <c r="G32" s="83"/>
      <c r="H32" s="83"/>
      <c r="I32" s="83"/>
      <c r="J32" s="83"/>
      <c r="K32" s="83"/>
      <c r="L32" s="83"/>
      <c r="M32" s="84"/>
      <c r="N32" s="198"/>
      <c r="O32" s="198"/>
      <c r="P32" s="198"/>
      <c r="Q32" s="198"/>
      <c r="R32" s="198"/>
    </row>
    <row r="33" spans="1:18" s="201" customFormat="1" ht="15.75">
      <c r="A33" s="79"/>
      <c r="B33" s="80" t="s">
        <v>90</v>
      </c>
      <c r="C33" s="107" t="s">
        <v>91</v>
      </c>
      <c r="D33" s="85" t="s">
        <v>31</v>
      </c>
      <c r="E33" s="110">
        <f>0.45/100</f>
        <v>0.0045000000000000005</v>
      </c>
      <c r="F33" s="85">
        <f>E33*F30</f>
        <v>0.3213000000000001</v>
      </c>
      <c r="G33" s="83"/>
      <c r="H33" s="83"/>
      <c r="I33" s="85"/>
      <c r="J33" s="85"/>
      <c r="K33" s="85"/>
      <c r="L33" s="85"/>
      <c r="M33" s="86"/>
      <c r="N33" s="198"/>
      <c r="O33" s="198"/>
      <c r="P33" s="198"/>
      <c r="Q33" s="198"/>
      <c r="R33" s="198"/>
    </row>
    <row r="34" spans="1:18" s="201" customFormat="1" ht="18">
      <c r="A34" s="79"/>
      <c r="B34" s="80" t="s">
        <v>146</v>
      </c>
      <c r="C34" s="107" t="s">
        <v>180</v>
      </c>
      <c r="D34" s="85" t="s">
        <v>149</v>
      </c>
      <c r="E34" s="110">
        <f>0.75/100</f>
        <v>0.0075</v>
      </c>
      <c r="F34" s="85">
        <f>E34*F30</f>
        <v>0.5355</v>
      </c>
      <c r="G34" s="83"/>
      <c r="H34" s="83"/>
      <c r="I34" s="85"/>
      <c r="J34" s="85"/>
      <c r="K34" s="85"/>
      <c r="L34" s="85"/>
      <c r="M34" s="86"/>
      <c r="N34" s="435"/>
      <c r="O34" s="435"/>
      <c r="P34" s="435"/>
      <c r="Q34" s="435"/>
      <c r="R34" s="198"/>
    </row>
    <row r="35" spans="1:18" s="201" customFormat="1" ht="15.75">
      <c r="A35" s="87"/>
      <c r="B35" s="88"/>
      <c r="C35" s="159" t="s">
        <v>41</v>
      </c>
      <c r="D35" s="89" t="s">
        <v>30</v>
      </c>
      <c r="E35" s="111">
        <f>26.5/100</f>
        <v>0.265</v>
      </c>
      <c r="F35" s="89">
        <f>E35*F30</f>
        <v>18.921000000000003</v>
      </c>
      <c r="G35" s="90"/>
      <c r="H35" s="90"/>
      <c r="I35" s="90"/>
      <c r="J35" s="90"/>
      <c r="K35" s="90"/>
      <c r="L35" s="90"/>
      <c r="M35" s="91"/>
      <c r="N35" s="198"/>
      <c r="O35" s="198"/>
      <c r="P35" s="198"/>
      <c r="Q35" s="198"/>
      <c r="R35" s="198"/>
    </row>
    <row r="36" spans="1:18" s="201" customFormat="1" ht="15.75">
      <c r="A36" s="92"/>
      <c r="B36" s="93"/>
      <c r="C36" s="94" t="s">
        <v>120</v>
      </c>
      <c r="D36" s="95"/>
      <c r="E36" s="96"/>
      <c r="F36" s="97"/>
      <c r="G36" s="98"/>
      <c r="H36" s="99"/>
      <c r="I36" s="96"/>
      <c r="J36" s="100"/>
      <c r="K36" s="96"/>
      <c r="L36" s="99"/>
      <c r="M36" s="96"/>
      <c r="N36" s="198"/>
      <c r="O36" s="198"/>
      <c r="P36" s="198"/>
      <c r="Q36" s="198"/>
      <c r="R36" s="198"/>
    </row>
    <row r="37" spans="1:18" s="201" customFormat="1" ht="15.75">
      <c r="A37" s="160">
        <v>6</v>
      </c>
      <c r="B37" s="104" t="s">
        <v>118</v>
      </c>
      <c r="C37" s="244" t="s">
        <v>119</v>
      </c>
      <c r="D37" s="160" t="s">
        <v>31</v>
      </c>
      <c r="E37" s="106"/>
      <c r="F37" s="242">
        <f>F41+F42+F43</f>
        <v>6.951</v>
      </c>
      <c r="G37" s="239"/>
      <c r="H37" s="157"/>
      <c r="I37" s="139"/>
      <c r="J37" s="239"/>
      <c r="K37" s="139"/>
      <c r="L37" s="157"/>
      <c r="M37" s="139"/>
      <c r="N37" s="198"/>
      <c r="O37" s="198"/>
      <c r="P37" s="198"/>
      <c r="Q37" s="198"/>
      <c r="R37" s="198"/>
    </row>
    <row r="38" spans="1:18" s="201" customFormat="1" ht="15.75">
      <c r="A38" s="160"/>
      <c r="B38" s="104"/>
      <c r="C38" s="107" t="s">
        <v>26</v>
      </c>
      <c r="D38" s="85" t="s">
        <v>27</v>
      </c>
      <c r="E38" s="245">
        <v>14.4</v>
      </c>
      <c r="F38" s="246">
        <f>E38*F37</f>
        <v>100.0944</v>
      </c>
      <c r="G38" s="239"/>
      <c r="H38" s="157"/>
      <c r="I38" s="139"/>
      <c r="J38" s="239"/>
      <c r="K38" s="139"/>
      <c r="L38" s="157"/>
      <c r="M38" s="139"/>
      <c r="N38" s="198"/>
      <c r="O38" s="198"/>
      <c r="P38" s="198"/>
      <c r="Q38" s="198"/>
      <c r="R38" s="198"/>
    </row>
    <row r="39" spans="1:18" s="201" customFormat="1" ht="15.75">
      <c r="A39" s="160"/>
      <c r="B39" s="104" t="s">
        <v>71</v>
      </c>
      <c r="C39" s="244" t="s">
        <v>92</v>
      </c>
      <c r="D39" s="85" t="s">
        <v>28</v>
      </c>
      <c r="E39" s="106">
        <v>1.93</v>
      </c>
      <c r="F39" s="246">
        <f>E39*F37</f>
        <v>13.415429999999999</v>
      </c>
      <c r="G39" s="239"/>
      <c r="H39" s="157"/>
      <c r="I39" s="139"/>
      <c r="J39" s="239"/>
      <c r="K39" s="139"/>
      <c r="L39" s="157"/>
      <c r="M39" s="139"/>
      <c r="N39" s="198"/>
      <c r="O39" s="198"/>
      <c r="P39" s="198"/>
      <c r="Q39" s="198"/>
      <c r="R39" s="198"/>
    </row>
    <row r="40" spans="1:18" s="201" customFormat="1" ht="15.75">
      <c r="A40" s="160"/>
      <c r="B40" s="104"/>
      <c r="C40" s="244" t="s">
        <v>33</v>
      </c>
      <c r="D40" s="160" t="s">
        <v>30</v>
      </c>
      <c r="E40" s="106">
        <v>5.93</v>
      </c>
      <c r="F40" s="246">
        <f>E40*F37</f>
        <v>41.219429999999996</v>
      </c>
      <c r="G40" s="239"/>
      <c r="H40" s="157"/>
      <c r="I40" s="139"/>
      <c r="J40" s="239"/>
      <c r="K40" s="139"/>
      <c r="L40" s="157"/>
      <c r="M40" s="139"/>
      <c r="N40" s="198"/>
      <c r="O40" s="198"/>
      <c r="P40" s="198"/>
      <c r="Q40" s="198"/>
      <c r="R40" s="198"/>
    </row>
    <row r="41" spans="1:18" s="201" customFormat="1" ht="15.75">
      <c r="A41" s="160"/>
      <c r="B41" s="243" t="s">
        <v>220</v>
      </c>
      <c r="C41" s="244" t="s">
        <v>201</v>
      </c>
      <c r="D41" s="160" t="s">
        <v>31</v>
      </c>
      <c r="E41" s="247" t="s">
        <v>36</v>
      </c>
      <c r="F41" s="246">
        <v>2.023</v>
      </c>
      <c r="G41" s="239"/>
      <c r="H41" s="157"/>
      <c r="I41" s="139"/>
      <c r="J41" s="239"/>
      <c r="K41" s="139"/>
      <c r="L41" s="157"/>
      <c r="M41" s="139"/>
      <c r="N41" s="198"/>
      <c r="O41" s="198"/>
      <c r="P41" s="198"/>
      <c r="Q41" s="198"/>
      <c r="R41" s="198"/>
    </row>
    <row r="42" spans="1:18" s="201" customFormat="1" ht="15.75">
      <c r="A42" s="160"/>
      <c r="B42" s="243" t="s">
        <v>220</v>
      </c>
      <c r="C42" s="244" t="s">
        <v>202</v>
      </c>
      <c r="D42" s="160" t="s">
        <v>31</v>
      </c>
      <c r="E42" s="247" t="s">
        <v>36</v>
      </c>
      <c r="F42" s="246">
        <v>3.346</v>
      </c>
      <c r="G42" s="239"/>
      <c r="H42" s="157"/>
      <c r="I42" s="139"/>
      <c r="J42" s="239"/>
      <c r="K42" s="139"/>
      <c r="L42" s="157"/>
      <c r="M42" s="139"/>
      <c r="N42" s="198"/>
      <c r="O42" s="198"/>
      <c r="P42" s="198"/>
      <c r="Q42" s="198"/>
      <c r="R42" s="198"/>
    </row>
    <row r="43" spans="1:18" s="201" customFormat="1" ht="15.75">
      <c r="A43" s="160"/>
      <c r="B43" s="243" t="s">
        <v>221</v>
      </c>
      <c r="C43" s="244" t="s">
        <v>203</v>
      </c>
      <c r="D43" s="160" t="s">
        <v>31</v>
      </c>
      <c r="E43" s="247" t="s">
        <v>36</v>
      </c>
      <c r="F43" s="246">
        <v>1.582</v>
      </c>
      <c r="G43" s="239"/>
      <c r="H43" s="157"/>
      <c r="I43" s="139"/>
      <c r="J43" s="239"/>
      <c r="K43" s="139"/>
      <c r="L43" s="157"/>
      <c r="M43" s="139"/>
      <c r="N43" s="198"/>
      <c r="O43" s="198"/>
      <c r="P43" s="198"/>
      <c r="Q43" s="198"/>
      <c r="R43" s="198"/>
    </row>
    <row r="44" spans="1:18" s="201" customFormat="1" ht="15.75">
      <c r="A44" s="248"/>
      <c r="B44" s="213"/>
      <c r="C44" s="249" t="s">
        <v>41</v>
      </c>
      <c r="D44" s="137" t="s">
        <v>30</v>
      </c>
      <c r="E44" s="250">
        <v>9.08</v>
      </c>
      <c r="F44" s="136">
        <f>E44*F37</f>
        <v>63.11508</v>
      </c>
      <c r="G44" s="135"/>
      <c r="H44" s="134"/>
      <c r="I44" s="142"/>
      <c r="J44" s="135"/>
      <c r="K44" s="142"/>
      <c r="L44" s="134"/>
      <c r="M44" s="142"/>
      <c r="N44" s="198"/>
      <c r="O44" s="198"/>
      <c r="P44" s="198"/>
      <c r="Q44" s="198"/>
      <c r="R44" s="198"/>
    </row>
    <row r="45" spans="1:18" s="201" customFormat="1" ht="47.25">
      <c r="A45" s="234" t="s">
        <v>126</v>
      </c>
      <c r="B45" s="104" t="s">
        <v>115</v>
      </c>
      <c r="C45" s="235" t="s">
        <v>208</v>
      </c>
      <c r="D45" s="130" t="s">
        <v>149</v>
      </c>
      <c r="E45" s="130"/>
      <c r="F45" s="236">
        <v>36.4</v>
      </c>
      <c r="G45" s="138"/>
      <c r="H45" s="138"/>
      <c r="I45" s="138"/>
      <c r="J45" s="138"/>
      <c r="K45" s="138"/>
      <c r="L45" s="138"/>
      <c r="M45" s="138"/>
      <c r="N45" s="198"/>
      <c r="O45" s="198"/>
      <c r="P45" s="198"/>
      <c r="Q45" s="198"/>
      <c r="R45" s="198"/>
    </row>
    <row r="46" spans="1:18" s="201" customFormat="1" ht="15.75">
      <c r="A46" s="240"/>
      <c r="B46" s="104"/>
      <c r="C46" s="107" t="s">
        <v>26</v>
      </c>
      <c r="D46" s="85" t="s">
        <v>27</v>
      </c>
      <c r="E46" s="106">
        <v>4.84</v>
      </c>
      <c r="F46" s="246">
        <f>E46*F45</f>
        <v>176.176</v>
      </c>
      <c r="G46" s="239"/>
      <c r="H46" s="157"/>
      <c r="I46" s="139"/>
      <c r="J46" s="239"/>
      <c r="K46" s="139"/>
      <c r="L46" s="157"/>
      <c r="M46" s="139"/>
      <c r="N46" s="198"/>
      <c r="O46" s="198"/>
      <c r="P46" s="198"/>
      <c r="Q46" s="198"/>
      <c r="R46" s="198"/>
    </row>
    <row r="47" spans="1:18" s="201" customFormat="1" ht="15.75">
      <c r="A47" s="240"/>
      <c r="B47" s="104" t="s">
        <v>71</v>
      </c>
      <c r="C47" s="244" t="s">
        <v>92</v>
      </c>
      <c r="D47" s="85" t="s">
        <v>28</v>
      </c>
      <c r="E47" s="106">
        <f>9.6/100</f>
        <v>0.096</v>
      </c>
      <c r="F47" s="246">
        <f>E47*F45</f>
        <v>3.4943999999999997</v>
      </c>
      <c r="G47" s="239"/>
      <c r="H47" s="157"/>
      <c r="I47" s="139"/>
      <c r="J47" s="239"/>
      <c r="K47" s="139"/>
      <c r="L47" s="157"/>
      <c r="M47" s="139"/>
      <c r="N47" s="435"/>
      <c r="O47" s="435"/>
      <c r="P47" s="435"/>
      <c r="Q47" s="435"/>
      <c r="R47" s="198"/>
    </row>
    <row r="48" spans="1:18" s="201" customFormat="1" ht="15.75">
      <c r="A48" s="240"/>
      <c r="B48" s="104"/>
      <c r="C48" s="244" t="s">
        <v>33</v>
      </c>
      <c r="D48" s="160" t="s">
        <v>30</v>
      </c>
      <c r="E48" s="106">
        <v>0.42</v>
      </c>
      <c r="F48" s="246">
        <f>E48*F45</f>
        <v>15.287999999999998</v>
      </c>
      <c r="G48" s="239"/>
      <c r="H48" s="157"/>
      <c r="I48" s="139"/>
      <c r="J48" s="239"/>
      <c r="K48" s="139"/>
      <c r="L48" s="157"/>
      <c r="M48" s="139"/>
      <c r="N48" s="435"/>
      <c r="O48" s="435"/>
      <c r="P48" s="435"/>
      <c r="Q48" s="435"/>
      <c r="R48" s="198"/>
    </row>
    <row r="49" spans="1:18" s="201" customFormat="1" ht="18">
      <c r="A49" s="240"/>
      <c r="B49" s="104" t="s">
        <v>144</v>
      </c>
      <c r="C49" s="244" t="s">
        <v>116</v>
      </c>
      <c r="D49" s="158" t="s">
        <v>149</v>
      </c>
      <c r="E49" s="106">
        <v>1.015</v>
      </c>
      <c r="F49" s="246">
        <f>E49*F45</f>
        <v>36.946</v>
      </c>
      <c r="G49" s="239"/>
      <c r="H49" s="157"/>
      <c r="I49" s="139"/>
      <c r="J49" s="239"/>
      <c r="K49" s="139"/>
      <c r="L49" s="157"/>
      <c r="M49" s="139"/>
      <c r="N49" s="435"/>
      <c r="O49" s="435"/>
      <c r="P49" s="435"/>
      <c r="Q49" s="435"/>
      <c r="R49" s="198"/>
    </row>
    <row r="50" spans="1:18" s="201" customFormat="1" ht="18">
      <c r="A50" s="251"/>
      <c r="B50" s="104" t="s">
        <v>145</v>
      </c>
      <c r="C50" s="244" t="s">
        <v>94</v>
      </c>
      <c r="D50" s="158" t="s">
        <v>149</v>
      </c>
      <c r="E50" s="106">
        <f>2.14/100</f>
        <v>0.021400000000000002</v>
      </c>
      <c r="F50" s="246">
        <f>E50*F45</f>
        <v>0.7789600000000001</v>
      </c>
      <c r="G50" s="239"/>
      <c r="H50" s="157"/>
      <c r="I50" s="139"/>
      <c r="J50" s="239"/>
      <c r="K50" s="139"/>
      <c r="L50" s="157"/>
      <c r="M50" s="139"/>
      <c r="N50" s="198"/>
      <c r="O50" s="198"/>
      <c r="P50" s="198"/>
      <c r="Q50" s="198"/>
      <c r="R50" s="198"/>
    </row>
    <row r="51" spans="1:18" s="201" customFormat="1" ht="18">
      <c r="A51" s="240"/>
      <c r="B51" s="104" t="s">
        <v>37</v>
      </c>
      <c r="C51" s="244" t="s">
        <v>95</v>
      </c>
      <c r="D51" s="158" t="s">
        <v>169</v>
      </c>
      <c r="E51" s="106">
        <v>0.32</v>
      </c>
      <c r="F51" s="246">
        <f>E52*F45</f>
        <v>0.60788</v>
      </c>
      <c r="G51" s="239"/>
      <c r="H51" s="157"/>
      <c r="I51" s="139"/>
      <c r="J51" s="239"/>
      <c r="K51" s="139"/>
      <c r="L51" s="157"/>
      <c r="M51" s="139"/>
      <c r="N51" s="198"/>
      <c r="O51" s="198"/>
      <c r="P51" s="198"/>
      <c r="Q51" s="198"/>
      <c r="R51" s="198"/>
    </row>
    <row r="52" spans="1:18" s="201" customFormat="1" ht="18">
      <c r="A52" s="240"/>
      <c r="B52" s="104" t="s">
        <v>38</v>
      </c>
      <c r="C52" s="244" t="s">
        <v>99</v>
      </c>
      <c r="D52" s="158" t="s">
        <v>149</v>
      </c>
      <c r="E52" s="106">
        <f>1.67/100</f>
        <v>0.0167</v>
      </c>
      <c r="F52" s="246">
        <f>E52*F45</f>
        <v>0.60788</v>
      </c>
      <c r="G52" s="239"/>
      <c r="H52" s="157"/>
      <c r="I52" s="139"/>
      <c r="J52" s="239"/>
      <c r="K52" s="139"/>
      <c r="L52" s="157"/>
      <c r="M52" s="139"/>
      <c r="N52" s="198"/>
      <c r="O52" s="198"/>
      <c r="P52" s="198"/>
      <c r="Q52" s="198"/>
      <c r="R52" s="198"/>
    </row>
    <row r="53" spans="1:18" s="201" customFormat="1" ht="18">
      <c r="A53" s="240"/>
      <c r="B53" s="104" t="s">
        <v>39</v>
      </c>
      <c r="C53" s="244" t="s">
        <v>117</v>
      </c>
      <c r="D53" s="158" t="s">
        <v>149</v>
      </c>
      <c r="E53" s="106">
        <f>21.2/100</f>
        <v>0.212</v>
      </c>
      <c r="F53" s="246">
        <f>E53*F45</f>
        <v>7.716799999999999</v>
      </c>
      <c r="G53" s="239"/>
      <c r="H53" s="157"/>
      <c r="I53" s="139"/>
      <c r="J53" s="239"/>
      <c r="K53" s="139"/>
      <c r="L53" s="157"/>
      <c r="M53" s="139"/>
      <c r="N53" s="198"/>
      <c r="O53" s="198"/>
      <c r="P53" s="198"/>
      <c r="Q53" s="198"/>
      <c r="R53" s="198"/>
    </row>
    <row r="54" spans="1:18" s="201" customFormat="1" ht="15.75">
      <c r="A54" s="240"/>
      <c r="B54" s="104" t="s">
        <v>85</v>
      </c>
      <c r="C54" s="252" t="s">
        <v>84</v>
      </c>
      <c r="D54" s="160" t="s">
        <v>76</v>
      </c>
      <c r="E54" s="106">
        <v>2.23</v>
      </c>
      <c r="F54" s="246">
        <f>E54*F45</f>
        <v>81.172</v>
      </c>
      <c r="G54" s="239"/>
      <c r="H54" s="157"/>
      <c r="I54" s="139"/>
      <c r="J54" s="239"/>
      <c r="K54" s="139"/>
      <c r="L54" s="157"/>
      <c r="M54" s="139"/>
      <c r="N54" s="198"/>
      <c r="O54" s="198"/>
      <c r="P54" s="198"/>
      <c r="Q54" s="198"/>
      <c r="R54" s="198"/>
    </row>
    <row r="55" spans="1:18" s="201" customFormat="1" ht="15.75">
      <c r="A55" s="213"/>
      <c r="B55" s="213"/>
      <c r="C55" s="249" t="s">
        <v>41</v>
      </c>
      <c r="D55" s="137" t="s">
        <v>30</v>
      </c>
      <c r="E55" s="250">
        <v>1.91</v>
      </c>
      <c r="F55" s="136">
        <f>E55*F45</f>
        <v>69.524</v>
      </c>
      <c r="G55" s="135"/>
      <c r="H55" s="134"/>
      <c r="I55" s="142"/>
      <c r="J55" s="135"/>
      <c r="K55" s="142"/>
      <c r="L55" s="134"/>
      <c r="M55" s="142"/>
      <c r="N55" s="198"/>
      <c r="O55" s="198"/>
      <c r="P55" s="198"/>
      <c r="Q55" s="198"/>
      <c r="R55" s="198"/>
    </row>
    <row r="56" spans="1:18" s="201" customFormat="1" ht="15.75">
      <c r="A56" s="253"/>
      <c r="B56" s="216"/>
      <c r="C56" s="254" t="s">
        <v>121</v>
      </c>
      <c r="D56" s="99"/>
      <c r="E56" s="96"/>
      <c r="F56" s="97"/>
      <c r="G56" s="255"/>
      <c r="H56" s="256"/>
      <c r="I56" s="257"/>
      <c r="J56" s="255"/>
      <c r="K56" s="257"/>
      <c r="L56" s="256"/>
      <c r="M56" s="257"/>
      <c r="N56" s="198"/>
      <c r="O56" s="198"/>
      <c r="P56" s="198"/>
      <c r="Q56" s="198"/>
      <c r="R56" s="198"/>
    </row>
    <row r="57" spans="1:18" s="201" customFormat="1" ht="15.75">
      <c r="A57" s="160">
        <v>8</v>
      </c>
      <c r="B57" s="104" t="s">
        <v>118</v>
      </c>
      <c r="C57" s="244" t="s">
        <v>119</v>
      </c>
      <c r="D57" s="160" t="s">
        <v>31</v>
      </c>
      <c r="E57" s="106"/>
      <c r="F57" s="242">
        <f>F61+F62+F63</f>
        <v>0.81</v>
      </c>
      <c r="G57" s="239"/>
      <c r="H57" s="157"/>
      <c r="I57" s="139"/>
      <c r="J57" s="239"/>
      <c r="K57" s="139"/>
      <c r="L57" s="157"/>
      <c r="M57" s="139"/>
      <c r="N57" s="198"/>
      <c r="O57" s="198"/>
      <c r="P57" s="198"/>
      <c r="Q57" s="198"/>
      <c r="R57" s="198"/>
    </row>
    <row r="58" spans="1:18" ht="15.75">
      <c r="A58" s="160"/>
      <c r="B58" s="104"/>
      <c r="C58" s="107" t="s">
        <v>26</v>
      </c>
      <c r="D58" s="85" t="s">
        <v>27</v>
      </c>
      <c r="E58" s="245">
        <v>14.4</v>
      </c>
      <c r="F58" s="246">
        <f>E58*F57</f>
        <v>11.664000000000001</v>
      </c>
      <c r="G58" s="239"/>
      <c r="H58" s="157"/>
      <c r="I58" s="139"/>
      <c r="J58" s="239"/>
      <c r="K58" s="139"/>
      <c r="L58" s="157"/>
      <c r="M58" s="139"/>
      <c r="N58" s="445"/>
      <c r="O58" s="445"/>
      <c r="P58" s="445"/>
      <c r="Q58" s="445"/>
      <c r="R58" s="198"/>
    </row>
    <row r="59" spans="1:18" ht="15.75">
      <c r="A59" s="160"/>
      <c r="B59" s="104" t="s">
        <v>71</v>
      </c>
      <c r="C59" s="244" t="s">
        <v>92</v>
      </c>
      <c r="D59" s="85" t="s">
        <v>28</v>
      </c>
      <c r="E59" s="106">
        <v>1.93</v>
      </c>
      <c r="F59" s="246">
        <f>E59*F57</f>
        <v>1.5633000000000001</v>
      </c>
      <c r="G59" s="239"/>
      <c r="H59" s="157"/>
      <c r="I59" s="139"/>
      <c r="J59" s="239"/>
      <c r="K59" s="139"/>
      <c r="L59" s="157"/>
      <c r="M59" s="139"/>
      <c r="N59" s="198"/>
      <c r="O59" s="198"/>
      <c r="P59" s="198"/>
      <c r="Q59" s="198"/>
      <c r="R59" s="198"/>
    </row>
    <row r="60" spans="1:18" ht="15.75">
      <c r="A60" s="160"/>
      <c r="B60" s="104"/>
      <c r="C60" s="244" t="s">
        <v>33</v>
      </c>
      <c r="D60" s="160" t="s">
        <v>30</v>
      </c>
      <c r="E60" s="106">
        <v>5.93</v>
      </c>
      <c r="F60" s="246">
        <f>E60*F57</f>
        <v>4.8033</v>
      </c>
      <c r="G60" s="239"/>
      <c r="H60" s="157"/>
      <c r="I60" s="139"/>
      <c r="J60" s="239"/>
      <c r="K60" s="139"/>
      <c r="L60" s="157"/>
      <c r="M60" s="139"/>
      <c r="N60" s="198"/>
      <c r="O60" s="198"/>
      <c r="P60" s="198"/>
      <c r="Q60" s="198"/>
      <c r="R60" s="198"/>
    </row>
    <row r="61" spans="1:18" ht="15.75">
      <c r="A61" s="160"/>
      <c r="B61" s="243" t="s">
        <v>220</v>
      </c>
      <c r="C61" s="244" t="s">
        <v>204</v>
      </c>
      <c r="D61" s="160" t="s">
        <v>31</v>
      </c>
      <c r="E61" s="247" t="s">
        <v>36</v>
      </c>
      <c r="F61" s="246">
        <v>0.51</v>
      </c>
      <c r="G61" s="239"/>
      <c r="H61" s="157"/>
      <c r="I61" s="139"/>
      <c r="J61" s="239"/>
      <c r="K61" s="139"/>
      <c r="L61" s="157"/>
      <c r="M61" s="139"/>
      <c r="N61" s="198"/>
      <c r="O61" s="198"/>
      <c r="P61" s="198"/>
      <c r="Q61" s="198"/>
      <c r="R61" s="198"/>
    </row>
    <row r="62" spans="1:18" ht="15.75">
      <c r="A62" s="160"/>
      <c r="B62" s="243" t="s">
        <v>220</v>
      </c>
      <c r="C62" s="244" t="s">
        <v>205</v>
      </c>
      <c r="D62" s="160" t="s">
        <v>31</v>
      </c>
      <c r="E62" s="247" t="s">
        <v>36</v>
      </c>
      <c r="F62" s="246">
        <v>0.2234</v>
      </c>
      <c r="G62" s="239"/>
      <c r="H62" s="157"/>
      <c r="I62" s="139"/>
      <c r="J62" s="239"/>
      <c r="K62" s="139"/>
      <c r="L62" s="157"/>
      <c r="M62" s="139"/>
      <c r="N62" s="198"/>
      <c r="O62" s="198"/>
      <c r="P62" s="198"/>
      <c r="Q62" s="198"/>
      <c r="R62" s="198"/>
    </row>
    <row r="63" spans="1:18" ht="15.75">
      <c r="A63" s="160"/>
      <c r="B63" s="243" t="s">
        <v>221</v>
      </c>
      <c r="C63" s="244" t="s">
        <v>206</v>
      </c>
      <c r="D63" s="160" t="s">
        <v>31</v>
      </c>
      <c r="E63" s="247" t="s">
        <v>36</v>
      </c>
      <c r="F63" s="246">
        <v>0.0766</v>
      </c>
      <c r="G63" s="239"/>
      <c r="H63" s="157"/>
      <c r="I63" s="139"/>
      <c r="J63" s="239"/>
      <c r="K63" s="139"/>
      <c r="L63" s="157"/>
      <c r="M63" s="139"/>
      <c r="N63" s="198"/>
      <c r="O63" s="198"/>
      <c r="P63" s="198"/>
      <c r="Q63" s="198"/>
      <c r="R63" s="198"/>
    </row>
    <row r="64" spans="1:18" ht="15.75">
      <c r="A64" s="248"/>
      <c r="B64" s="213"/>
      <c r="C64" s="249" t="s">
        <v>41</v>
      </c>
      <c r="D64" s="137" t="s">
        <v>30</v>
      </c>
      <c r="E64" s="250">
        <v>9.08</v>
      </c>
      <c r="F64" s="136">
        <f>E64*F57</f>
        <v>7.354800000000001</v>
      </c>
      <c r="G64" s="135"/>
      <c r="H64" s="134"/>
      <c r="I64" s="142"/>
      <c r="J64" s="135"/>
      <c r="K64" s="142"/>
      <c r="L64" s="134"/>
      <c r="M64" s="142"/>
      <c r="N64" s="198"/>
      <c r="O64" s="198"/>
      <c r="P64" s="198"/>
      <c r="Q64" s="198"/>
      <c r="R64" s="198"/>
    </row>
    <row r="65" spans="1:18" ht="31.5">
      <c r="A65" s="160">
        <v>9</v>
      </c>
      <c r="B65" s="115" t="s">
        <v>129</v>
      </c>
      <c r="C65" s="252" t="s">
        <v>207</v>
      </c>
      <c r="D65" s="160" t="s">
        <v>149</v>
      </c>
      <c r="E65" s="106"/>
      <c r="F65" s="242">
        <v>13.85</v>
      </c>
      <c r="G65" s="258"/>
      <c r="H65" s="83"/>
      <c r="I65" s="259"/>
      <c r="J65" s="258"/>
      <c r="K65" s="259"/>
      <c r="L65" s="260"/>
      <c r="M65" s="259"/>
      <c r="N65" s="198"/>
      <c r="O65" s="198"/>
      <c r="P65" s="198"/>
      <c r="Q65" s="198"/>
      <c r="R65" s="198"/>
    </row>
    <row r="66" spans="1:18" ht="15.75">
      <c r="A66" s="160"/>
      <c r="B66" s="104"/>
      <c r="C66" s="133" t="s">
        <v>26</v>
      </c>
      <c r="D66" s="85" t="s">
        <v>27</v>
      </c>
      <c r="E66" s="139">
        <v>6.6</v>
      </c>
      <c r="F66" s="246">
        <f>E66*F65</f>
        <v>91.41</v>
      </c>
      <c r="G66" s="258"/>
      <c r="H66" s="259"/>
      <c r="I66" s="261"/>
      <c r="J66" s="258"/>
      <c r="K66" s="259"/>
      <c r="L66" s="260"/>
      <c r="M66" s="259"/>
      <c r="N66" s="198"/>
      <c r="O66" s="198"/>
      <c r="P66" s="198"/>
      <c r="Q66" s="198"/>
      <c r="R66" s="198"/>
    </row>
    <row r="67" spans="1:18" ht="15.75">
      <c r="A67" s="160"/>
      <c r="B67" s="104" t="s">
        <v>71</v>
      </c>
      <c r="C67" s="252" t="s">
        <v>92</v>
      </c>
      <c r="D67" s="85" t="s">
        <v>28</v>
      </c>
      <c r="E67" s="106">
        <f>9.6/100</f>
        <v>0.096</v>
      </c>
      <c r="F67" s="246">
        <f>E67*F65</f>
        <v>1.3296</v>
      </c>
      <c r="G67" s="258"/>
      <c r="H67" s="260"/>
      <c r="I67" s="259"/>
      <c r="J67" s="258"/>
      <c r="K67" s="139"/>
      <c r="L67" s="260"/>
      <c r="M67" s="259"/>
      <c r="N67" s="435"/>
      <c r="O67" s="435"/>
      <c r="P67" s="435"/>
      <c r="Q67" s="435"/>
      <c r="R67" s="198"/>
    </row>
    <row r="68" spans="1:18" ht="15.75">
      <c r="A68" s="160"/>
      <c r="B68" s="104"/>
      <c r="C68" s="252" t="s">
        <v>33</v>
      </c>
      <c r="D68" s="160" t="s">
        <v>30</v>
      </c>
      <c r="E68" s="106">
        <v>0.399</v>
      </c>
      <c r="F68" s="246">
        <f>E68*F65</f>
        <v>5.52615</v>
      </c>
      <c r="G68" s="258"/>
      <c r="H68" s="260"/>
      <c r="I68" s="259"/>
      <c r="J68" s="258"/>
      <c r="K68" s="259"/>
      <c r="L68" s="260"/>
      <c r="M68" s="259"/>
      <c r="N68" s="435"/>
      <c r="O68" s="435"/>
      <c r="P68" s="435"/>
      <c r="Q68" s="435"/>
      <c r="R68" s="198"/>
    </row>
    <row r="69" spans="1:18" ht="18">
      <c r="A69" s="160"/>
      <c r="B69" s="104" t="s">
        <v>147</v>
      </c>
      <c r="C69" s="252" t="s">
        <v>86</v>
      </c>
      <c r="D69" s="160" t="s">
        <v>149</v>
      </c>
      <c r="E69" s="106">
        <v>1.015</v>
      </c>
      <c r="F69" s="246">
        <f>E69*F65</f>
        <v>14.057749999999999</v>
      </c>
      <c r="G69" s="258"/>
      <c r="H69" s="260"/>
      <c r="I69" s="139"/>
      <c r="J69" s="239"/>
      <c r="K69" s="139"/>
      <c r="L69" s="157"/>
      <c r="M69" s="139"/>
      <c r="N69" s="435"/>
      <c r="O69" s="435"/>
      <c r="P69" s="435"/>
      <c r="Q69" s="435"/>
      <c r="R69" s="198"/>
    </row>
    <row r="70" spans="1:18" ht="18">
      <c r="A70" s="160"/>
      <c r="B70" s="104" t="s">
        <v>93</v>
      </c>
      <c r="C70" s="252" t="s">
        <v>94</v>
      </c>
      <c r="D70" s="160" t="s">
        <v>149</v>
      </c>
      <c r="E70" s="106">
        <f>2.47/100</f>
        <v>0.024700000000000003</v>
      </c>
      <c r="F70" s="246">
        <f>E70*F65</f>
        <v>0.34209500000000004</v>
      </c>
      <c r="G70" s="258"/>
      <c r="H70" s="260"/>
      <c r="I70" s="139"/>
      <c r="J70" s="239"/>
      <c r="K70" s="139"/>
      <c r="L70" s="157"/>
      <c r="M70" s="139"/>
      <c r="N70" s="198"/>
      <c r="O70" s="198"/>
      <c r="P70" s="198"/>
      <c r="Q70" s="198"/>
      <c r="R70" s="198"/>
    </row>
    <row r="71" spans="1:18" ht="18">
      <c r="A71" s="160"/>
      <c r="B71" s="104" t="s">
        <v>37</v>
      </c>
      <c r="C71" s="252" t="s">
        <v>95</v>
      </c>
      <c r="D71" s="160" t="s">
        <v>169</v>
      </c>
      <c r="E71" s="106">
        <v>0.39</v>
      </c>
      <c r="F71" s="246">
        <f>E71*F65</f>
        <v>5.4015</v>
      </c>
      <c r="G71" s="258"/>
      <c r="H71" s="260"/>
      <c r="I71" s="139"/>
      <c r="J71" s="239"/>
      <c r="K71" s="139"/>
      <c r="L71" s="157"/>
      <c r="M71" s="139"/>
      <c r="N71" s="198"/>
      <c r="O71" s="198"/>
      <c r="P71" s="198"/>
      <c r="Q71" s="198"/>
      <c r="R71" s="198"/>
    </row>
    <row r="72" spans="1:18" ht="18">
      <c r="A72" s="160"/>
      <c r="B72" s="104" t="s">
        <v>38</v>
      </c>
      <c r="C72" s="252" t="s">
        <v>96</v>
      </c>
      <c r="D72" s="160" t="s">
        <v>149</v>
      </c>
      <c r="E72" s="106">
        <f>4.68/100</f>
        <v>0.046799999999999994</v>
      </c>
      <c r="F72" s="246">
        <f>E72*F65</f>
        <v>0.6481799999999999</v>
      </c>
      <c r="G72" s="258"/>
      <c r="H72" s="260"/>
      <c r="I72" s="139"/>
      <c r="J72" s="239"/>
      <c r="K72" s="139"/>
      <c r="L72" s="157"/>
      <c r="M72" s="139"/>
      <c r="N72" s="198"/>
      <c r="O72" s="198"/>
      <c r="P72" s="198"/>
      <c r="Q72" s="198"/>
      <c r="R72" s="198"/>
    </row>
    <row r="73" spans="1:18" ht="18">
      <c r="A73" s="160"/>
      <c r="B73" s="104" t="s">
        <v>39</v>
      </c>
      <c r="C73" s="252" t="s">
        <v>138</v>
      </c>
      <c r="D73" s="160" t="s">
        <v>149</v>
      </c>
      <c r="E73" s="106">
        <f>(7.4+0.53)/100</f>
        <v>0.07930000000000001</v>
      </c>
      <c r="F73" s="246">
        <f>E73*F65</f>
        <v>1.098305</v>
      </c>
      <c r="G73" s="258"/>
      <c r="H73" s="260"/>
      <c r="I73" s="139"/>
      <c r="J73" s="239"/>
      <c r="K73" s="139"/>
      <c r="L73" s="157"/>
      <c r="M73" s="139"/>
      <c r="N73" s="198"/>
      <c r="O73" s="198"/>
      <c r="P73" s="198"/>
      <c r="Q73" s="198"/>
      <c r="R73" s="198"/>
    </row>
    <row r="74" spans="1:18" ht="15.75">
      <c r="A74" s="160"/>
      <c r="B74" s="104" t="s">
        <v>85</v>
      </c>
      <c r="C74" s="252" t="s">
        <v>84</v>
      </c>
      <c r="D74" s="160" t="s">
        <v>76</v>
      </c>
      <c r="E74" s="106">
        <v>1.93</v>
      </c>
      <c r="F74" s="246">
        <f>E74*F65</f>
        <v>26.7305</v>
      </c>
      <c r="G74" s="258"/>
      <c r="H74" s="260"/>
      <c r="I74" s="139"/>
      <c r="J74" s="239"/>
      <c r="K74" s="139"/>
      <c r="L74" s="157"/>
      <c r="M74" s="139"/>
      <c r="N74" s="198"/>
      <c r="O74" s="198"/>
      <c r="P74" s="198"/>
      <c r="Q74" s="198"/>
      <c r="R74" s="198"/>
    </row>
    <row r="75" spans="1:18" ht="15.75">
      <c r="A75" s="160"/>
      <c r="B75" s="104" t="s">
        <v>130</v>
      </c>
      <c r="C75" s="252" t="s">
        <v>128</v>
      </c>
      <c r="D75" s="160" t="s">
        <v>76</v>
      </c>
      <c r="E75" s="139">
        <v>11.6</v>
      </c>
      <c r="F75" s="246">
        <f>E75*F65</f>
        <v>160.66</v>
      </c>
      <c r="G75" s="258"/>
      <c r="H75" s="260"/>
      <c r="I75" s="139"/>
      <c r="J75" s="239"/>
      <c r="K75" s="139"/>
      <c r="L75" s="157"/>
      <c r="M75" s="139"/>
      <c r="N75" s="198"/>
      <c r="O75" s="198"/>
      <c r="P75" s="198"/>
      <c r="Q75" s="198"/>
      <c r="R75" s="198"/>
    </row>
    <row r="76" spans="1:18" ht="15.75">
      <c r="A76" s="248"/>
      <c r="B76" s="213"/>
      <c r="C76" s="262" t="s">
        <v>41</v>
      </c>
      <c r="D76" s="248" t="s">
        <v>30</v>
      </c>
      <c r="E76" s="250">
        <v>1.56</v>
      </c>
      <c r="F76" s="136">
        <f>E76*F65</f>
        <v>21.606</v>
      </c>
      <c r="G76" s="263"/>
      <c r="H76" s="264"/>
      <c r="I76" s="142"/>
      <c r="J76" s="134"/>
      <c r="K76" s="142"/>
      <c r="L76" s="134"/>
      <c r="M76" s="142"/>
      <c r="N76" s="198"/>
      <c r="O76" s="198"/>
      <c r="P76" s="198"/>
      <c r="Q76" s="198"/>
      <c r="R76" s="198"/>
    </row>
    <row r="77" spans="1:18" ht="18">
      <c r="A77" s="154">
        <v>10</v>
      </c>
      <c r="B77" s="79" t="s">
        <v>222</v>
      </c>
      <c r="C77" s="244" t="s">
        <v>142</v>
      </c>
      <c r="D77" s="153" t="s">
        <v>149</v>
      </c>
      <c r="E77" s="139"/>
      <c r="F77" s="265">
        <v>52.5</v>
      </c>
      <c r="G77" s="139"/>
      <c r="H77" s="139"/>
      <c r="I77" s="139"/>
      <c r="J77" s="139"/>
      <c r="K77" s="139"/>
      <c r="L77" s="139"/>
      <c r="M77" s="139"/>
      <c r="N77" s="198"/>
      <c r="O77" s="198"/>
      <c r="P77" s="198"/>
      <c r="Q77" s="198"/>
      <c r="R77" s="198"/>
    </row>
    <row r="78" spans="1:18" ht="15.75">
      <c r="A78" s="106"/>
      <c r="B78" s="104"/>
      <c r="C78" s="107" t="s">
        <v>26</v>
      </c>
      <c r="D78" s="85" t="s">
        <v>27</v>
      </c>
      <c r="E78" s="119">
        <f>9.96/1000</f>
        <v>0.00996</v>
      </c>
      <c r="F78" s="85">
        <f>E78*F77</f>
        <v>0.5229</v>
      </c>
      <c r="G78" s="85"/>
      <c r="H78" s="85"/>
      <c r="I78" s="85"/>
      <c r="J78" s="85"/>
      <c r="K78" s="117"/>
      <c r="L78" s="117"/>
      <c r="M78" s="85"/>
      <c r="N78" s="445"/>
      <c r="O78" s="445"/>
      <c r="P78" s="445"/>
      <c r="Q78" s="445"/>
      <c r="R78" s="198"/>
    </row>
    <row r="79" spans="1:18" ht="18">
      <c r="A79" s="160"/>
      <c r="B79" s="79" t="s">
        <v>87</v>
      </c>
      <c r="C79" s="107" t="s">
        <v>200</v>
      </c>
      <c r="D79" s="85" t="s">
        <v>28</v>
      </c>
      <c r="E79" s="119">
        <f>22.3/1000</f>
        <v>0.0223</v>
      </c>
      <c r="F79" s="85">
        <f>E79*F77</f>
        <v>1.17075</v>
      </c>
      <c r="G79" s="85"/>
      <c r="H79" s="85"/>
      <c r="I79" s="85"/>
      <c r="J79" s="85"/>
      <c r="K79" s="85"/>
      <c r="L79" s="85"/>
      <c r="M79" s="85"/>
      <c r="N79" s="198"/>
      <c r="O79" s="198"/>
      <c r="P79" s="198"/>
      <c r="Q79" s="198"/>
      <c r="R79" s="198"/>
    </row>
    <row r="80" spans="1:18" ht="31.5">
      <c r="A80" s="79" t="s">
        <v>127</v>
      </c>
      <c r="B80" s="79" t="s">
        <v>108</v>
      </c>
      <c r="C80" s="107" t="s">
        <v>109</v>
      </c>
      <c r="D80" s="106" t="s">
        <v>149</v>
      </c>
      <c r="E80" s="85"/>
      <c r="F80" s="82">
        <f>F77</f>
        <v>52.5</v>
      </c>
      <c r="G80" s="85"/>
      <c r="H80" s="85"/>
      <c r="I80" s="85"/>
      <c r="J80" s="85"/>
      <c r="K80" s="117"/>
      <c r="L80" s="85"/>
      <c r="M80" s="85"/>
      <c r="N80" s="198"/>
      <c r="O80" s="198"/>
      <c r="P80" s="198"/>
      <c r="Q80" s="198"/>
      <c r="R80" s="198"/>
    </row>
    <row r="81" spans="1:18" ht="15.75">
      <c r="A81" s="79"/>
      <c r="B81" s="79" t="s">
        <v>103</v>
      </c>
      <c r="C81" s="107" t="s">
        <v>104</v>
      </c>
      <c r="D81" s="85" t="s">
        <v>28</v>
      </c>
      <c r="E81" s="119">
        <f>(1.85-0.21*2)/1000*6</f>
        <v>0.00858</v>
      </c>
      <c r="F81" s="85">
        <f>E81*F80</f>
        <v>0.45045</v>
      </c>
      <c r="G81" s="85"/>
      <c r="H81" s="85"/>
      <c r="I81" s="85"/>
      <c r="J81" s="85"/>
      <c r="K81" s="85"/>
      <c r="L81" s="85"/>
      <c r="M81" s="85"/>
      <c r="N81" s="198"/>
      <c r="O81" s="198"/>
      <c r="P81" s="198"/>
      <c r="Q81" s="198"/>
      <c r="R81" s="198"/>
    </row>
    <row r="82" spans="1:18" ht="15.75">
      <c r="A82" s="79"/>
      <c r="B82" s="79" t="s">
        <v>42</v>
      </c>
      <c r="C82" s="107" t="s">
        <v>43</v>
      </c>
      <c r="D82" s="85" t="s">
        <v>28</v>
      </c>
      <c r="E82" s="116">
        <f>(10.5-1.02*2)/1000</f>
        <v>0.00846</v>
      </c>
      <c r="F82" s="85">
        <f>E82*F80</f>
        <v>0.44415000000000004</v>
      </c>
      <c r="G82" s="85"/>
      <c r="H82" s="85"/>
      <c r="I82" s="85"/>
      <c r="J82" s="85"/>
      <c r="K82" s="85"/>
      <c r="L82" s="85"/>
      <c r="M82" s="85"/>
      <c r="N82" s="198"/>
      <c r="O82" s="198"/>
      <c r="P82" s="198"/>
      <c r="Q82" s="198"/>
      <c r="R82" s="198"/>
    </row>
    <row r="83" spans="1:18" ht="15.75">
      <c r="A83" s="87"/>
      <c r="B83" s="87" t="s">
        <v>105</v>
      </c>
      <c r="C83" s="159" t="s">
        <v>106</v>
      </c>
      <c r="D83" s="89" t="s">
        <v>28</v>
      </c>
      <c r="E83" s="266">
        <f>(1.85-0.21*2)/1000*6</f>
        <v>0.00858</v>
      </c>
      <c r="F83" s="89">
        <f>E83*F80</f>
        <v>0.45045</v>
      </c>
      <c r="G83" s="89"/>
      <c r="H83" s="89"/>
      <c r="I83" s="89"/>
      <c r="J83" s="89"/>
      <c r="K83" s="89"/>
      <c r="L83" s="89"/>
      <c r="M83" s="89"/>
      <c r="N83" s="435"/>
      <c r="O83" s="435"/>
      <c r="P83" s="435"/>
      <c r="Q83" s="435"/>
      <c r="R83" s="198"/>
    </row>
    <row r="84" spans="1:18" ht="18">
      <c r="A84" s="154">
        <v>12</v>
      </c>
      <c r="B84" s="154" t="s">
        <v>97</v>
      </c>
      <c r="C84" s="267" t="s">
        <v>98</v>
      </c>
      <c r="D84" s="153" t="s">
        <v>149</v>
      </c>
      <c r="E84" s="165"/>
      <c r="F84" s="163">
        <v>26.5</v>
      </c>
      <c r="G84" s="165"/>
      <c r="H84" s="165"/>
      <c r="I84" s="165"/>
      <c r="J84" s="165"/>
      <c r="K84" s="165"/>
      <c r="L84" s="165"/>
      <c r="M84" s="165"/>
      <c r="N84" s="198"/>
      <c r="O84" s="198"/>
      <c r="P84" s="198"/>
      <c r="Q84" s="198"/>
      <c r="R84" s="198"/>
    </row>
    <row r="85" spans="1:18" ht="15.75">
      <c r="A85" s="167"/>
      <c r="B85" s="268"/>
      <c r="C85" s="107" t="s">
        <v>26</v>
      </c>
      <c r="D85" s="81" t="s">
        <v>27</v>
      </c>
      <c r="E85" s="168">
        <v>2.78</v>
      </c>
      <c r="F85" s="85">
        <f>E85*F84</f>
        <v>73.67</v>
      </c>
      <c r="G85" s="83"/>
      <c r="H85" s="83"/>
      <c r="I85" s="168"/>
      <c r="J85" s="168"/>
      <c r="K85" s="168"/>
      <c r="L85" s="168"/>
      <c r="M85" s="83"/>
      <c r="N85" s="406"/>
      <c r="O85" s="406"/>
      <c r="P85" s="406"/>
      <c r="Q85" s="406"/>
      <c r="R85" s="406"/>
    </row>
    <row r="86" spans="1:18" ht="15.75">
      <c r="A86" s="167"/>
      <c r="B86" s="167"/>
      <c r="C86" s="168" t="s">
        <v>35</v>
      </c>
      <c r="D86" s="167" t="s">
        <v>30</v>
      </c>
      <c r="E86" s="168">
        <f>0.26/100</f>
        <v>0.0026</v>
      </c>
      <c r="F86" s="85">
        <f>E86*F84</f>
        <v>0.0689</v>
      </c>
      <c r="G86" s="168"/>
      <c r="H86" s="168"/>
      <c r="I86" s="168"/>
      <c r="J86" s="168"/>
      <c r="K86" s="168"/>
      <c r="L86" s="269"/>
      <c r="M86" s="269"/>
      <c r="N86" s="198"/>
      <c r="O86" s="198"/>
      <c r="P86" s="198"/>
      <c r="Q86" s="198"/>
      <c r="R86" s="198"/>
    </row>
    <row r="87" spans="1:18" ht="18">
      <c r="A87" s="232"/>
      <c r="B87" s="232" t="s">
        <v>224</v>
      </c>
      <c r="C87" s="231" t="s">
        <v>223</v>
      </c>
      <c r="D87" s="89" t="s">
        <v>149</v>
      </c>
      <c r="E87" s="231">
        <v>1.01</v>
      </c>
      <c r="F87" s="89">
        <f>E87*F84</f>
        <v>26.765</v>
      </c>
      <c r="G87" s="231"/>
      <c r="H87" s="231"/>
      <c r="I87" s="90"/>
      <c r="J87" s="90"/>
      <c r="K87" s="231"/>
      <c r="L87" s="231"/>
      <c r="M87" s="90"/>
      <c r="N87" s="406"/>
      <c r="O87" s="406"/>
      <c r="P87" s="406"/>
      <c r="Q87" s="406"/>
      <c r="R87" s="406"/>
    </row>
    <row r="88" spans="1:18" ht="15.75">
      <c r="A88" s="171"/>
      <c r="B88" s="79"/>
      <c r="C88" s="172" t="s">
        <v>10</v>
      </c>
      <c r="D88" s="173" t="s">
        <v>30</v>
      </c>
      <c r="E88" s="85"/>
      <c r="F88" s="85"/>
      <c r="G88" s="85"/>
      <c r="H88" s="85"/>
      <c r="I88" s="85"/>
      <c r="J88" s="85"/>
      <c r="K88" s="117"/>
      <c r="L88" s="85"/>
      <c r="M88" s="85"/>
      <c r="N88" s="406"/>
      <c r="O88" s="406"/>
      <c r="P88" s="406"/>
      <c r="Q88" s="406"/>
      <c r="R88" s="406"/>
    </row>
    <row r="89" spans="1:18" ht="31.5">
      <c r="A89" s="171"/>
      <c r="B89" s="79"/>
      <c r="C89" s="175" t="s">
        <v>252</v>
      </c>
      <c r="D89" s="173"/>
      <c r="E89" s="176" t="s">
        <v>241</v>
      </c>
      <c r="F89" s="85"/>
      <c r="G89" s="85"/>
      <c r="H89" s="85"/>
      <c r="I89" s="85"/>
      <c r="J89" s="85"/>
      <c r="K89" s="117"/>
      <c r="L89" s="85"/>
      <c r="M89" s="85"/>
      <c r="N89" s="406"/>
      <c r="O89" s="406"/>
      <c r="P89" s="406"/>
      <c r="Q89" s="406"/>
      <c r="R89" s="406"/>
    </row>
    <row r="90" spans="1:18" ht="15.75">
      <c r="A90" s="171"/>
      <c r="B90" s="79"/>
      <c r="C90" s="175" t="s">
        <v>6</v>
      </c>
      <c r="D90" s="173"/>
      <c r="E90" s="176"/>
      <c r="F90" s="85"/>
      <c r="G90" s="85"/>
      <c r="H90" s="85"/>
      <c r="I90" s="85"/>
      <c r="J90" s="85"/>
      <c r="K90" s="117"/>
      <c r="L90" s="85"/>
      <c r="M90" s="85"/>
      <c r="N90" s="198"/>
      <c r="O90" s="198"/>
      <c r="P90" s="198"/>
      <c r="Q90" s="198"/>
      <c r="R90" s="198"/>
    </row>
    <row r="91" spans="1:18" ht="15.75">
      <c r="A91" s="270"/>
      <c r="B91" s="202"/>
      <c r="C91" s="177" t="s">
        <v>253</v>
      </c>
      <c r="D91" s="173" t="s">
        <v>30</v>
      </c>
      <c r="E91" s="176" t="s">
        <v>241</v>
      </c>
      <c r="F91" s="203"/>
      <c r="G91" s="178"/>
      <c r="H91" s="179"/>
      <c r="I91" s="179"/>
      <c r="J91" s="179"/>
      <c r="K91" s="179"/>
      <c r="L91" s="179"/>
      <c r="M91" s="179"/>
      <c r="N91" s="198"/>
      <c r="O91" s="198"/>
      <c r="P91" s="198"/>
      <c r="Q91" s="198"/>
      <c r="R91" s="198"/>
    </row>
    <row r="92" spans="1:18" ht="15.75">
      <c r="A92" s="271"/>
      <c r="B92" s="202"/>
      <c r="C92" s="172" t="s">
        <v>10</v>
      </c>
      <c r="D92" s="173" t="s">
        <v>30</v>
      </c>
      <c r="E92" s="181"/>
      <c r="F92" s="172"/>
      <c r="G92" s="172"/>
      <c r="H92" s="181"/>
      <c r="I92" s="181"/>
      <c r="J92" s="181"/>
      <c r="K92" s="181"/>
      <c r="L92" s="181"/>
      <c r="M92" s="181"/>
      <c r="N92" s="198"/>
      <c r="O92" s="198"/>
      <c r="P92" s="198"/>
      <c r="Q92" s="198"/>
      <c r="R92" s="198"/>
    </row>
    <row r="93" spans="1:18" ht="15.75">
      <c r="A93" s="270"/>
      <c r="B93" s="202"/>
      <c r="C93" s="175" t="s">
        <v>251</v>
      </c>
      <c r="D93" s="173" t="s">
        <v>30</v>
      </c>
      <c r="E93" s="176" t="s">
        <v>241</v>
      </c>
      <c r="F93" s="204"/>
      <c r="G93" s="179"/>
      <c r="H93" s="179"/>
      <c r="I93" s="179"/>
      <c r="J93" s="179"/>
      <c r="K93" s="179"/>
      <c r="L93" s="179"/>
      <c r="M93" s="179"/>
      <c r="N93" s="444"/>
      <c r="O93" s="444"/>
      <c r="P93" s="444"/>
      <c r="Q93" s="444"/>
      <c r="R93" s="198"/>
    </row>
    <row r="94" spans="1:18" ht="15.75">
      <c r="A94" s="272"/>
      <c r="B94" s="205"/>
      <c r="C94" s="182" t="s">
        <v>10</v>
      </c>
      <c r="D94" s="184" t="s">
        <v>30</v>
      </c>
      <c r="E94" s="182"/>
      <c r="F94" s="182"/>
      <c r="G94" s="182"/>
      <c r="H94" s="185"/>
      <c r="I94" s="185"/>
      <c r="J94" s="185"/>
      <c r="K94" s="185"/>
      <c r="L94" s="185"/>
      <c r="M94" s="185"/>
      <c r="N94" s="198"/>
      <c r="O94" s="198"/>
      <c r="P94" s="198"/>
      <c r="Q94" s="198"/>
      <c r="R94" s="198"/>
    </row>
    <row r="95" spans="1:16" s="127" customFormat="1" ht="15.75">
      <c r="A95" s="188"/>
      <c r="B95" s="122"/>
      <c r="C95" s="122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155"/>
      <c r="O95" s="155"/>
      <c r="P95" s="155"/>
    </row>
    <row r="96" spans="1:16" s="127" customFormat="1" ht="15.75">
      <c r="A96" s="188"/>
      <c r="B96" s="122"/>
      <c r="C96" s="122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155"/>
      <c r="O96" s="155"/>
      <c r="P96" s="155"/>
    </row>
    <row r="97" spans="14:18" ht="15.75">
      <c r="N97" s="406"/>
      <c r="O97" s="406"/>
      <c r="P97" s="406"/>
      <c r="Q97" s="406"/>
      <c r="R97" s="198"/>
    </row>
    <row r="98" spans="14:18" ht="15.75">
      <c r="N98" s="198"/>
      <c r="O98" s="198"/>
      <c r="P98" s="198"/>
      <c r="Q98" s="198"/>
      <c r="R98" s="198"/>
    </row>
    <row r="99" spans="14:18" ht="15.75">
      <c r="N99" s="198"/>
      <c r="O99" s="198"/>
      <c r="P99" s="198"/>
      <c r="Q99" s="198"/>
      <c r="R99" s="198"/>
    </row>
    <row r="100" spans="14:18" ht="15.75">
      <c r="N100" s="198"/>
      <c r="O100" s="198"/>
      <c r="P100" s="198"/>
      <c r="Q100" s="198"/>
      <c r="R100" s="198"/>
    </row>
  </sheetData>
  <sheetProtection/>
  <mergeCells count="35">
    <mergeCell ref="A3:M3"/>
    <mergeCell ref="A4:A7"/>
    <mergeCell ref="B4:B7"/>
    <mergeCell ref="C4:C7"/>
    <mergeCell ref="D4:F5"/>
    <mergeCell ref="G4:H5"/>
    <mergeCell ref="I4:J5"/>
    <mergeCell ref="K4:L4"/>
    <mergeCell ref="M4:M7"/>
    <mergeCell ref="K5:L5"/>
    <mergeCell ref="D6:D7"/>
    <mergeCell ref="E6:E7"/>
    <mergeCell ref="F6:F7"/>
    <mergeCell ref="H6:H7"/>
    <mergeCell ref="J6:J7"/>
    <mergeCell ref="L6:L7"/>
    <mergeCell ref="N19:R19"/>
    <mergeCell ref="N34:Q34"/>
    <mergeCell ref="N47:Q47"/>
    <mergeCell ref="N69:Q69"/>
    <mergeCell ref="N78:Q78"/>
    <mergeCell ref="N48:Q48"/>
    <mergeCell ref="N49:Q49"/>
    <mergeCell ref="N58:Q58"/>
    <mergeCell ref="N67:Q67"/>
    <mergeCell ref="B2:M2"/>
    <mergeCell ref="N68:Q68"/>
    <mergeCell ref="N83:Q83"/>
    <mergeCell ref="N85:R85"/>
    <mergeCell ref="N93:Q93"/>
    <mergeCell ref="N97:Q97"/>
    <mergeCell ref="N87:R87"/>
    <mergeCell ref="N88:R88"/>
    <mergeCell ref="N89:R89"/>
    <mergeCell ref="N17:R17"/>
  </mergeCells>
  <conditionalFormatting sqref="A36:M36">
    <cfRule type="cellIs" priority="1" dxfId="0" operator="equal" stopIfTrue="1">
      <formula>8223.307275</formula>
    </cfRule>
  </conditionalFormatting>
  <printOptions/>
  <pageMargins left="0.5905511811023623" right="0" top="0.5905511811023623" bottom="0.5905511811023623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="85" zoomScaleSheetLayoutView="85" zoomScalePageLayoutView="0" workbookViewId="0" topLeftCell="A1">
      <selection activeCell="A2" sqref="A2:M2"/>
    </sheetView>
  </sheetViews>
  <sheetFormatPr defaultColWidth="9.00390625" defaultRowHeight="12.75"/>
  <cols>
    <col min="1" max="1" width="3.7109375" style="128" customWidth="1"/>
    <col min="2" max="2" width="9.7109375" style="129" customWidth="1"/>
    <col min="3" max="3" width="74.28125" style="129" customWidth="1"/>
    <col min="4" max="4" width="8.28125" style="186" customWidth="1"/>
    <col min="5" max="5" width="9.421875" style="186" bestFit="1" customWidth="1"/>
    <col min="6" max="6" width="9.28125" style="186" customWidth="1"/>
    <col min="7" max="7" width="9.7109375" style="186" customWidth="1"/>
    <col min="8" max="8" width="10.28125" style="186" customWidth="1"/>
    <col min="9" max="9" width="10.00390625" style="186" customWidth="1"/>
    <col min="10" max="10" width="10.28125" style="186" customWidth="1"/>
    <col min="11" max="11" width="8.7109375" style="186" customWidth="1"/>
    <col min="12" max="12" width="10.421875" style="186" customWidth="1"/>
    <col min="13" max="13" width="19.00390625" style="186" customWidth="1"/>
    <col min="14" max="15" width="9.00390625" style="127" customWidth="1"/>
    <col min="16" max="16" width="21.28125" style="127" customWidth="1"/>
    <col min="17" max="17" width="9.00390625" style="127" customWidth="1"/>
    <col min="18" max="18" width="7.28125" style="127" customWidth="1"/>
    <col min="19" max="22" width="9.00390625" style="127" customWidth="1"/>
    <col min="23" max="23" width="6.8515625" style="127" customWidth="1"/>
    <col min="24" max="16384" width="9.00390625" style="127" customWidth="1"/>
  </cols>
  <sheetData>
    <row r="1" spans="1:13" ht="15.75">
      <c r="A1" s="126"/>
      <c r="B1" s="126"/>
      <c r="C1" s="350" t="s">
        <v>237</v>
      </c>
      <c r="D1" s="126"/>
      <c r="E1" s="126"/>
      <c r="F1" s="126"/>
      <c r="G1" s="126"/>
      <c r="H1" s="126"/>
      <c r="I1" s="126"/>
      <c r="J1" s="126"/>
      <c r="K1" s="126"/>
      <c r="L1" s="126"/>
      <c r="M1" s="351" t="s">
        <v>244</v>
      </c>
    </row>
    <row r="2" spans="1:14" ht="35.25" customHeight="1">
      <c r="A2" s="434" t="s">
        <v>255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374"/>
    </row>
    <row r="3" spans="1:13" ht="15.75">
      <c r="A3" s="418" t="s">
        <v>192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ht="15.75">
      <c r="A4" s="419" t="s">
        <v>0</v>
      </c>
      <c r="B4" s="422" t="s">
        <v>1</v>
      </c>
      <c r="C4" s="425" t="s">
        <v>25</v>
      </c>
      <c r="D4" s="408" t="s">
        <v>2</v>
      </c>
      <c r="E4" s="428"/>
      <c r="F4" s="410"/>
      <c r="G4" s="408" t="s">
        <v>3</v>
      </c>
      <c r="H4" s="409"/>
      <c r="I4" s="408" t="s">
        <v>4</v>
      </c>
      <c r="J4" s="432"/>
      <c r="K4" s="408" t="s">
        <v>5</v>
      </c>
      <c r="L4" s="409"/>
      <c r="M4" s="410" t="s">
        <v>6</v>
      </c>
    </row>
    <row r="5" spans="1:13" ht="15.75">
      <c r="A5" s="420"/>
      <c r="B5" s="423"/>
      <c r="C5" s="426"/>
      <c r="D5" s="414"/>
      <c r="E5" s="429"/>
      <c r="F5" s="430"/>
      <c r="G5" s="431"/>
      <c r="H5" s="415"/>
      <c r="I5" s="431"/>
      <c r="J5" s="433"/>
      <c r="K5" s="414" t="s">
        <v>7</v>
      </c>
      <c r="L5" s="415"/>
      <c r="M5" s="411"/>
    </row>
    <row r="6" spans="1:13" ht="15.75">
      <c r="A6" s="420"/>
      <c r="B6" s="423"/>
      <c r="C6" s="426"/>
      <c r="D6" s="416" t="s">
        <v>8</v>
      </c>
      <c r="E6" s="416" t="s">
        <v>9</v>
      </c>
      <c r="F6" s="416" t="s">
        <v>10</v>
      </c>
      <c r="G6" s="139" t="s">
        <v>9</v>
      </c>
      <c r="H6" s="416" t="s">
        <v>10</v>
      </c>
      <c r="I6" s="139" t="s">
        <v>9</v>
      </c>
      <c r="J6" s="416" t="s">
        <v>10</v>
      </c>
      <c r="K6" s="139" t="s">
        <v>9</v>
      </c>
      <c r="L6" s="416" t="s">
        <v>10</v>
      </c>
      <c r="M6" s="412"/>
    </row>
    <row r="7" spans="1:13" ht="15.75">
      <c r="A7" s="421"/>
      <c r="B7" s="424"/>
      <c r="C7" s="427"/>
      <c r="D7" s="417"/>
      <c r="E7" s="417"/>
      <c r="F7" s="417"/>
      <c r="G7" s="142" t="s">
        <v>11</v>
      </c>
      <c r="H7" s="417"/>
      <c r="I7" s="142" t="s">
        <v>11</v>
      </c>
      <c r="J7" s="417"/>
      <c r="K7" s="142" t="s">
        <v>11</v>
      </c>
      <c r="L7" s="417"/>
      <c r="M7" s="413"/>
    </row>
    <row r="8" spans="1:13" ht="15.75">
      <c r="A8" s="143">
        <v>1</v>
      </c>
      <c r="B8" s="144" t="s">
        <v>77</v>
      </c>
      <c r="C8" s="145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3">
        <v>13</v>
      </c>
    </row>
    <row r="9" spans="1:13" ht="47.25">
      <c r="A9" s="79" t="s">
        <v>69</v>
      </c>
      <c r="B9" s="151" t="s">
        <v>152</v>
      </c>
      <c r="C9" s="152" t="s">
        <v>187</v>
      </c>
      <c r="D9" s="82" t="s">
        <v>153</v>
      </c>
      <c r="E9" s="82"/>
      <c r="F9" s="82">
        <v>243</v>
      </c>
      <c r="G9" s="82"/>
      <c r="H9" s="85"/>
      <c r="I9" s="85"/>
      <c r="J9" s="153"/>
      <c r="K9" s="153"/>
      <c r="L9" s="154"/>
      <c r="M9" s="154"/>
    </row>
    <row r="10" spans="1:13" ht="15.75">
      <c r="A10" s="79"/>
      <c r="B10" s="79"/>
      <c r="C10" s="107" t="s">
        <v>26</v>
      </c>
      <c r="D10" s="85" t="s">
        <v>27</v>
      </c>
      <c r="E10" s="116">
        <f>20/1000</f>
        <v>0.02</v>
      </c>
      <c r="F10" s="85">
        <f>E10*F9</f>
        <v>4.86</v>
      </c>
      <c r="G10" s="85"/>
      <c r="H10" s="85"/>
      <c r="I10" s="139"/>
      <c r="J10" s="139"/>
      <c r="K10" s="139"/>
      <c r="L10" s="139"/>
      <c r="M10" s="139"/>
    </row>
    <row r="11" spans="1:13" ht="15.75">
      <c r="A11" s="79"/>
      <c r="B11" s="79"/>
      <c r="C11" s="107" t="s">
        <v>154</v>
      </c>
      <c r="D11" s="85" t="s">
        <v>28</v>
      </c>
      <c r="E11" s="119">
        <f>44.8/1000</f>
        <v>0.0448</v>
      </c>
      <c r="F11" s="85">
        <f>E11*F9</f>
        <v>10.8864</v>
      </c>
      <c r="G11" s="85"/>
      <c r="H11" s="85"/>
      <c r="I11" s="139"/>
      <c r="J11" s="156"/>
      <c r="K11" s="85"/>
      <c r="L11" s="157"/>
      <c r="M11" s="139"/>
    </row>
    <row r="12" spans="1:13" ht="15.75">
      <c r="A12" s="79"/>
      <c r="B12" s="79"/>
      <c r="C12" s="107" t="s">
        <v>151</v>
      </c>
      <c r="D12" s="85" t="s">
        <v>27</v>
      </c>
      <c r="E12" s="116"/>
      <c r="F12" s="158">
        <f>F11</f>
        <v>10.8864</v>
      </c>
      <c r="G12" s="85"/>
      <c r="H12" s="85"/>
      <c r="I12" s="139"/>
      <c r="J12" s="156"/>
      <c r="K12" s="139"/>
      <c r="L12" s="157"/>
      <c r="M12" s="139"/>
    </row>
    <row r="13" spans="1:13" ht="15.75">
      <c r="A13" s="79"/>
      <c r="B13" s="79"/>
      <c r="C13" s="107" t="s">
        <v>33</v>
      </c>
      <c r="D13" s="85" t="s">
        <v>30</v>
      </c>
      <c r="E13" s="119">
        <f>2.1/1000</f>
        <v>0.0021000000000000003</v>
      </c>
      <c r="F13" s="158">
        <f>E13*F9</f>
        <v>0.5103000000000001</v>
      </c>
      <c r="G13" s="85"/>
      <c r="H13" s="85"/>
      <c r="I13" s="85"/>
      <c r="J13" s="85"/>
      <c r="K13" s="85"/>
      <c r="L13" s="85"/>
      <c r="M13" s="139"/>
    </row>
    <row r="14" spans="1:17" ht="15.75">
      <c r="A14" s="87"/>
      <c r="B14" s="87"/>
      <c r="C14" s="159" t="s">
        <v>155</v>
      </c>
      <c r="D14" s="89" t="s">
        <v>156</v>
      </c>
      <c r="E14" s="121">
        <v>1.8</v>
      </c>
      <c r="F14" s="89">
        <f>F9*1.8</f>
        <v>437.40000000000003</v>
      </c>
      <c r="G14" s="89"/>
      <c r="H14" s="89"/>
      <c r="I14" s="89"/>
      <c r="J14" s="89"/>
      <c r="K14" s="140"/>
      <c r="L14" s="89"/>
      <c r="M14" s="142"/>
      <c r="N14" s="155"/>
      <c r="O14" s="155"/>
      <c r="P14" s="155"/>
      <c r="Q14" s="155"/>
    </row>
    <row r="15" spans="1:17" ht="47.25">
      <c r="A15" s="160">
        <v>5</v>
      </c>
      <c r="B15" s="273" t="s">
        <v>157</v>
      </c>
      <c r="C15" s="162" t="s">
        <v>158</v>
      </c>
      <c r="D15" s="274" t="s">
        <v>153</v>
      </c>
      <c r="E15" s="265"/>
      <c r="F15" s="242">
        <v>27</v>
      </c>
      <c r="G15" s="156"/>
      <c r="H15" s="157"/>
      <c r="I15" s="139"/>
      <c r="J15" s="156"/>
      <c r="K15" s="139"/>
      <c r="L15" s="157"/>
      <c r="M15" s="139"/>
      <c r="N15" s="155"/>
      <c r="O15" s="155"/>
      <c r="P15" s="155"/>
      <c r="Q15" s="155"/>
    </row>
    <row r="16" spans="1:17" ht="15.75">
      <c r="A16" s="79"/>
      <c r="B16" s="79"/>
      <c r="C16" s="107" t="s">
        <v>26</v>
      </c>
      <c r="D16" s="85" t="s">
        <v>27</v>
      </c>
      <c r="E16" s="85">
        <f>2.06+0.87</f>
        <v>2.93</v>
      </c>
      <c r="F16" s="85">
        <f>E16*F15</f>
        <v>79.11</v>
      </c>
      <c r="G16" s="85"/>
      <c r="H16" s="85"/>
      <c r="I16" s="85"/>
      <c r="J16" s="85"/>
      <c r="K16" s="117"/>
      <c r="L16" s="117"/>
      <c r="M16" s="139"/>
      <c r="N16" s="155"/>
      <c r="O16" s="155"/>
      <c r="P16" s="155"/>
      <c r="Q16" s="155"/>
    </row>
    <row r="17" spans="1:17" ht="15.75">
      <c r="A17" s="248"/>
      <c r="B17" s="214"/>
      <c r="C17" s="249" t="s">
        <v>159</v>
      </c>
      <c r="D17" s="134" t="s">
        <v>31</v>
      </c>
      <c r="E17" s="121">
        <v>1.8</v>
      </c>
      <c r="F17" s="276">
        <f>F15*1.8</f>
        <v>48.6</v>
      </c>
      <c r="G17" s="135"/>
      <c r="H17" s="89"/>
      <c r="I17" s="142"/>
      <c r="J17" s="135"/>
      <c r="K17" s="142"/>
      <c r="L17" s="134"/>
      <c r="M17" s="142"/>
      <c r="N17" s="405"/>
      <c r="O17" s="405"/>
      <c r="P17" s="405"/>
      <c r="Q17" s="155"/>
    </row>
    <row r="18" spans="1:17" ht="18">
      <c r="A18" s="160">
        <v>6</v>
      </c>
      <c r="B18" s="161" t="s">
        <v>74</v>
      </c>
      <c r="C18" s="162" t="s">
        <v>72</v>
      </c>
      <c r="D18" s="163" t="s">
        <v>153</v>
      </c>
      <c r="E18" s="164"/>
      <c r="F18" s="163">
        <f>F15+F9</f>
        <v>270</v>
      </c>
      <c r="G18" s="165"/>
      <c r="H18" s="165"/>
      <c r="I18" s="165"/>
      <c r="J18" s="166"/>
      <c r="K18" s="165"/>
      <c r="L18" s="165"/>
      <c r="M18" s="165"/>
      <c r="N18" s="155"/>
      <c r="O18" s="155"/>
      <c r="P18" s="155"/>
      <c r="Q18" s="155"/>
    </row>
    <row r="19" spans="1:17" ht="15.75">
      <c r="A19" s="167"/>
      <c r="B19" s="167"/>
      <c r="C19" s="107" t="s">
        <v>26</v>
      </c>
      <c r="D19" s="85" t="s">
        <v>27</v>
      </c>
      <c r="E19" s="118">
        <f>3.23/1000</f>
        <v>0.00323</v>
      </c>
      <c r="F19" s="85">
        <f>E19*F18</f>
        <v>0.8721</v>
      </c>
      <c r="G19" s="83"/>
      <c r="H19" s="85"/>
      <c r="I19" s="168"/>
      <c r="J19" s="169"/>
      <c r="K19" s="168"/>
      <c r="L19" s="168"/>
      <c r="M19" s="139"/>
      <c r="N19" s="155"/>
      <c r="O19" s="155"/>
      <c r="P19" s="155"/>
      <c r="Q19" s="155"/>
    </row>
    <row r="20" spans="1:17" ht="15.75">
      <c r="A20" s="79"/>
      <c r="B20" s="79"/>
      <c r="C20" s="107" t="s">
        <v>70</v>
      </c>
      <c r="D20" s="85" t="s">
        <v>28</v>
      </c>
      <c r="E20" s="118">
        <f>3.62/1000</f>
        <v>0.00362</v>
      </c>
      <c r="F20" s="85">
        <f>E20*F18</f>
        <v>0.9773999999999999</v>
      </c>
      <c r="G20" s="85"/>
      <c r="H20" s="85"/>
      <c r="I20" s="85"/>
      <c r="J20" s="85"/>
      <c r="K20" s="85"/>
      <c r="L20" s="85"/>
      <c r="M20" s="139"/>
      <c r="N20" s="155"/>
      <c r="O20" s="155"/>
      <c r="P20" s="155"/>
      <c r="Q20" s="155"/>
    </row>
    <row r="21" spans="1:17" ht="15.75">
      <c r="A21" s="79"/>
      <c r="B21" s="79"/>
      <c r="C21" s="107" t="s">
        <v>151</v>
      </c>
      <c r="D21" s="85" t="s">
        <v>27</v>
      </c>
      <c r="E21" s="85"/>
      <c r="F21" s="85">
        <f>F20</f>
        <v>0.9773999999999999</v>
      </c>
      <c r="G21" s="85"/>
      <c r="H21" s="85"/>
      <c r="I21" s="85"/>
      <c r="J21" s="85"/>
      <c r="K21" s="117"/>
      <c r="L21" s="117"/>
      <c r="M21" s="139"/>
      <c r="N21" s="275"/>
      <c r="O21" s="155"/>
      <c r="P21" s="155"/>
      <c r="Q21" s="155"/>
    </row>
    <row r="22" spans="1:17" ht="15.75">
      <c r="A22" s="167"/>
      <c r="B22" s="167"/>
      <c r="C22" s="168" t="s">
        <v>33</v>
      </c>
      <c r="D22" s="167" t="s">
        <v>30</v>
      </c>
      <c r="E22" s="118">
        <f>0.18/1000</f>
        <v>0.00017999999999999998</v>
      </c>
      <c r="F22" s="85">
        <f>E22*F18</f>
        <v>0.0486</v>
      </c>
      <c r="G22" s="167"/>
      <c r="H22" s="167"/>
      <c r="I22" s="167"/>
      <c r="J22" s="170"/>
      <c r="K22" s="83"/>
      <c r="L22" s="85"/>
      <c r="M22" s="139"/>
      <c r="N22" s="155"/>
      <c r="O22" s="155"/>
      <c r="P22" s="155"/>
      <c r="Q22" s="155"/>
    </row>
    <row r="23" spans="1:17" ht="31.5">
      <c r="A23" s="277">
        <v>7</v>
      </c>
      <c r="B23" s="278" t="s">
        <v>160</v>
      </c>
      <c r="C23" s="152" t="s">
        <v>161</v>
      </c>
      <c r="D23" s="153" t="s">
        <v>149</v>
      </c>
      <c r="E23" s="138"/>
      <c r="F23" s="279">
        <v>14</v>
      </c>
      <c r="G23" s="132"/>
      <c r="H23" s="131"/>
      <c r="I23" s="138"/>
      <c r="J23" s="132"/>
      <c r="K23" s="138"/>
      <c r="L23" s="131"/>
      <c r="M23" s="138"/>
      <c r="N23" s="155"/>
      <c r="O23" s="155"/>
      <c r="P23" s="155"/>
      <c r="Q23" s="155"/>
    </row>
    <row r="24" spans="1:17" ht="15.75">
      <c r="A24" s="167"/>
      <c r="B24" s="167"/>
      <c r="C24" s="107" t="s">
        <v>26</v>
      </c>
      <c r="D24" s="85" t="s">
        <v>27</v>
      </c>
      <c r="E24" s="85">
        <v>1.78</v>
      </c>
      <c r="F24" s="85">
        <f>E24*F23</f>
        <v>24.92</v>
      </c>
      <c r="G24" s="83"/>
      <c r="H24" s="83"/>
      <c r="I24" s="168"/>
      <c r="J24" s="168"/>
      <c r="K24" s="168"/>
      <c r="L24" s="168"/>
      <c r="M24" s="83"/>
      <c r="N24" s="155"/>
      <c r="O24" s="155"/>
      <c r="P24" s="155"/>
      <c r="Q24" s="155"/>
    </row>
    <row r="25" spans="1:17" ht="18">
      <c r="A25" s="248"/>
      <c r="B25" s="214"/>
      <c r="C25" s="280" t="s">
        <v>162</v>
      </c>
      <c r="D25" s="134" t="s">
        <v>149</v>
      </c>
      <c r="E25" s="142">
        <v>1.1</v>
      </c>
      <c r="F25" s="136">
        <f>E25*F23</f>
        <v>15.400000000000002</v>
      </c>
      <c r="G25" s="135"/>
      <c r="H25" s="134"/>
      <c r="I25" s="142"/>
      <c r="J25" s="135"/>
      <c r="K25" s="142"/>
      <c r="L25" s="134"/>
      <c r="M25" s="142"/>
      <c r="N25" s="155"/>
      <c r="O25" s="155"/>
      <c r="P25" s="155"/>
      <c r="Q25" s="155"/>
    </row>
    <row r="26" spans="1:17" ht="18">
      <c r="A26" s="281">
        <v>8</v>
      </c>
      <c r="B26" s="115" t="s">
        <v>163</v>
      </c>
      <c r="C26" s="162" t="s">
        <v>164</v>
      </c>
      <c r="D26" s="85" t="s">
        <v>149</v>
      </c>
      <c r="E26" s="118"/>
      <c r="F26" s="282">
        <v>66.2</v>
      </c>
      <c r="G26" s="127"/>
      <c r="H26" s="268"/>
      <c r="I26" s="167"/>
      <c r="J26" s="127"/>
      <c r="K26" s="83"/>
      <c r="L26" s="158"/>
      <c r="M26" s="85"/>
      <c r="N26" s="405"/>
      <c r="O26" s="405"/>
      <c r="P26" s="405"/>
      <c r="Q26" s="155"/>
    </row>
    <row r="27" spans="1:17" ht="15.75">
      <c r="A27" s="117"/>
      <c r="B27" s="115"/>
      <c r="C27" s="133" t="s">
        <v>26</v>
      </c>
      <c r="D27" s="85" t="s">
        <v>27</v>
      </c>
      <c r="E27" s="259">
        <v>5.99</v>
      </c>
      <c r="F27" s="139">
        <f>E27*F26</f>
        <v>396.538</v>
      </c>
      <c r="G27" s="259"/>
      <c r="H27" s="259"/>
      <c r="I27" s="259"/>
      <c r="J27" s="259"/>
      <c r="K27" s="259"/>
      <c r="L27" s="259"/>
      <c r="M27" s="259"/>
      <c r="N27" s="155"/>
      <c r="O27" s="155"/>
      <c r="P27" s="155"/>
      <c r="Q27" s="155"/>
    </row>
    <row r="28" spans="1:17" ht="15.75">
      <c r="A28" s="117"/>
      <c r="B28" s="115"/>
      <c r="C28" s="168" t="s">
        <v>35</v>
      </c>
      <c r="D28" s="117" t="s">
        <v>30</v>
      </c>
      <c r="E28" s="168">
        <v>1.09</v>
      </c>
      <c r="F28" s="85">
        <f>E28*F26</f>
        <v>72.15800000000002</v>
      </c>
      <c r="G28" s="83"/>
      <c r="H28" s="83"/>
      <c r="I28" s="83"/>
      <c r="J28" s="83"/>
      <c r="K28" s="83"/>
      <c r="L28" s="83"/>
      <c r="M28" s="83"/>
      <c r="N28" s="155"/>
      <c r="O28" s="155"/>
      <c r="P28" s="155"/>
      <c r="Q28" s="155"/>
    </row>
    <row r="29" spans="1:17" ht="18">
      <c r="A29" s="117"/>
      <c r="B29" s="285"/>
      <c r="C29" s="168" t="s">
        <v>165</v>
      </c>
      <c r="D29" s="106" t="s">
        <v>149</v>
      </c>
      <c r="E29" s="168">
        <v>1.015</v>
      </c>
      <c r="F29" s="85">
        <f>E29*F26</f>
        <v>67.193</v>
      </c>
      <c r="G29" s="83"/>
      <c r="H29" s="83"/>
      <c r="I29" s="259"/>
      <c r="J29" s="83"/>
      <c r="K29" s="85"/>
      <c r="L29" s="85"/>
      <c r="M29" s="85"/>
      <c r="N29" s="155"/>
      <c r="O29" s="155"/>
      <c r="P29" s="155"/>
      <c r="Q29" s="155"/>
    </row>
    <row r="30" spans="1:17" ht="15.75">
      <c r="A30" s="117"/>
      <c r="B30" s="115"/>
      <c r="C30" s="168" t="s">
        <v>166</v>
      </c>
      <c r="D30" s="106" t="s">
        <v>31</v>
      </c>
      <c r="E30" s="286" t="s">
        <v>167</v>
      </c>
      <c r="F30" s="85">
        <v>2.23</v>
      </c>
      <c r="G30" s="83"/>
      <c r="H30" s="83"/>
      <c r="I30" s="259"/>
      <c r="J30" s="83"/>
      <c r="K30" s="85"/>
      <c r="L30" s="85"/>
      <c r="M30" s="85"/>
      <c r="N30" s="155"/>
      <c r="O30" s="155"/>
      <c r="P30" s="155"/>
      <c r="Q30" s="155"/>
    </row>
    <row r="31" spans="1:17" ht="15.75">
      <c r="A31" s="117"/>
      <c r="B31" s="115"/>
      <c r="C31" s="168" t="s">
        <v>168</v>
      </c>
      <c r="D31" s="106" t="s">
        <v>31</v>
      </c>
      <c r="E31" s="286" t="s">
        <v>167</v>
      </c>
      <c r="F31" s="116">
        <v>0.65</v>
      </c>
      <c r="G31" s="83"/>
      <c r="H31" s="83"/>
      <c r="I31" s="259"/>
      <c r="J31" s="83"/>
      <c r="K31" s="85"/>
      <c r="L31" s="85"/>
      <c r="M31" s="85"/>
      <c r="N31" s="155"/>
      <c r="O31" s="155"/>
      <c r="P31" s="155"/>
      <c r="Q31" s="155"/>
    </row>
    <row r="32" spans="1:17" s="284" customFormat="1" ht="18">
      <c r="A32" s="117"/>
      <c r="B32" s="285"/>
      <c r="C32" s="287" t="s">
        <v>95</v>
      </c>
      <c r="D32" s="106" t="s">
        <v>169</v>
      </c>
      <c r="E32" s="168">
        <v>1.18</v>
      </c>
      <c r="F32" s="85">
        <f>E32*F26</f>
        <v>78.116</v>
      </c>
      <c r="G32" s="83"/>
      <c r="H32" s="83"/>
      <c r="I32" s="139"/>
      <c r="J32" s="83"/>
      <c r="K32" s="85"/>
      <c r="L32" s="85"/>
      <c r="M32" s="85"/>
      <c r="N32" s="283"/>
      <c r="O32" s="283"/>
      <c r="P32" s="283"/>
      <c r="Q32" s="283"/>
    </row>
    <row r="33" spans="1:17" s="284" customFormat="1" ht="18">
      <c r="A33" s="117"/>
      <c r="B33" s="285"/>
      <c r="C33" s="288" t="s">
        <v>209</v>
      </c>
      <c r="D33" s="106" t="s">
        <v>149</v>
      </c>
      <c r="E33" s="168">
        <f>0.21/100</f>
        <v>0.0021</v>
      </c>
      <c r="F33" s="85">
        <f>E33*F26</f>
        <v>0.13902</v>
      </c>
      <c r="G33" s="83"/>
      <c r="H33" s="83"/>
      <c r="I33" s="139"/>
      <c r="J33" s="83"/>
      <c r="K33" s="85"/>
      <c r="L33" s="85"/>
      <c r="M33" s="85"/>
      <c r="N33" s="283"/>
      <c r="O33" s="283"/>
      <c r="P33" s="283"/>
      <c r="Q33" s="283"/>
    </row>
    <row r="34" spans="1:17" s="284" customFormat="1" ht="18">
      <c r="A34" s="117"/>
      <c r="B34" s="285"/>
      <c r="C34" s="287" t="s">
        <v>138</v>
      </c>
      <c r="D34" s="106" t="s">
        <v>149</v>
      </c>
      <c r="E34" s="119">
        <f>2.78/100</f>
        <v>0.0278</v>
      </c>
      <c r="F34" s="85">
        <f>E34*F26</f>
        <v>1.84036</v>
      </c>
      <c r="G34" s="83"/>
      <c r="H34" s="83"/>
      <c r="I34" s="139"/>
      <c r="J34" s="85"/>
      <c r="K34" s="85"/>
      <c r="L34" s="85"/>
      <c r="M34" s="85"/>
      <c r="N34" s="283"/>
      <c r="O34" s="283"/>
      <c r="P34" s="283"/>
      <c r="Q34" s="283"/>
    </row>
    <row r="35" spans="1:17" s="284" customFormat="1" ht="15.75">
      <c r="A35" s="117"/>
      <c r="B35" s="285"/>
      <c r="C35" s="288" t="s">
        <v>84</v>
      </c>
      <c r="D35" s="106" t="s">
        <v>31</v>
      </c>
      <c r="E35" s="168">
        <f>0.14/100</f>
        <v>0.0014000000000000002</v>
      </c>
      <c r="F35" s="85">
        <f>E35*F26</f>
        <v>0.09268000000000001</v>
      </c>
      <c r="G35" s="83"/>
      <c r="H35" s="83"/>
      <c r="I35" s="83"/>
      <c r="J35" s="83"/>
      <c r="K35" s="85"/>
      <c r="L35" s="85"/>
      <c r="M35" s="85"/>
      <c r="N35" s="283"/>
      <c r="O35" s="283"/>
      <c r="P35" s="283"/>
      <c r="Q35" s="283"/>
    </row>
    <row r="36" spans="1:17" s="284" customFormat="1" ht="15.75">
      <c r="A36" s="117"/>
      <c r="B36" s="285"/>
      <c r="C36" s="288" t="s">
        <v>170</v>
      </c>
      <c r="D36" s="106" t="s">
        <v>31</v>
      </c>
      <c r="E36" s="269">
        <f>0.11/100</f>
        <v>0.0011</v>
      </c>
      <c r="F36" s="85">
        <f>E36*F26</f>
        <v>0.07282000000000001</v>
      </c>
      <c r="G36" s="83"/>
      <c r="H36" s="83"/>
      <c r="I36" s="83"/>
      <c r="J36" s="83"/>
      <c r="K36" s="85"/>
      <c r="L36" s="85"/>
      <c r="M36" s="85"/>
      <c r="N36" s="283"/>
      <c r="O36" s="283"/>
      <c r="P36" s="283"/>
      <c r="Q36" s="283"/>
    </row>
    <row r="37" spans="1:17" s="284" customFormat="1" ht="15.75">
      <c r="A37" s="140"/>
      <c r="B37" s="120"/>
      <c r="C37" s="289" t="s">
        <v>41</v>
      </c>
      <c r="D37" s="250" t="s">
        <v>30</v>
      </c>
      <c r="E37" s="231">
        <v>0.32</v>
      </c>
      <c r="F37" s="89">
        <f>E37*F26</f>
        <v>21.184</v>
      </c>
      <c r="G37" s="90"/>
      <c r="H37" s="90"/>
      <c r="I37" s="90"/>
      <c r="J37" s="90"/>
      <c r="K37" s="90"/>
      <c r="L37" s="90"/>
      <c r="M37" s="90"/>
      <c r="N37" s="283"/>
      <c r="O37" s="283"/>
      <c r="P37" s="283"/>
      <c r="Q37" s="283"/>
    </row>
    <row r="38" spans="1:17" s="284" customFormat="1" ht="15.75">
      <c r="A38" s="95"/>
      <c r="B38" s="290"/>
      <c r="C38" s="291" t="s">
        <v>171</v>
      </c>
      <c r="D38" s="292"/>
      <c r="E38" s="293"/>
      <c r="F38" s="97"/>
      <c r="G38" s="294"/>
      <c r="H38" s="292"/>
      <c r="I38" s="227"/>
      <c r="J38" s="294"/>
      <c r="K38" s="257"/>
      <c r="L38" s="99"/>
      <c r="M38" s="96"/>
      <c r="N38" s="283"/>
      <c r="O38" s="283"/>
      <c r="P38" s="283"/>
      <c r="Q38" s="283"/>
    </row>
    <row r="39" spans="1:17" s="284" customFormat="1" ht="31.5">
      <c r="A39" s="128">
        <v>9</v>
      </c>
      <c r="B39" s="115" t="s">
        <v>172</v>
      </c>
      <c r="C39" s="162" t="s">
        <v>173</v>
      </c>
      <c r="D39" s="281" t="s">
        <v>32</v>
      </c>
      <c r="E39" s="118"/>
      <c r="F39" s="282">
        <v>10</v>
      </c>
      <c r="G39" s="127"/>
      <c r="H39" s="268"/>
      <c r="I39" s="167"/>
      <c r="J39" s="127"/>
      <c r="K39" s="83"/>
      <c r="L39" s="158"/>
      <c r="M39" s="85"/>
      <c r="N39" s="406"/>
      <c r="O39" s="406"/>
      <c r="P39" s="406"/>
      <c r="Q39" s="112"/>
    </row>
    <row r="40" spans="1:17" s="284" customFormat="1" ht="15.75">
      <c r="A40" s="79"/>
      <c r="B40" s="115"/>
      <c r="C40" s="107" t="s">
        <v>26</v>
      </c>
      <c r="D40" s="85" t="s">
        <v>27</v>
      </c>
      <c r="E40" s="295">
        <v>0.119</v>
      </c>
      <c r="F40" s="139">
        <f>E40*F39</f>
        <v>1.19</v>
      </c>
      <c r="G40" s="139"/>
      <c r="H40" s="139"/>
      <c r="I40" s="139"/>
      <c r="J40" s="139"/>
      <c r="K40" s="139"/>
      <c r="L40" s="139"/>
      <c r="M40" s="139"/>
      <c r="N40" s="283"/>
      <c r="O40" s="283"/>
      <c r="P40" s="283"/>
      <c r="Q40" s="283"/>
    </row>
    <row r="41" spans="1:17" s="284" customFormat="1" ht="15.75">
      <c r="A41" s="296"/>
      <c r="B41" s="115"/>
      <c r="C41" s="117" t="s">
        <v>35</v>
      </c>
      <c r="D41" s="117" t="s">
        <v>30</v>
      </c>
      <c r="E41" s="297">
        <f>67.5/1000</f>
        <v>0.0675</v>
      </c>
      <c r="F41" s="139">
        <f>E41*F39</f>
        <v>0.675</v>
      </c>
      <c r="G41" s="85"/>
      <c r="H41" s="85"/>
      <c r="I41" s="85"/>
      <c r="J41" s="85"/>
      <c r="K41" s="85"/>
      <c r="L41" s="85"/>
      <c r="M41" s="85"/>
      <c r="N41" s="283"/>
      <c r="O41" s="283"/>
      <c r="P41" s="283"/>
      <c r="Q41" s="283"/>
    </row>
    <row r="42" spans="1:17" s="284" customFormat="1" ht="15.75">
      <c r="A42" s="296"/>
      <c r="B42" s="115"/>
      <c r="C42" s="117" t="s">
        <v>174</v>
      </c>
      <c r="D42" s="117" t="s">
        <v>32</v>
      </c>
      <c r="E42" s="139">
        <v>1.01</v>
      </c>
      <c r="F42" s="83">
        <f>E42*F39</f>
        <v>10.1</v>
      </c>
      <c r="G42" s="83"/>
      <c r="H42" s="83"/>
      <c r="I42" s="83"/>
      <c r="J42" s="83"/>
      <c r="K42" s="85"/>
      <c r="L42" s="85"/>
      <c r="M42" s="85"/>
      <c r="N42" s="283"/>
      <c r="O42" s="283"/>
      <c r="P42" s="283"/>
      <c r="Q42" s="283"/>
    </row>
    <row r="43" spans="1:17" s="284" customFormat="1" ht="15.75">
      <c r="A43" s="298"/>
      <c r="B43" s="120"/>
      <c r="C43" s="231" t="s">
        <v>40</v>
      </c>
      <c r="D43" s="231" t="s">
        <v>30</v>
      </c>
      <c r="E43" s="299">
        <f>2.16/1000</f>
        <v>0.00216</v>
      </c>
      <c r="F43" s="142">
        <f>E43*F39</f>
        <v>0.0216</v>
      </c>
      <c r="G43" s="90"/>
      <c r="H43" s="90"/>
      <c r="I43" s="90"/>
      <c r="J43" s="90"/>
      <c r="K43" s="90"/>
      <c r="L43" s="90"/>
      <c r="M43" s="90"/>
      <c r="N43" s="283"/>
      <c r="O43" s="283"/>
      <c r="P43" s="283"/>
      <c r="Q43" s="283"/>
    </row>
    <row r="44" spans="1:17" s="284" customFormat="1" ht="18">
      <c r="A44" s="296">
        <v>10</v>
      </c>
      <c r="B44" s="115" t="s">
        <v>175</v>
      </c>
      <c r="C44" s="162" t="s">
        <v>176</v>
      </c>
      <c r="D44" s="139" t="s">
        <v>149</v>
      </c>
      <c r="E44" s="168"/>
      <c r="F44" s="82">
        <v>14</v>
      </c>
      <c r="G44" s="83"/>
      <c r="H44" s="83"/>
      <c r="I44" s="83"/>
      <c r="J44" s="83"/>
      <c r="K44" s="83"/>
      <c r="L44" s="83"/>
      <c r="M44" s="83"/>
      <c r="N44" s="283"/>
      <c r="O44" s="283"/>
      <c r="P44" s="283"/>
      <c r="Q44" s="283"/>
    </row>
    <row r="45" spans="1:17" s="284" customFormat="1" ht="15.75">
      <c r="A45" s="79"/>
      <c r="B45" s="115"/>
      <c r="C45" s="107" t="s">
        <v>26</v>
      </c>
      <c r="D45" s="85" t="s">
        <v>27</v>
      </c>
      <c r="E45" s="139">
        <v>6.5</v>
      </c>
      <c r="F45" s="139">
        <f>E45*F44</f>
        <v>91</v>
      </c>
      <c r="G45" s="139"/>
      <c r="H45" s="139"/>
      <c r="I45" s="139"/>
      <c r="J45" s="139"/>
      <c r="K45" s="139"/>
      <c r="L45" s="139"/>
      <c r="M45" s="139"/>
      <c r="N45" s="283"/>
      <c r="O45" s="283"/>
      <c r="P45" s="283"/>
      <c r="Q45" s="283"/>
    </row>
    <row r="46" spans="1:17" s="284" customFormat="1" ht="15.75">
      <c r="A46" s="296"/>
      <c r="B46" s="115"/>
      <c r="C46" s="117" t="s">
        <v>35</v>
      </c>
      <c r="D46" s="117" t="s">
        <v>30</v>
      </c>
      <c r="E46" s="117">
        <v>2.16</v>
      </c>
      <c r="F46" s="117">
        <f>E46*F44</f>
        <v>30.240000000000002</v>
      </c>
      <c r="G46" s="85"/>
      <c r="H46" s="85"/>
      <c r="I46" s="85"/>
      <c r="J46" s="85"/>
      <c r="K46" s="85"/>
      <c r="L46" s="85"/>
      <c r="M46" s="85"/>
      <c r="N46" s="283"/>
      <c r="O46" s="283"/>
      <c r="P46" s="283"/>
      <c r="Q46" s="283"/>
    </row>
    <row r="47" spans="1:17" s="284" customFormat="1" ht="18">
      <c r="A47" s="296"/>
      <c r="B47" s="115"/>
      <c r="C47" s="117" t="s">
        <v>177</v>
      </c>
      <c r="D47" s="168" t="s">
        <v>149</v>
      </c>
      <c r="E47" s="168">
        <v>1.15</v>
      </c>
      <c r="F47" s="83">
        <f>E47*F44</f>
        <v>16.099999999999998</v>
      </c>
      <c r="G47" s="83"/>
      <c r="H47" s="83"/>
      <c r="I47" s="83"/>
      <c r="J47" s="83"/>
      <c r="K47" s="85"/>
      <c r="L47" s="85"/>
      <c r="M47" s="85"/>
      <c r="N47" s="283"/>
      <c r="O47" s="283"/>
      <c r="P47" s="283"/>
      <c r="Q47" s="283"/>
    </row>
    <row r="48" spans="1:17" s="284" customFormat="1" ht="15.75">
      <c r="A48" s="298"/>
      <c r="B48" s="120"/>
      <c r="C48" s="231" t="s">
        <v>40</v>
      </c>
      <c r="D48" s="231" t="s">
        <v>30</v>
      </c>
      <c r="E48" s="231">
        <v>0.02</v>
      </c>
      <c r="F48" s="231">
        <f>E48*F44</f>
        <v>0.28</v>
      </c>
      <c r="G48" s="90"/>
      <c r="H48" s="90"/>
      <c r="I48" s="90"/>
      <c r="J48" s="90"/>
      <c r="K48" s="90"/>
      <c r="L48" s="90"/>
      <c r="M48" s="90"/>
      <c r="N48" s="283"/>
      <c r="O48" s="283"/>
      <c r="P48" s="283"/>
      <c r="Q48" s="283"/>
    </row>
    <row r="49" spans="1:17" s="284" customFormat="1" ht="18">
      <c r="A49" s="154">
        <v>11</v>
      </c>
      <c r="B49" s="154" t="s">
        <v>97</v>
      </c>
      <c r="C49" s="162" t="s">
        <v>178</v>
      </c>
      <c r="D49" s="153" t="s">
        <v>149</v>
      </c>
      <c r="E49" s="165"/>
      <c r="F49" s="163">
        <v>37</v>
      </c>
      <c r="G49" s="165"/>
      <c r="H49" s="165"/>
      <c r="I49" s="165"/>
      <c r="J49" s="165"/>
      <c r="K49" s="165"/>
      <c r="L49" s="165"/>
      <c r="M49" s="165"/>
      <c r="N49" s="283"/>
      <c r="O49" s="283"/>
      <c r="P49" s="283"/>
      <c r="Q49" s="283"/>
    </row>
    <row r="50" spans="1:17" s="284" customFormat="1" ht="15.75">
      <c r="A50" s="167"/>
      <c r="B50" s="268"/>
      <c r="C50" s="107" t="s">
        <v>26</v>
      </c>
      <c r="D50" s="81" t="s">
        <v>27</v>
      </c>
      <c r="E50" s="168">
        <v>2.78</v>
      </c>
      <c r="F50" s="168">
        <f>E50*F49</f>
        <v>102.86</v>
      </c>
      <c r="G50" s="83"/>
      <c r="H50" s="83"/>
      <c r="I50" s="168"/>
      <c r="J50" s="168"/>
      <c r="K50" s="168"/>
      <c r="L50" s="168"/>
      <c r="M50" s="83"/>
      <c r="N50" s="283"/>
      <c r="O50" s="283"/>
      <c r="P50" s="283"/>
      <c r="Q50" s="283"/>
    </row>
    <row r="51" spans="1:17" s="284" customFormat="1" ht="15.75">
      <c r="A51" s="167"/>
      <c r="B51" s="167"/>
      <c r="C51" s="168" t="s">
        <v>35</v>
      </c>
      <c r="D51" s="167" t="s">
        <v>30</v>
      </c>
      <c r="E51" s="168">
        <f>0.26/100</f>
        <v>0.0026</v>
      </c>
      <c r="F51" s="168">
        <f>E51*F49</f>
        <v>0.0962</v>
      </c>
      <c r="G51" s="168"/>
      <c r="H51" s="168"/>
      <c r="I51" s="168"/>
      <c r="J51" s="168"/>
      <c r="K51" s="83"/>
      <c r="L51" s="269"/>
      <c r="M51" s="90"/>
      <c r="N51" s="283"/>
      <c r="O51" s="283"/>
      <c r="P51" s="283"/>
      <c r="Q51" s="283"/>
    </row>
    <row r="52" spans="1:17" s="284" customFormat="1" ht="18">
      <c r="A52" s="232"/>
      <c r="B52" s="232"/>
      <c r="C52" s="231" t="s">
        <v>178</v>
      </c>
      <c r="D52" s="89" t="s">
        <v>149</v>
      </c>
      <c r="E52" s="231">
        <v>1.01</v>
      </c>
      <c r="F52" s="231">
        <f>E52*F49</f>
        <v>37.37</v>
      </c>
      <c r="G52" s="231"/>
      <c r="H52" s="231"/>
      <c r="I52" s="90"/>
      <c r="J52" s="231"/>
      <c r="K52" s="90"/>
      <c r="L52" s="90"/>
      <c r="M52" s="90"/>
      <c r="N52" s="283"/>
      <c r="O52" s="283"/>
      <c r="P52" s="283"/>
      <c r="Q52" s="283"/>
    </row>
    <row r="53" spans="1:17" s="284" customFormat="1" ht="18">
      <c r="A53" s="117">
        <v>12</v>
      </c>
      <c r="B53" s="80" t="s">
        <v>88</v>
      </c>
      <c r="C53" s="162" t="s">
        <v>179</v>
      </c>
      <c r="D53" s="85" t="s">
        <v>169</v>
      </c>
      <c r="E53" s="81"/>
      <c r="F53" s="82">
        <v>168</v>
      </c>
      <c r="G53" s="83"/>
      <c r="H53" s="83"/>
      <c r="I53" s="83"/>
      <c r="J53" s="83"/>
      <c r="K53" s="83"/>
      <c r="L53" s="83"/>
      <c r="M53" s="84"/>
      <c r="N53" s="283"/>
      <c r="O53" s="283"/>
      <c r="P53" s="283"/>
      <c r="Q53" s="283"/>
    </row>
    <row r="54" spans="1:17" s="284" customFormat="1" ht="15.75">
      <c r="A54" s="79"/>
      <c r="B54" s="79"/>
      <c r="C54" s="107" t="s">
        <v>26</v>
      </c>
      <c r="D54" s="85" t="s">
        <v>27</v>
      </c>
      <c r="E54" s="85">
        <v>0.564</v>
      </c>
      <c r="F54" s="85">
        <f>E54*F53</f>
        <v>94.752</v>
      </c>
      <c r="G54" s="83"/>
      <c r="H54" s="83"/>
      <c r="I54" s="83"/>
      <c r="J54" s="83"/>
      <c r="K54" s="83"/>
      <c r="L54" s="83"/>
      <c r="M54" s="83"/>
      <c r="N54" s="283"/>
      <c r="O54" s="283"/>
      <c r="P54" s="283"/>
      <c r="Q54" s="283"/>
    </row>
    <row r="55" spans="1:17" ht="15.75">
      <c r="A55" s="117"/>
      <c r="B55" s="80"/>
      <c r="C55" s="107" t="s">
        <v>35</v>
      </c>
      <c r="D55" s="85" t="s">
        <v>30</v>
      </c>
      <c r="E55" s="300">
        <f>4.09/100</f>
        <v>0.0409</v>
      </c>
      <c r="F55" s="85">
        <f>E55*F53</f>
        <v>6.8712</v>
      </c>
      <c r="G55" s="83"/>
      <c r="H55" s="83"/>
      <c r="I55" s="83"/>
      <c r="J55" s="83"/>
      <c r="K55" s="83"/>
      <c r="L55" s="83"/>
      <c r="M55" s="84"/>
      <c r="N55" s="155"/>
      <c r="O55" s="155"/>
      <c r="P55" s="155"/>
      <c r="Q55" s="155"/>
    </row>
    <row r="56" spans="1:17" ht="15.75">
      <c r="A56" s="117"/>
      <c r="B56" s="80"/>
      <c r="C56" s="107" t="s">
        <v>91</v>
      </c>
      <c r="D56" s="85" t="s">
        <v>31</v>
      </c>
      <c r="E56" s="110">
        <f>0.45/100</f>
        <v>0.0045000000000000005</v>
      </c>
      <c r="F56" s="85">
        <f>E56*F53</f>
        <v>0.7560000000000001</v>
      </c>
      <c r="G56" s="83"/>
      <c r="H56" s="83"/>
      <c r="I56" s="85"/>
      <c r="J56" s="85"/>
      <c r="K56" s="85"/>
      <c r="L56" s="85"/>
      <c r="M56" s="86"/>
      <c r="N56" s="155"/>
      <c r="O56" s="155"/>
      <c r="P56" s="155"/>
      <c r="Q56" s="155"/>
    </row>
    <row r="57" spans="1:17" ht="18">
      <c r="A57" s="117"/>
      <c r="B57" s="80"/>
      <c r="C57" s="107" t="s">
        <v>180</v>
      </c>
      <c r="D57" s="85" t="s">
        <v>149</v>
      </c>
      <c r="E57" s="110">
        <f>0.75/100</f>
        <v>0.0075</v>
      </c>
      <c r="F57" s="85">
        <f>E57*F53</f>
        <v>1.26</v>
      </c>
      <c r="G57" s="83"/>
      <c r="H57" s="83"/>
      <c r="I57" s="139"/>
      <c r="J57" s="85"/>
      <c r="K57" s="85"/>
      <c r="L57" s="85"/>
      <c r="M57" s="86"/>
      <c r="N57" s="155"/>
      <c r="O57" s="155"/>
      <c r="P57" s="155"/>
      <c r="Q57" s="155"/>
    </row>
    <row r="58" spans="1:17" ht="15.75">
      <c r="A58" s="140"/>
      <c r="B58" s="88"/>
      <c r="C58" s="159" t="s">
        <v>41</v>
      </c>
      <c r="D58" s="89" t="s">
        <v>30</v>
      </c>
      <c r="E58" s="301">
        <f>26.5/100</f>
        <v>0.265</v>
      </c>
      <c r="F58" s="89">
        <f>E58*F53</f>
        <v>44.52</v>
      </c>
      <c r="G58" s="90"/>
      <c r="H58" s="90"/>
      <c r="I58" s="90"/>
      <c r="J58" s="90"/>
      <c r="K58" s="90"/>
      <c r="L58" s="90"/>
      <c r="M58" s="91"/>
      <c r="N58" s="447"/>
      <c r="O58" s="447"/>
      <c r="P58" s="447"/>
      <c r="Q58" s="447"/>
    </row>
    <row r="59" spans="1:17" ht="15.75">
      <c r="A59" s="281">
        <v>13</v>
      </c>
      <c r="B59" s="80" t="s">
        <v>225</v>
      </c>
      <c r="C59" s="162" t="s">
        <v>181</v>
      </c>
      <c r="D59" s="85" t="s">
        <v>182</v>
      </c>
      <c r="E59" s="300"/>
      <c r="F59" s="81">
        <v>8</v>
      </c>
      <c r="G59" s="302"/>
      <c r="H59" s="303"/>
      <c r="I59" s="83"/>
      <c r="J59" s="302"/>
      <c r="K59" s="83"/>
      <c r="L59" s="303"/>
      <c r="M59" s="84"/>
      <c r="N59" s="155"/>
      <c r="O59" s="155"/>
      <c r="P59" s="155"/>
      <c r="Q59" s="155"/>
    </row>
    <row r="60" spans="1:17" ht="15.75">
      <c r="A60" s="281"/>
      <c r="B60" s="80"/>
      <c r="C60" s="115" t="s">
        <v>26</v>
      </c>
      <c r="D60" s="85" t="s">
        <v>27</v>
      </c>
      <c r="E60" s="300">
        <v>0.525</v>
      </c>
      <c r="F60" s="81">
        <f>F59*E60</f>
        <v>4.2</v>
      </c>
      <c r="G60" s="302"/>
      <c r="H60" s="303"/>
      <c r="I60" s="83"/>
      <c r="J60" s="302"/>
      <c r="K60" s="83"/>
      <c r="L60" s="303"/>
      <c r="M60" s="84"/>
      <c r="N60" s="155"/>
      <c r="O60" s="155"/>
      <c r="P60" s="155"/>
      <c r="Q60" s="155"/>
    </row>
    <row r="61" spans="1:17" ht="15.75">
      <c r="A61" s="281"/>
      <c r="B61" s="80"/>
      <c r="C61" s="115" t="s">
        <v>35</v>
      </c>
      <c r="D61" s="85" t="s">
        <v>30</v>
      </c>
      <c r="E61" s="110">
        <f>0.67/100</f>
        <v>0.0067</v>
      </c>
      <c r="F61" s="81">
        <f>F59*E61</f>
        <v>0.0536</v>
      </c>
      <c r="G61" s="302"/>
      <c r="H61" s="303"/>
      <c r="I61" s="83"/>
      <c r="J61" s="302"/>
      <c r="K61" s="83"/>
      <c r="L61" s="303"/>
      <c r="M61" s="84"/>
      <c r="N61" s="155"/>
      <c r="O61" s="155"/>
      <c r="P61" s="155"/>
      <c r="Q61" s="155"/>
    </row>
    <row r="62" spans="1:17" ht="15.75">
      <c r="A62" s="281"/>
      <c r="B62" s="80"/>
      <c r="C62" s="115" t="s">
        <v>226</v>
      </c>
      <c r="D62" s="85" t="s">
        <v>227</v>
      </c>
      <c r="E62" s="300">
        <f>0.26/100</f>
        <v>0.0026</v>
      </c>
      <c r="F62" s="81">
        <f>F59*E62</f>
        <v>0.0208</v>
      </c>
      <c r="G62" s="302"/>
      <c r="H62" s="303"/>
      <c r="I62" s="83"/>
      <c r="J62" s="302"/>
      <c r="K62" s="83"/>
      <c r="L62" s="303"/>
      <c r="M62" s="84"/>
      <c r="N62" s="155"/>
      <c r="O62" s="155"/>
      <c r="P62" s="155"/>
      <c r="Q62" s="155"/>
    </row>
    <row r="63" spans="1:17" ht="15.75">
      <c r="A63" s="281"/>
      <c r="B63" s="80"/>
      <c r="C63" s="107" t="s">
        <v>228</v>
      </c>
      <c r="D63" s="85" t="s">
        <v>76</v>
      </c>
      <c r="E63" s="300">
        <v>0.22</v>
      </c>
      <c r="F63" s="81">
        <f>F59*E63</f>
        <v>1.76</v>
      </c>
      <c r="G63" s="302"/>
      <c r="H63" s="303"/>
      <c r="I63" s="83"/>
      <c r="J63" s="302"/>
      <c r="K63" s="83"/>
      <c r="L63" s="303"/>
      <c r="M63" s="84"/>
      <c r="N63" s="405"/>
      <c r="O63" s="405"/>
      <c r="P63" s="405"/>
      <c r="Q63" s="405"/>
    </row>
    <row r="64" spans="1:17" ht="15.75">
      <c r="A64" s="281"/>
      <c r="B64" s="80" t="s">
        <v>231</v>
      </c>
      <c r="C64" s="107" t="s">
        <v>229</v>
      </c>
      <c r="D64" s="85" t="s">
        <v>230</v>
      </c>
      <c r="E64" s="300">
        <v>1.07</v>
      </c>
      <c r="F64" s="81">
        <f>F59*E64</f>
        <v>8.56</v>
      </c>
      <c r="G64" s="302"/>
      <c r="H64" s="303"/>
      <c r="I64" s="83"/>
      <c r="J64" s="302"/>
      <c r="K64" s="83"/>
      <c r="L64" s="303"/>
      <c r="M64" s="84"/>
      <c r="N64" s="155"/>
      <c r="O64" s="155"/>
      <c r="P64" s="155"/>
      <c r="Q64" s="155"/>
    </row>
    <row r="65" spans="1:17" s="284" customFormat="1" ht="31.5">
      <c r="A65" s="277">
        <v>14</v>
      </c>
      <c r="B65" s="199" t="s">
        <v>183</v>
      </c>
      <c r="C65" s="152" t="s">
        <v>184</v>
      </c>
      <c r="D65" s="130" t="s">
        <v>149</v>
      </c>
      <c r="E65" s="138"/>
      <c r="F65" s="279">
        <v>145</v>
      </c>
      <c r="G65" s="132"/>
      <c r="H65" s="131"/>
      <c r="I65" s="138"/>
      <c r="J65" s="132"/>
      <c r="K65" s="138"/>
      <c r="L65" s="131"/>
      <c r="M65" s="138"/>
      <c r="N65" s="446"/>
      <c r="O65" s="446"/>
      <c r="P65" s="446"/>
      <c r="Q65" s="283"/>
    </row>
    <row r="66" spans="1:17" s="284" customFormat="1" ht="15.75">
      <c r="A66" s="106"/>
      <c r="B66" s="104"/>
      <c r="C66" s="107" t="s">
        <v>26</v>
      </c>
      <c r="D66" s="85" t="s">
        <v>27</v>
      </c>
      <c r="E66" s="119">
        <f>16.5/1000</f>
        <v>0.0165</v>
      </c>
      <c r="F66" s="85">
        <f>E66*F65</f>
        <v>2.3925</v>
      </c>
      <c r="G66" s="85"/>
      <c r="H66" s="85"/>
      <c r="I66" s="139"/>
      <c r="J66" s="139"/>
      <c r="K66" s="139"/>
      <c r="L66" s="139"/>
      <c r="M66" s="139"/>
      <c r="N66" s="283"/>
      <c r="O66" s="283"/>
      <c r="P66" s="283"/>
      <c r="Q66" s="283"/>
    </row>
    <row r="67" spans="1:17" s="284" customFormat="1" ht="15.75">
      <c r="A67" s="160"/>
      <c r="B67" s="79"/>
      <c r="C67" s="107" t="s">
        <v>150</v>
      </c>
      <c r="D67" s="85" t="s">
        <v>28</v>
      </c>
      <c r="E67" s="116">
        <f>37/1000</f>
        <v>0.037</v>
      </c>
      <c r="F67" s="85">
        <f>E67*F65</f>
        <v>5.364999999999999</v>
      </c>
      <c r="G67" s="85"/>
      <c r="H67" s="85"/>
      <c r="I67" s="139"/>
      <c r="J67" s="156"/>
      <c r="K67" s="85"/>
      <c r="L67" s="157"/>
      <c r="M67" s="139"/>
      <c r="N67" s="283"/>
      <c r="O67" s="283"/>
      <c r="P67" s="283"/>
      <c r="Q67" s="283"/>
    </row>
    <row r="68" spans="1:17" s="284" customFormat="1" ht="15.75">
      <c r="A68" s="160"/>
      <c r="B68" s="104"/>
      <c r="C68" s="107" t="s">
        <v>151</v>
      </c>
      <c r="D68" s="85" t="s">
        <v>27</v>
      </c>
      <c r="E68" s="85"/>
      <c r="F68" s="85">
        <f>F67</f>
        <v>5.364999999999999</v>
      </c>
      <c r="G68" s="85"/>
      <c r="H68" s="85"/>
      <c r="I68" s="139"/>
      <c r="J68" s="156"/>
      <c r="K68" s="139"/>
      <c r="L68" s="157"/>
      <c r="M68" s="139"/>
      <c r="N68" s="283"/>
      <c r="O68" s="283"/>
      <c r="P68" s="283"/>
      <c r="Q68" s="283"/>
    </row>
    <row r="69" spans="1:17" s="284" customFormat="1" ht="18">
      <c r="A69" s="250"/>
      <c r="B69" s="213"/>
      <c r="C69" s="159" t="s">
        <v>162</v>
      </c>
      <c r="D69" s="250" t="s">
        <v>149</v>
      </c>
      <c r="E69" s="89">
        <v>1.1</v>
      </c>
      <c r="F69" s="89">
        <f>E69*F65</f>
        <v>159.5</v>
      </c>
      <c r="G69" s="89"/>
      <c r="H69" s="89"/>
      <c r="I69" s="142"/>
      <c r="J69" s="142"/>
      <c r="K69" s="142"/>
      <c r="L69" s="142"/>
      <c r="M69" s="142"/>
      <c r="N69" s="283"/>
      <c r="O69" s="283"/>
      <c r="P69" s="283"/>
      <c r="Q69" s="283"/>
    </row>
    <row r="70" spans="1:17" s="284" customFormat="1" ht="31.5">
      <c r="A70" s="79" t="s">
        <v>185</v>
      </c>
      <c r="B70" s="79" t="s">
        <v>108</v>
      </c>
      <c r="C70" s="162" t="s">
        <v>186</v>
      </c>
      <c r="D70" s="106" t="s">
        <v>149</v>
      </c>
      <c r="E70" s="85"/>
      <c r="F70" s="82">
        <f>F65</f>
        <v>145</v>
      </c>
      <c r="G70" s="85"/>
      <c r="H70" s="85"/>
      <c r="I70" s="85"/>
      <c r="J70" s="85"/>
      <c r="K70" s="117"/>
      <c r="L70" s="85"/>
      <c r="M70" s="85"/>
      <c r="N70" s="283"/>
      <c r="O70" s="283"/>
      <c r="P70" s="283"/>
      <c r="Q70" s="283"/>
    </row>
    <row r="71" spans="1:17" ht="15.75">
      <c r="A71" s="79"/>
      <c r="B71" s="79"/>
      <c r="C71" s="107" t="s">
        <v>104</v>
      </c>
      <c r="D71" s="85" t="s">
        <v>28</v>
      </c>
      <c r="E71" s="304">
        <f>(1.85-0.21*2)/1000*6</f>
        <v>0.00858</v>
      </c>
      <c r="F71" s="305">
        <f>E71*F70</f>
        <v>1.2441000000000002</v>
      </c>
      <c r="G71" s="85"/>
      <c r="H71" s="85"/>
      <c r="I71" s="85"/>
      <c r="J71" s="85"/>
      <c r="K71" s="85"/>
      <c r="L71" s="85"/>
      <c r="M71" s="85"/>
      <c r="N71" s="446"/>
      <c r="O71" s="446"/>
      <c r="P71" s="446"/>
      <c r="Q71" s="155"/>
    </row>
    <row r="72" spans="1:17" ht="15.75">
      <c r="A72" s="79"/>
      <c r="B72" s="79"/>
      <c r="C72" s="107" t="s">
        <v>151</v>
      </c>
      <c r="D72" s="85" t="s">
        <v>27</v>
      </c>
      <c r="E72" s="85"/>
      <c r="F72" s="116">
        <f>F71</f>
        <v>1.2441000000000002</v>
      </c>
      <c r="G72" s="85"/>
      <c r="H72" s="85"/>
      <c r="I72" s="85"/>
      <c r="J72" s="85"/>
      <c r="K72" s="117"/>
      <c r="L72" s="85"/>
      <c r="M72" s="85"/>
      <c r="N72" s="155"/>
      <c r="O72" s="155"/>
      <c r="P72" s="155"/>
      <c r="Q72" s="155"/>
    </row>
    <row r="73" spans="1:17" ht="15.75">
      <c r="A73" s="79"/>
      <c r="B73" s="79"/>
      <c r="C73" s="107" t="s">
        <v>43</v>
      </c>
      <c r="D73" s="85" t="s">
        <v>28</v>
      </c>
      <c r="E73" s="116">
        <f>(10.5-1.02*2)/1000*6</f>
        <v>0.05076</v>
      </c>
      <c r="F73" s="116">
        <f>E73*F70</f>
        <v>7.3602</v>
      </c>
      <c r="G73" s="85"/>
      <c r="H73" s="85"/>
      <c r="I73" s="85"/>
      <c r="J73" s="85"/>
      <c r="K73" s="85"/>
      <c r="L73" s="85"/>
      <c r="M73" s="85"/>
      <c r="N73" s="405"/>
      <c r="O73" s="405"/>
      <c r="P73" s="405"/>
      <c r="Q73" s="155"/>
    </row>
    <row r="74" spans="1:17" ht="15.75">
      <c r="A74" s="79"/>
      <c r="B74" s="79"/>
      <c r="C74" s="107" t="s">
        <v>151</v>
      </c>
      <c r="D74" s="85" t="s">
        <v>27</v>
      </c>
      <c r="E74" s="85"/>
      <c r="F74" s="116">
        <f>F73</f>
        <v>7.3602</v>
      </c>
      <c r="G74" s="85"/>
      <c r="H74" s="85"/>
      <c r="I74" s="85"/>
      <c r="J74" s="85"/>
      <c r="K74" s="117"/>
      <c r="L74" s="85"/>
      <c r="M74" s="85"/>
      <c r="N74" s="155"/>
      <c r="O74" s="155"/>
      <c r="P74" s="155"/>
      <c r="Q74" s="155"/>
    </row>
    <row r="75" spans="1:17" ht="15.75">
      <c r="A75" s="79"/>
      <c r="B75" s="79"/>
      <c r="C75" s="107" t="s">
        <v>106</v>
      </c>
      <c r="D75" s="85" t="s">
        <v>28</v>
      </c>
      <c r="E75" s="119">
        <f>(1.85-0.21*2)/1000*6</f>
        <v>0.00858</v>
      </c>
      <c r="F75" s="116">
        <f>E75*F70</f>
        <v>1.2441000000000002</v>
      </c>
      <c r="G75" s="85"/>
      <c r="H75" s="85"/>
      <c r="I75" s="85"/>
      <c r="J75" s="85"/>
      <c r="K75" s="85"/>
      <c r="L75" s="85"/>
      <c r="M75" s="85"/>
      <c r="N75" s="405"/>
      <c r="O75" s="405"/>
      <c r="P75" s="405"/>
      <c r="Q75" s="155"/>
    </row>
    <row r="76" spans="1:17" ht="15.75">
      <c r="A76" s="87"/>
      <c r="B76" s="87"/>
      <c r="C76" s="159" t="s">
        <v>151</v>
      </c>
      <c r="D76" s="89" t="s">
        <v>27</v>
      </c>
      <c r="E76" s="89"/>
      <c r="F76" s="121">
        <f>F75</f>
        <v>1.2441000000000002</v>
      </c>
      <c r="G76" s="89"/>
      <c r="H76" s="89"/>
      <c r="I76" s="89"/>
      <c r="J76" s="89"/>
      <c r="K76" s="140"/>
      <c r="L76" s="89"/>
      <c r="M76" s="89"/>
      <c r="N76" s="174"/>
      <c r="O76" s="155"/>
      <c r="P76" s="155"/>
      <c r="Q76" s="155"/>
    </row>
    <row r="77" spans="1:17" ht="15.75">
      <c r="A77" s="171"/>
      <c r="B77" s="79"/>
      <c r="C77" s="172" t="s">
        <v>10</v>
      </c>
      <c r="D77" s="173" t="s">
        <v>30</v>
      </c>
      <c r="E77" s="85"/>
      <c r="F77" s="85"/>
      <c r="G77" s="85"/>
      <c r="H77" s="85"/>
      <c r="I77" s="85"/>
      <c r="J77" s="85"/>
      <c r="K77" s="85"/>
      <c r="L77" s="85"/>
      <c r="M77" s="85"/>
      <c r="N77" s="405"/>
      <c r="O77" s="405"/>
      <c r="P77" s="405"/>
      <c r="Q77" s="155"/>
    </row>
    <row r="78" spans="1:17" ht="15.75">
      <c r="A78" s="171"/>
      <c r="B78" s="79"/>
      <c r="C78" s="175" t="s">
        <v>252</v>
      </c>
      <c r="D78" s="173"/>
      <c r="E78" s="176" t="s">
        <v>241</v>
      </c>
      <c r="F78" s="85"/>
      <c r="G78" s="85"/>
      <c r="H78" s="85"/>
      <c r="I78" s="85"/>
      <c r="J78" s="85"/>
      <c r="K78" s="117"/>
      <c r="L78" s="85"/>
      <c r="M78" s="85"/>
      <c r="N78" s="155"/>
      <c r="O78" s="155"/>
      <c r="P78" s="155"/>
      <c r="Q78" s="155"/>
    </row>
    <row r="79" spans="1:17" ht="15.75">
      <c r="A79" s="171"/>
      <c r="B79" s="79"/>
      <c r="C79" s="172" t="s">
        <v>6</v>
      </c>
      <c r="D79" s="173"/>
      <c r="E79" s="85"/>
      <c r="F79" s="85"/>
      <c r="G79" s="85"/>
      <c r="H79" s="85"/>
      <c r="I79" s="85"/>
      <c r="J79" s="85"/>
      <c r="K79" s="117"/>
      <c r="L79" s="85"/>
      <c r="M79" s="85"/>
      <c r="N79" s="405"/>
      <c r="O79" s="405"/>
      <c r="P79" s="405"/>
      <c r="Q79" s="155"/>
    </row>
    <row r="80" spans="1:17" ht="15.75">
      <c r="A80" s="177"/>
      <c r="B80" s="175"/>
      <c r="C80" s="177" t="s">
        <v>253</v>
      </c>
      <c r="D80" s="173" t="s">
        <v>30</v>
      </c>
      <c r="E80" s="176" t="s">
        <v>241</v>
      </c>
      <c r="F80" s="203"/>
      <c r="G80" s="178"/>
      <c r="H80" s="179"/>
      <c r="I80" s="179"/>
      <c r="J80" s="179"/>
      <c r="K80" s="179"/>
      <c r="L80" s="179"/>
      <c r="M80" s="179"/>
      <c r="N80" s="155"/>
      <c r="O80" s="155"/>
      <c r="P80" s="155"/>
      <c r="Q80" s="155"/>
    </row>
    <row r="81" spans="1:17" ht="15.75">
      <c r="A81" s="172"/>
      <c r="B81" s="175"/>
      <c r="C81" s="172" t="s">
        <v>10</v>
      </c>
      <c r="D81" s="173" t="s">
        <v>30</v>
      </c>
      <c r="E81" s="180"/>
      <c r="F81" s="172"/>
      <c r="G81" s="172"/>
      <c r="H81" s="181"/>
      <c r="I81" s="181"/>
      <c r="J81" s="181"/>
      <c r="K81" s="181"/>
      <c r="L81" s="181"/>
      <c r="M81" s="181"/>
      <c r="N81" s="405"/>
      <c r="O81" s="405"/>
      <c r="P81" s="405"/>
      <c r="Q81" s="155"/>
    </row>
    <row r="82" spans="1:17" ht="15.75">
      <c r="A82" s="177"/>
      <c r="B82" s="175"/>
      <c r="C82" s="175" t="s">
        <v>251</v>
      </c>
      <c r="D82" s="173" t="s">
        <v>30</v>
      </c>
      <c r="E82" s="176" t="s">
        <v>241</v>
      </c>
      <c r="F82" s="204"/>
      <c r="G82" s="179"/>
      <c r="H82" s="179"/>
      <c r="I82" s="179"/>
      <c r="J82" s="179"/>
      <c r="K82" s="179"/>
      <c r="L82" s="179"/>
      <c r="M82" s="179"/>
      <c r="N82" s="155"/>
      <c r="O82" s="155"/>
      <c r="P82" s="155"/>
      <c r="Q82" s="155"/>
    </row>
    <row r="83" spans="1:17" ht="15.75">
      <c r="A83" s="182"/>
      <c r="B83" s="183"/>
      <c r="C83" s="182" t="s">
        <v>10</v>
      </c>
      <c r="D83" s="184" t="s">
        <v>30</v>
      </c>
      <c r="E83" s="182"/>
      <c r="F83" s="182"/>
      <c r="G83" s="182"/>
      <c r="H83" s="185"/>
      <c r="I83" s="185"/>
      <c r="J83" s="185"/>
      <c r="K83" s="185"/>
      <c r="L83" s="185"/>
      <c r="M83" s="185"/>
      <c r="N83" s="155"/>
      <c r="O83" s="155"/>
      <c r="P83" s="155"/>
      <c r="Q83" s="155"/>
    </row>
    <row r="84" spans="14:17" ht="15.75">
      <c r="N84" s="155"/>
      <c r="O84" s="155"/>
      <c r="P84" s="155"/>
      <c r="Q84" s="155"/>
    </row>
    <row r="85" spans="14:17" ht="15.75">
      <c r="N85" s="155"/>
      <c r="O85" s="155"/>
      <c r="P85" s="155"/>
      <c r="Q85" s="155"/>
    </row>
    <row r="86" spans="14:17" ht="15.75">
      <c r="N86" s="155"/>
      <c r="O86" s="155"/>
      <c r="P86" s="155"/>
      <c r="Q86" s="155"/>
    </row>
    <row r="87" spans="14:17" ht="15.75">
      <c r="N87" s="155"/>
      <c r="O87" s="155"/>
      <c r="P87" s="155"/>
      <c r="Q87" s="155"/>
    </row>
    <row r="88" spans="14:17" ht="15.75">
      <c r="N88" s="155"/>
      <c r="O88" s="155"/>
      <c r="P88" s="155"/>
      <c r="Q88" s="155"/>
    </row>
    <row r="89" spans="14:17" ht="15.75">
      <c r="N89" s="155"/>
      <c r="O89" s="155"/>
      <c r="P89" s="155"/>
      <c r="Q89" s="155"/>
    </row>
  </sheetData>
  <sheetProtection/>
  <mergeCells count="29">
    <mergeCell ref="A3:M3"/>
    <mergeCell ref="K5:L5"/>
    <mergeCell ref="N71:P71"/>
    <mergeCell ref="N73:P73"/>
    <mergeCell ref="A4:A7"/>
    <mergeCell ref="B4:B7"/>
    <mergeCell ref="C4:C7"/>
    <mergeCell ref="D4:F5"/>
    <mergeCell ref="G4:H5"/>
    <mergeCell ref="I4:J5"/>
    <mergeCell ref="D6:D7"/>
    <mergeCell ref="E6:E7"/>
    <mergeCell ref="N26:P26"/>
    <mergeCell ref="N17:P17"/>
    <mergeCell ref="N39:P39"/>
    <mergeCell ref="F6:F7"/>
    <mergeCell ref="H6:H7"/>
    <mergeCell ref="J6:J7"/>
    <mergeCell ref="L6:L7"/>
    <mergeCell ref="A2:M2"/>
    <mergeCell ref="N65:P65"/>
    <mergeCell ref="N79:P79"/>
    <mergeCell ref="N81:P81"/>
    <mergeCell ref="N58:Q58"/>
    <mergeCell ref="N63:Q63"/>
    <mergeCell ref="N75:P75"/>
    <mergeCell ref="N77:P77"/>
    <mergeCell ref="K4:L4"/>
    <mergeCell ref="M4:M7"/>
  </mergeCells>
  <printOptions/>
  <pageMargins left="0.17" right="0.7" top="0.39" bottom="0.75" header="0.3" footer="0.3"/>
  <pageSetup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140" zoomScaleSheetLayoutView="140" zoomScalePageLayoutView="0" workbookViewId="0" topLeftCell="A1">
      <selection activeCell="A2" sqref="A2:M2"/>
    </sheetView>
  </sheetViews>
  <sheetFormatPr defaultColWidth="9.00390625" defaultRowHeight="12.75"/>
  <cols>
    <col min="1" max="1" width="3.8515625" style="63" customWidth="1"/>
    <col min="2" max="2" width="9.7109375" style="68" customWidth="1"/>
    <col min="3" max="3" width="59.8515625" style="68" customWidth="1"/>
    <col min="4" max="4" width="8.28125" style="64" customWidth="1"/>
    <col min="5" max="5" width="9.00390625" style="64" customWidth="1"/>
    <col min="6" max="6" width="9.140625" style="64" customWidth="1"/>
    <col min="7" max="7" width="9.7109375" style="64" customWidth="1"/>
    <col min="8" max="8" width="10.28125" style="64" customWidth="1"/>
    <col min="9" max="9" width="8.8515625" style="64" customWidth="1"/>
    <col min="10" max="10" width="11.28125" style="64" customWidth="1"/>
    <col min="11" max="11" width="8.8515625" style="64" customWidth="1"/>
    <col min="12" max="12" width="10.421875" style="64" customWidth="1"/>
    <col min="13" max="13" width="14.8515625" style="64" customWidth="1"/>
    <col min="14" max="16384" width="9.00390625" style="67" customWidth="1"/>
  </cols>
  <sheetData>
    <row r="1" spans="1:13" ht="27" customHeight="1">
      <c r="A1" s="68"/>
      <c r="C1" s="351" t="s">
        <v>237</v>
      </c>
      <c r="D1" s="68"/>
      <c r="E1" s="68"/>
      <c r="F1" s="68"/>
      <c r="G1" s="68"/>
      <c r="H1" s="68"/>
      <c r="I1" s="68"/>
      <c r="J1" s="68"/>
      <c r="K1" s="68"/>
      <c r="L1" s="68"/>
      <c r="M1" s="351" t="s">
        <v>245</v>
      </c>
    </row>
    <row r="2" spans="1:13" ht="39.75" customHeight="1">
      <c r="A2" s="448" t="s">
        <v>255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13" ht="15.75">
      <c r="A3" s="449" t="s">
        <v>193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</row>
    <row r="4" spans="1:13" ht="15.75">
      <c r="A4" s="450" t="s">
        <v>0</v>
      </c>
      <c r="B4" s="451" t="s">
        <v>1</v>
      </c>
      <c r="C4" s="382" t="s">
        <v>25</v>
      </c>
      <c r="D4" s="454" t="s">
        <v>2</v>
      </c>
      <c r="E4" s="455"/>
      <c r="F4" s="456"/>
      <c r="G4" s="454" t="s">
        <v>3</v>
      </c>
      <c r="H4" s="460"/>
      <c r="I4" s="454" t="s">
        <v>4</v>
      </c>
      <c r="J4" s="463"/>
      <c r="K4" s="454" t="s">
        <v>5</v>
      </c>
      <c r="L4" s="460"/>
      <c r="M4" s="456" t="s">
        <v>6</v>
      </c>
    </row>
    <row r="5" spans="1:13" ht="15.75">
      <c r="A5" s="400"/>
      <c r="B5" s="452"/>
      <c r="C5" s="383"/>
      <c r="D5" s="457"/>
      <c r="E5" s="458"/>
      <c r="F5" s="459"/>
      <c r="G5" s="461"/>
      <c r="H5" s="462"/>
      <c r="I5" s="461"/>
      <c r="J5" s="464"/>
      <c r="K5" s="457" t="s">
        <v>7</v>
      </c>
      <c r="L5" s="462"/>
      <c r="M5" s="465"/>
    </row>
    <row r="6" spans="1:13" ht="15.75">
      <c r="A6" s="400"/>
      <c r="B6" s="452"/>
      <c r="C6" s="383"/>
      <c r="D6" s="467" t="s">
        <v>8</v>
      </c>
      <c r="E6" s="467" t="s">
        <v>9</v>
      </c>
      <c r="F6" s="467" t="s">
        <v>10</v>
      </c>
      <c r="G6" s="8" t="s">
        <v>9</v>
      </c>
      <c r="H6" s="467" t="s">
        <v>10</v>
      </c>
      <c r="I6" s="8" t="s">
        <v>9</v>
      </c>
      <c r="J6" s="467" t="s">
        <v>10</v>
      </c>
      <c r="K6" s="8" t="s">
        <v>9</v>
      </c>
      <c r="L6" s="467" t="s">
        <v>10</v>
      </c>
      <c r="M6" s="466"/>
    </row>
    <row r="7" spans="1:13" ht="15.75">
      <c r="A7" s="401"/>
      <c r="B7" s="453"/>
      <c r="C7" s="384"/>
      <c r="D7" s="468"/>
      <c r="E7" s="468"/>
      <c r="F7" s="468"/>
      <c r="G7" s="10" t="s">
        <v>11</v>
      </c>
      <c r="H7" s="468"/>
      <c r="I7" s="10" t="s">
        <v>11</v>
      </c>
      <c r="J7" s="468"/>
      <c r="K7" s="10" t="s">
        <v>11</v>
      </c>
      <c r="L7" s="468"/>
      <c r="M7" s="391"/>
    </row>
    <row r="8" spans="1:13" ht="15.75">
      <c r="A8" s="69" t="s">
        <v>12</v>
      </c>
      <c r="B8" s="70" t="s">
        <v>13</v>
      </c>
      <c r="C8" s="71" t="s">
        <v>14</v>
      </c>
      <c r="D8" s="72" t="s">
        <v>15</v>
      </c>
      <c r="E8" s="73" t="s">
        <v>16</v>
      </c>
      <c r="F8" s="74" t="s">
        <v>17</v>
      </c>
      <c r="G8" s="75" t="s">
        <v>18</v>
      </c>
      <c r="H8" s="72" t="s">
        <v>19</v>
      </c>
      <c r="I8" s="73" t="s">
        <v>20</v>
      </c>
      <c r="J8" s="75" t="s">
        <v>21</v>
      </c>
      <c r="K8" s="73" t="s">
        <v>22</v>
      </c>
      <c r="L8" s="72" t="s">
        <v>23</v>
      </c>
      <c r="M8" s="73" t="s">
        <v>24</v>
      </c>
    </row>
    <row r="9" spans="1:13" ht="31.5">
      <c r="A9" s="12"/>
      <c r="B9" s="27" t="s">
        <v>131</v>
      </c>
      <c r="C9" s="103" t="s">
        <v>139</v>
      </c>
      <c r="D9" s="12" t="s">
        <v>32</v>
      </c>
      <c r="E9" s="19"/>
      <c r="F9" s="18">
        <v>12</v>
      </c>
      <c r="G9" s="78"/>
      <c r="H9" s="13"/>
      <c r="I9" s="8"/>
      <c r="J9" s="78"/>
      <c r="K9" s="8"/>
      <c r="L9" s="13"/>
      <c r="M9" s="8"/>
    </row>
    <row r="10" spans="1:13" ht="15.75">
      <c r="A10" s="12"/>
      <c r="B10" s="27"/>
      <c r="C10" s="16" t="s">
        <v>26</v>
      </c>
      <c r="D10" s="9" t="s">
        <v>27</v>
      </c>
      <c r="E10" s="19">
        <v>0.858</v>
      </c>
      <c r="F10" s="102">
        <f>E10*F9</f>
        <v>10.296</v>
      </c>
      <c r="G10" s="78"/>
      <c r="H10" s="13"/>
      <c r="I10" s="8"/>
      <c r="J10" s="78"/>
      <c r="K10" s="8"/>
      <c r="L10" s="13"/>
      <c r="M10" s="8"/>
    </row>
    <row r="11" spans="1:13" ht="15.75">
      <c r="A11" s="12"/>
      <c r="B11" s="15" t="s">
        <v>235</v>
      </c>
      <c r="C11" s="103" t="s">
        <v>132</v>
      </c>
      <c r="D11" s="108" t="s">
        <v>28</v>
      </c>
      <c r="E11" s="26">
        <f>5.79/100</f>
        <v>0.0579</v>
      </c>
      <c r="F11" s="102">
        <f>E11*F9</f>
        <v>0.6948</v>
      </c>
      <c r="G11" s="78"/>
      <c r="H11" s="13"/>
      <c r="I11" s="8"/>
      <c r="J11" s="78"/>
      <c r="K11" s="8"/>
      <c r="L11" s="13"/>
      <c r="M11" s="8"/>
    </row>
    <row r="12" spans="1:13" ht="15.75">
      <c r="A12" s="12"/>
      <c r="B12" s="15" t="s">
        <v>75</v>
      </c>
      <c r="C12" s="103" t="s">
        <v>133</v>
      </c>
      <c r="D12" s="108" t="s">
        <v>28</v>
      </c>
      <c r="E12" s="25">
        <f>9.9/100</f>
        <v>0.099</v>
      </c>
      <c r="F12" s="102">
        <f>E12*F9</f>
        <v>1.1880000000000002</v>
      </c>
      <c r="G12" s="78"/>
      <c r="H12" s="13"/>
      <c r="I12" s="8"/>
      <c r="J12" s="78"/>
      <c r="K12" s="8"/>
      <c r="L12" s="13"/>
      <c r="M12" s="8"/>
    </row>
    <row r="13" spans="1:13" ht="15.75">
      <c r="A13" s="12"/>
      <c r="B13" s="27"/>
      <c r="C13" s="103" t="s">
        <v>33</v>
      </c>
      <c r="D13" s="12" t="s">
        <v>30</v>
      </c>
      <c r="E13" s="26">
        <f>2.79/100</f>
        <v>0.0279</v>
      </c>
      <c r="F13" s="102">
        <f>E13*F9</f>
        <v>0.3348</v>
      </c>
      <c r="G13" s="78"/>
      <c r="H13" s="13"/>
      <c r="I13" s="8"/>
      <c r="J13" s="78"/>
      <c r="K13" s="8"/>
      <c r="L13" s="13"/>
      <c r="M13" s="8"/>
    </row>
    <row r="14" spans="1:14" ht="15.75">
      <c r="A14" s="12"/>
      <c r="B14" s="104" t="s">
        <v>236</v>
      </c>
      <c r="C14" s="101" t="s">
        <v>134</v>
      </c>
      <c r="D14" s="12" t="s">
        <v>32</v>
      </c>
      <c r="E14" s="109" t="s">
        <v>36</v>
      </c>
      <c r="F14" s="102">
        <v>12</v>
      </c>
      <c r="G14" s="78"/>
      <c r="H14" s="13"/>
      <c r="I14" s="8"/>
      <c r="J14" s="78"/>
      <c r="K14" s="8"/>
      <c r="L14" s="13"/>
      <c r="M14" s="8"/>
      <c r="N14" s="67" t="s">
        <v>210</v>
      </c>
    </row>
    <row r="15" spans="1:13" ht="15.75">
      <c r="A15" s="14"/>
      <c r="B15" s="28"/>
      <c r="C15" s="105" t="s">
        <v>41</v>
      </c>
      <c r="D15" s="14" t="s">
        <v>30</v>
      </c>
      <c r="E15" s="20">
        <v>0.614</v>
      </c>
      <c r="F15" s="7">
        <f>E15*F9</f>
        <v>7.368</v>
      </c>
      <c r="G15" s="6"/>
      <c r="H15" s="5"/>
      <c r="I15" s="10"/>
      <c r="J15" s="6"/>
      <c r="K15" s="10"/>
      <c r="L15" s="5"/>
      <c r="M15" s="10"/>
    </row>
    <row r="16" spans="1:13" ht="15.75">
      <c r="A16" s="29"/>
      <c r="B16" s="15"/>
      <c r="C16" s="30" t="s">
        <v>10</v>
      </c>
      <c r="D16" s="31" t="s">
        <v>30</v>
      </c>
      <c r="E16" s="9"/>
      <c r="F16" s="9"/>
      <c r="G16" s="9"/>
      <c r="H16" s="9"/>
      <c r="I16" s="9"/>
      <c r="J16" s="9"/>
      <c r="K16" s="4"/>
      <c r="L16" s="9"/>
      <c r="M16" s="9"/>
    </row>
    <row r="17" spans="1:13" ht="31.5">
      <c r="A17" s="29"/>
      <c r="B17" s="15"/>
      <c r="C17" s="32" t="s">
        <v>252</v>
      </c>
      <c r="D17" s="31"/>
      <c r="E17" s="33" t="s">
        <v>241</v>
      </c>
      <c r="F17" s="9"/>
      <c r="G17" s="9"/>
      <c r="H17" s="9"/>
      <c r="I17" s="9"/>
      <c r="J17" s="9"/>
      <c r="K17" s="4"/>
      <c r="L17" s="9"/>
      <c r="M17" s="9"/>
    </row>
    <row r="18" spans="1:13" ht="15.75">
      <c r="A18" s="29"/>
      <c r="B18" s="15"/>
      <c r="C18" s="32" t="s">
        <v>6</v>
      </c>
      <c r="D18" s="31"/>
      <c r="E18" s="33"/>
      <c r="F18" s="9"/>
      <c r="G18" s="9"/>
      <c r="H18" s="9"/>
      <c r="I18" s="9"/>
      <c r="J18" s="9"/>
      <c r="K18" s="4"/>
      <c r="L18" s="9"/>
      <c r="M18" s="9"/>
    </row>
    <row r="19" spans="1:13" ht="15.75">
      <c r="A19" s="34"/>
      <c r="B19" s="76"/>
      <c r="C19" s="34" t="s">
        <v>253</v>
      </c>
      <c r="D19" s="31" t="s">
        <v>30</v>
      </c>
      <c r="E19" s="33" t="s">
        <v>241</v>
      </c>
      <c r="F19" s="35"/>
      <c r="G19" s="36"/>
      <c r="H19" s="113"/>
      <c r="I19" s="37"/>
      <c r="J19" s="37"/>
      <c r="K19" s="37"/>
      <c r="L19" s="37"/>
      <c r="M19" s="37"/>
    </row>
    <row r="20" spans="1:13" ht="15.75">
      <c r="A20" s="30"/>
      <c r="B20" s="76"/>
      <c r="C20" s="30" t="s">
        <v>10</v>
      </c>
      <c r="D20" s="31" t="s">
        <v>30</v>
      </c>
      <c r="E20" s="38"/>
      <c r="F20" s="30"/>
      <c r="G20" s="30"/>
      <c r="H20" s="114"/>
      <c r="I20" s="38"/>
      <c r="J20" s="38"/>
      <c r="K20" s="38"/>
      <c r="L20" s="38"/>
      <c r="M20" s="38"/>
    </row>
    <row r="21" spans="1:13" ht="15.75">
      <c r="A21" s="34"/>
      <c r="B21" s="76"/>
      <c r="C21" s="32" t="s">
        <v>251</v>
      </c>
      <c r="D21" s="31" t="s">
        <v>30</v>
      </c>
      <c r="E21" s="33" t="s">
        <v>241</v>
      </c>
      <c r="F21" s="39"/>
      <c r="G21" s="37"/>
      <c r="H21" s="113"/>
      <c r="I21" s="37"/>
      <c r="J21" s="37"/>
      <c r="K21" s="37"/>
      <c r="L21" s="37"/>
      <c r="M21" s="37"/>
    </row>
    <row r="22" spans="1:13" ht="15.75">
      <c r="A22" s="40"/>
      <c r="B22" s="77"/>
      <c r="C22" s="40" t="s">
        <v>10</v>
      </c>
      <c r="D22" s="41" t="s">
        <v>30</v>
      </c>
      <c r="E22" s="40"/>
      <c r="F22" s="40"/>
      <c r="G22" s="40"/>
      <c r="H22" s="42"/>
      <c r="I22" s="42"/>
      <c r="J22" s="42"/>
      <c r="K22" s="42"/>
      <c r="L22" s="42"/>
      <c r="M22" s="42"/>
    </row>
    <row r="23" spans="1:13" s="3" customFormat="1" ht="15.75">
      <c r="A23" s="63"/>
      <c r="B23" s="68"/>
      <c r="C23" s="68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s="3" customFormat="1" ht="15.75">
      <c r="A24" s="63"/>
      <c r="B24" s="68"/>
      <c r="C24" s="68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4:17" ht="15.75">
      <c r="N25" s="406"/>
      <c r="O25" s="406"/>
      <c r="P25" s="406"/>
      <c r="Q25" s="406"/>
    </row>
  </sheetData>
  <sheetProtection/>
  <mergeCells count="18">
    <mergeCell ref="M4:M7"/>
    <mergeCell ref="K5:L5"/>
    <mergeCell ref="D6:D7"/>
    <mergeCell ref="E6:E7"/>
    <mergeCell ref="F6:F7"/>
    <mergeCell ref="H6:H7"/>
    <mergeCell ref="J6:J7"/>
    <mergeCell ref="L6:L7"/>
    <mergeCell ref="A2:M2"/>
    <mergeCell ref="N25:Q25"/>
    <mergeCell ref="A3:M3"/>
    <mergeCell ref="A4:A7"/>
    <mergeCell ref="B4:B7"/>
    <mergeCell ref="C4:C7"/>
    <mergeCell ref="D4:F5"/>
    <mergeCell ref="G4:H5"/>
    <mergeCell ref="I4:J5"/>
    <mergeCell ref="K4:L4"/>
  </mergeCells>
  <printOptions/>
  <pageMargins left="0.33" right="0.75" top="0.46" bottom="1" header="0.5" footer="0.5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Mariami Gogoladze</cp:lastModifiedBy>
  <cp:lastPrinted>2019-11-05T11:53:18Z</cp:lastPrinted>
  <dcterms:created xsi:type="dcterms:W3CDTF">1996-10-08T23:32:33Z</dcterms:created>
  <dcterms:modified xsi:type="dcterms:W3CDTF">2019-11-05T11:54:31Z</dcterms:modified>
  <cp:category/>
  <cp:version/>
  <cp:contentType/>
  <cp:contentStatus/>
</cp:coreProperties>
</file>