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lishkari\Desktop\სან-კვანძი-ყულიშკარi-2019\"/>
    </mc:Choice>
  </mc:AlternateContent>
  <xr:revisionPtr revIDLastSave="0" documentId="13_ncr:1_{FFD015F1-3152-430C-AD9C-F4DBE00B1098}" xr6:coauthVersionLast="36" xr6:coauthVersionMax="36" xr10:uidLastSave="{00000000-0000-0000-0000-000000000000}"/>
  <bookViews>
    <workbookView xWindow="0" yWindow="0" windowWidth="20490" windowHeight="6945" firstSheet="1" activeTab="6" xr2:uid="{00000000-000D-0000-FFFF-FFFF00000000}"/>
  </bookViews>
  <sheets>
    <sheet name="ნაკრები" sheetId="3" r:id="rId1"/>
    <sheet name="სეპტიკი" sheetId="1" r:id="rId2"/>
    <sheet name="მიშენება" sheetId="2" r:id="rId3"/>
    <sheet name="Лист2" sheetId="4" state="hidden" r:id="rId4"/>
    <sheet name="სან-ტექნიკა" sheetId="7" r:id="rId5"/>
    <sheet name="ელ-სამონტაჟო" sheetId="6" r:id="rId6"/>
    <sheet name="სადაწნეო კოშკი" sheetId="8" r:id="rId7"/>
  </sheets>
  <externalReferences>
    <externalReference r:id="rId8"/>
  </externalReferences>
  <definedNames>
    <definedName name="შრომითი_დანახარჯი">'სან-ტექნიკა'!$C$15</definedName>
  </definedNames>
  <calcPr calcId="191029"/>
</workbook>
</file>

<file path=xl/calcChain.xml><?xml version="1.0" encoding="utf-8"?>
<calcChain xmlns="http://schemas.openxmlformats.org/spreadsheetml/2006/main">
  <c r="F74" i="7" l="1"/>
  <c r="F74" i="2"/>
  <c r="F211" i="2"/>
  <c r="F208" i="2"/>
  <c r="F209" i="2" s="1"/>
  <c r="F205" i="2"/>
  <c r="F175" i="2"/>
  <c r="F183" i="2" l="1"/>
  <c r="F34" i="7"/>
  <c r="F39" i="7" s="1"/>
  <c r="F23" i="7"/>
  <c r="F38" i="7"/>
  <c r="F86" i="7"/>
  <c r="F30" i="7"/>
  <c r="F22" i="7"/>
  <c r="F20" i="7"/>
  <c r="F12" i="7"/>
  <c r="F177" i="2" l="1"/>
  <c r="F181" i="2"/>
  <c r="F176" i="2"/>
  <c r="F180" i="2"/>
  <c r="F182" i="2"/>
  <c r="F135" i="2"/>
  <c r="F134" i="2"/>
  <c r="F133" i="2"/>
  <c r="F132" i="2"/>
  <c r="F131" i="2"/>
  <c r="F229" i="2"/>
  <c r="F228" i="2"/>
  <c r="F227" i="2"/>
  <c r="F226" i="2"/>
  <c r="F230" i="2"/>
  <c r="E233" i="2"/>
  <c r="E232" i="2"/>
  <c r="E231" i="2"/>
  <c r="F235" i="2"/>
  <c r="F219" i="2"/>
  <c r="F222" i="2" s="1"/>
  <c r="F162" i="2"/>
  <c r="F161" i="2"/>
  <c r="F160" i="2"/>
  <c r="F159" i="2"/>
  <c r="F158" i="2"/>
  <c r="F220" i="2" l="1"/>
  <c r="F221" i="2"/>
  <c r="F223" i="2"/>
  <c r="F224" i="2"/>
  <c r="F231" i="2"/>
  <c r="F232" i="2"/>
  <c r="F233" i="2"/>
  <c r="F234" i="2" l="1"/>
  <c r="F115" i="2" l="1"/>
  <c r="F129" i="2"/>
  <c r="F128" i="2"/>
  <c r="F127" i="2"/>
  <c r="F126" i="2"/>
  <c r="F125" i="2"/>
  <c r="F123" i="2"/>
  <c r="F122" i="2"/>
  <c r="F120" i="2"/>
  <c r="F119" i="2"/>
  <c r="F118" i="2"/>
  <c r="F116" i="2"/>
  <c r="F113" i="2"/>
  <c r="F112" i="2"/>
  <c r="F111" i="2"/>
  <c r="F110" i="2"/>
  <c r="F107" i="2"/>
  <c r="F108" i="2" s="1"/>
  <c r="F106" i="2"/>
  <c r="F105" i="2"/>
  <c r="F104" i="2"/>
  <c r="E102" i="2"/>
  <c r="E101" i="2"/>
  <c r="F91" i="2"/>
  <c r="F89" i="2"/>
  <c r="F87" i="2"/>
  <c r="F85" i="2"/>
  <c r="F92" i="2"/>
  <c r="F86" i="2" l="1"/>
  <c r="F88" i="2"/>
  <c r="F90" i="2"/>
  <c r="F254" i="2" l="1"/>
  <c r="F248" i="2"/>
  <c r="F255" i="2" s="1"/>
  <c r="F247" i="2"/>
  <c r="F246" i="2"/>
  <c r="F245" i="2"/>
  <c r="F244" i="2"/>
  <c r="F243" i="2"/>
  <c r="F241" i="2"/>
  <c r="F240" i="2"/>
  <c r="F239" i="2"/>
  <c r="F238" i="2"/>
  <c r="F237" i="2"/>
  <c r="F207" i="2"/>
  <c r="F210" i="2"/>
  <c r="F22" i="2"/>
  <c r="F24" i="2" s="1"/>
  <c r="F21" i="2"/>
  <c r="F19" i="2"/>
  <c r="F18" i="2"/>
  <c r="F213" i="2"/>
  <c r="F214" i="2"/>
  <c r="F217" i="2" s="1"/>
  <c r="F202" i="2"/>
  <c r="F204" i="2" s="1"/>
  <c r="F27" i="2"/>
  <c r="F31" i="2"/>
  <c r="F16" i="2"/>
  <c r="F15" i="2"/>
  <c r="F12" i="2"/>
  <c r="F13" i="2"/>
  <c r="F184" i="2"/>
  <c r="F190" i="2" s="1"/>
  <c r="F145" i="2"/>
  <c r="F82" i="2"/>
  <c r="F63" i="2"/>
  <c r="F51" i="2"/>
  <c r="F201" i="2"/>
  <c r="F200" i="2"/>
  <c r="F199" i="2"/>
  <c r="E197" i="2"/>
  <c r="F197" i="2" s="1"/>
  <c r="E196" i="2"/>
  <c r="F195" i="2"/>
  <c r="F194" i="2"/>
  <c r="F193" i="2"/>
  <c r="F174" i="2"/>
  <c r="F173" i="2"/>
  <c r="F172" i="2"/>
  <c r="F171" i="2"/>
  <c r="F170" i="2"/>
  <c r="F168" i="2"/>
  <c r="F167" i="2"/>
  <c r="F166" i="2"/>
  <c r="F165" i="2"/>
  <c r="F164" i="2"/>
  <c r="F156" i="2"/>
  <c r="E148" i="2"/>
  <c r="E147" i="2"/>
  <c r="E146" i="2"/>
  <c r="F144" i="2"/>
  <c r="F143" i="2"/>
  <c r="F142" i="2"/>
  <c r="F141" i="2"/>
  <c r="F139" i="2"/>
  <c r="F138" i="2"/>
  <c r="F137" i="2"/>
  <c r="F196" i="2" l="1"/>
  <c r="F76" i="2"/>
  <c r="F81" i="2"/>
  <c r="F79" i="2"/>
  <c r="F83" i="2"/>
  <c r="F250" i="2"/>
  <c r="F256" i="2"/>
  <c r="F249" i="2"/>
  <c r="F251" i="2"/>
  <c r="F75" i="2"/>
  <c r="F80" i="2"/>
  <c r="F23" i="2"/>
  <c r="F148" i="2"/>
  <c r="F149" i="2" s="1"/>
  <c r="F212" i="2"/>
  <c r="F216" i="2"/>
  <c r="F218" i="2"/>
  <c r="F203" i="2"/>
  <c r="F206" i="2"/>
  <c r="F215" i="2"/>
  <c r="F185" i="2"/>
  <c r="F187" i="2"/>
  <c r="F189" i="2"/>
  <c r="F191" i="2"/>
  <c r="F186" i="2"/>
  <c r="F153" i="2"/>
  <c r="F155" i="2"/>
  <c r="F152" i="2"/>
  <c r="F154" i="2"/>
  <c r="F146" i="2"/>
  <c r="F147" i="2"/>
  <c r="F150" i="2"/>
  <c r="F188" i="2" l="1"/>
  <c r="F72" i="2" l="1"/>
  <c r="F65" i="2" l="1"/>
  <c r="F69" i="2"/>
  <c r="F71" i="2"/>
  <c r="F73" i="2"/>
  <c r="F64" i="2"/>
  <c r="F68" i="2"/>
  <c r="F70" i="2"/>
  <c r="F60" i="2"/>
  <c r="F42" i="2"/>
  <c r="F50" i="2" s="1"/>
  <c r="F34" i="2"/>
  <c r="F39" i="2" s="1"/>
  <c r="F33" i="2"/>
  <c r="F32" i="2"/>
  <c r="F29" i="2"/>
  <c r="F98" i="2" l="1"/>
  <c r="F95" i="2"/>
  <c r="F94" i="2"/>
  <c r="F97" i="2"/>
  <c r="F48" i="2"/>
  <c r="F43" i="2"/>
  <c r="F36" i="2"/>
  <c r="F46" i="2"/>
  <c r="F49" i="2" s="1"/>
  <c r="F53" i="2"/>
  <c r="F56" i="2"/>
  <c r="F61" i="2" s="1"/>
  <c r="F58" i="2"/>
  <c r="F62" i="2"/>
  <c r="F38" i="2"/>
  <c r="F44" i="2"/>
  <c r="F47" i="2"/>
  <c r="F52" i="2"/>
  <c r="F57" i="2"/>
  <c r="F59" i="2"/>
  <c r="F35" i="2"/>
  <c r="F37" i="2"/>
  <c r="F28" i="2"/>
  <c r="F30" i="2"/>
  <c r="F100" i="2" l="1"/>
  <c r="F102" i="2"/>
  <c r="F101" i="2"/>
  <c r="F21" i="7" l="1"/>
  <c r="F19" i="7"/>
  <c r="F18" i="7"/>
  <c r="F17" i="7"/>
  <c r="F16" i="7"/>
  <c r="F15" i="7"/>
  <c r="F13" i="7"/>
  <c r="F33" i="8" l="1"/>
  <c r="F42" i="8"/>
  <c r="F41" i="8"/>
  <c r="F39" i="8"/>
  <c r="F38" i="8"/>
  <c r="F37" i="8"/>
  <c r="F36" i="8"/>
  <c r="F31" i="8"/>
  <c r="F30" i="8"/>
  <c r="F29" i="8"/>
  <c r="F28" i="8"/>
  <c r="F27" i="8"/>
  <c r="F26" i="8"/>
  <c r="F25" i="8"/>
  <c r="F11" i="8"/>
  <c r="F13" i="8" s="1"/>
  <c r="F34" i="8" l="1"/>
  <c r="F14" i="8"/>
  <c r="F21" i="8" s="1"/>
  <c r="F12" i="8"/>
  <c r="F23" i="8" l="1"/>
  <c r="F19" i="8"/>
  <c r="F15" i="8"/>
  <c r="F16" i="8"/>
  <c r="F85" i="7" l="1"/>
  <c r="F84" i="7"/>
  <c r="F83" i="7"/>
  <c r="F82" i="7"/>
  <c r="F72" i="7"/>
  <c r="F53" i="7"/>
  <c r="F37" i="7"/>
  <c r="F32" i="7"/>
  <c r="F29" i="7"/>
  <c r="F26" i="7"/>
  <c r="F25" i="7"/>
  <c r="F24" i="7"/>
  <c r="F56" i="7" l="1"/>
  <c r="F33" i="7"/>
  <c r="F31" i="7"/>
  <c r="F41" i="7"/>
  <c r="F35" i="7"/>
  <c r="F36" i="7"/>
  <c r="F94" i="7"/>
  <c r="F80" i="7"/>
  <c r="F73" i="7"/>
  <c r="F71" i="7"/>
  <c r="F70" i="7"/>
  <c r="F68" i="7"/>
  <c r="F66" i="7"/>
  <c r="F65" i="7"/>
  <c r="F64" i="7"/>
  <c r="F62" i="7"/>
  <c r="F60" i="7"/>
  <c r="F59" i="7"/>
  <c r="F58" i="7"/>
  <c r="F28" i="6"/>
  <c r="F24" i="6"/>
  <c r="F35" i="6"/>
  <c r="F34" i="6"/>
  <c r="F33" i="6"/>
  <c r="F32" i="6"/>
  <c r="F27" i="6"/>
  <c r="F25" i="6"/>
  <c r="F16" i="6"/>
  <c r="F20" i="6" s="1"/>
  <c r="F15" i="6"/>
  <c r="F12" i="6"/>
  <c r="J22" i="4"/>
  <c r="M22" i="4" s="1"/>
  <c r="J21" i="4"/>
  <c r="M21" i="4" s="1"/>
  <c r="J37" i="4"/>
  <c r="M37" i="4" s="1"/>
  <c r="J36" i="4"/>
  <c r="M36" i="4" s="1"/>
  <c r="F35" i="4"/>
  <c r="J35" i="4" s="1"/>
  <c r="M35" i="4" s="1"/>
  <c r="F23" i="4"/>
  <c r="F24" i="4"/>
  <c r="F20" i="4"/>
  <c r="J20" i="4" s="1"/>
  <c r="F19" i="4"/>
  <c r="L19" i="4" s="1"/>
  <c r="M19" i="4" s="1"/>
  <c r="F18" i="4"/>
  <c r="P50" i="4"/>
  <c r="F38" i="4"/>
  <c r="J38" i="4" s="1"/>
  <c r="F34" i="4"/>
  <c r="F33" i="4"/>
  <c r="F32" i="4"/>
  <c r="L32" i="4" s="1"/>
  <c r="M32" i="4" s="1"/>
  <c r="F31" i="4"/>
  <c r="F29" i="4"/>
  <c r="J29" i="4" s="1"/>
  <c r="M29" i="4" s="1"/>
  <c r="F28" i="4"/>
  <c r="J28" i="4" s="1"/>
  <c r="M28" i="4" s="1"/>
  <c r="F27" i="4"/>
  <c r="L27" i="4" s="1"/>
  <c r="M27" i="4" s="1"/>
  <c r="F26" i="4"/>
  <c r="H26" i="4" s="1"/>
  <c r="L15" i="4"/>
  <c r="M15" i="4" s="1"/>
  <c r="F14" i="4"/>
  <c r="L14" i="4" s="1"/>
  <c r="M14" i="4" s="1"/>
  <c r="F13" i="4"/>
  <c r="H13" i="4" s="1"/>
  <c r="M13" i="4" s="1"/>
  <c r="F17" i="6" l="1"/>
  <c r="F52" i="7"/>
  <c r="F76" i="7"/>
  <c r="F88" i="7"/>
  <c r="F51" i="7"/>
  <c r="F75" i="7"/>
  <c r="F87" i="7"/>
  <c r="F23" i="6"/>
  <c r="F30" i="6"/>
  <c r="F22" i="6"/>
  <c r="M16" i="4"/>
  <c r="H16" i="4"/>
  <c r="L39" i="4"/>
  <c r="L16" i="4"/>
  <c r="M38" i="4"/>
  <c r="H31" i="4"/>
  <c r="M31" i="4" s="1"/>
  <c r="J33" i="4"/>
  <c r="M33" i="4" s="1"/>
  <c r="J34" i="4"/>
  <c r="M34" i="4" s="1"/>
  <c r="M26" i="4"/>
  <c r="H18" i="4"/>
  <c r="J23" i="4"/>
  <c r="J24" i="4" s="1"/>
  <c r="M24" i="4" s="1"/>
  <c r="M20" i="4"/>
  <c r="J39" i="4" l="1"/>
  <c r="J40" i="4" s="1"/>
  <c r="M47" i="4" s="1"/>
  <c r="M18" i="4"/>
  <c r="H39" i="4"/>
  <c r="L40" i="4"/>
  <c r="H40" i="4"/>
  <c r="M23" i="4"/>
  <c r="L4" i="8" l="1"/>
  <c r="M41" i="4"/>
  <c r="M39" i="4"/>
  <c r="M40" i="4" s="1"/>
  <c r="M42" i="4" s="1"/>
  <c r="L4" i="7" l="1"/>
  <c r="L4" i="6"/>
  <c r="M43" i="4"/>
  <c r="M44" i="4" s="1"/>
  <c r="M45" i="4" l="1"/>
  <c r="M46" i="4" s="1"/>
  <c r="M48" i="4" s="1"/>
  <c r="M49" i="4" l="1"/>
  <c r="M50" i="4" s="1"/>
  <c r="R50" i="4" s="1"/>
  <c r="F262" i="2" l="1"/>
  <c r="F261" i="2"/>
  <c r="F260" i="2"/>
  <c r="F259" i="2"/>
  <c r="F258" i="2"/>
  <c r="F34" i="1" l="1"/>
  <c r="F76" i="1"/>
  <c r="F78" i="1" s="1"/>
  <c r="F29" i="1"/>
  <c r="F28" i="1"/>
  <c r="F27" i="1"/>
  <c r="F26" i="1"/>
  <c r="F25" i="1"/>
  <c r="F72" i="1"/>
  <c r="F74" i="1" s="1"/>
  <c r="F57" i="1"/>
  <c r="F42" i="1"/>
  <c r="F30" i="1"/>
  <c r="F17" i="1"/>
  <c r="F15" i="1"/>
  <c r="F16" i="1" s="1"/>
  <c r="F21" i="1"/>
  <c r="F23" i="1"/>
  <c r="F22" i="1"/>
  <c r="F20" i="1"/>
  <c r="F19" i="1"/>
  <c r="F53" i="1" l="1"/>
  <c r="F46" i="1"/>
  <c r="F58" i="1"/>
  <c r="F64" i="1"/>
  <c r="F39" i="1"/>
  <c r="F35" i="1"/>
  <c r="F73" i="1"/>
  <c r="F77" i="1"/>
  <c r="F71" i="1"/>
  <c r="F69" i="1"/>
  <c r="F67" i="1"/>
  <c r="F49" i="1"/>
  <c r="F43" i="1"/>
  <c r="F32" i="1"/>
  <c r="F70" i="1"/>
  <c r="F68" i="1"/>
  <c r="F59" i="1"/>
  <c r="F51" i="1"/>
  <c r="F44" i="1"/>
  <c r="F56" i="1"/>
  <c r="F38" i="1"/>
  <c r="F31" i="1"/>
  <c r="F75" i="1"/>
  <c r="F79" i="1"/>
  <c r="F41" i="1"/>
  <c r="F52" i="1"/>
  <c r="F50" i="1"/>
  <c r="F11" i="1"/>
  <c r="F14" i="1" l="1"/>
  <c r="F13" i="1"/>
  <c r="F12" i="1"/>
  <c r="F47" i="1"/>
  <c r="F48" i="1"/>
  <c r="F66" i="1"/>
  <c r="F65" i="1"/>
  <c r="F36" i="1"/>
  <c r="F37" i="1"/>
  <c r="L4" i="2" l="1"/>
  <c r="L4" i="1" l="1"/>
  <c r="D6" i="3" l="1"/>
</calcChain>
</file>

<file path=xl/sharedStrings.xml><?xml version="1.0" encoding="utf-8"?>
<sst xmlns="http://schemas.openxmlformats.org/spreadsheetml/2006/main" count="1494" uniqueCount="550">
  <si>
    <t>lokaluri xarjTaRricxva #1</t>
  </si>
  <si>
    <t>saxarjTaRricxvo Rirebuleba dRg-s gareSe</t>
  </si>
  <si>
    <t>lari</t>
  </si>
  <si>
    <t># rigiTi</t>
  </si>
  <si>
    <t>samuSaos dasaxeleba</t>
  </si>
  <si>
    <t>ganzomileba</t>
  </si>
  <si>
    <t>normatiuli
resursi</t>
  </si>
  <si>
    <t>saxarjRaRricxvo Rirebuleba</t>
  </si>
  <si>
    <t>xelfasi  
lari</t>
  </si>
  <si>
    <t>masalebi  
lari</t>
  </si>
  <si>
    <t>jami</t>
  </si>
  <si>
    <t>sul</t>
  </si>
  <si>
    <t xml:space="preserve">Sromis danaxarjebi  </t>
  </si>
  <si>
    <t>kac/sT</t>
  </si>
  <si>
    <t>sxva manqana</t>
  </si>
  <si>
    <t>t</t>
  </si>
  <si>
    <t xml:space="preserve">Sromis danaxarjebi </t>
  </si>
  <si>
    <t>zednadebi xarjebi</t>
  </si>
  <si>
    <t>srf</t>
  </si>
  <si>
    <t>sxva masala</t>
  </si>
  <si>
    <t>s/f</t>
  </si>
  <si>
    <t>kg</t>
  </si>
  <si>
    <t>ჯამი</t>
  </si>
  <si>
    <t>dagroviTi sapensio gadasaxadi xelfasidan</t>
  </si>
  <si>
    <t>dRg</t>
  </si>
  <si>
    <r>
      <t>1000m</t>
    </r>
    <r>
      <rPr>
        <b/>
        <vertAlign val="superscript"/>
        <sz val="10"/>
        <rFont val="AcadNusx"/>
      </rPr>
      <t>2</t>
    </r>
  </si>
  <si>
    <r>
      <t>1000m</t>
    </r>
    <r>
      <rPr>
        <b/>
        <vertAlign val="superscript"/>
        <sz val="10"/>
        <rFont val="AcadNusx"/>
      </rPr>
      <t>3</t>
    </r>
  </si>
  <si>
    <r>
      <t>m</t>
    </r>
    <r>
      <rPr>
        <vertAlign val="superscript"/>
        <sz val="10"/>
        <rFont val="AcadNusx"/>
      </rPr>
      <t>2</t>
    </r>
  </si>
  <si>
    <r>
      <t>m</t>
    </r>
    <r>
      <rPr>
        <b/>
        <vertAlign val="superscript"/>
        <sz val="10"/>
        <rFont val="AcadNusx"/>
      </rPr>
      <t>3</t>
    </r>
  </si>
  <si>
    <r>
      <t>m</t>
    </r>
    <r>
      <rPr>
        <vertAlign val="superscript"/>
        <sz val="10"/>
        <rFont val="AcadNusx"/>
      </rPr>
      <t>3</t>
    </r>
  </si>
  <si>
    <r>
      <t>m</t>
    </r>
    <r>
      <rPr>
        <vertAlign val="superscript"/>
        <sz val="10"/>
        <rFont val="AcadNusx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</si>
  <si>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g/m</t>
  </si>
  <si>
    <t>pompas momsaxureba</t>
  </si>
  <si>
    <t>m/sT</t>
  </si>
  <si>
    <t>sxva manqanebi</t>
  </si>
  <si>
    <r>
      <t>eqskavatori pnevmosvlaze 0,4m</t>
    </r>
    <r>
      <rPr>
        <vertAlign val="superscript"/>
        <sz val="10"/>
        <rFont val="AcadNusx"/>
      </rPr>
      <t>3</t>
    </r>
  </si>
  <si>
    <t>ganfasebis safuZveli</t>
  </si>
  <si>
    <t>erT-ze</t>
  </si>
  <si>
    <t>manqana-meqanizmebi
lari</t>
  </si>
  <si>
    <t>gruntis gatana 5 km-ze</t>
  </si>
  <si>
    <t>srf 14-5</t>
  </si>
  <si>
    <t>RorRis safuZvelis mowyoba
fraqcia (0-40 mm), sisqiT 10sm</t>
  </si>
  <si>
    <t>RorRi fraqcia 20-40mm</t>
  </si>
  <si>
    <t>RorRis transportireba 15km</t>
  </si>
  <si>
    <t xml:space="preserve">srf 4.2-248 </t>
  </si>
  <si>
    <t>srf 14-15</t>
  </si>
  <si>
    <t>gruntis damuSaveba xeliT III kat. gruntSi</t>
  </si>
  <si>
    <r>
      <t>100m</t>
    </r>
    <r>
      <rPr>
        <b/>
        <vertAlign val="superscript"/>
        <sz val="10"/>
        <rFont val="AcadNusx"/>
      </rPr>
      <t>3</t>
    </r>
  </si>
  <si>
    <t>cx 1-23-3</t>
  </si>
  <si>
    <t>cx 1-80-3</t>
  </si>
  <si>
    <t>cx 11-1-6</t>
  </si>
  <si>
    <t>cx 6-1-16</t>
  </si>
  <si>
    <t>r/betonis saZirkvlis filis mowyoba niSnulze -2,7m sisqiT 25sm</t>
  </si>
  <si>
    <t>srf 1.1-1</t>
  </si>
  <si>
    <t>srf 1.1-2</t>
  </si>
  <si>
    <t>sayalibe fari 40mm</t>
  </si>
  <si>
    <t>srf 5.1-144</t>
  </si>
  <si>
    <t>ficari Camoganili 40mm da zeviT IIIx.</t>
  </si>
  <si>
    <t>srf 5.1-22</t>
  </si>
  <si>
    <t>mavTuli Sesakravi 1,6mm</t>
  </si>
  <si>
    <t>srf 1.1-45</t>
  </si>
  <si>
    <t>cx 6-11-3</t>
  </si>
  <si>
    <t>pr</t>
  </si>
  <si>
    <t>fari sayalibe 25mm</t>
  </si>
  <si>
    <t>xis Zeli IIIx 40-60mm</t>
  </si>
  <si>
    <t>srf 5.1-35</t>
  </si>
  <si>
    <t>eleqtrodi d-4mm</t>
  </si>
  <si>
    <t>samSeneblo qanCi</t>
  </si>
  <si>
    <t>srf1.10-14</t>
  </si>
  <si>
    <t>cx 6-16-3</t>
  </si>
  <si>
    <t>ficari Camoganili 40mm da zeviT IIx.</t>
  </si>
  <si>
    <t>ficari Camoganili 25-32mm IIx</t>
  </si>
  <si>
    <t>c</t>
  </si>
  <si>
    <t>srf 4.2-120</t>
  </si>
  <si>
    <t>Tujis xufi mrgvali CarCoTi d-60sm sisqiT 50mm</t>
  </si>
  <si>
    <t>septikis gare kedlebis dafarva bitumis mastikiT</t>
  </si>
  <si>
    <t>cx 23-11-10</t>
  </si>
  <si>
    <t>bitumis emulsia</t>
  </si>
  <si>
    <t>srf 4.2-529</t>
  </si>
  <si>
    <t>kanalizaciis samkapi 100X100X100mm qudiT</t>
  </si>
  <si>
    <t>mili kanalizaciis d-100X3,2mm 0,5m</t>
  </si>
  <si>
    <t>septikis me-3 seqciis Ziris mowyoba RorRiT
fraqcia (40-70 mm), sisqiT 50sm</t>
  </si>
  <si>
    <t>cx 1-81-3</t>
  </si>
  <si>
    <t>balasti</t>
  </si>
  <si>
    <t>septikis gverdiTa kedlebis xeliT Sevseba balastiT</t>
  </si>
  <si>
    <t>balastis transportireba 25 km-dan</t>
  </si>
  <si>
    <t>srf 14-25</t>
  </si>
  <si>
    <t>satransporto xarjebi Sida gadazidvebze masalebidan</t>
  </si>
  <si>
    <t xml:space="preserve">saventilacio foladis mili d-114X4mm </t>
  </si>
  <si>
    <t>srf 2.1-41</t>
  </si>
  <si>
    <t>defleqtori d-100 feradi Tunuqis 0,5mm</t>
  </si>
  <si>
    <t>aT.lari</t>
  </si>
  <si>
    <t>m2</t>
  </si>
  <si>
    <t xml:space="preserve">sxva manqana </t>
  </si>
  <si>
    <t>m3</t>
  </si>
  <si>
    <t>Senobis gasufTaveba samSeneblo nagvisagan</t>
  </si>
  <si>
    <t>tona</t>
  </si>
  <si>
    <t>samSeneblo nagvis datvirTva xeliT avtoTviTmclelze</t>
  </si>
  <si>
    <t>jami I</t>
  </si>
  <si>
    <t>xsnaris tumbo 1m3/sT</t>
  </si>
  <si>
    <t>manq/sT</t>
  </si>
  <si>
    <t>ს/ფ</t>
  </si>
  <si>
    <t xml:space="preserve">manqanebi </t>
  </si>
  <si>
    <t>betonis bloki tixris 39X15X19sm</t>
  </si>
  <si>
    <t>xsnari wyobis m-75</t>
  </si>
  <si>
    <t>srf 4.2-365</t>
  </si>
  <si>
    <t>kedlebis mowyoba keramikuli filebiT</t>
  </si>
  <si>
    <t>webocementi</t>
  </si>
  <si>
    <t>keramikuli fila</t>
  </si>
  <si>
    <t>metlaxis fila</t>
  </si>
  <si>
    <t>iatakis mowyoba metlaxis filebiT</t>
  </si>
  <si>
    <t>manqanebi</t>
  </si>
  <si>
    <t>srf 4.2-375</t>
  </si>
  <si>
    <t>xsnari mosapirkeTebeli 1:3</t>
  </si>
  <si>
    <t>kedlebis Selesva mosapirkeTebeli xsnariT</t>
  </si>
  <si>
    <t>srf 4.1-35</t>
  </si>
  <si>
    <t>srf 13-190</t>
  </si>
  <si>
    <t>sabazro</t>
  </si>
  <si>
    <t>grZ.m</t>
  </si>
  <si>
    <t xml:space="preserve">შრომითი დანახარჯი            </t>
  </si>
  <si>
    <t>კც/სთ</t>
  </si>
  <si>
    <t>100m2</t>
  </si>
  <si>
    <t>100 გრძ.მ</t>
  </si>
  <si>
    <t>ლარი</t>
  </si>
  <si>
    <t>საბაზრო</t>
  </si>
  <si>
    <t>kar-fanjrebis gverdulebis Selesva orive mxares</t>
  </si>
  <si>
    <t>100m</t>
  </si>
  <si>
    <t>გრძ.მ</t>
  </si>
  <si>
    <t>ც</t>
  </si>
  <si>
    <t>სხვა მასალა</t>
  </si>
  <si>
    <t>m</t>
  </si>
  <si>
    <t>srf 10.1-23</t>
  </si>
  <si>
    <t>srf 10.1-20</t>
  </si>
  <si>
    <t>T/muyaos sWvali 4,2X13</t>
  </si>
  <si>
    <t>srf 10.1-40</t>
  </si>
  <si>
    <t>safiTxni</t>
  </si>
  <si>
    <t>wyalemulsiis saRebavi TeTri</t>
  </si>
  <si>
    <t>srf 4.2-46</t>
  </si>
  <si>
    <t>srf 4.2-84</t>
  </si>
  <si>
    <t>srf 10.3-4</t>
  </si>
  <si>
    <t>srf 10.3-7</t>
  </si>
  <si>
    <t>fanjrebze sacremleebis mowyoba</t>
  </si>
  <si>
    <t>feradi Tunuqi sisqiT 0,5mm</t>
  </si>
  <si>
    <t>srf 1.5-15</t>
  </si>
  <si>
    <t>xis ficari 40mm da zeviT</t>
  </si>
  <si>
    <t>srf 5.1-21</t>
  </si>
  <si>
    <t>septikiს mowyoba</t>
  </si>
  <si>
    <t xml:space="preserve"> ლოკალურ-რესურსული ხარჯთაღრიცხვა </t>
  </si>
  <si>
    <t>შედგენილია: 1984 წლის სახარჯთაღრიცხვო ნორმატივებისა და 2019 წლის II  კვარტლის საბაზრო რესურსულ ფასებში</t>
  </si>
  <si>
    <t>№</t>
  </si>
  <si>
    <t>1</t>
  </si>
  <si>
    <t>2</t>
  </si>
  <si>
    <t>3</t>
  </si>
  <si>
    <t>დ.ღ.გ. 18%</t>
  </si>
  <si>
    <t>შ.პ.ს.    ,,ზუგდიდექსპერტიზა“-ს</t>
  </si>
  <si>
    <t xml:space="preserve"> საერთო სახარჯთაღრიცხვო ღირებულება</t>
  </si>
  <si>
    <t>jami II</t>
  </si>
  <si>
    <t>gegmiuri dagroveba</t>
  </si>
  <si>
    <t>გაუთვალისწინებელი ხარჯები   5%</t>
  </si>
  <si>
    <t>ნორმატივის ნომერი და შიფრი</t>
  </si>
  <si>
    <t>სამუშაოებისა და დანახარჯების დასახელება</t>
  </si>
  <si>
    <t>საზომი      ერთეული</t>
  </si>
  <si>
    <t>რაოდენობა</t>
  </si>
  <si>
    <t>ღირებულება (ლარი)</t>
  </si>
  <si>
    <t>ნორმატივით  ერთეულზე</t>
  </si>
  <si>
    <t>საპროექტო მონაცემებით</t>
  </si>
  <si>
    <t>ხელფასი</t>
  </si>
  <si>
    <t>მასალები</t>
  </si>
  <si>
    <t>ტრანსპორტი</t>
  </si>
  <si>
    <t xml:space="preserve"> ჯამი</t>
  </si>
  <si>
    <t>ერთეული</t>
  </si>
  <si>
    <t>სულ</t>
  </si>
  <si>
    <t xml:space="preserve"> ზუგდიდში, ორულუს საჯარო სკოლის სახურავის რეაბილიტაციის</t>
  </si>
  <si>
    <t xml:space="preserve">№
№
</t>
  </si>
  <si>
    <t>46-28-2</t>
  </si>
  <si>
    <t xml:space="preserve"> lari</t>
  </si>
  <si>
    <t>Sromis danaxarjebi</t>
  </si>
  <si>
    <t>.12-8-5</t>
  </si>
  <si>
    <t>metalokramitis sWvali</t>
  </si>
  <si>
    <t>wyalSemkrebi Rarebis mowyoba</t>
  </si>
  <si>
    <t>wyalSemkrebi Rari feradi Tunuqis sisqiT 0,5mm</t>
  </si>
  <si>
    <t>wyalsawreti milebis mowyoba</t>
  </si>
  <si>
    <t xml:space="preserve">cali </t>
  </si>
  <si>
    <t xml:space="preserve">gegmiuri dagroveba </t>
  </si>
  <si>
    <t>dagrovebiTi sapensio gadasaxdi (xelfasidan)</t>
  </si>
  <si>
    <t>I. sademontaJo samuSaoebi</t>
  </si>
  <si>
    <t>saxuravis perimetrze I rigis gofrirebuli Tunuqis saxuravis, amortizebuli wyalSemkrebi Rarebis, Zabrebis da milebis
demontaJi</t>
  </si>
  <si>
    <t>samSeneblo nagvis gatana 5 km-ze</t>
  </si>
  <si>
    <t>naWedi (liTonis Raris samagri)</t>
  </si>
  <si>
    <t>sWvali C-3sm</t>
  </si>
  <si>
    <t>sabazro 
qarxnuli</t>
  </si>
  <si>
    <t>sabazro
qarxnuli</t>
  </si>
  <si>
    <t>srf 1-10-10</t>
  </si>
  <si>
    <t>wyalmimRebi Zabrebi (Wiqa)</t>
  </si>
  <si>
    <t>oTkuTxa wyalsawreti d-100mm milebi feradi Tunuqis sisqiT 0,5mm</t>
  </si>
  <si>
    <t xml:space="preserve">diubeli 50mm </t>
  </si>
  <si>
    <t>milis samagri 0,5mm feradi Tunuqis</t>
  </si>
  <si>
    <t>Raris gare kuTxe</t>
  </si>
  <si>
    <t>Raris Siga kuTxe</t>
  </si>
  <si>
    <t>muxli oTkuTxa 11adgX3c=33cali</t>
  </si>
  <si>
    <t>pirveli rigis, demontirebuli gofrirebuli, moTuTiebuli Tunuqis furclebis mowyoba</t>
  </si>
  <si>
    <t>jami I+II</t>
  </si>
  <si>
    <t>satransporto xarjebi masalebidan</t>
  </si>
  <si>
    <t>lokaluri xarjTaRricxva #2</t>
  </si>
  <si>
    <t>lokaluri xarjTaRricxva #4</t>
  </si>
  <si>
    <t>ცალი</t>
  </si>
  <si>
    <t>სრფ. 8.14-53</t>
  </si>
  <si>
    <t>ავტომატური ამომრთველი 1პ. 16 ა.</t>
  </si>
  <si>
    <t>დიფერენციალური ავტომატი ყუთით 1პ. 10ა</t>
  </si>
  <si>
    <t>100 ცალი</t>
  </si>
  <si>
    <t>სრფ. 8.14-237</t>
  </si>
  <si>
    <t>სრფ. 8.14-14</t>
  </si>
  <si>
    <t>გამომრთველი ერთკლავიშიანი</t>
  </si>
  <si>
    <t>ჩაფლული ტიპის სანათების მონტაჟი</t>
  </si>
  <si>
    <t>სხვა მანქანები 2.8+11.9</t>
  </si>
  <si>
    <t>სრფ. 8.14-213</t>
  </si>
  <si>
    <t>ლედ-სანათი არანაკლებ 12 W</t>
  </si>
  <si>
    <t>ელ-სადენის მონტაჟი ნალესის ქვეშ</t>
  </si>
  <si>
    <t>სრფ. 8.3-32</t>
  </si>
  <si>
    <t>სპილენძის ელ-სადენი NYM 3X2.5</t>
  </si>
  <si>
    <t>სრფ. 8.14-344</t>
  </si>
  <si>
    <t>გამანაწილებელი კოლოფი IP 54</t>
  </si>
  <si>
    <t>ელ-სადენის გასატარებლად გოფრირებული მილების მოწყობა</t>
  </si>
  <si>
    <t>სრფ. 8.14-352</t>
  </si>
  <si>
    <t>გოფრირებული მილი დ=26 მმ. (ცეცხლგამძლე)</t>
  </si>
  <si>
    <t>ელ-სამონტაჟო სამუშაოები</t>
  </si>
  <si>
    <t>შემყვან-გამანაწილებელი ავტომატის მოწყობა</t>
  </si>
  <si>
    <t>სატრანსპორტო ხარჯები შიდა 
გადაზიდვებზე მასალიდან</t>
  </si>
  <si>
    <t>სატრანსპორტო ხარჯები  
 მასალიდან</t>
  </si>
  <si>
    <t>ზედნადები ხარჯები ხელფასიდან</t>
  </si>
  <si>
    <t xml:space="preserve">გეგმიური დაგროვება </t>
  </si>
  <si>
    <t>სხვა მანქანები (0.2+1.8=2,0)</t>
  </si>
  <si>
    <t>lokaluri xarjTaRricxva #5</t>
  </si>
  <si>
    <t>სან-ტექნკური სამუშაოები</t>
  </si>
  <si>
    <t>სხვა მანქანები</t>
  </si>
  <si>
    <t>სრფ. 6-58</t>
  </si>
  <si>
    <t>ვენტილი დ=25</t>
  </si>
  <si>
    <t>ფიტინგები</t>
  </si>
  <si>
    <t>პლასტმასის საკანალიზაციო მილის დ=50 მმ. მოწყობა</t>
  </si>
  <si>
    <t>სრფ. 2.5-25</t>
  </si>
  <si>
    <t>პლასტმასის საკანალიზაციო მილი დ 50</t>
  </si>
  <si>
    <t>სრფ. 2.5-45</t>
  </si>
  <si>
    <t>პლასტმასის საკანალიზაციო მილი 100X3.4 მმ.</t>
  </si>
  <si>
    <t>ტრაპის მოწყობა</t>
  </si>
  <si>
    <t>სრფ. 6-45</t>
  </si>
  <si>
    <t>სრფ. 6-27</t>
  </si>
  <si>
    <t>სრფ. 6-30</t>
  </si>
  <si>
    <t>შ.შ.მ. ხელჩასავლები აქსესუარი</t>
  </si>
  <si>
    <t>სრფ. 6-29</t>
  </si>
  <si>
    <t>უნიტაზი ჩამრეცხი ავზით (შ.შ.მ.პ.)</t>
  </si>
  <si>
    <t>ხელსაბანი ნიჟარის მოწყობა</t>
  </si>
  <si>
    <t>სრფ. 6-14</t>
  </si>
  <si>
    <t>ხელსაბანი ნიჟარა  600X455X190</t>
  </si>
  <si>
    <t>სრფ. 6-19</t>
  </si>
  <si>
    <t>ხელსაბანის ფეხი</t>
  </si>
  <si>
    <t>სრფ. 6-18</t>
  </si>
  <si>
    <t>დასაკიდი ხელსაბანი ნიჟარა (შ.შ.მ.პ.)</t>
  </si>
  <si>
    <t>სრფ. 6-9</t>
  </si>
  <si>
    <t>ხელსაბანის ონკანი</t>
  </si>
  <si>
    <t>სრფ. 6-35</t>
  </si>
  <si>
    <t>სიფონი</t>
  </si>
  <si>
    <t xml:space="preserve">ზედნადები ხარჯები </t>
  </si>
  <si>
    <t>გარე წყალგაყვანილობის პოლიეთილენის მილების მოწყობა ტრანშეაში</t>
  </si>
  <si>
    <t>კაც/სთ</t>
  </si>
  <si>
    <t>1000მ</t>
  </si>
  <si>
    <t>მ</t>
  </si>
  <si>
    <t>სრფ 2.6-3</t>
  </si>
  <si>
    <t>მანქანები</t>
  </si>
  <si>
    <t>გარე კანალიზაციის მილების მოწყობა</t>
  </si>
  <si>
    <t>I. გარე წყალგაყვანილობა და კანალიზაცია</t>
  </si>
  <si>
    <t>სრფ 2.6-128</t>
  </si>
  <si>
    <t>10მ3</t>
  </si>
  <si>
    <t>ბეტონი მ-150</t>
  </si>
  <si>
    <t>მ3</t>
  </si>
  <si>
    <t>ტ</t>
  </si>
  <si>
    <t>ხის მასალა 25-32მმ მე-3 ხარისხის</t>
  </si>
  <si>
    <t>სრფ 5.1-19</t>
  </si>
  <si>
    <t>ჯამი I</t>
  </si>
  <si>
    <t xml:space="preserve">წყლის პოლიეთილენის მილების მოწყობა </t>
  </si>
  <si>
    <t>სრფ. 2.6-2</t>
  </si>
  <si>
    <t>პოლიეთილენის მილი დ-25* 2,3მმ</t>
  </si>
  <si>
    <t>პლასტმასის საკანალიზაციო მილის დ=100მმ მოწყობა</t>
  </si>
  <si>
    <t>ტრაპი ბრინჯაოს დ- 50მმ</t>
  </si>
  <si>
    <t>პისუარების მოწყობა</t>
  </si>
  <si>
    <t>პისუარი კომპლექტში ჩამრეცხი ონკანით</t>
  </si>
  <si>
    <t>სამშენებლო სამუშაოები</t>
  </si>
  <si>
    <t>სან -ტექნიკური სამუშაოები</t>
  </si>
  <si>
    <t>სამუშაოთა დასახელება</t>
  </si>
  <si>
    <t xml:space="preserve"> ჯამი II</t>
  </si>
  <si>
    <t xml:space="preserve"> ჯამი I+II</t>
  </si>
  <si>
    <t xml:space="preserve"> დირექტორი:                                 ზურაბ ბერულავა       </t>
  </si>
  <si>
    <t>უნიტაზების მოწყობა</t>
  </si>
  <si>
    <t xml:space="preserve"> ნაკრები ხარჯთაღრიცხვა </t>
  </si>
  <si>
    <t>სახარჯთაღრიცხვო ღირებულება (ლარი)</t>
  </si>
  <si>
    <t xml:space="preserve">        Seadgina:                    /d. fetelava/</t>
  </si>
  <si>
    <t xml:space="preserve">                                    /n. jabua/</t>
  </si>
  <si>
    <t>metaloplastmasis fanjris blokebis mowyoba kompleqtiT</t>
  </si>
  <si>
    <t>metaloplastmasis erTfrTiani karis bloki sendviCpaneliT, kompleqtSi</t>
  </si>
  <si>
    <t>metaloplastmasis fanjris bloki sisq. 6sm ormagi miniT, kompleqtSi</t>
  </si>
  <si>
    <t>საშტეფsელო როზეტებისა და გამომრთველების მოწყობა</t>
  </si>
  <si>
    <t>ქურო დ-32მმ</t>
  </si>
  <si>
    <t>უნიტაზი ჩამრეცხი ავზით ჩვეულებრივი</t>
  </si>
  <si>
    <t xml:space="preserve">gruntis damuSaveba xeliT III kat. gruntSi </t>
  </si>
  <si>
    <t>qarxnuli
sabazro</t>
  </si>
  <si>
    <t>1t</t>
  </si>
  <si>
    <t>cx 9.23-1</t>
  </si>
  <si>
    <t>amwe saavtomobilo svlaze 10t</t>
  </si>
  <si>
    <t>srf 1.10-14</t>
  </si>
  <si>
    <t>sxva masalebi</t>
  </si>
  <si>
    <t>srf 1.6-30</t>
  </si>
  <si>
    <t>srf 2.2-87</t>
  </si>
  <si>
    <t>srf 2.2-47</t>
  </si>
  <si>
    <t>srf 2.2-19</t>
  </si>
  <si>
    <t>srf 2.2-13</t>
  </si>
  <si>
    <t>milkvadrati 80X80X4mm  
43,8mX1,02*10,5kg=0,47t</t>
  </si>
  <si>
    <t>milkvadrati 40X40X3mm  
84,4mX1,02X3,77kg=0,325t</t>
  </si>
  <si>
    <t>milkvadrati 40X20X2mm        
30X1,02X1,88kg=0,058t</t>
  </si>
  <si>
    <t>srf 13-44</t>
  </si>
  <si>
    <t>milkvadrati 20X20X2mm        
24,6mX1,02X1,25kg=0,032t</t>
  </si>
  <si>
    <t>furclovani foladi sisq. 4mm
4,2X31,4kg=0,132t</t>
  </si>
  <si>
    <t>cx 15-164-8</t>
  </si>
  <si>
    <t>Sromis danaxarji</t>
  </si>
  <si>
    <t>saRebavi antikoroziuli</t>
  </si>
  <si>
    <t>cali</t>
  </si>
  <si>
    <t>rkinis zolovana 40X4mm</t>
  </si>
  <si>
    <t>WanWiki qanCiT d-16mm</t>
  </si>
  <si>
    <t>liTonkonstruqciis damuSaveba da SeRebva 2-jer antikoroziuli saRebaviT</t>
  </si>
  <si>
    <t>srf 1.6-59</t>
  </si>
  <si>
    <t>srf 4-2-33</t>
  </si>
  <si>
    <t xml:space="preserve">r/betonis saZirkvlis mowyoba </t>
  </si>
  <si>
    <t>wylisa da sakanalizaci milebis mosawyobad iatakze da kedlebSi xvrelebis mowyoba</t>
  </si>
  <si>
    <t>srf 4.4-39</t>
  </si>
  <si>
    <t>gruntis amoReba eqskavatoriT, a/TviTmclelze datvirTviT (8,0X5,0X3,0)m</t>
  </si>
  <si>
    <t>ცხ 15-15-3</t>
  </si>
  <si>
    <t>ცხ 15-168-10</t>
  </si>
  <si>
    <t>ცხ 9-14-5</t>
  </si>
  <si>
    <t>ცხ 11-20-3</t>
  </si>
  <si>
    <t>ცხ 15-52-4</t>
  </si>
  <si>
    <t>ცხ '15-55-5</t>
  </si>
  <si>
    <t>ცხ 8-5-4</t>
  </si>
  <si>
    <t>ცხ 6-1-7</t>
  </si>
  <si>
    <t>ცხ 46-16-3</t>
  </si>
  <si>
    <t>ცხ 46-32-2</t>
  </si>
  <si>
    <t>ცხ 1-78-2</t>
  </si>
  <si>
    <r>
      <rPr>
        <b/>
        <sz val="10"/>
        <color rgb="FFFF0000"/>
        <rFont val="AcadNusx"/>
      </rPr>
      <t>septikis</t>
    </r>
    <r>
      <rPr>
        <b/>
        <sz val="10"/>
        <color theme="1"/>
        <rFont val="AcadNusx"/>
      </rPr>
      <t xml:space="preserve"> mowyobis samuSaoebis</t>
    </r>
  </si>
  <si>
    <t>100მ3</t>
  </si>
  <si>
    <t>სხვა მანქანა</t>
  </si>
  <si>
    <t>ქვიშა</t>
  </si>
  <si>
    <t>ქვიშის ტრანსპორტირება 45კმ</t>
  </si>
  <si>
    <t>srf 14-45</t>
  </si>
  <si>
    <t>1მ3</t>
  </si>
  <si>
    <t>ზედმეტი გრუნტის გატანა 3კმ-ზე</t>
  </si>
  <si>
    <t>srf 14-31</t>
  </si>
  <si>
    <t>გრუნტის უკუჩაყრა ხელით და დატკეპვნა</t>
  </si>
  <si>
    <t>ცხ 23-17-1</t>
  </si>
  <si>
    <t>ცხ 23-2-1</t>
  </si>
  <si>
    <t>ცხ 22-8-1</t>
  </si>
  <si>
    <t>ცხ 8-3-1</t>
  </si>
  <si>
    <t>ცხ 16-6-1</t>
  </si>
  <si>
    <t>ცხ 16-6-2</t>
  </si>
  <si>
    <t>ცხ 17-1-10</t>
  </si>
  <si>
    <t>ცხ 17-4-2</t>
  </si>
  <si>
    <t>ცხ 17-5-1</t>
  </si>
  <si>
    <t>ცხ 17-6-1</t>
  </si>
  <si>
    <t>II. შიგა წყალგაყვანილობა და კანალიზაცია</t>
  </si>
  <si>
    <t>პრ</t>
  </si>
  <si>
    <t>სრფ 1.1</t>
  </si>
  <si>
    <t>თუჯის ხუფი ოთკუთხედი ჩარჩოთი (90*90)სმ</t>
  </si>
  <si>
    <t>ცხ 21-26-5</t>
  </si>
  <si>
    <t>ცხ 21-23-7</t>
  </si>
  <si>
    <t>ცხ 21-7-1</t>
  </si>
  <si>
    <t>ცხ 21-16-1</t>
  </si>
  <si>
    <t>ცხ 21-18-1</t>
  </si>
  <si>
    <t>ცხ  46-16-3</t>
  </si>
  <si>
    <t>sadawneo koSkis mowyoba</t>
  </si>
  <si>
    <t>gruntis gatana 3 km-ze</t>
  </si>
  <si>
    <t>srf 14-3</t>
  </si>
  <si>
    <t>დაგროვილი საპენსიო გადასახადი ხელფასიდან 2%</t>
  </si>
  <si>
    <t>srf 4.1-350</t>
  </si>
  <si>
    <t>srf 13-21</t>
  </si>
  <si>
    <t>ბეტონის transportireba 22km</t>
  </si>
  <si>
    <t>ტნ</t>
  </si>
  <si>
    <t>srf 4.1-337</t>
  </si>
  <si>
    <t>17-8-1.</t>
  </si>
  <si>
    <t>aT. lari</t>
  </si>
  <si>
    <r>
      <t xml:space="preserve"> ssip qalaq zugdidis </t>
    </r>
    <r>
      <rPr>
        <b/>
        <sz val="10"/>
        <color rgb="FFFF0000"/>
        <rFont val="AcadNusx"/>
      </rPr>
      <t>sof. yuliSkaris sajaro skolis</t>
    </r>
  </si>
  <si>
    <r>
      <t xml:space="preserve"> ssip qalaq zugdidis municipalitetis </t>
    </r>
    <r>
      <rPr>
        <b/>
        <sz val="10"/>
        <color rgb="FFFF0000"/>
        <rFont val="AcadNusx"/>
      </rPr>
      <t>sof. yuliSkaris</t>
    </r>
  </si>
  <si>
    <t xml:space="preserve"> sajaro skolis sankvanZisTvis miSenebis mowyobis samuSaoebis</t>
  </si>
  <si>
    <t>cx 6-1-5</t>
  </si>
  <si>
    <t>rk/betonis svetebisaTvis fundamentis mowyoba</t>
  </si>
  <si>
    <t>betoni b-18,5</t>
  </si>
  <si>
    <t>sayalibe fari 25mm</t>
  </si>
  <si>
    <t>igive 40mm da zeviT</t>
  </si>
  <si>
    <t>srf 1.5-144</t>
  </si>
  <si>
    <t>cx 6-12-7</t>
  </si>
  <si>
    <t>rk/betonis svetebis mowyoba</t>
  </si>
  <si>
    <t>betoni b-25</t>
  </si>
  <si>
    <t xml:space="preserve">srf </t>
  </si>
  <si>
    <t>srf 1-10</t>
  </si>
  <si>
    <t>cx 6-15-2</t>
  </si>
  <si>
    <t>rk/betonis monoliTuri 
rand-koWebis mowyoba</t>
  </si>
  <si>
    <t>qviSa-xreSovani narevi</t>
  </si>
  <si>
    <t>adg. karieri</t>
  </si>
  <si>
    <t xml:space="preserve">qviSa-xreSovani narevis transportireba 30 km-dan </t>
  </si>
  <si>
    <t>srf 14-30</t>
  </si>
  <si>
    <t xml:space="preserve">betonis iatakis qveS qviSa-xreSovani narevis Cayra datkepvniT </t>
  </si>
  <si>
    <t>cx 8-3-2</t>
  </si>
  <si>
    <t>RorRis safenis mowyoba sisqiT 10sm</t>
  </si>
  <si>
    <t>RorRi fraqcia 0-40mm</t>
  </si>
  <si>
    <t>srf 4.1-244</t>
  </si>
  <si>
    <t xml:space="preserve">ცხ 11-8-(1-2) 
</t>
  </si>
  <si>
    <t>betonis iatakis mowyoba sisqiT 8sm</t>
  </si>
  <si>
    <t>Sromis danaxarjebi 40,2+10*1,06</t>
  </si>
  <si>
    <t>manqanebi 1,74+10*0,28</t>
  </si>
  <si>
    <t>qarxnuli</t>
  </si>
  <si>
    <t>betonis transportireba 10km</t>
  </si>
  <si>
    <t>xsnari wyobis m-100</t>
  </si>
  <si>
    <t>srf 4.2-366</t>
  </si>
  <si>
    <t>cx  8-15-1</t>
  </si>
  <si>
    <t>kedlebis mowyoba wvrili samSeneblo blokiT 39X19X19sm</t>
  </si>
  <si>
    <t>rk/betonis monoliTuri Semkravi
sartyelis mowyoba</t>
  </si>
  <si>
    <t>cx 6-15-9</t>
  </si>
  <si>
    <t>betonis transportireba 10km-dan</t>
  </si>
  <si>
    <t>srf 14-8</t>
  </si>
  <si>
    <t>srf 14-10</t>
  </si>
  <si>
    <t>tixrebis mowyoba wvrili samSeneblo blokiT 39X15X19sm</t>
  </si>
  <si>
    <t>betonis bloki  39X15X19sm</t>
  </si>
  <si>
    <t>betonis bloki 39X19X19sm</t>
  </si>
  <si>
    <t>armatura a-III d-14mm</t>
  </si>
  <si>
    <t>armatura a-I d-6mm</t>
  </si>
  <si>
    <t>armatura a-III d-18mm</t>
  </si>
  <si>
    <t>armatura a-III d-16mm</t>
  </si>
  <si>
    <r>
      <t>100m</t>
    </r>
    <r>
      <rPr>
        <b/>
        <vertAlign val="superscript"/>
        <sz val="10"/>
        <rFont val="AcadNusx"/>
      </rPr>
      <t>2</t>
    </r>
  </si>
  <si>
    <r>
      <t>1m</t>
    </r>
    <r>
      <rPr>
        <b/>
        <vertAlign val="superscript"/>
        <sz val="10"/>
        <rFont val="AcadNusx"/>
      </rPr>
      <t>3</t>
    </r>
  </si>
  <si>
    <t xml:space="preserve"> </t>
  </si>
  <si>
    <r>
      <t>m</t>
    </r>
    <r>
      <rPr>
        <b/>
        <vertAlign val="superscript"/>
        <sz val="10"/>
        <rFont val="AcadNusx"/>
      </rPr>
      <t>2</t>
    </r>
  </si>
  <si>
    <r>
      <t xml:space="preserve">iatakis amaRleba 20sm-iT aziuri unitazebis mosawyobad </t>
    </r>
    <r>
      <rPr>
        <sz val="10"/>
        <rFont val="AcadNusx"/>
      </rPr>
      <t>1,2X1,2X0,2X5=1,44m</t>
    </r>
    <r>
      <rPr>
        <vertAlign val="superscript"/>
        <sz val="10"/>
        <rFont val="AcadNusx"/>
      </rPr>
      <t>3</t>
    </r>
  </si>
  <si>
    <t xml:space="preserve">I. sademontaJo samuSaoebi </t>
  </si>
  <si>
    <t xml:space="preserve">II. gruntis samuSaoebi </t>
  </si>
  <si>
    <t>III. samSeneblo samuSaoebi</t>
  </si>
  <si>
    <t>saxarjTaRricxvo Rirebuleba</t>
  </si>
  <si>
    <t xml:space="preserve">aguris kedlis demontaJi RiobebisaTvis sisqiT 40sm
</t>
  </si>
  <si>
    <r>
      <t xml:space="preserve">wertilovani saZirkvlebis mosawyobad gruntis amoReba eqskavatoriT, a/TviTmclelze datvirTviT </t>
    </r>
    <r>
      <rPr>
        <sz val="10"/>
        <rFont val="AcadNusx"/>
      </rPr>
      <t>(1,0X1,0X2,1X6c)m</t>
    </r>
  </si>
  <si>
    <t>metaloplastmasis erTfrTiani karis bloki sendviCpaneliT, kompleqtSi
 (aqeT-iqeT) gaRebiT</t>
  </si>
  <si>
    <t>sabzro</t>
  </si>
  <si>
    <t>cx 12-8-5</t>
  </si>
  <si>
    <t>cx 9-14-5</t>
  </si>
  <si>
    <t>srf 5.1-23</t>
  </si>
  <si>
    <t>xis masala daxerxili</t>
  </si>
  <si>
    <t>srf 4.2-61</t>
  </si>
  <si>
    <t>antiseptikuri pasta</t>
  </si>
  <si>
    <t>srf 4.2-379</t>
  </si>
  <si>
    <t>toli</t>
  </si>
  <si>
    <t>srf 1.1-49</t>
  </si>
  <si>
    <t>glinula</t>
  </si>
  <si>
    <t>lursmani samSeneblo</t>
  </si>
  <si>
    <t>cx 10-36-5</t>
  </si>
  <si>
    <t>saxuravis molartyva</t>
  </si>
  <si>
    <t xml:space="preserve">kac/sT </t>
  </si>
  <si>
    <t>srf 5.1-20</t>
  </si>
  <si>
    <t>srf 1.10</t>
  </si>
  <si>
    <t>lursmani</t>
  </si>
  <si>
    <t>cx 10-38-3</t>
  </si>
  <si>
    <t>gadaxurvis antiseptireba</t>
  </si>
  <si>
    <r>
      <t>m</t>
    </r>
    <r>
      <rPr>
        <b/>
        <vertAlign val="superscript"/>
        <sz val="10"/>
        <color rgb="FF000000"/>
        <rFont val="AcadNusx"/>
      </rPr>
      <t>2</t>
    </r>
  </si>
  <si>
    <r>
      <t>1m</t>
    </r>
    <r>
      <rPr>
        <b/>
        <vertAlign val="superscript"/>
        <sz val="10"/>
        <color rgb="FF000000"/>
        <rFont val="AcadNusx"/>
      </rPr>
      <t>3</t>
    </r>
  </si>
  <si>
    <t>cx 10-11</t>
  </si>
  <si>
    <r>
      <t xml:space="preserve">gadaxurvis xis konstruqciebis mowyoba </t>
    </r>
    <r>
      <rPr>
        <sz val="10"/>
        <rFont val="AcadNusx"/>
      </rPr>
      <t>(wolana, nivnivebi, dgarebi, iribanebi,)</t>
    </r>
  </si>
  <si>
    <r>
      <t>Camoganili xis ficari (60X40)mm 
I xarisxis bijiT 40sm 
 0,06X0,04X8,5mX13c=0,265m</t>
    </r>
    <r>
      <rPr>
        <vertAlign val="superscript"/>
        <sz val="10"/>
        <rFont val="AcadNusx"/>
      </rPr>
      <t>3</t>
    </r>
  </si>
  <si>
    <r>
      <t>m</t>
    </r>
    <r>
      <rPr>
        <vertAlign val="superscript"/>
        <sz val="10"/>
        <rFont val="AcadNusx"/>
      </rPr>
      <t xml:space="preserve">3 </t>
    </r>
  </si>
  <si>
    <t>cx 12-8-4</t>
  </si>
  <si>
    <t>oTxkuTxa wyalSemkrebi Rari feradi Tunuqis sisqiT 0,5mm</t>
  </si>
  <si>
    <t>naWedi liTonis feradi (Raris samagri)</t>
  </si>
  <si>
    <t xml:space="preserve">sWvali </t>
  </si>
  <si>
    <t>cx 12-8-3</t>
  </si>
  <si>
    <t>oTxkuTxa wyalsawreti milebi feradi Tunuqis 0,5mm</t>
  </si>
  <si>
    <t>milis samagri dubeliT</t>
  </si>
  <si>
    <t xml:space="preserve">muxli oTxkuTxa feradi Tunuqis 0,5mm </t>
  </si>
  <si>
    <t>cx 12-6-3</t>
  </si>
  <si>
    <t xml:space="preserve">wyalsawreti milebis mowyoba
2 adgilas </t>
  </si>
  <si>
    <t>profsafenis saxuravis mowyoba</t>
  </si>
  <si>
    <t>wyalmimRebi Zabri (Wiqa) feradi Tunuqis 0,5mm</t>
  </si>
  <si>
    <r>
      <t>galvanizebuli feradi Tunuqi 0,5mm
kedelze wyalamridisaTvis
 8,8X0,5Xk-1,05=4,62m</t>
    </r>
    <r>
      <rPr>
        <vertAlign val="superscript"/>
        <sz val="10"/>
        <rFont val="AcadNusx"/>
      </rPr>
      <t>2</t>
    </r>
  </si>
  <si>
    <t>galvanizebuli feradi profsafeni 0,5mm</t>
  </si>
  <si>
    <t>12-8-5</t>
  </si>
  <si>
    <t>galvanizebuli feradi Tunuqi 0,5mm</t>
  </si>
  <si>
    <r>
      <t xml:space="preserve">lavgardanis Semosva galvanizebuli feradi TunuqiT
</t>
    </r>
    <r>
      <rPr>
        <sz val="10"/>
        <rFont val="AcadNusx"/>
      </rPr>
      <t>8,8X0,5X1,05=4,62m</t>
    </r>
    <r>
      <rPr>
        <vertAlign val="superscript"/>
        <sz val="10"/>
        <rFont val="AcadNusx"/>
      </rPr>
      <t>2</t>
    </r>
  </si>
  <si>
    <t>Sekiduli plastmasis Weris mowyoba</t>
  </si>
  <si>
    <t>cx 10-56-3</t>
  </si>
  <si>
    <t>dupeli 6X35</t>
  </si>
  <si>
    <t>T/muyaos sakidi 15sm</t>
  </si>
  <si>
    <r>
      <t xml:space="preserve">parapetis amoSeneba wvrili samSeneblo blokiT 39X19X19sm
</t>
    </r>
    <r>
      <rPr>
        <sz val="10"/>
        <rFont val="AcadNusx"/>
      </rPr>
      <t>4,7X0,9X0,15X2=1,27m</t>
    </r>
    <r>
      <rPr>
        <vertAlign val="superscript"/>
        <sz val="10"/>
        <rFont val="AcadNusx"/>
      </rPr>
      <t>3</t>
    </r>
  </si>
  <si>
    <t>cx 15-54</t>
  </si>
  <si>
    <t>marmarilos nafxveni</t>
  </si>
  <si>
    <t>dekoratiuli cementi</t>
  </si>
  <si>
    <r>
      <t xml:space="preserve">sarinelis qveS RorRis safenis mowyoba sisqiT 10sm 
</t>
    </r>
    <r>
      <rPr>
        <sz val="10"/>
        <rFont val="AcadNusx"/>
      </rPr>
      <t>20,4X0,1=2,04m</t>
    </r>
    <r>
      <rPr>
        <vertAlign val="superscript"/>
        <sz val="10"/>
        <rFont val="AcadNusx"/>
      </rPr>
      <t>3</t>
    </r>
  </si>
  <si>
    <r>
      <t xml:space="preserve">sarinelis mowyoba sisqiT 8sm 
</t>
    </r>
    <r>
      <rPr>
        <sz val="10"/>
        <rFont val="AcadNusx"/>
      </rPr>
      <t>(11,0+4,7+4,7)X1,0=20,4m</t>
    </r>
    <r>
      <rPr>
        <vertAlign val="superscript"/>
        <sz val="10"/>
        <rFont val="AcadNusx"/>
      </rPr>
      <t>2</t>
    </r>
  </si>
  <si>
    <t>kedlebis SefiTxvna da maRalxarisxiani SeRebva 2jer</t>
  </si>
  <si>
    <t>jami III</t>
  </si>
  <si>
    <t>jami I+II+III</t>
  </si>
  <si>
    <r>
      <t xml:space="preserve">parapetis Semosva galvanizebuli feradi TunuqiT
</t>
    </r>
    <r>
      <rPr>
        <sz val="10"/>
        <rFont val="AcadNusx"/>
      </rPr>
      <t/>
    </r>
  </si>
  <si>
    <t>srf 4.2</t>
  </si>
  <si>
    <r>
      <t xml:space="preserve"> ssip qalaq zugdidis </t>
    </r>
    <r>
      <rPr>
        <b/>
        <sz val="10"/>
        <color rgb="FFFF0000"/>
        <rFont val="AcadNusx"/>
      </rPr>
      <t>municipalitetis sof. yuliSkaris</t>
    </r>
  </si>
  <si>
    <r>
      <rPr>
        <b/>
        <sz val="10"/>
        <color rgb="FFFF0000"/>
        <rFont val="AcadNusx"/>
      </rPr>
      <t xml:space="preserve"> sajaro skolis</t>
    </r>
    <r>
      <rPr>
        <b/>
        <sz val="10"/>
        <color theme="1"/>
        <rFont val="AcadNusx"/>
      </rPr>
      <t xml:space="preserve"> sankvanZebis san-teqnikuri samuSaoebis</t>
    </r>
  </si>
  <si>
    <r>
      <rPr>
        <b/>
        <sz val="10"/>
        <color rgb="FFFF0000"/>
        <rFont val="AcadNusx"/>
      </rPr>
      <t xml:space="preserve"> sajaro skolis</t>
    </r>
    <r>
      <rPr>
        <b/>
        <sz val="10"/>
        <color theme="1"/>
        <rFont val="AcadNusx"/>
      </rPr>
      <t xml:space="preserve"> sankvanZis el-samontaJo samuSaoebis</t>
    </r>
  </si>
  <si>
    <r>
      <t xml:space="preserve">milebis mosawyobad qviSis safenis mowyoba </t>
    </r>
    <r>
      <rPr>
        <sz val="10"/>
        <rFont val="AcadNusx"/>
      </rPr>
      <t xml:space="preserve">sisqiT (20)sm </t>
    </r>
    <r>
      <rPr>
        <b/>
        <sz val="10"/>
        <rFont val="AcadNusx"/>
      </rPr>
      <t xml:space="preserve">
</t>
    </r>
    <r>
      <rPr>
        <sz val="10"/>
        <rFont val="AcadNusx"/>
      </rPr>
      <t>85,0mX0,2X0,3=5,1m3</t>
    </r>
  </si>
  <si>
    <t>ფითინგები</t>
  </si>
  <si>
    <t xml:space="preserve">საშტეფცელო როზეტი </t>
  </si>
  <si>
    <r>
      <t xml:space="preserve">რ/ბეტონის ოთხკუთხა კანალიზაციის ჭის მოწყობა (1,1*1,1*0,8)მ </t>
    </r>
    <r>
      <rPr>
        <sz val="10"/>
        <rFont val="AcadNusx"/>
      </rPr>
      <t>(კედლის და ფსკერის სისქით 15სმ 1ცალი)</t>
    </r>
  </si>
  <si>
    <r>
      <t xml:space="preserve">me-2 kat. gruntis damuSaveba xeliT sakanalizacio da wyalmomaragebis milebis mosawyobad gruntis gverdze gadayriT 
</t>
    </r>
    <r>
      <rPr>
        <sz val="10"/>
        <rFont val="AcadNusx"/>
      </rPr>
      <t xml:space="preserve">1) 25,0X0,3X0,6=4,5m3
2) 15,0X0,3X0,3=1,35m3 
3) 45X0,3X0,3=4,05m3    sul- 9,9m3                        </t>
    </r>
  </si>
  <si>
    <t>sadawneo koSkis mowyobis samuSaoebis</t>
  </si>
  <si>
    <r>
      <t xml:space="preserve">tixar-barierebis mowyoba wvrili samSeneblo blokiT sisqiT 15sm </t>
    </r>
    <r>
      <rPr>
        <sz val="10"/>
        <rFont val="AcadNusx"/>
      </rPr>
      <t>1,2X2,0X0,15X5c=1,8m</t>
    </r>
    <r>
      <rPr>
        <vertAlign val="superscript"/>
        <sz val="10"/>
        <rFont val="AcadNusx"/>
      </rPr>
      <t>3</t>
    </r>
  </si>
  <si>
    <r>
      <t xml:space="preserve">Sida tixrebze metaloplastmasis </t>
    </r>
    <r>
      <rPr>
        <sz val="10"/>
        <rFont val="AcadNusx"/>
      </rPr>
      <t>karis blokebis mowyoba kompleqtiT
0,76X1,6X6c=7,3m</t>
    </r>
    <r>
      <rPr>
        <vertAlign val="superscript"/>
        <sz val="10"/>
        <rFont val="AcadNusx"/>
      </rPr>
      <t>2</t>
    </r>
    <r>
      <rPr>
        <b/>
        <sz val="10"/>
        <rFont val="AcadNusx"/>
      </rPr>
      <t xml:space="preserve">
</t>
    </r>
  </si>
  <si>
    <r>
      <t xml:space="preserve">metaloplastmasis karis blokebis mowyoba kompleqtiT
</t>
    </r>
    <r>
      <rPr>
        <sz val="10"/>
        <rFont val="AcadNusx"/>
      </rPr>
      <t>1) 0,7X2,0X2c=2,8m</t>
    </r>
    <r>
      <rPr>
        <vertAlign val="superscript"/>
        <sz val="10"/>
        <rFont val="AcadNusx"/>
      </rPr>
      <t>2</t>
    </r>
    <r>
      <rPr>
        <sz val="10"/>
        <rFont val="AcadNusx"/>
      </rPr>
      <t xml:space="preserve">
2) 0,8X2,0X2c=3,2m</t>
    </r>
    <r>
      <rPr>
        <vertAlign val="superscript"/>
        <sz val="10"/>
        <rFont val="AcadNusx"/>
      </rPr>
      <t xml:space="preserve">2 </t>
    </r>
    <r>
      <rPr>
        <sz val="10"/>
        <rFont val="AcadNusx"/>
      </rPr>
      <t xml:space="preserve"> sul-6,0m</t>
    </r>
    <r>
      <rPr>
        <vertAlign val="superscript"/>
        <sz val="10"/>
        <rFont val="AcadNusx"/>
      </rPr>
      <t>2</t>
    </r>
    <r>
      <rPr>
        <b/>
        <sz val="10"/>
        <rFont val="AcadNusx"/>
      </rPr>
      <t xml:space="preserve">
</t>
    </r>
  </si>
  <si>
    <r>
      <t xml:space="preserve">SSm pirTaTvis metaloplastmasis karis blokis mowyoba kompleqtiT
</t>
    </r>
    <r>
      <rPr>
        <sz val="10"/>
        <rFont val="AcadNusx"/>
      </rPr>
      <t>1,0X2,1=2,1m</t>
    </r>
    <r>
      <rPr>
        <vertAlign val="superscript"/>
        <sz val="10"/>
        <rFont val="AcadNusx"/>
      </rPr>
      <t>2</t>
    </r>
    <r>
      <rPr>
        <b/>
        <sz val="10"/>
        <rFont val="AcadNusx"/>
      </rPr>
      <t xml:space="preserve">
</t>
    </r>
  </si>
  <si>
    <t>miSenebis gare fasadis dasxureba dekoratiuli naSxefiT (fasadTan misadagebiT)</t>
  </si>
  <si>
    <r>
      <t>Siga tixar-barierebze rk/betonis monoliTuri Semkravi sartyelis mowyoba</t>
    </r>
    <r>
      <rPr>
        <sz val="10"/>
        <rFont val="AcadNusx"/>
      </rPr>
      <t xml:space="preserve"> 13,5X0,15X0,15=0,31m</t>
    </r>
    <r>
      <rPr>
        <vertAlign val="superscript"/>
        <sz val="10"/>
        <rFont val="AcadNusx"/>
      </rPr>
      <t>3</t>
    </r>
  </si>
  <si>
    <t>armatura a-III d-12mm</t>
  </si>
  <si>
    <t>fanjrebis demontaJi gisosebiT da dasawyobeba</t>
  </si>
  <si>
    <t>samSeneblo nagvis transportireba 10km</t>
  </si>
  <si>
    <r>
      <t xml:space="preserve">სსიპ  ზუგდიდის  მუნიციპალიტეტის  </t>
    </r>
    <r>
      <rPr>
        <b/>
        <sz val="12"/>
        <color rgb="FFFF0000"/>
        <rFont val="Sylfaen"/>
        <family val="1"/>
        <charset val="204"/>
      </rPr>
      <t xml:space="preserve">ყულიშკარის  საჯარო სკოლის
 </t>
    </r>
    <r>
      <rPr>
        <b/>
        <sz val="12"/>
        <rFont val="Sylfaen"/>
        <family val="1"/>
      </rPr>
      <t xml:space="preserve"> სანკვანძების მოწყობის სამუშაოების</t>
    </r>
  </si>
  <si>
    <t>srf 17-126</t>
  </si>
  <si>
    <t>შედგენილია: 1984 წლის სახარჯთაღრიცხვო ნორმატივებისა და 2019 წლის III  კვარტლის საბაზრო რესურსულ ფასებში</t>
  </si>
  <si>
    <r>
      <t xml:space="preserve">Sedgenilia 2019 wlis III kvartlis </t>
    </r>
    <r>
      <rPr>
        <b/>
        <sz val="10"/>
        <rFont val="AcadNusx"/>
      </rPr>
      <t xml:space="preserve">doneze </t>
    </r>
  </si>
  <si>
    <t>polieTilenis wylis avzi sakvebi 2000l
(gareT lurji feris)</t>
  </si>
  <si>
    <t xml:space="preserve"> ჯამი I</t>
  </si>
  <si>
    <t>სრფ 4.2-124</t>
  </si>
  <si>
    <t xml:space="preserve">ცხ 1-81-2 </t>
  </si>
  <si>
    <t xml:space="preserve">       </t>
  </si>
  <si>
    <t>srf 10.4-6</t>
  </si>
  <si>
    <t>srf 4.2-206</t>
  </si>
  <si>
    <t>armatura A-III  d-11mm</t>
  </si>
  <si>
    <t>betoni b-18,5
transportirebiT</t>
  </si>
  <si>
    <r>
      <t xml:space="preserve">wylis sadawneo avzis liTonkonstruqciis 
karkasis damzadeba da montaJi
</t>
    </r>
    <r>
      <rPr>
        <sz val="10"/>
        <rFont val="AcadNusx"/>
      </rPr>
      <t>(0,47+0,325+0,058+0,032+0,132)=1,02t</t>
    </r>
  </si>
  <si>
    <r>
      <t xml:space="preserve">wylis </t>
    </r>
    <r>
      <rPr>
        <b/>
        <sz val="10"/>
        <color theme="1"/>
        <rFont val="AcadNusx"/>
      </rPr>
      <t>2000l</t>
    </r>
    <r>
      <rPr>
        <b/>
        <sz val="10"/>
        <rFont val="AcadNusx"/>
      </rPr>
      <t xml:space="preserve">-iani polieTilenis avzis  mowyoba-montaJi </t>
    </r>
  </si>
  <si>
    <t>armatura A-III  d-12mm</t>
  </si>
  <si>
    <t>armatura  A-I d-8m</t>
  </si>
  <si>
    <t xml:space="preserve">betoni sulfatomedegi m250 (B-20) </t>
  </si>
  <si>
    <t>r/betonis kedlebis mowyoba 
H-3m-mde, sisqiT 25sm kedelSi kanalizaciis d-100X3,2mm milebisa da 100X100X100 samkapebis (qudiT) mowyobiT</t>
  </si>
  <si>
    <t>gadaxurvis r/betonis filis mowyoba H-3m-mde, sisqiT 25sm Tujis xufebis montaJiT</t>
  </si>
  <si>
    <t>r 21-87</t>
  </si>
  <si>
    <r>
      <rPr>
        <sz val="9"/>
        <rFont val="AcadNusx"/>
      </rPr>
      <t>ЕНиР</t>
    </r>
    <r>
      <rPr>
        <sz val="10"/>
        <rFont val="AcadNusx"/>
      </rPr>
      <t xml:space="preserve">
 1-22-1а     </t>
    </r>
  </si>
  <si>
    <t>betoni B-15  3,06+10*0,51</t>
  </si>
  <si>
    <t xml:space="preserve">betoni B-15 </t>
  </si>
  <si>
    <t>plastmasis Sekiduli Weri b-25sm</t>
  </si>
  <si>
    <t>TabaSirmuyaos profili UD sisqiT 0,5mm</t>
  </si>
  <si>
    <t>TabaSirmuyaos profili CD sisqiT 0,5mm</t>
  </si>
  <si>
    <t>პოლიეთილენის მილი PN-16 32,0*2,9მმ</t>
  </si>
  <si>
    <t>პლიეთილენის დ-100მმ გოფრირებული
 მილი SN-4</t>
  </si>
  <si>
    <t>არმატურა   A-I  დ-10მმ  
 (1ჭაზე -  49,6მX0,63კგ=0,0313ტ)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</si>
</sst>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(* #,##0.00_);_(* \(#,##0.00\);_(* &quot;-&quot;??_);_(@_)"/>
    <numFmt numFmtId="164" formatCode="_-* #,##0.00\ _₽_-;\-* #,##0.00\ _₽_-;_-* &quot;-&quot;??\ _₽_-;_-@_-"/>
    <numFmt numFmtId="165" formatCode="_-* #,##0.00_р_._-;\-* #,##0.00_р_._-;_-* &quot;-&quot;??_р_._-;_-@_-"/>
    <numFmt numFmtId="166" formatCode="0.00;[Red]0.00"/>
    <numFmt numFmtId="167" formatCode="0.000"/>
    <numFmt numFmtId="168" formatCode="0.0"/>
    <numFmt numFmtId="169" formatCode="0.0000"/>
    <numFmt numFmtId="170" formatCode="_-* #,##0_р_._-;\-* #,##0_р_._-;_-* &quot;-&quot;??_р_._-;_-@_-"/>
    <numFmt numFmtId="171" formatCode="###0;###0"/>
    <numFmt numFmtId="172" formatCode="#,##0.0;#,##0.0"/>
    <numFmt numFmtId="173" formatCode="#,##0.00;#,##0.00"/>
    <numFmt numFmtId="174" formatCode="yy\-m\-d;@"/>
    <numFmt numFmtId="175" formatCode="#,##0.000;#,##0.000"/>
    <numFmt numFmtId="176" formatCode="#,##0.0"/>
    <numFmt numFmtId="177" formatCode="0.000;[Red]0.000"/>
    <numFmt numFmtId="178" formatCode="0.0%"/>
    <numFmt numFmtId="179" formatCode="0.00000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</font>
    <font>
      <sz val="10"/>
      <name val="Arial Cyr"/>
      <charset val="204"/>
    </font>
    <font>
      <b/>
      <sz val="10"/>
      <name val="AcadNusx"/>
    </font>
    <font>
      <b/>
      <sz val="10"/>
      <color theme="1"/>
      <name val="AcadNusx"/>
    </font>
    <font>
      <sz val="10"/>
      <name val="Times New Roman"/>
      <family val="1"/>
    </font>
    <font>
      <sz val="10"/>
      <color theme="1"/>
      <name val="AcadNusx"/>
    </font>
    <font>
      <b/>
      <sz val="10"/>
      <color rgb="FFFF0000"/>
      <name val="AcadNusx"/>
    </font>
    <font>
      <b/>
      <sz val="10"/>
      <color theme="1"/>
      <name val="Grigolia"/>
    </font>
    <font>
      <b/>
      <vertAlign val="superscript"/>
      <sz val="10"/>
      <name val="AcadNusx"/>
    </font>
    <font>
      <vertAlign val="superscript"/>
      <sz val="10"/>
      <name val="AcadNusx"/>
    </font>
    <font>
      <sz val="10"/>
      <color rgb="FFFF0000"/>
      <name val="AcadNusx"/>
    </font>
    <font>
      <sz val="10"/>
      <name val="Sylfaen"/>
      <family val="1"/>
    </font>
    <font>
      <b/>
      <sz val="10"/>
      <name val="Sylfaen"/>
      <family val="1"/>
    </font>
    <font>
      <b/>
      <sz val="12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sz val="10"/>
      <color rgb="FF000000"/>
      <name val="AcadNusx"/>
    </font>
    <font>
      <b/>
      <sz val="10"/>
      <color rgb="FF000000"/>
      <name val="AcadNusx"/>
    </font>
    <font>
      <sz val="10"/>
      <color rgb="FF000000"/>
      <name val="Times New Roman"/>
      <family val="1"/>
      <charset val="204"/>
    </font>
    <font>
      <b/>
      <sz val="9"/>
      <name val="AcadNusx"/>
    </font>
    <font>
      <b/>
      <sz val="10"/>
      <color indexed="8"/>
      <name val="AcadNusx"/>
    </font>
    <font>
      <sz val="12"/>
      <color theme="1"/>
      <name val="AcadNusx"/>
    </font>
    <font>
      <b/>
      <sz val="11"/>
      <name val="AcadNusx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Sylfaen"/>
      <family val="1"/>
      <charset val="204"/>
    </font>
    <font>
      <b/>
      <vertAlign val="superscript"/>
      <sz val="10"/>
      <color rgb="FF000000"/>
      <name val="AcadNusx"/>
    </font>
    <font>
      <sz val="11"/>
      <color theme="1"/>
      <name val="AcadNusx"/>
    </font>
    <font>
      <sz val="9"/>
      <name val="AcadNusx"/>
    </font>
    <font>
      <b/>
      <i/>
      <sz val="10"/>
      <name val="AcadNusx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5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</cellStyleXfs>
  <cellXfs count="576">
    <xf numFmtId="0" fontId="0" fillId="0" borderId="0" xfId="0"/>
    <xf numFmtId="0" fontId="3" fillId="2" borderId="5" xfId="7" applyFont="1" applyFill="1" applyBorder="1" applyAlignment="1" applyProtection="1">
      <alignment horizontal="left" vertical="center" wrapText="1"/>
    </xf>
    <xf numFmtId="0" fontId="7" fillId="2" borderId="0" xfId="2" applyFont="1" applyFill="1" applyAlignment="1">
      <alignment vertical="center"/>
    </xf>
    <xf numFmtId="0" fontId="7" fillId="2" borderId="0" xfId="2" applyFont="1" applyFill="1" applyAlignment="1">
      <alignment horizontal="right" vertical="center"/>
    </xf>
    <xf numFmtId="0" fontId="7" fillId="2" borderId="5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/>
    </xf>
    <xf numFmtId="9" fontId="7" fillId="2" borderId="5" xfId="2" applyNumberFormat="1" applyFont="1" applyFill="1" applyBorder="1" applyAlignment="1">
      <alignment horizontal="center" vertical="center"/>
    </xf>
    <xf numFmtId="2" fontId="7" fillId="2" borderId="5" xfId="2" applyNumberFormat="1" applyFont="1" applyFill="1" applyBorder="1" applyAlignment="1">
      <alignment horizontal="center" vertical="center"/>
    </xf>
    <xf numFmtId="0" fontId="6" fillId="2" borderId="5" xfId="7" applyFont="1" applyFill="1" applyBorder="1" applyAlignment="1" applyProtection="1">
      <alignment horizontal="left" vertical="center" wrapText="1"/>
    </xf>
    <xf numFmtId="0" fontId="3" fillId="2" borderId="5" xfId="2" applyFont="1" applyFill="1" applyBorder="1" applyAlignment="1" applyProtection="1">
      <alignment horizontal="center" vertical="center" wrapText="1"/>
    </xf>
    <xf numFmtId="2" fontId="3" fillId="2" borderId="5" xfId="7" applyNumberFormat="1" applyFont="1" applyFill="1" applyBorder="1" applyAlignment="1" applyProtection="1">
      <alignment horizontal="center" vertical="center" wrapText="1"/>
    </xf>
    <xf numFmtId="2" fontId="6" fillId="2" borderId="5" xfId="8" applyNumberFormat="1" applyFont="1" applyFill="1" applyBorder="1" applyAlignment="1" applyProtection="1">
      <alignment horizontal="center" vertical="center" wrapText="1"/>
    </xf>
    <xf numFmtId="2" fontId="3" fillId="2" borderId="5" xfId="8" applyNumberFormat="1" applyFont="1" applyFill="1" applyBorder="1" applyAlignment="1" applyProtection="1">
      <alignment horizontal="center" vertical="center" wrapText="1"/>
    </xf>
    <xf numFmtId="0" fontId="6" fillId="2" borderId="5" xfId="7" applyFont="1" applyFill="1" applyBorder="1" applyAlignment="1" applyProtection="1">
      <alignment horizontal="center" vertical="center" wrapText="1"/>
    </xf>
    <xf numFmtId="2" fontId="6" fillId="2" borderId="5" xfId="7" applyNumberFormat="1" applyFont="1" applyFill="1" applyBorder="1" applyAlignment="1" applyProtection="1">
      <alignment horizontal="center" vertical="center" wrapText="1"/>
    </xf>
    <xf numFmtId="2" fontId="6" fillId="2" borderId="5" xfId="7" applyNumberFormat="1" applyFont="1" applyFill="1" applyBorder="1" applyAlignment="1" applyProtection="1">
      <alignment horizontal="center" vertical="center"/>
    </xf>
    <xf numFmtId="2" fontId="6" fillId="2" borderId="5" xfId="8" applyNumberFormat="1" applyFont="1" applyFill="1" applyBorder="1" applyAlignment="1" applyProtection="1">
      <alignment horizontal="center" vertical="center"/>
    </xf>
    <xf numFmtId="0" fontId="6" fillId="2" borderId="5" xfId="2" applyFont="1" applyFill="1" applyBorder="1" applyAlignment="1" applyProtection="1">
      <alignment horizontal="center" vertical="center" wrapText="1"/>
    </xf>
    <xf numFmtId="166" fontId="7" fillId="2" borderId="5" xfId="2" applyNumberFormat="1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 wrapText="1"/>
    </xf>
    <xf numFmtId="9" fontId="7" fillId="2" borderId="0" xfId="2" applyNumberFormat="1" applyFont="1" applyFill="1" applyBorder="1" applyAlignment="1">
      <alignment horizontal="center" vertical="center"/>
    </xf>
    <xf numFmtId="166" fontId="7" fillId="2" borderId="0" xfId="2" applyNumberFormat="1" applyFont="1" applyFill="1" applyBorder="1" applyAlignment="1">
      <alignment horizontal="center" vertical="center"/>
    </xf>
    <xf numFmtId="2" fontId="7" fillId="2" borderId="0" xfId="2" applyNumberFormat="1" applyFont="1" applyFill="1" applyBorder="1" applyAlignment="1">
      <alignment horizontal="center" vertical="center"/>
    </xf>
    <xf numFmtId="0" fontId="9" fillId="2" borderId="5" xfId="2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6" fillId="3" borderId="5" xfId="7" applyFont="1" applyFill="1" applyBorder="1" applyAlignment="1" applyProtection="1">
      <alignment horizontal="center" vertical="center" wrapText="1"/>
    </xf>
    <xf numFmtId="0" fontId="6" fillId="0" borderId="5" xfId="7" applyFont="1" applyFill="1" applyBorder="1" applyAlignment="1" applyProtection="1">
      <alignment vertical="center" wrapText="1"/>
    </xf>
    <xf numFmtId="168" fontId="3" fillId="2" borderId="5" xfId="8" applyNumberFormat="1" applyFont="1" applyFill="1" applyBorder="1" applyAlignment="1" applyProtection="1">
      <alignment horizontal="center" vertical="center" wrapText="1"/>
    </xf>
    <xf numFmtId="167" fontId="6" fillId="2" borderId="5" xfId="8" applyNumberFormat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left" vertical="top" wrapText="1"/>
    </xf>
    <xf numFmtId="0" fontId="3" fillId="0" borderId="5" xfId="0" applyFont="1" applyFill="1" applyBorder="1" applyAlignment="1" applyProtection="1">
      <alignment horizontal="center" vertical="top" wrapText="1"/>
    </xf>
    <xf numFmtId="165" fontId="3" fillId="0" borderId="5" xfId="1" applyNumberFormat="1" applyFont="1" applyFill="1" applyBorder="1" applyAlignment="1" applyProtection="1">
      <alignment vertical="center" wrapText="1"/>
    </xf>
    <xf numFmtId="0" fontId="8" fillId="0" borderId="0" xfId="0" applyFont="1" applyFill="1" applyProtection="1"/>
    <xf numFmtId="0" fontId="3" fillId="0" borderId="5" xfId="0" applyFont="1" applyFill="1" applyBorder="1" applyAlignment="1" applyProtection="1">
      <alignment horizontal="left" vertical="top" wrapText="1"/>
    </xf>
    <xf numFmtId="169" fontId="6" fillId="2" borderId="5" xfId="8" applyNumberFormat="1" applyFont="1" applyFill="1" applyBorder="1" applyAlignment="1" applyProtection="1">
      <alignment horizontal="center" vertical="center" wrapText="1"/>
    </xf>
    <xf numFmtId="167" fontId="3" fillId="2" borderId="5" xfId="8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top" wrapText="1"/>
    </xf>
    <xf numFmtId="1" fontId="3" fillId="2" borderId="5" xfId="8" applyNumberFormat="1" applyFont="1" applyFill="1" applyBorder="1" applyAlignment="1" applyProtection="1">
      <alignment horizontal="center" vertical="center" wrapText="1"/>
    </xf>
    <xf numFmtId="9" fontId="6" fillId="2" borderId="5" xfId="7" applyNumberFormat="1" applyFont="1" applyFill="1" applyBorder="1" applyAlignment="1" applyProtection="1">
      <alignment horizontal="center" vertical="center" wrapText="1"/>
    </xf>
    <xf numFmtId="166" fontId="7" fillId="2" borderId="0" xfId="2" applyNumberFormat="1" applyFont="1" applyFill="1" applyAlignment="1">
      <alignment horizontal="center" vertical="center"/>
    </xf>
    <xf numFmtId="0" fontId="3" fillId="0" borderId="1" xfId="7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3" fillId="0" borderId="3" xfId="7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 applyProtection="1">
      <alignment horizontal="center" vertical="top" wrapText="1"/>
    </xf>
    <xf numFmtId="43" fontId="3" fillId="0" borderId="5" xfId="1" applyNumberFormat="1" applyFont="1" applyFill="1" applyBorder="1" applyAlignment="1" applyProtection="1">
      <alignment vertical="center" wrapText="1"/>
    </xf>
    <xf numFmtId="0" fontId="3" fillId="0" borderId="1" xfId="7" applyFont="1" applyFill="1" applyBorder="1" applyAlignment="1" applyProtection="1">
      <alignment horizontal="center" vertical="top" wrapText="1"/>
    </xf>
    <xf numFmtId="0" fontId="3" fillId="0" borderId="5" xfId="7" applyFont="1" applyFill="1" applyBorder="1" applyAlignment="1" applyProtection="1">
      <alignment horizontal="center" vertical="top" wrapText="1"/>
    </xf>
    <xf numFmtId="0" fontId="3" fillId="0" borderId="2" xfId="7" applyFont="1" applyFill="1" applyBorder="1" applyAlignment="1" applyProtection="1">
      <alignment horizontal="center" vertical="top" wrapText="1"/>
    </xf>
    <xf numFmtId="0" fontId="3" fillId="0" borderId="5" xfId="7" applyFont="1" applyFill="1" applyBorder="1" applyAlignment="1" applyProtection="1">
      <alignment horizontal="left" vertical="top" wrapText="1"/>
    </xf>
    <xf numFmtId="0" fontId="3" fillId="0" borderId="2" xfId="7" applyFont="1" applyFill="1" applyBorder="1" applyAlignment="1" applyProtection="1">
      <alignment horizontal="left" vertical="top" wrapText="1"/>
    </xf>
    <xf numFmtId="0" fontId="3" fillId="0" borderId="3" xfId="7" applyFont="1" applyFill="1" applyBorder="1" applyAlignment="1" applyProtection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2" fontId="3" fillId="0" borderId="5" xfId="0" applyNumberFormat="1" applyFont="1" applyFill="1" applyBorder="1" applyAlignment="1" applyProtection="1">
      <alignment horizontal="center" vertical="center" wrapText="1"/>
    </xf>
    <xf numFmtId="9" fontId="6" fillId="0" borderId="5" xfId="16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3" fillId="0" borderId="5" xfId="7" quotePrefix="1" applyFont="1" applyFill="1" applyBorder="1" applyAlignment="1" applyProtection="1">
      <alignment horizontal="center" vertical="top" wrapText="1"/>
    </xf>
    <xf numFmtId="0" fontId="3" fillId="0" borderId="5" xfId="7" quotePrefix="1" applyFont="1" applyFill="1" applyBorder="1" applyAlignment="1" applyProtection="1">
      <alignment horizontal="center" vertical="center" wrapText="1"/>
    </xf>
    <xf numFmtId="0" fontId="3" fillId="2" borderId="5" xfId="7" applyFont="1" applyFill="1" applyBorder="1" applyAlignment="1" applyProtection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169" fontId="3" fillId="0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168" fontId="3" fillId="0" borderId="5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/>
    </xf>
    <xf numFmtId="2" fontId="16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/>
    <xf numFmtId="2" fontId="15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vertical="center" wrapText="1"/>
    </xf>
    <xf numFmtId="0" fontId="15" fillId="0" borderId="5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2" fontId="15" fillId="0" borderId="0" xfId="0" applyNumberFormat="1" applyFont="1" applyAlignment="1">
      <alignment horizont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3" fillId="2" borderId="5" xfId="17" applyFont="1" applyFill="1" applyBorder="1" applyAlignment="1">
      <alignment horizontal="center" vertical="center" wrapText="1"/>
    </xf>
    <xf numFmtId="0" fontId="3" fillId="2" borderId="5" xfId="17" applyFont="1" applyFill="1" applyBorder="1" applyAlignment="1">
      <alignment horizontal="center" wrapText="1"/>
    </xf>
    <xf numFmtId="170" fontId="3" fillId="2" borderId="5" xfId="14" applyNumberFormat="1" applyFont="1" applyFill="1" applyBorder="1" applyAlignment="1">
      <alignment horizontal="center" wrapText="1"/>
    </xf>
    <xf numFmtId="0" fontId="0" fillId="2" borderId="0" xfId="0" applyFill="1"/>
    <xf numFmtId="0" fontId="6" fillId="2" borderId="5" xfId="17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2" fontId="23" fillId="2" borderId="5" xfId="0" applyNumberFormat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top" wrapText="1"/>
    </xf>
    <xf numFmtId="172" fontId="22" fillId="2" borderId="5" xfId="0" applyNumberFormat="1" applyFont="1" applyFill="1" applyBorder="1" applyAlignment="1">
      <alignment horizontal="center" wrapText="1"/>
    </xf>
    <xf numFmtId="0" fontId="22" fillId="2" borderId="0" xfId="0" applyFont="1" applyFill="1" applyBorder="1" applyAlignment="1">
      <alignment horizontal="left" vertical="top"/>
    </xf>
    <xf numFmtId="0" fontId="2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167" fontId="22" fillId="2" borderId="5" xfId="0" applyNumberFormat="1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/>
    </xf>
    <xf numFmtId="2" fontId="22" fillId="2" borderId="5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left" vertical="center" wrapText="1"/>
    </xf>
    <xf numFmtId="171" fontId="22" fillId="2" borderId="5" xfId="0" applyNumberFormat="1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168" fontId="6" fillId="2" borderId="5" xfId="17" applyNumberFormat="1" applyFont="1" applyFill="1" applyBorder="1" applyAlignment="1">
      <alignment horizontal="center" vertical="center" wrapText="1"/>
    </xf>
    <xf numFmtId="172" fontId="3" fillId="2" borderId="5" xfId="17" applyNumberFormat="1" applyFont="1" applyFill="1" applyBorder="1" applyAlignment="1">
      <alignment horizontal="center" wrapText="1"/>
    </xf>
    <xf numFmtId="172" fontId="3" fillId="2" borderId="5" xfId="17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2" fontId="3" fillId="2" borderId="5" xfId="17" applyNumberFormat="1" applyFont="1" applyFill="1" applyBorder="1" applyAlignment="1">
      <alignment horizontal="center" vertical="center" wrapText="1"/>
    </xf>
    <xf numFmtId="173" fontId="3" fillId="2" borderId="5" xfId="17" applyNumberFormat="1" applyFont="1" applyFill="1" applyBorder="1" applyAlignment="1">
      <alignment horizontal="center" wrapText="1"/>
    </xf>
    <xf numFmtId="0" fontId="3" fillId="2" borderId="3" xfId="17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top" wrapText="1"/>
    </xf>
    <xf numFmtId="168" fontId="14" fillId="2" borderId="5" xfId="17" applyNumberFormat="1" applyFont="1" applyFill="1" applyBorder="1" applyAlignment="1">
      <alignment horizontal="center" vertical="center" wrapText="1"/>
    </xf>
    <xf numFmtId="173" fontId="3" fillId="2" borderId="5" xfId="17" applyNumberFormat="1" applyFont="1" applyFill="1" applyBorder="1" applyAlignment="1">
      <alignment horizontal="center" vertical="center" wrapText="1"/>
    </xf>
    <xf numFmtId="174" fontId="22" fillId="2" borderId="5" xfId="0" applyNumberFormat="1" applyFont="1" applyFill="1" applyBorder="1" applyAlignment="1">
      <alignment horizontal="center" vertical="top" wrapText="1"/>
    </xf>
    <xf numFmtId="175" fontId="3" fillId="2" borderId="5" xfId="17" applyNumberFormat="1" applyFont="1" applyFill="1" applyBorder="1" applyAlignment="1">
      <alignment horizontal="center" vertical="center" wrapText="1"/>
    </xf>
    <xf numFmtId="174" fontId="22" fillId="2" borderId="5" xfId="0" applyNumberFormat="1" applyFont="1" applyFill="1" applyBorder="1" applyAlignment="1">
      <alignment horizontal="center" vertical="center" wrapText="1"/>
    </xf>
    <xf numFmtId="172" fontId="3" fillId="2" borderId="5" xfId="8" applyNumberFormat="1" applyFont="1" applyFill="1" applyBorder="1" applyAlignment="1" applyProtection="1">
      <alignment horizontal="center" vertical="center" wrapText="1"/>
    </xf>
    <xf numFmtId="0" fontId="3" fillId="2" borderId="5" xfId="17" applyFont="1" applyFill="1" applyBorder="1" applyAlignment="1">
      <alignment vertical="center" wrapText="1"/>
    </xf>
    <xf numFmtId="174" fontId="22" fillId="2" borderId="5" xfId="0" applyNumberFormat="1" applyFont="1" applyFill="1" applyBorder="1" applyAlignment="1">
      <alignment vertical="top" wrapText="1"/>
    </xf>
    <xf numFmtId="0" fontId="6" fillId="2" borderId="5" xfId="17" applyFont="1" applyFill="1" applyBorder="1" applyAlignment="1">
      <alignment horizontal="center" wrapText="1"/>
    </xf>
    <xf numFmtId="2" fontId="6" fillId="2" borderId="5" xfId="17" applyNumberFormat="1" applyFont="1" applyFill="1" applyBorder="1" applyAlignment="1">
      <alignment horizontal="center" vertical="center" wrapText="1"/>
    </xf>
    <xf numFmtId="9" fontId="6" fillId="2" borderId="5" xfId="15" applyNumberFormat="1" applyFont="1" applyFill="1" applyBorder="1" applyAlignment="1">
      <alignment horizontal="center" wrapText="1"/>
    </xf>
    <xf numFmtId="0" fontId="6" fillId="2" borderId="5" xfId="15" applyFont="1" applyFill="1" applyBorder="1" applyAlignment="1">
      <alignment horizontal="center" wrapText="1"/>
    </xf>
    <xf numFmtId="0" fontId="25" fillId="2" borderId="5" xfId="15" applyFont="1" applyFill="1" applyBorder="1" applyAlignment="1">
      <alignment horizontal="center" wrapText="1"/>
    </xf>
    <xf numFmtId="0" fontId="6" fillId="2" borderId="5" xfId="15" applyFont="1" applyFill="1" applyBorder="1" applyAlignment="1">
      <alignment horizontal="center" vertical="center" wrapText="1"/>
    </xf>
    <xf numFmtId="9" fontId="6" fillId="2" borderId="5" xfId="15" applyNumberFormat="1" applyFont="1" applyFill="1" applyBorder="1" applyAlignment="1">
      <alignment horizontal="center" vertical="center" wrapText="1"/>
    </xf>
    <xf numFmtId="0" fontId="25" fillId="2" borderId="5" xfId="15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1" fontId="25" fillId="2" borderId="5" xfId="3" applyNumberFormat="1" applyFont="1" applyFill="1" applyBorder="1" applyAlignment="1">
      <alignment horizontal="center" vertical="center" wrapText="1"/>
    </xf>
    <xf numFmtId="0" fontId="6" fillId="2" borderId="5" xfId="18" applyFont="1" applyFill="1" applyBorder="1" applyAlignment="1">
      <alignment horizontal="center" vertical="center" wrapText="1"/>
    </xf>
    <xf numFmtId="0" fontId="6" fillId="2" borderId="5" xfId="3" applyFont="1" applyFill="1" applyBorder="1" applyAlignment="1">
      <alignment horizontal="center" vertical="center" wrapText="1"/>
    </xf>
    <xf numFmtId="0" fontId="25" fillId="2" borderId="5" xfId="3" applyFont="1" applyFill="1" applyBorder="1" applyAlignment="1">
      <alignment horizontal="center" vertical="center" wrapText="1"/>
    </xf>
    <xf numFmtId="172" fontId="6" fillId="2" borderId="5" xfId="17" applyNumberFormat="1" applyFont="1" applyFill="1" applyBorder="1" applyAlignment="1">
      <alignment horizontal="center" vertical="center" wrapText="1"/>
    </xf>
    <xf numFmtId="176" fontId="0" fillId="2" borderId="0" xfId="0" applyNumberFormat="1" applyFill="1"/>
    <xf numFmtId="172" fontId="0" fillId="2" borderId="0" xfId="0" applyNumberFormat="1" applyFill="1"/>
    <xf numFmtId="0" fontId="3" fillId="2" borderId="3" xfId="17" applyFont="1" applyFill="1" applyBorder="1" applyAlignment="1">
      <alignment horizontal="center" wrapText="1"/>
    </xf>
    <xf numFmtId="170" fontId="3" fillId="2" borderId="3" xfId="14" applyNumberFormat="1" applyFont="1" applyFill="1" applyBorder="1" applyAlignment="1">
      <alignment horizontal="center" wrapText="1"/>
    </xf>
    <xf numFmtId="171" fontId="22" fillId="2" borderId="1" xfId="0" applyNumberFormat="1" applyFont="1" applyFill="1" applyBorder="1" applyAlignment="1">
      <alignment horizontal="center" vertical="top" wrapText="1"/>
    </xf>
    <xf numFmtId="2" fontId="23" fillId="3" borderId="5" xfId="0" applyNumberFormat="1" applyFont="1" applyFill="1" applyBorder="1" applyAlignment="1">
      <alignment horizontal="center" vertical="center" wrapText="1"/>
    </xf>
    <xf numFmtId="171" fontId="22" fillId="2" borderId="2" xfId="0" applyNumberFormat="1" applyFont="1" applyFill="1" applyBorder="1" applyAlignment="1">
      <alignment horizontal="center" vertical="top" wrapText="1"/>
    </xf>
    <xf numFmtId="171" fontId="22" fillId="2" borderId="3" xfId="0" applyNumberFormat="1" applyFont="1" applyFill="1" applyBorder="1" applyAlignment="1">
      <alignment horizontal="center" vertical="top" wrapText="1"/>
    </xf>
    <xf numFmtId="168" fontId="6" fillId="2" borderId="5" xfId="0" applyNumberFormat="1" applyFont="1" applyFill="1" applyBorder="1" applyAlignment="1">
      <alignment horizontal="center" vertical="center" wrapText="1"/>
    </xf>
    <xf numFmtId="168" fontId="3" fillId="2" borderId="5" xfId="17" applyNumberFormat="1" applyFont="1" applyFill="1" applyBorder="1" applyAlignment="1">
      <alignment horizontal="center" vertical="center" wrapText="1"/>
    </xf>
    <xf numFmtId="2" fontId="3" fillId="2" borderId="5" xfId="17" applyNumberFormat="1" applyFont="1" applyFill="1" applyBorder="1" applyAlignment="1">
      <alignment horizontal="center" wrapText="1"/>
    </xf>
    <xf numFmtId="172" fontId="3" fillId="2" borderId="5" xfId="13" applyNumberFormat="1" applyFont="1" applyFill="1" applyBorder="1" applyAlignment="1">
      <alignment horizontal="center" vertical="center" wrapText="1"/>
    </xf>
    <xf numFmtId="173" fontId="3" fillId="2" borderId="5" xfId="15" applyNumberFormat="1" applyFont="1" applyFill="1" applyBorder="1" applyAlignment="1">
      <alignment horizontal="center" vertical="center" wrapText="1"/>
    </xf>
    <xf numFmtId="173" fontId="3" fillId="2" borderId="5" xfId="8" applyNumberFormat="1" applyFont="1" applyFill="1" applyBorder="1" applyAlignment="1" applyProtection="1">
      <alignment horizontal="center" vertical="center" wrapText="1"/>
    </xf>
    <xf numFmtId="0" fontId="3" fillId="2" borderId="1" xfId="15" applyFont="1" applyFill="1" applyBorder="1" applyAlignment="1">
      <alignment horizontal="center" vertical="center" wrapText="1"/>
    </xf>
    <xf numFmtId="0" fontId="3" fillId="2" borderId="2" xfId="15" applyFont="1" applyFill="1" applyBorder="1" applyAlignment="1">
      <alignment horizontal="center" vertical="center" wrapText="1"/>
    </xf>
    <xf numFmtId="0" fontId="3" fillId="2" borderId="3" xfId="15" applyFont="1" applyFill="1" applyBorder="1" applyAlignment="1">
      <alignment horizontal="center" vertical="center" wrapText="1"/>
    </xf>
    <xf numFmtId="9" fontId="6" fillId="2" borderId="5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 applyProtection="1">
      <alignment vertical="top" wrapText="1"/>
    </xf>
    <xf numFmtId="0" fontId="26" fillId="0" borderId="5" xfId="0" applyFont="1" applyFill="1" applyBorder="1" applyAlignment="1" applyProtection="1">
      <alignment vertical="top" wrapText="1"/>
    </xf>
    <xf numFmtId="2" fontId="7" fillId="3" borderId="5" xfId="2" applyNumberFormat="1" applyFont="1" applyFill="1" applyBorder="1" applyAlignment="1">
      <alignment horizontal="center" vertical="center"/>
    </xf>
    <xf numFmtId="2" fontId="6" fillId="3" borderId="5" xfId="8" applyNumberFormat="1" applyFont="1" applyFill="1" applyBorder="1" applyAlignment="1" applyProtection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vertical="top" wrapText="1"/>
    </xf>
    <xf numFmtId="0" fontId="28" fillId="3" borderId="5" xfId="2" applyFont="1" applyFill="1" applyBorder="1" applyAlignment="1">
      <alignment horizontal="center" vertical="center" wrapText="1"/>
    </xf>
    <xf numFmtId="2" fontId="19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center"/>
    </xf>
    <xf numFmtId="49" fontId="20" fillId="0" borderId="5" xfId="0" applyNumberFormat="1" applyFont="1" applyBorder="1" applyAlignment="1">
      <alignment horizontal="center" vertical="center" wrapText="1"/>
    </xf>
    <xf numFmtId="2" fontId="7" fillId="0" borderId="5" xfId="2" applyNumberFormat="1" applyFont="1" applyFill="1" applyBorder="1" applyAlignment="1">
      <alignment horizontal="center" vertical="center"/>
    </xf>
    <xf numFmtId="2" fontId="3" fillId="0" borderId="5" xfId="8" applyNumberFormat="1" applyFont="1" applyFill="1" applyBorder="1" applyAlignment="1" applyProtection="1">
      <alignment horizontal="center" vertical="center" wrapText="1"/>
    </xf>
    <xf numFmtId="2" fontId="9" fillId="0" borderId="5" xfId="2" applyNumberFormat="1" applyFont="1" applyFill="1" applyBorder="1" applyAlignment="1">
      <alignment horizontal="center" vertical="center"/>
    </xf>
    <xf numFmtId="167" fontId="3" fillId="0" borderId="5" xfId="8" applyNumberFormat="1" applyFont="1" applyFill="1" applyBorder="1" applyAlignment="1" applyProtection="1">
      <alignment horizontal="center" vertical="center" wrapText="1"/>
    </xf>
    <xf numFmtId="168" fontId="9" fillId="0" borderId="5" xfId="2" applyNumberFormat="1" applyFont="1" applyFill="1" applyBorder="1" applyAlignment="1">
      <alignment horizontal="center" vertical="center"/>
    </xf>
    <xf numFmtId="2" fontId="3" fillId="0" borderId="5" xfId="7" applyNumberFormat="1" applyFont="1" applyFill="1" applyBorder="1" applyAlignment="1" applyProtection="1">
      <alignment horizontal="center" vertical="center" wrapText="1"/>
    </xf>
    <xf numFmtId="49" fontId="21" fillId="0" borderId="5" xfId="0" applyNumberFormat="1" applyFont="1" applyBorder="1" applyAlignment="1">
      <alignment horizontal="center" vertical="center" wrapText="1"/>
    </xf>
    <xf numFmtId="0" fontId="6" fillId="0" borderId="5" xfId="7" applyFont="1" applyFill="1" applyBorder="1" applyAlignment="1" applyProtection="1">
      <alignment horizontal="center" vertical="center" wrapText="1"/>
    </xf>
    <xf numFmtId="2" fontId="6" fillId="0" borderId="5" xfId="8" applyNumberFormat="1" applyFont="1" applyFill="1" applyBorder="1" applyAlignment="1" applyProtection="1">
      <alignment horizontal="center" vertical="center"/>
    </xf>
    <xf numFmtId="2" fontId="6" fillId="0" borderId="5" xfId="0" applyNumberFormat="1" applyFont="1" applyFill="1" applyBorder="1" applyAlignment="1" applyProtection="1">
      <alignment horizontal="center" vertical="center" wrapText="1"/>
    </xf>
    <xf numFmtId="167" fontId="6" fillId="0" borderId="5" xfId="8" applyNumberFormat="1" applyFont="1" applyFill="1" applyBorder="1" applyAlignment="1" applyProtection="1">
      <alignment horizontal="center" vertical="center" wrapText="1"/>
    </xf>
    <xf numFmtId="168" fontId="3" fillId="0" borderId="5" xfId="8" applyNumberFormat="1" applyFont="1" applyFill="1" applyBorder="1" applyAlignment="1" applyProtection="1">
      <alignment horizontal="center" vertical="center" wrapText="1"/>
    </xf>
    <xf numFmtId="2" fontId="6" fillId="0" borderId="5" xfId="8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2" fontId="3" fillId="2" borderId="5" xfId="8" applyNumberFormat="1" applyFont="1" applyFill="1" applyBorder="1" applyAlignment="1">
      <alignment horizontal="center" vertical="center" wrapText="1"/>
    </xf>
    <xf numFmtId="2" fontId="3" fillId="4" borderId="5" xfId="8" applyNumberFormat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left" vertical="top" wrapText="1"/>
    </xf>
    <xf numFmtId="2" fontId="15" fillId="0" borderId="0" xfId="0" applyNumberFormat="1" applyFont="1"/>
    <xf numFmtId="0" fontId="3" fillId="0" borderId="5" xfId="0" applyFont="1" applyFill="1" applyBorder="1" applyAlignment="1" applyProtection="1">
      <alignment horizontal="left" vertical="center" wrapText="1"/>
    </xf>
    <xf numFmtId="165" fontId="6" fillId="0" borderId="5" xfId="1" applyNumberFormat="1" applyFont="1" applyFill="1" applyBorder="1" applyAlignment="1" applyProtection="1">
      <alignment vertical="center" wrapText="1"/>
    </xf>
    <xf numFmtId="0" fontId="7" fillId="0" borderId="5" xfId="0" applyFont="1" applyFill="1" applyBorder="1" applyAlignment="1">
      <alignment vertical="top" wrapText="1"/>
    </xf>
    <xf numFmtId="0" fontId="23" fillId="0" borderId="5" xfId="0" applyFont="1" applyFill="1" applyBorder="1" applyAlignment="1">
      <alignment horizontal="center" vertical="center" wrapText="1"/>
    </xf>
    <xf numFmtId="2" fontId="23" fillId="0" borderId="5" xfId="0" applyNumberFormat="1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top" wrapText="1"/>
    </xf>
    <xf numFmtId="2" fontId="6" fillId="0" borderId="5" xfId="0" applyNumberFormat="1" applyFont="1" applyFill="1" applyBorder="1" applyAlignment="1">
      <alignment horizontal="center" vertical="top" wrapText="1"/>
    </xf>
    <xf numFmtId="172" fontId="23" fillId="0" borderId="5" xfId="0" applyNumberFormat="1" applyFont="1" applyFill="1" applyBorder="1" applyAlignment="1">
      <alignment horizontal="center" vertical="top" wrapText="1"/>
    </xf>
    <xf numFmtId="173" fontId="23" fillId="0" borderId="5" xfId="0" applyNumberFormat="1" applyFont="1" applyFill="1" applyBorder="1" applyAlignment="1">
      <alignment horizontal="center" vertical="center" wrapText="1"/>
    </xf>
    <xf numFmtId="2" fontId="22" fillId="0" borderId="5" xfId="0" applyNumberFormat="1" applyFont="1" applyFill="1" applyBorder="1" applyAlignment="1">
      <alignment horizontal="center" vertical="top" wrapText="1"/>
    </xf>
    <xf numFmtId="2" fontId="3" fillId="0" borderId="5" xfId="0" applyNumberFormat="1" applyFont="1" applyFill="1" applyBorder="1" applyAlignment="1">
      <alignment horizontal="center" vertical="top" wrapText="1"/>
    </xf>
    <xf numFmtId="172" fontId="22" fillId="0" borderId="5" xfId="0" applyNumberFormat="1" applyFont="1" applyFill="1" applyBorder="1" applyAlignment="1">
      <alignment horizontal="center" vertical="top" wrapText="1"/>
    </xf>
    <xf numFmtId="173" fontId="22" fillId="0" borderId="5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2" fontId="22" fillId="0" borderId="5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top" wrapText="1"/>
    </xf>
    <xf numFmtId="172" fontId="22" fillId="0" borderId="5" xfId="0" applyNumberFormat="1" applyFont="1" applyFill="1" applyBorder="1" applyAlignment="1">
      <alignment horizontal="center" vertical="center" wrapText="1"/>
    </xf>
    <xf numFmtId="168" fontId="22" fillId="0" borderId="5" xfId="0" applyNumberFormat="1" applyFont="1" applyFill="1" applyBorder="1" applyAlignment="1">
      <alignment horizontal="center" vertical="center" wrapText="1"/>
    </xf>
    <xf numFmtId="2" fontId="3" fillId="0" borderId="5" xfId="17" applyNumberFormat="1" applyFont="1" applyFill="1" applyBorder="1" applyAlignment="1">
      <alignment horizontal="center" vertical="center" wrapText="1"/>
    </xf>
    <xf numFmtId="167" fontId="3" fillId="0" borderId="5" xfId="17" applyNumberFormat="1" applyFont="1" applyFill="1" applyBorder="1" applyAlignment="1">
      <alignment horizontal="center" vertical="center" wrapText="1"/>
    </xf>
    <xf numFmtId="1" fontId="3" fillId="0" borderId="5" xfId="17" applyNumberFormat="1" applyFont="1" applyFill="1" applyBorder="1" applyAlignment="1">
      <alignment horizontal="center" vertical="center" wrapText="1"/>
    </xf>
    <xf numFmtId="0" fontId="3" fillId="0" borderId="5" xfId="17" applyFont="1" applyFill="1" applyBorder="1" applyAlignment="1">
      <alignment horizontal="center" vertical="center" wrapText="1"/>
    </xf>
    <xf numFmtId="168" fontId="3" fillId="0" borderId="5" xfId="17" applyNumberFormat="1" applyFont="1" applyFill="1" applyBorder="1" applyAlignment="1">
      <alignment horizontal="center" vertical="center" wrapText="1"/>
    </xf>
    <xf numFmtId="1" fontId="9" fillId="0" borderId="5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7" fillId="0" borderId="0" xfId="2" applyFont="1" applyFill="1" applyAlignment="1">
      <alignment vertical="center"/>
    </xf>
    <xf numFmtId="0" fontId="11" fillId="0" borderId="0" xfId="2" applyFont="1" applyFill="1" applyAlignment="1">
      <alignment horizontal="center" vertical="center"/>
    </xf>
    <xf numFmtId="166" fontId="7" fillId="0" borderId="0" xfId="2" applyNumberFormat="1" applyFont="1" applyFill="1" applyAlignment="1">
      <alignment horizontal="center" vertical="center"/>
    </xf>
    <xf numFmtId="0" fontId="7" fillId="0" borderId="0" xfId="2" applyFont="1" applyFill="1" applyAlignment="1">
      <alignment horizontal="right" vertical="center"/>
    </xf>
    <xf numFmtId="0" fontId="9" fillId="0" borderId="5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/>
    </xf>
    <xf numFmtId="9" fontId="7" fillId="0" borderId="5" xfId="2" applyNumberFormat="1" applyFont="1" applyFill="1" applyBorder="1" applyAlignment="1">
      <alignment horizontal="center" vertical="center"/>
    </xf>
    <xf numFmtId="0" fontId="6" fillId="0" borderId="5" xfId="7" applyFont="1" applyFill="1" applyBorder="1" applyAlignment="1" applyProtection="1">
      <alignment horizontal="left" vertical="center" wrapText="1"/>
    </xf>
    <xf numFmtId="0" fontId="6" fillId="0" borderId="5" xfId="2" applyFont="1" applyFill="1" applyBorder="1" applyAlignment="1" applyProtection="1">
      <alignment horizontal="center" vertical="center" wrapText="1"/>
    </xf>
    <xf numFmtId="169" fontId="6" fillId="0" borderId="5" xfId="8" applyNumberFormat="1" applyFont="1" applyFill="1" applyBorder="1" applyAlignment="1" applyProtection="1">
      <alignment horizontal="center" vertical="center" wrapText="1"/>
    </xf>
    <xf numFmtId="0" fontId="3" fillId="0" borderId="5" xfId="7" applyFont="1" applyFill="1" applyBorder="1" applyAlignment="1" applyProtection="1">
      <alignment horizontal="left" vertical="center" wrapText="1"/>
    </xf>
    <xf numFmtId="0" fontId="3" fillId="0" borderId="5" xfId="2" applyFont="1" applyFill="1" applyBorder="1" applyAlignment="1" applyProtection="1">
      <alignment horizontal="center" vertical="center" wrapText="1"/>
    </xf>
    <xf numFmtId="168" fontId="3" fillId="0" borderId="5" xfId="7" applyNumberFormat="1" applyFont="1" applyFill="1" applyBorder="1" applyAlignment="1" applyProtection="1">
      <alignment horizontal="center" vertical="center" wrapText="1"/>
    </xf>
    <xf numFmtId="2" fontId="6" fillId="0" borderId="5" xfId="7" applyNumberFormat="1" applyFont="1" applyFill="1" applyBorder="1" applyAlignment="1" applyProtection="1">
      <alignment horizontal="center" vertical="center" wrapText="1"/>
    </xf>
    <xf numFmtId="1" fontId="3" fillId="0" borderId="5" xfId="7" applyNumberFormat="1" applyFont="1" applyFill="1" applyBorder="1" applyAlignment="1" applyProtection="1">
      <alignment horizontal="center" vertical="center" wrapText="1"/>
    </xf>
    <xf numFmtId="168" fontId="6" fillId="0" borderId="5" xfId="8" applyNumberFormat="1" applyFont="1" applyFill="1" applyBorder="1" applyAlignment="1" applyProtection="1">
      <alignment horizontal="center" vertical="center" wrapText="1"/>
    </xf>
    <xf numFmtId="2" fontId="7" fillId="0" borderId="5" xfId="8" applyNumberFormat="1" applyFont="1" applyFill="1" applyBorder="1" applyAlignment="1" applyProtection="1">
      <alignment horizontal="center" vertical="center" wrapText="1"/>
    </xf>
    <xf numFmtId="168" fontId="9" fillId="0" borderId="5" xfId="8" applyNumberFormat="1" applyFont="1" applyFill="1" applyBorder="1" applyAlignment="1" applyProtection="1">
      <alignment horizontal="center" vertical="center" wrapText="1"/>
    </xf>
    <xf numFmtId="167" fontId="7" fillId="0" borderId="5" xfId="8" applyNumberFormat="1" applyFont="1" applyFill="1" applyBorder="1" applyAlignment="1" applyProtection="1">
      <alignment horizontal="center" vertical="center" wrapText="1"/>
    </xf>
    <xf numFmtId="1" fontId="3" fillId="0" borderId="5" xfId="8" applyNumberFormat="1" applyFont="1" applyFill="1" applyBorder="1" applyAlignment="1" applyProtection="1">
      <alignment horizontal="center" vertical="center" wrapText="1"/>
    </xf>
    <xf numFmtId="169" fontId="7" fillId="0" borderId="5" xfId="8" applyNumberFormat="1" applyFont="1" applyFill="1" applyBorder="1" applyAlignment="1" applyProtection="1">
      <alignment horizontal="center" vertical="center" wrapText="1"/>
    </xf>
    <xf numFmtId="2" fontId="9" fillId="0" borderId="5" xfId="8" applyNumberFormat="1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>
      <alignment horizontal="center" vertical="top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/>
    </xf>
    <xf numFmtId="0" fontId="22" fillId="0" borderId="2" xfId="0" applyFont="1" applyFill="1" applyBorder="1" applyAlignment="1">
      <alignment horizontal="center" vertical="top" wrapText="1"/>
    </xf>
    <xf numFmtId="0" fontId="22" fillId="0" borderId="3" xfId="0" applyFont="1" applyFill="1" applyBorder="1" applyAlignment="1">
      <alignment horizontal="center" vertical="top" wrapText="1"/>
    </xf>
    <xf numFmtId="0" fontId="3" fillId="0" borderId="1" xfId="17" applyFont="1" applyFill="1" applyBorder="1" applyAlignment="1">
      <alignment horizontal="center" vertical="center" wrapText="1"/>
    </xf>
    <xf numFmtId="0" fontId="6" fillId="0" borderId="5" xfId="17" applyFont="1" applyFill="1" applyBorder="1" applyAlignment="1">
      <alignment horizontal="center" vertical="center" wrapText="1"/>
    </xf>
    <xf numFmtId="168" fontId="6" fillId="0" borderId="5" xfId="17" applyNumberFormat="1" applyFont="1" applyFill="1" applyBorder="1" applyAlignment="1">
      <alignment horizontal="center" vertical="center" wrapText="1"/>
    </xf>
    <xf numFmtId="0" fontId="3" fillId="0" borderId="5" xfId="17" applyFont="1" applyFill="1" applyBorder="1" applyAlignment="1">
      <alignment horizontal="center" wrapText="1"/>
    </xf>
    <xf numFmtId="172" fontId="3" fillId="0" borderId="5" xfId="17" applyNumberFormat="1" applyFont="1" applyFill="1" applyBorder="1" applyAlignment="1">
      <alignment horizontal="center" wrapText="1"/>
    </xf>
    <xf numFmtId="172" fontId="3" fillId="0" borderId="5" xfId="17" applyNumberFormat="1" applyFont="1" applyFill="1" applyBorder="1" applyAlignment="1">
      <alignment horizontal="center" vertical="center" wrapText="1"/>
    </xf>
    <xf numFmtId="0" fontId="3" fillId="0" borderId="2" xfId="17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173" fontId="3" fillId="0" borderId="5" xfId="17" applyNumberFormat="1" applyFont="1" applyFill="1" applyBorder="1" applyAlignment="1">
      <alignment horizontal="center" wrapText="1"/>
    </xf>
    <xf numFmtId="173" fontId="3" fillId="0" borderId="5" xfId="17" applyNumberFormat="1" applyFont="1" applyFill="1" applyBorder="1" applyAlignment="1">
      <alignment horizontal="center" vertical="center" wrapText="1"/>
    </xf>
    <xf numFmtId="0" fontId="3" fillId="0" borderId="3" xfId="17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 wrapText="1"/>
    </xf>
    <xf numFmtId="2" fontId="3" fillId="0" borderId="5" xfId="17" applyNumberFormat="1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left" vertical="center" wrapText="1"/>
    </xf>
    <xf numFmtId="179" fontId="3" fillId="0" borderId="5" xfId="17" applyNumberFormat="1" applyFont="1" applyFill="1" applyBorder="1" applyAlignment="1">
      <alignment horizontal="center" vertical="center" wrapText="1"/>
    </xf>
    <xf numFmtId="174" fontId="22" fillId="0" borderId="5" xfId="0" applyNumberFormat="1" applyFont="1" applyFill="1" applyBorder="1" applyAlignment="1">
      <alignment horizontal="center" vertical="center" wrapText="1"/>
    </xf>
    <xf numFmtId="175" fontId="3" fillId="0" borderId="5" xfId="17" applyNumberFormat="1" applyFont="1" applyFill="1" applyBorder="1" applyAlignment="1">
      <alignment horizontal="center" vertical="center" wrapText="1"/>
    </xf>
    <xf numFmtId="174" fontId="22" fillId="0" borderId="5" xfId="0" applyNumberFormat="1" applyFont="1" applyFill="1" applyBorder="1" applyAlignment="1">
      <alignment horizontal="center" vertical="top" wrapText="1"/>
    </xf>
    <xf numFmtId="168" fontId="3" fillId="0" borderId="5" xfId="17" applyNumberFormat="1" applyFont="1" applyFill="1" applyBorder="1" applyAlignment="1">
      <alignment horizontal="center" wrapText="1"/>
    </xf>
    <xf numFmtId="168" fontId="14" fillId="0" borderId="5" xfId="17" applyNumberFormat="1" applyFont="1" applyFill="1" applyBorder="1" applyAlignment="1">
      <alignment horizontal="center" vertical="center" wrapText="1"/>
    </xf>
    <xf numFmtId="0" fontId="3" fillId="0" borderId="1" xfId="15" applyFont="1" applyFill="1" applyBorder="1" applyAlignment="1">
      <alignment horizontal="center" vertical="center" wrapText="1"/>
    </xf>
    <xf numFmtId="0" fontId="3" fillId="0" borderId="2" xfId="15" applyFont="1" applyFill="1" applyBorder="1" applyAlignment="1">
      <alignment horizontal="center" vertical="center" wrapText="1"/>
    </xf>
    <xf numFmtId="0" fontId="3" fillId="0" borderId="5" xfId="7" applyFont="1" applyFill="1" applyBorder="1" applyAlignment="1" applyProtection="1">
      <alignment horizontal="center" vertical="center" wrapText="1"/>
    </xf>
    <xf numFmtId="173" fontId="3" fillId="0" borderId="5" xfId="15" applyNumberFormat="1" applyFont="1" applyFill="1" applyBorder="1" applyAlignment="1">
      <alignment horizontal="center" vertical="center" wrapText="1"/>
    </xf>
    <xf numFmtId="172" fontId="3" fillId="0" borderId="5" xfId="13" applyNumberFormat="1" applyFont="1" applyFill="1" applyBorder="1" applyAlignment="1">
      <alignment horizontal="center" vertical="center" wrapText="1"/>
    </xf>
    <xf numFmtId="173" fontId="3" fillId="0" borderId="5" xfId="8" applyNumberFormat="1" applyFont="1" applyFill="1" applyBorder="1" applyAlignment="1" applyProtection="1">
      <alignment horizontal="center" vertical="center" wrapText="1"/>
    </xf>
    <xf numFmtId="172" fontId="3" fillId="0" borderId="5" xfId="8" applyNumberFormat="1" applyFont="1" applyFill="1" applyBorder="1" applyAlignment="1" applyProtection="1">
      <alignment horizontal="center" vertical="center" wrapText="1"/>
    </xf>
    <xf numFmtId="0" fontId="3" fillId="0" borderId="3" xfId="15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2" fontId="6" fillId="0" borderId="5" xfId="17" applyNumberFormat="1" applyFont="1" applyFill="1" applyBorder="1" applyAlignment="1">
      <alignment horizontal="center" vertical="center" wrapText="1"/>
    </xf>
    <xf numFmtId="0" fontId="6" fillId="0" borderId="1" xfId="7" applyFont="1" applyFill="1" applyBorder="1" applyAlignment="1" applyProtection="1">
      <alignment horizontal="left" vertical="center" wrapText="1"/>
    </xf>
    <xf numFmtId="0" fontId="6" fillId="0" borderId="1" xfId="7" applyFont="1" applyFill="1" applyBorder="1" applyAlignment="1" applyProtection="1">
      <alignment horizontal="center" vertical="center" wrapText="1"/>
    </xf>
    <xf numFmtId="2" fontId="3" fillId="0" borderId="1" xfId="7" applyNumberFormat="1" applyFont="1" applyFill="1" applyBorder="1" applyAlignment="1" applyProtection="1">
      <alignment horizontal="center" vertical="center" wrapText="1"/>
    </xf>
    <xf numFmtId="167" fontId="7" fillId="0" borderId="1" xfId="8" applyNumberFormat="1" applyFont="1" applyFill="1" applyBorder="1" applyAlignment="1" applyProtection="1">
      <alignment horizontal="center" vertical="center" wrapText="1"/>
    </xf>
    <xf numFmtId="2" fontId="3" fillId="0" borderId="1" xfId="8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2" fontId="3" fillId="0" borderId="5" xfId="8" applyNumberFormat="1" applyFont="1" applyFill="1" applyBorder="1" applyAlignment="1">
      <alignment horizontal="center" vertical="center" wrapText="1"/>
    </xf>
    <xf numFmtId="168" fontId="3" fillId="0" borderId="5" xfId="8" applyNumberFormat="1" applyFont="1" applyFill="1" applyBorder="1" applyAlignment="1">
      <alignment horizontal="center" vertical="center" wrapText="1"/>
    </xf>
    <xf numFmtId="9" fontId="6" fillId="0" borderId="5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9" fontId="9" fillId="0" borderId="5" xfId="2" applyNumberFormat="1" applyFont="1" applyFill="1" applyBorder="1" applyAlignment="1">
      <alignment horizontal="center" vertical="center"/>
    </xf>
    <xf numFmtId="167" fontId="3" fillId="0" borderId="5" xfId="7" applyNumberFormat="1" applyFont="1" applyFill="1" applyBorder="1" applyAlignment="1" applyProtection="1">
      <alignment horizontal="center" vertical="center" wrapText="1"/>
    </xf>
    <xf numFmtId="167" fontId="6" fillId="0" borderId="5" xfId="7" applyNumberFormat="1" applyFont="1" applyFill="1" applyBorder="1" applyAlignment="1" applyProtection="1">
      <alignment horizontal="center" vertical="center" wrapText="1"/>
    </xf>
    <xf numFmtId="168" fontId="7" fillId="0" borderId="5" xfId="2" applyNumberFormat="1" applyFont="1" applyFill="1" applyBorder="1" applyAlignment="1">
      <alignment horizontal="center" vertical="center"/>
    </xf>
    <xf numFmtId="167" fontId="7" fillId="0" borderId="5" xfId="2" applyNumberFormat="1" applyFont="1" applyFill="1" applyBorder="1" applyAlignment="1">
      <alignment horizontal="center" vertical="center"/>
    </xf>
    <xf numFmtId="167" fontId="6" fillId="0" borderId="5" xfId="2" applyNumberFormat="1" applyFont="1" applyFill="1" applyBorder="1" applyAlignment="1">
      <alignment horizontal="center" vertical="center"/>
    </xf>
    <xf numFmtId="168" fontId="6" fillId="0" borderId="5" xfId="2" applyNumberFormat="1" applyFont="1" applyFill="1" applyBorder="1" applyAlignment="1">
      <alignment horizontal="center" vertical="center"/>
    </xf>
    <xf numFmtId="9" fontId="6" fillId="0" borderId="5" xfId="7" applyNumberFormat="1" applyFont="1" applyFill="1" applyBorder="1" applyAlignment="1" applyProtection="1">
      <alignment horizontal="center" vertical="center" wrapText="1"/>
    </xf>
    <xf numFmtId="2" fontId="6" fillId="0" borderId="5" xfId="7" applyNumberFormat="1" applyFont="1" applyFill="1" applyBorder="1" applyAlignment="1" applyProtection="1">
      <alignment horizontal="center" vertical="center"/>
    </xf>
    <xf numFmtId="0" fontId="9" fillId="0" borderId="5" xfId="2" applyFont="1" applyFill="1" applyBorder="1" applyAlignment="1">
      <alignment vertical="center"/>
    </xf>
    <xf numFmtId="166" fontId="7" fillId="0" borderId="5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center" vertical="center" wrapText="1"/>
    </xf>
    <xf numFmtId="9" fontId="7" fillId="0" borderId="0" xfId="2" applyNumberFormat="1" applyFont="1" applyFill="1" applyBorder="1" applyAlignment="1">
      <alignment horizontal="center" vertical="center"/>
    </xf>
    <xf numFmtId="166" fontId="7" fillId="0" borderId="0" xfId="2" applyNumberFormat="1" applyFont="1" applyFill="1" applyBorder="1" applyAlignment="1">
      <alignment horizontal="center" vertical="center"/>
    </xf>
    <xf numFmtId="2" fontId="7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/>
    <xf numFmtId="0" fontId="26" fillId="0" borderId="5" xfId="0" applyFont="1" applyFill="1" applyBorder="1" applyAlignment="1" applyProtection="1">
      <alignment horizontal="center" vertical="top" wrapText="1"/>
    </xf>
    <xf numFmtId="0" fontId="7" fillId="0" borderId="1" xfId="2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left" vertical="center"/>
    </xf>
    <xf numFmtId="0" fontId="7" fillId="0" borderId="5" xfId="2" applyFont="1" applyFill="1" applyBorder="1" applyAlignment="1">
      <alignment horizontal="left" vertical="center" wrapText="1"/>
    </xf>
    <xf numFmtId="2" fontId="7" fillId="0" borderId="1" xfId="2" applyNumberFormat="1" applyFont="1" applyFill="1" applyBorder="1" applyAlignment="1">
      <alignment horizontal="center" vertical="center"/>
    </xf>
    <xf numFmtId="2" fontId="9" fillId="0" borderId="1" xfId="2" applyNumberFormat="1" applyFont="1" applyFill="1" applyBorder="1" applyAlignment="1">
      <alignment horizontal="center" vertical="center"/>
    </xf>
    <xf numFmtId="177" fontId="7" fillId="0" borderId="0" xfId="2" applyNumberFormat="1" applyFont="1" applyFill="1" applyAlignment="1">
      <alignment horizontal="center" vertical="center"/>
    </xf>
    <xf numFmtId="170" fontId="3" fillId="0" borderId="5" xfId="14" applyNumberFormat="1" applyFont="1" applyFill="1" applyBorder="1" applyAlignment="1">
      <alignment horizontal="center" wrapText="1"/>
    </xf>
    <xf numFmtId="0" fontId="3" fillId="0" borderId="3" xfId="17" applyFont="1" applyFill="1" applyBorder="1" applyAlignment="1">
      <alignment horizontal="center" wrapText="1"/>
    </xf>
    <xf numFmtId="0" fontId="6" fillId="0" borderId="1" xfId="17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 wrapText="1"/>
    </xf>
    <xf numFmtId="9" fontId="10" fillId="0" borderId="5" xfId="2" applyNumberFormat="1" applyFont="1" applyFill="1" applyBorder="1" applyAlignment="1">
      <alignment horizontal="center" vertical="center"/>
    </xf>
    <xf numFmtId="2" fontId="10" fillId="0" borderId="5" xfId="2" applyNumberFormat="1" applyFont="1" applyFill="1" applyBorder="1" applyAlignment="1">
      <alignment horizontal="center" vertical="center"/>
    </xf>
    <xf numFmtId="0" fontId="29" fillId="0" borderId="0" xfId="0" applyFont="1" applyFill="1"/>
    <xf numFmtId="0" fontId="7" fillId="0" borderId="0" xfId="2" applyFont="1" applyFill="1" applyBorder="1" applyAlignment="1">
      <alignment vertical="center"/>
    </xf>
    <xf numFmtId="0" fontId="6" fillId="4" borderId="5" xfId="0" applyFont="1" applyFill="1" applyBorder="1" applyAlignment="1">
      <alignment horizontal="left" vertical="top" wrapText="1"/>
    </xf>
    <xf numFmtId="2" fontId="6" fillId="4" borderId="5" xfId="2" applyNumberFormat="1" applyFont="1" applyFill="1" applyBorder="1" applyAlignment="1">
      <alignment horizontal="center" vertical="center"/>
    </xf>
    <xf numFmtId="2" fontId="9" fillId="3" borderId="5" xfId="2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top" wrapText="1"/>
    </xf>
    <xf numFmtId="0" fontId="6" fillId="3" borderId="1" xfId="7" applyFont="1" applyFill="1" applyBorder="1" applyAlignment="1" applyProtection="1">
      <alignment horizontal="center" vertical="center" wrapText="1"/>
    </xf>
    <xf numFmtId="167" fontId="6" fillId="3" borderId="5" xfId="2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167" fontId="10" fillId="0" borderId="5" xfId="8" applyNumberFormat="1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left" vertical="top" wrapText="1"/>
    </xf>
    <xf numFmtId="168" fontId="7" fillId="3" borderId="5" xfId="2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 applyProtection="1">
      <alignment vertical="top" wrapText="1"/>
    </xf>
    <xf numFmtId="2" fontId="3" fillId="4" borderId="5" xfId="8" applyNumberFormat="1" applyFont="1" applyFill="1" applyBorder="1" applyAlignment="1">
      <alignment horizontal="center" vertical="center" wrapText="1"/>
    </xf>
    <xf numFmtId="168" fontId="3" fillId="4" borderId="5" xfId="8" applyNumberFormat="1" applyFont="1" applyFill="1" applyBorder="1" applyAlignment="1" applyProtection="1">
      <alignment horizontal="center" vertical="center" wrapText="1"/>
    </xf>
    <xf numFmtId="2" fontId="3" fillId="4" borderId="5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Border="1"/>
    <xf numFmtId="0" fontId="3" fillId="4" borderId="5" xfId="0" applyFont="1" applyFill="1" applyBorder="1" applyAlignment="1" applyProtection="1">
      <alignment horizontal="center" vertical="top" wrapText="1"/>
    </xf>
    <xf numFmtId="0" fontId="3" fillId="4" borderId="5" xfId="0" applyFont="1" applyFill="1" applyBorder="1" applyAlignment="1" applyProtection="1">
      <alignment horizontal="center" vertical="center" wrapText="1"/>
    </xf>
    <xf numFmtId="2" fontId="9" fillId="4" borderId="5" xfId="2" applyNumberFormat="1" applyFont="1" applyFill="1" applyBorder="1" applyAlignment="1">
      <alignment horizontal="center" vertical="center"/>
    </xf>
    <xf numFmtId="172" fontId="22" fillId="4" borderId="5" xfId="0" applyNumberFormat="1" applyFont="1" applyFill="1" applyBorder="1" applyAlignment="1">
      <alignment horizontal="center" vertical="top" wrapText="1"/>
    </xf>
    <xf numFmtId="173" fontId="22" fillId="4" borderId="5" xfId="0" applyNumberFormat="1" applyFont="1" applyFill="1" applyBorder="1" applyAlignment="1">
      <alignment horizontal="center" vertical="center" wrapText="1"/>
    </xf>
    <xf numFmtId="173" fontId="3" fillId="4" borderId="5" xfId="17" applyNumberFormat="1" applyFont="1" applyFill="1" applyBorder="1" applyAlignment="1">
      <alignment horizontal="center" vertical="center" wrapText="1"/>
    </xf>
    <xf numFmtId="2" fontId="3" fillId="4" borderId="5" xfId="7" applyNumberFormat="1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9" fillId="0" borderId="5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49" fontId="14" fillId="0" borderId="5" xfId="2" applyNumberFormat="1" applyFont="1" applyFill="1" applyBorder="1" applyAlignment="1">
      <alignment horizontal="center" vertical="center" wrapText="1"/>
    </xf>
    <xf numFmtId="0" fontId="3" fillId="0" borderId="5" xfId="7" quotePrefix="1" applyFont="1" applyFill="1" applyBorder="1" applyAlignment="1" applyProtection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168" fontId="3" fillId="4" borderId="5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2" fontId="3" fillId="0" borderId="5" xfId="0" applyNumberFormat="1" applyFont="1" applyFill="1" applyBorder="1" applyAlignment="1">
      <alignment horizontal="center" vertical="center"/>
    </xf>
    <xf numFmtId="168" fontId="3" fillId="0" borderId="5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top" wrapText="1"/>
    </xf>
    <xf numFmtId="2" fontId="3" fillId="4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5" xfId="0" applyFont="1" applyFill="1" applyBorder="1" applyProtection="1"/>
    <xf numFmtId="0" fontId="3" fillId="0" borderId="3" xfId="0" applyFont="1" applyFill="1" applyBorder="1" applyAlignment="1">
      <alignment vertical="center"/>
    </xf>
    <xf numFmtId="168" fontId="3" fillId="0" borderId="3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/>
    </xf>
    <xf numFmtId="16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167" fontId="3" fillId="0" borderId="3" xfId="0" applyNumberFormat="1" applyFont="1" applyFill="1" applyBorder="1" applyAlignment="1">
      <alignment horizontal="center" vertical="center"/>
    </xf>
    <xf numFmtId="168" fontId="7" fillId="0" borderId="5" xfId="0" applyNumberFormat="1" applyFont="1" applyFill="1" applyBorder="1" applyAlignment="1">
      <alignment horizontal="center" vertical="center"/>
    </xf>
    <xf numFmtId="0" fontId="6" fillId="0" borderId="5" xfId="7" quotePrefix="1" applyFont="1" applyFill="1" applyBorder="1" applyAlignment="1" applyProtection="1">
      <alignment vertical="center" wrapText="1"/>
    </xf>
    <xf numFmtId="9" fontId="6" fillId="0" borderId="5" xfId="9" applyFont="1" applyFill="1" applyBorder="1" applyAlignment="1" applyProtection="1">
      <alignment horizontal="center" vertical="center"/>
    </xf>
    <xf numFmtId="0" fontId="6" fillId="0" borderId="5" xfId="7" applyFont="1" applyFill="1" applyBorder="1" applyAlignment="1" applyProtection="1">
      <alignment horizontal="center" vertical="center"/>
    </xf>
    <xf numFmtId="49" fontId="9" fillId="0" borderId="0" xfId="2" applyNumberFormat="1" applyFont="1" applyFill="1" applyBorder="1" applyAlignment="1">
      <alignment horizontal="center" vertical="center" wrapText="1"/>
    </xf>
    <xf numFmtId="0" fontId="32" fillId="0" borderId="0" xfId="0" applyFont="1" applyFill="1"/>
    <xf numFmtId="49" fontId="9" fillId="2" borderId="5" xfId="2" applyNumberFormat="1" applyFont="1" applyFill="1" applyBorder="1" applyAlignment="1">
      <alignment horizontal="center" vertical="center" wrapText="1"/>
    </xf>
    <xf numFmtId="0" fontId="3" fillId="2" borderId="5" xfId="7" quotePrefix="1" applyFont="1" applyFill="1" applyBorder="1" applyAlignment="1" applyProtection="1">
      <alignment horizontal="center" vertical="center" wrapText="1"/>
    </xf>
    <xf numFmtId="0" fontId="3" fillId="2" borderId="5" xfId="7" quotePrefix="1" applyFont="1" applyFill="1" applyBorder="1" applyAlignment="1" applyProtection="1">
      <alignment vertical="center" wrapText="1"/>
    </xf>
    <xf numFmtId="0" fontId="3" fillId="2" borderId="5" xfId="7" applyFont="1" applyFill="1" applyBorder="1" applyAlignment="1">
      <alignment horizontal="center" vertical="center" wrapText="1"/>
    </xf>
    <xf numFmtId="0" fontId="6" fillId="2" borderId="5" xfId="7" quotePrefix="1" applyFont="1" applyFill="1" applyBorder="1" applyAlignment="1" applyProtection="1">
      <alignment vertical="center" wrapText="1"/>
    </xf>
    <xf numFmtId="9" fontId="6" fillId="2" borderId="5" xfId="9" applyFont="1" applyFill="1" applyBorder="1" applyAlignment="1" applyProtection="1">
      <alignment horizontal="center" vertical="center"/>
    </xf>
    <xf numFmtId="0" fontId="6" fillId="2" borderId="5" xfId="7" applyFont="1" applyFill="1" applyBorder="1" applyAlignment="1" applyProtection="1">
      <alignment horizontal="center" vertical="center"/>
    </xf>
    <xf numFmtId="49" fontId="7" fillId="2" borderId="5" xfId="2" applyNumberFormat="1" applyFont="1" applyFill="1" applyBorder="1" applyAlignment="1">
      <alignment horizontal="center" vertical="center" wrapText="1"/>
    </xf>
    <xf numFmtId="49" fontId="9" fillId="2" borderId="0" xfId="2" applyNumberFormat="1" applyFont="1" applyFill="1" applyBorder="1" applyAlignment="1">
      <alignment horizontal="center" vertical="center" wrapText="1"/>
    </xf>
    <xf numFmtId="0" fontId="32" fillId="0" borderId="0" xfId="0" applyFont="1"/>
    <xf numFmtId="49" fontId="9" fillId="0" borderId="5" xfId="2" applyNumberFormat="1" applyFont="1" applyFill="1" applyBorder="1" applyAlignment="1">
      <alignment horizontal="center" vertical="center" wrapText="1"/>
    </xf>
    <xf numFmtId="0" fontId="3" fillId="0" borderId="0" xfId="0" applyFont="1" applyFill="1" applyProtection="1"/>
    <xf numFmtId="0" fontId="3" fillId="0" borderId="5" xfId="0" quotePrefix="1" applyFont="1" applyFill="1" applyBorder="1" applyAlignment="1" applyProtection="1">
      <alignment horizontal="center" vertical="top" wrapText="1"/>
    </xf>
    <xf numFmtId="0" fontId="3" fillId="0" borderId="0" xfId="7" applyFont="1" applyFill="1" applyProtection="1"/>
    <xf numFmtId="0" fontId="3" fillId="0" borderId="5" xfId="7" applyFont="1" applyFill="1" applyBorder="1" applyAlignment="1">
      <alignment horizontal="center" vertical="center" wrapText="1"/>
    </xf>
    <xf numFmtId="0" fontId="3" fillId="0" borderId="5" xfId="0" quotePrefix="1" applyFont="1" applyFill="1" applyBorder="1" applyAlignment="1" applyProtection="1">
      <alignment horizontal="center" vertical="center" wrapText="1"/>
    </xf>
    <xf numFmtId="0" fontId="3" fillId="0" borderId="5" xfId="7" applyFont="1" applyFill="1" applyBorder="1" applyAlignment="1" applyProtection="1">
      <alignment horizontal="center" wrapText="1"/>
    </xf>
    <xf numFmtId="0" fontId="9" fillId="0" borderId="0" xfId="0" applyFont="1" applyFill="1" applyProtection="1"/>
    <xf numFmtId="2" fontId="32" fillId="0" borderId="0" xfId="0" applyNumberFormat="1" applyFont="1" applyFill="1"/>
    <xf numFmtId="0" fontId="14" fillId="0" borderId="5" xfId="0" quotePrefix="1" applyFont="1" applyFill="1" applyBorder="1" applyAlignment="1">
      <alignment horizontal="center" vertical="center" wrapText="1"/>
    </xf>
    <xf numFmtId="49" fontId="3" fillId="0" borderId="5" xfId="2" applyNumberFormat="1" applyFont="1" applyFill="1" applyBorder="1" applyAlignment="1">
      <alignment horizontal="center" vertical="center" wrapText="1"/>
    </xf>
    <xf numFmtId="49" fontId="7" fillId="0" borderId="5" xfId="2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8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165" fontId="9" fillId="0" borderId="5" xfId="4" applyFont="1" applyFill="1" applyBorder="1" applyAlignment="1">
      <alignment horizontal="center" vertical="center" wrapText="1"/>
    </xf>
    <xf numFmtId="0" fontId="3" fillId="0" borderId="0" xfId="0" applyFont="1" applyFill="1"/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168" fontId="9" fillId="0" borderId="5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8" fontId="6" fillId="0" borderId="5" xfId="0" applyNumberFormat="1" applyFont="1" applyFill="1" applyBorder="1" applyAlignment="1">
      <alignment horizontal="center" vertical="center"/>
    </xf>
    <xf numFmtId="2" fontId="2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/>
    </xf>
    <xf numFmtId="9" fontId="6" fillId="0" borderId="5" xfId="0" applyNumberFormat="1" applyFont="1" applyFill="1" applyBorder="1" applyAlignment="1">
      <alignment horizontal="center" vertical="center"/>
    </xf>
    <xf numFmtId="178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8" fontId="3" fillId="0" borderId="5" xfId="0" applyNumberFormat="1" applyFont="1" applyFill="1" applyBorder="1"/>
    <xf numFmtId="0" fontId="3" fillId="0" borderId="5" xfId="0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vertical="center"/>
    </xf>
    <xf numFmtId="0" fontId="33" fillId="0" borderId="5" xfId="0" applyFont="1" applyFill="1" applyBorder="1" applyAlignment="1">
      <alignment vertical="center"/>
    </xf>
    <xf numFmtId="0" fontId="25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67" fontId="6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2" fontId="3" fillId="4" borderId="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5" fontId="9" fillId="0" borderId="5" xfId="4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/>
    </xf>
    <xf numFmtId="167" fontId="6" fillId="0" borderId="5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/>
    </xf>
    <xf numFmtId="165" fontId="9" fillId="0" borderId="5" xfId="0" applyNumberFormat="1" applyFont="1" applyFill="1" applyBorder="1" applyAlignment="1">
      <alignment horizontal="center" vertical="center" wrapText="1"/>
    </xf>
    <xf numFmtId="167" fontId="3" fillId="0" borderId="5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/>
    </xf>
    <xf numFmtId="0" fontId="9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165" fontId="9" fillId="4" borderId="5" xfId="0" applyNumberFormat="1" applyFont="1" applyFill="1" applyBorder="1" applyAlignment="1">
      <alignment horizontal="center" vertical="center" wrapText="1"/>
    </xf>
    <xf numFmtId="2" fontId="7" fillId="4" borderId="5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 wrapText="1"/>
    </xf>
    <xf numFmtId="9" fontId="6" fillId="4" borderId="5" xfId="0" applyNumberFormat="1" applyFont="1" applyFill="1" applyBorder="1" applyAlignment="1">
      <alignment horizontal="center" vertical="center"/>
    </xf>
    <xf numFmtId="2" fontId="6" fillId="4" borderId="5" xfId="0" applyNumberFormat="1" applyFont="1" applyFill="1" applyBorder="1" applyAlignment="1">
      <alignment horizontal="center" vertical="center"/>
    </xf>
    <xf numFmtId="9" fontId="3" fillId="4" borderId="5" xfId="0" applyNumberFormat="1" applyFont="1" applyFill="1" applyBorder="1"/>
    <xf numFmtId="0" fontId="7" fillId="0" borderId="5" xfId="0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165" fontId="9" fillId="0" borderId="5" xfId="4" applyNumberFormat="1" applyFont="1" applyFill="1" applyBorder="1" applyAlignment="1">
      <alignment horizontal="center" vertical="center" wrapText="1"/>
    </xf>
    <xf numFmtId="168" fontId="9" fillId="4" borderId="5" xfId="0" applyNumberFormat="1" applyFont="1" applyFill="1" applyBorder="1" applyAlignment="1">
      <alignment horizontal="center" vertical="center" wrapText="1"/>
    </xf>
    <xf numFmtId="2" fontId="9" fillId="4" borderId="5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168" fontId="6" fillId="3" borderId="5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 wrapText="1"/>
    </xf>
    <xf numFmtId="1" fontId="9" fillId="3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168" fontId="7" fillId="0" borderId="5" xfId="0" applyNumberFormat="1" applyFont="1" applyFill="1" applyBorder="1" applyAlignment="1">
      <alignment horizontal="center" vertical="center" wrapText="1"/>
    </xf>
    <xf numFmtId="165" fontId="7" fillId="0" borderId="5" xfId="4" applyNumberFormat="1" applyFont="1" applyFill="1" applyBorder="1" applyAlignment="1">
      <alignment horizontal="center" vertical="center" wrapText="1"/>
    </xf>
    <xf numFmtId="165" fontId="7" fillId="0" borderId="5" xfId="4" applyFont="1" applyFill="1" applyBorder="1" applyAlignment="1">
      <alignment horizontal="center" vertical="center" wrapText="1"/>
    </xf>
    <xf numFmtId="9" fontId="3" fillId="0" borderId="5" xfId="0" applyNumberFormat="1" applyFont="1" applyFill="1" applyBorder="1"/>
    <xf numFmtId="0" fontId="6" fillId="2" borderId="5" xfId="0" applyFont="1" applyFill="1" applyBorder="1" applyAlignment="1">
      <alignment vertical="center" wrapText="1"/>
    </xf>
    <xf numFmtId="9" fontId="6" fillId="2" borderId="5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0" fontId="3" fillId="2" borderId="2" xfId="7" applyFont="1" applyFill="1" applyBorder="1" applyAlignment="1" applyProtection="1">
      <alignment horizontal="left" vertical="top" wrapText="1"/>
    </xf>
    <xf numFmtId="0" fontId="3" fillId="2" borderId="3" xfId="7" applyFont="1" applyFill="1" applyBorder="1" applyAlignment="1" applyProtection="1">
      <alignment horizontal="center" vertical="top" wrapText="1"/>
    </xf>
    <xf numFmtId="2" fontId="3" fillId="2" borderId="5" xfId="7" applyNumberFormat="1" applyFont="1" applyFill="1" applyBorder="1" applyAlignment="1" applyProtection="1">
      <alignment horizontal="center" vertical="top" wrapText="1"/>
    </xf>
    <xf numFmtId="2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9" fontId="9" fillId="2" borderId="5" xfId="2" applyNumberFormat="1" applyFont="1" applyFill="1" applyBorder="1" applyAlignment="1">
      <alignment horizontal="center" vertical="center"/>
    </xf>
    <xf numFmtId="2" fontId="9" fillId="2" borderId="5" xfId="2" applyNumberFormat="1" applyFont="1" applyFill="1" applyBorder="1" applyAlignment="1">
      <alignment horizontal="center" vertical="center"/>
    </xf>
    <xf numFmtId="168" fontId="9" fillId="2" borderId="5" xfId="2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left" vertical="top" wrapText="1"/>
    </xf>
    <xf numFmtId="0" fontId="6" fillId="2" borderId="5" xfId="0" applyFont="1" applyFill="1" applyBorder="1" applyAlignment="1" applyProtection="1">
      <alignment horizontal="center" vertical="top" wrapText="1"/>
    </xf>
    <xf numFmtId="169" fontId="7" fillId="2" borderId="5" xfId="8" applyNumberFormat="1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left" vertical="top" wrapText="1"/>
    </xf>
    <xf numFmtId="0" fontId="3" fillId="2" borderId="5" xfId="0" applyFont="1" applyFill="1" applyBorder="1" applyAlignment="1" applyProtection="1">
      <alignment horizontal="center" vertical="top" wrapText="1"/>
    </xf>
    <xf numFmtId="168" fontId="9" fillId="2" borderId="5" xfId="8" applyNumberFormat="1" applyFont="1" applyFill="1" applyBorder="1" applyAlignment="1" applyProtection="1">
      <alignment horizontal="center" vertical="center" wrapText="1"/>
    </xf>
    <xf numFmtId="2" fontId="16" fillId="0" borderId="4" xfId="0" applyNumberFormat="1" applyFont="1" applyBorder="1" applyAlignment="1">
      <alignment horizontal="center" vertical="center" wrapText="1"/>
    </xf>
    <xf numFmtId="2" fontId="16" fillId="0" borderId="6" xfId="0" applyNumberFormat="1" applyFont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/>
    </xf>
    <xf numFmtId="0" fontId="18" fillId="0" borderId="0" xfId="0" applyFont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2" fontId="16" fillId="0" borderId="4" xfId="0" applyNumberFormat="1" applyFont="1" applyFill="1" applyBorder="1" applyAlignment="1">
      <alignment horizontal="center" vertical="center" wrapText="1"/>
    </xf>
    <xf numFmtId="2" fontId="1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 wrapText="1"/>
    </xf>
    <xf numFmtId="2" fontId="21" fillId="0" borderId="6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left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textRotation="90"/>
    </xf>
    <xf numFmtId="0" fontId="9" fillId="2" borderId="2" xfId="2" applyFont="1" applyFill="1" applyBorder="1" applyAlignment="1">
      <alignment horizontal="center" vertical="center" textRotation="90"/>
    </xf>
    <xf numFmtId="0" fontId="9" fillId="2" borderId="3" xfId="2" applyFont="1" applyFill="1" applyBorder="1" applyAlignment="1">
      <alignment horizontal="center" vertical="center" textRotation="90"/>
    </xf>
    <xf numFmtId="0" fontId="9" fillId="2" borderId="1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/>
    </xf>
    <xf numFmtId="0" fontId="9" fillId="2" borderId="8" xfId="2" applyFont="1" applyFill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 wrapText="1"/>
    </xf>
    <xf numFmtId="0" fontId="9" fillId="2" borderId="10" xfId="2" applyFont="1" applyFill="1" applyBorder="1" applyAlignment="1">
      <alignment horizontal="center" vertical="center" wrapText="1"/>
    </xf>
    <xf numFmtId="0" fontId="9" fillId="2" borderId="11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/>
    </xf>
    <xf numFmtId="0" fontId="9" fillId="2" borderId="7" xfId="2" applyFont="1" applyFill="1" applyBorder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 textRotation="90"/>
    </xf>
    <xf numFmtId="0" fontId="9" fillId="0" borderId="2" xfId="2" applyFont="1" applyFill="1" applyBorder="1" applyAlignment="1">
      <alignment horizontal="center" vertical="center" textRotation="90"/>
    </xf>
    <xf numFmtId="0" fontId="9" fillId="0" borderId="3" xfId="2" applyFont="1" applyFill="1" applyBorder="1" applyAlignment="1">
      <alignment horizontal="center" vertical="center" textRotation="90"/>
    </xf>
    <xf numFmtId="0" fontId="9" fillId="0" borderId="4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1" xfId="7" quotePrefix="1" applyFont="1" applyFill="1" applyBorder="1" applyAlignment="1" applyProtection="1">
      <alignment horizontal="center" vertical="center" wrapText="1"/>
    </xf>
    <xf numFmtId="0" fontId="3" fillId="0" borderId="3" xfId="7" quotePrefix="1" applyFont="1" applyFill="1" applyBorder="1" applyAlignment="1" applyProtection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textRotation="90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2" fontId="16" fillId="0" borderId="5" xfId="0" applyNumberFormat="1" applyFont="1" applyFill="1" applyBorder="1" applyAlignment="1">
      <alignment horizontal="center" vertical="center" wrapText="1"/>
    </xf>
    <xf numFmtId="0" fontId="3" fillId="2" borderId="5" xfId="17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7" fillId="0" borderId="1" xfId="2" applyFont="1" applyFill="1" applyBorder="1" applyAlignment="1">
      <alignment horizontal="center" vertical="center"/>
    </xf>
    <xf numFmtId="0" fontId="27" fillId="0" borderId="2" xfId="2" applyFont="1" applyFill="1" applyBorder="1" applyAlignment="1">
      <alignment horizontal="center" vertical="center"/>
    </xf>
    <xf numFmtId="0" fontId="27" fillId="0" borderId="3" xfId="2" applyFont="1" applyFill="1" applyBorder="1" applyAlignment="1">
      <alignment horizontal="center" vertical="center"/>
    </xf>
  </cellXfs>
  <cellStyles count="19">
    <cellStyle name="Comma" xfId="1" builtinId="3"/>
    <cellStyle name="Comma 3" xfId="12" xr:uid="{00000000-0005-0000-0000-000001000000}"/>
    <cellStyle name="Normal" xfId="0" builtinId="0"/>
    <cellStyle name="Normal 10" xfId="3" xr:uid="{00000000-0005-0000-0000-000003000000}"/>
    <cellStyle name="Normal 2" xfId="5" xr:uid="{00000000-0005-0000-0000-000004000000}"/>
    <cellStyle name="Normal 3" xfId="7" xr:uid="{00000000-0005-0000-0000-000005000000}"/>
    <cellStyle name="Normal 3 2" xfId="10" xr:uid="{00000000-0005-0000-0000-000006000000}"/>
    <cellStyle name="Normal_gare wyalsadfenigagarini 2_SMSH2008-IIkv ." xfId="13" xr:uid="{00000000-0005-0000-0000-000007000000}"/>
    <cellStyle name="Normal_gare wyalsadfenigagarini_ELEQ-08-IIkv" xfId="17" xr:uid="{00000000-0005-0000-0000-000008000000}"/>
    <cellStyle name="Percent" xfId="16" builtinId="5"/>
    <cellStyle name="Percent 3" xfId="11" xr:uid="{00000000-0005-0000-0000-00000A000000}"/>
    <cellStyle name="Обычный 2" xfId="2" xr:uid="{00000000-0005-0000-0000-00000B000000}"/>
    <cellStyle name="Обычный 2 2" xfId="15" xr:uid="{00000000-0005-0000-0000-00000C000000}"/>
    <cellStyle name="Обычный 4" xfId="6" xr:uid="{00000000-0005-0000-0000-00000D000000}"/>
    <cellStyle name="Обычный_Лист1" xfId="18" xr:uid="{00000000-0005-0000-0000-00000E000000}"/>
    <cellStyle name="Процентный 2" xfId="9" xr:uid="{00000000-0005-0000-0000-00000F000000}"/>
    <cellStyle name="Финансовый 2" xfId="8" xr:uid="{00000000-0005-0000-0000-000010000000}"/>
    <cellStyle name="Финансовый 2 2" xfId="14" xr:uid="{00000000-0005-0000-0000-000011000000}"/>
    <cellStyle name="Финансовый 4" xfId="4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4310;&#4323;&#4306;&#4307;&#4312;&#4307;&#4312;&#4321;%20&#4321;&#4313;&#4317;&#4314;&#4308;&#4305;&#4312;%202222/&#4321;&#4317;&#4324;&#4308;&#4314;%20&#4335;&#4312;&#4334;&#4304;&#4328;&#4313;&#4304;&#4320;&#4312;&#4321;%20&#4321;&#4304;&#4335;&#4304;&#4320;&#4317;%20&#4321;&#4313;&#4317;&#4314;&#4304;/&#4332;&#4304;&#4314;&#4308;&#4316;&#4335;&#4312;&#4334;&#4312;&#4321;%20&#4321;&#4313;&#4317;&#4314;&#4308;&#4305;&#4312;%20-%20&#4321;&#4304;&#4305;&#4317;&#4314;&#4317;&#4317;/1%20&#4308;&#4314;&#8211;&#4309;&#4308;&#4320;&#4321;&#4312;&#4304;%20II%20&#4321;&#4313;&#4317;&#4314;&#43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4"/>
      <sheetName val="Sheet1"/>
      <sheetName val="კორექტ 4"/>
      <sheetName val="კორექტ 1"/>
    </sheetNames>
    <sheetDataSet>
      <sheetData sheetId="0"/>
      <sheetData sheetId="1">
        <row r="91">
          <cell r="M91">
            <v>8691.9292347261835</v>
          </cell>
        </row>
        <row r="92">
          <cell r="M92">
            <v>56980.424983204983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opLeftCell="A11" workbookViewId="0">
      <selection activeCell="I20" sqref="I20"/>
    </sheetView>
  </sheetViews>
  <sheetFormatPr defaultColWidth="9.140625" defaultRowHeight="15"/>
  <cols>
    <col min="1" max="1" width="8.28515625" style="69" customWidth="1"/>
    <col min="2" max="2" width="7.7109375" style="69" customWidth="1"/>
    <col min="3" max="3" width="68.28515625" style="69" customWidth="1"/>
    <col min="4" max="4" width="28.140625" style="69" customWidth="1"/>
    <col min="5" max="5" width="15.85546875" style="69" customWidth="1"/>
    <col min="6" max="16384" width="9.140625" style="69"/>
  </cols>
  <sheetData>
    <row r="1" spans="1:13" ht="43.5" customHeight="1">
      <c r="A1" s="72"/>
      <c r="B1" s="500" t="s">
        <v>520</v>
      </c>
      <c r="C1" s="500"/>
      <c r="D1" s="500"/>
      <c r="E1" s="500"/>
      <c r="F1" s="72"/>
      <c r="G1" s="72"/>
      <c r="H1" s="72"/>
      <c r="I1" s="72"/>
      <c r="J1" s="72"/>
      <c r="K1" s="72"/>
      <c r="L1" s="72"/>
      <c r="M1" s="72"/>
    </row>
    <row r="2" spans="1:13" ht="18">
      <c r="A2" s="73"/>
      <c r="B2" s="501" t="s">
        <v>292</v>
      </c>
      <c r="C2" s="501"/>
      <c r="D2" s="501"/>
      <c r="E2" s="501"/>
      <c r="F2" s="73"/>
      <c r="G2" s="73"/>
      <c r="H2" s="73"/>
      <c r="I2" s="73"/>
      <c r="J2" s="73"/>
      <c r="K2" s="73"/>
      <c r="L2" s="73"/>
      <c r="M2" s="73"/>
    </row>
    <row r="3" spans="1:13" ht="14.25" customHeight="1">
      <c r="A3" s="495"/>
      <c r="B3" s="495"/>
      <c r="C3" s="495"/>
      <c r="D3" s="74"/>
      <c r="E3" s="74"/>
      <c r="F3" s="74"/>
      <c r="G3" s="74"/>
      <c r="H3" s="74"/>
      <c r="I3" s="75"/>
      <c r="J3" s="76"/>
      <c r="K3" s="77"/>
      <c r="L3" s="78"/>
      <c r="M3" s="79"/>
    </row>
    <row r="4" spans="1:13" ht="22.5" customHeight="1">
      <c r="A4" s="80"/>
      <c r="B4" s="502" t="s">
        <v>522</v>
      </c>
      <c r="C4" s="502"/>
      <c r="D4" s="502"/>
      <c r="E4" s="502"/>
      <c r="F4" s="80"/>
      <c r="G4" s="80"/>
      <c r="H4" s="80"/>
      <c r="I4" s="80"/>
      <c r="J4" s="80"/>
      <c r="K4" s="80"/>
      <c r="L4" s="80"/>
      <c r="M4" s="80"/>
    </row>
    <row r="5" spans="1:13" ht="18.75" customHeight="1"/>
    <row r="6" spans="1:13" ht="20.25" customHeight="1">
      <c r="B6" s="496" t="s">
        <v>155</v>
      </c>
      <c r="C6" s="496"/>
      <c r="D6" s="167">
        <f>D20</f>
        <v>0</v>
      </c>
      <c r="E6" s="168" t="s">
        <v>123</v>
      </c>
    </row>
    <row r="7" spans="1:13" ht="19.5" customHeight="1">
      <c r="B7" s="497"/>
      <c r="C7" s="497"/>
      <c r="D7" s="497"/>
    </row>
    <row r="8" spans="1:13">
      <c r="B8" s="511" t="s">
        <v>149</v>
      </c>
      <c r="C8" s="512" t="s">
        <v>287</v>
      </c>
      <c r="D8" s="505" t="s">
        <v>293</v>
      </c>
      <c r="E8" s="506"/>
    </row>
    <row r="9" spans="1:13" ht="16.5" customHeight="1">
      <c r="B9" s="511"/>
      <c r="C9" s="512"/>
      <c r="D9" s="507"/>
      <c r="E9" s="508"/>
    </row>
    <row r="10" spans="1:13" ht="17.25" customHeight="1">
      <c r="B10" s="169">
        <v>1</v>
      </c>
      <c r="C10" s="87">
        <v>2</v>
      </c>
      <c r="D10" s="509">
        <v>3</v>
      </c>
      <c r="E10" s="510"/>
    </row>
    <row r="11" spans="1:13" ht="23.25" customHeight="1">
      <c r="B11" s="176" t="s">
        <v>150</v>
      </c>
      <c r="C11" s="81" t="s">
        <v>285</v>
      </c>
      <c r="D11" s="503"/>
      <c r="E11" s="504"/>
      <c r="G11" s="189"/>
      <c r="H11" s="189"/>
      <c r="I11" s="189"/>
      <c r="J11" s="338"/>
    </row>
    <row r="12" spans="1:13" ht="23.25" customHeight="1">
      <c r="B12" s="176" t="s">
        <v>151</v>
      </c>
      <c r="C12" s="81" t="s">
        <v>225</v>
      </c>
      <c r="D12" s="503"/>
      <c r="E12" s="504"/>
      <c r="G12" s="189"/>
    </row>
    <row r="13" spans="1:13" ht="23.25" customHeight="1">
      <c r="B13" s="176" t="s">
        <v>152</v>
      </c>
      <c r="C13" s="81" t="s">
        <v>286</v>
      </c>
      <c r="D13" s="503"/>
      <c r="E13" s="504"/>
      <c r="G13" s="189"/>
    </row>
    <row r="14" spans="1:13" ht="18.75" customHeight="1">
      <c r="B14" s="86"/>
      <c r="C14" s="86" t="s">
        <v>22</v>
      </c>
      <c r="D14" s="493"/>
      <c r="E14" s="494"/>
    </row>
    <row r="15" spans="1:13" ht="18.75" customHeight="1">
      <c r="B15" s="86"/>
      <c r="C15" s="86" t="s">
        <v>158</v>
      </c>
      <c r="D15" s="498"/>
      <c r="E15" s="499"/>
    </row>
    <row r="16" spans="1:13" ht="18.75" customHeight="1">
      <c r="B16" s="86"/>
      <c r="C16" s="86" t="s">
        <v>22</v>
      </c>
      <c r="D16" s="493"/>
      <c r="E16" s="494"/>
    </row>
    <row r="17" spans="1:13" ht="18.75" customHeight="1">
      <c r="B17" s="86"/>
      <c r="C17" s="86" t="s">
        <v>377</v>
      </c>
      <c r="D17" s="493"/>
      <c r="E17" s="494"/>
    </row>
    <row r="18" spans="1:13" ht="18.75" customHeight="1">
      <c r="B18" s="86"/>
      <c r="C18" s="86" t="s">
        <v>22</v>
      </c>
      <c r="D18" s="493"/>
      <c r="E18" s="494"/>
    </row>
    <row r="19" spans="1:13" ht="18.75" customHeight="1">
      <c r="B19" s="86"/>
      <c r="C19" s="86" t="s">
        <v>153</v>
      </c>
      <c r="D19" s="493"/>
      <c r="E19" s="494"/>
    </row>
    <row r="20" spans="1:13" ht="18.75" customHeight="1">
      <c r="B20" s="86"/>
      <c r="C20" s="86" t="s">
        <v>22</v>
      </c>
      <c r="D20" s="493"/>
      <c r="E20" s="494"/>
      <c r="I20" s="189"/>
    </row>
    <row r="21" spans="1:13">
      <c r="B21" s="77"/>
      <c r="C21" s="77"/>
      <c r="D21" s="77"/>
    </row>
    <row r="23" spans="1:13">
      <c r="A23" s="88"/>
      <c r="B23" s="88"/>
      <c r="C23" s="89" t="s">
        <v>154</v>
      </c>
      <c r="D23" s="89"/>
      <c r="E23" s="82"/>
      <c r="F23" s="82"/>
      <c r="M23" s="83"/>
    </row>
    <row r="24" spans="1:13">
      <c r="A24" s="88"/>
      <c r="B24" s="88"/>
      <c r="C24" s="89"/>
      <c r="D24" s="89"/>
      <c r="E24" s="82"/>
      <c r="F24" s="82"/>
      <c r="M24" s="83"/>
    </row>
    <row r="25" spans="1:13">
      <c r="A25" s="88"/>
      <c r="B25" s="88"/>
      <c r="C25" s="90" t="s">
        <v>290</v>
      </c>
      <c r="D25" s="90"/>
      <c r="E25" s="84"/>
      <c r="F25" s="84"/>
      <c r="M25" s="83"/>
    </row>
    <row r="26" spans="1:13">
      <c r="A26" s="88"/>
      <c r="B26" s="88"/>
      <c r="C26" s="88"/>
      <c r="D26" s="88"/>
    </row>
    <row r="27" spans="1:13">
      <c r="A27" s="88"/>
      <c r="B27" s="88"/>
      <c r="C27" s="88"/>
      <c r="D27" s="88"/>
    </row>
  </sheetData>
  <mergeCells count="20">
    <mergeCell ref="B1:E1"/>
    <mergeCell ref="B2:E2"/>
    <mergeCell ref="B4:E4"/>
    <mergeCell ref="D13:E13"/>
    <mergeCell ref="D14:E14"/>
    <mergeCell ref="D8:E9"/>
    <mergeCell ref="D10:E10"/>
    <mergeCell ref="D11:E11"/>
    <mergeCell ref="D12:E12"/>
    <mergeCell ref="B8:B9"/>
    <mergeCell ref="C8:C9"/>
    <mergeCell ref="D18:E18"/>
    <mergeCell ref="A3:C3"/>
    <mergeCell ref="B6:C6"/>
    <mergeCell ref="B7:D7"/>
    <mergeCell ref="D20:E20"/>
    <mergeCell ref="D15:E15"/>
    <mergeCell ref="D16:E16"/>
    <mergeCell ref="D19:E19"/>
    <mergeCell ref="D17:E17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3"/>
  <sheetViews>
    <sheetView workbookViewId="0">
      <selection activeCell="K38" sqref="K38"/>
    </sheetView>
  </sheetViews>
  <sheetFormatPr defaultRowHeight="15.75"/>
  <cols>
    <col min="1" max="1" width="3.140625" style="396" customWidth="1"/>
    <col min="2" max="2" width="10.7109375" style="396" customWidth="1"/>
    <col min="3" max="3" width="38.7109375" style="396" customWidth="1"/>
    <col min="4" max="4" width="8.140625" style="396" customWidth="1"/>
    <col min="5" max="6" width="9.28515625" style="396" bestFit="1" customWidth="1"/>
    <col min="7" max="7" width="7.5703125" style="396" customWidth="1"/>
    <col min="8" max="12" width="9.28515625" style="396" bestFit="1" customWidth="1"/>
    <col min="13" max="13" width="9.5703125" style="396" bestFit="1" customWidth="1"/>
    <col min="14" max="16384" width="9.140625" style="396"/>
  </cols>
  <sheetData>
    <row r="1" spans="1:13">
      <c r="A1" s="533" t="s">
        <v>385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</row>
    <row r="2" spans="1:13">
      <c r="A2" s="533" t="s">
        <v>344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</row>
    <row r="3" spans="1:13">
      <c r="A3" s="533" t="s">
        <v>0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</row>
    <row r="4" spans="1:13">
      <c r="A4" s="2"/>
      <c r="B4" s="350"/>
      <c r="C4" s="2"/>
      <c r="D4" s="2"/>
      <c r="E4" s="2"/>
      <c r="F4" s="533" t="s">
        <v>1</v>
      </c>
      <c r="G4" s="533"/>
      <c r="H4" s="533"/>
      <c r="I4" s="533"/>
      <c r="J4" s="533"/>
      <c r="K4" s="533"/>
      <c r="L4" s="40">
        <f>M88/1000</f>
        <v>0</v>
      </c>
      <c r="M4" s="3" t="s">
        <v>91</v>
      </c>
    </row>
    <row r="5" spans="1:13" ht="23.25" customHeight="1">
      <c r="A5" s="533" t="s">
        <v>523</v>
      </c>
      <c r="B5" s="533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3"/>
    </row>
    <row r="6" spans="1:13">
      <c r="A6" s="520" t="s">
        <v>3</v>
      </c>
      <c r="B6" s="523" t="s">
        <v>36</v>
      </c>
      <c r="C6" s="518" t="s">
        <v>4</v>
      </c>
      <c r="D6" s="520" t="s">
        <v>5</v>
      </c>
      <c r="E6" s="527" t="s">
        <v>6</v>
      </c>
      <c r="F6" s="528"/>
      <c r="G6" s="531" t="s">
        <v>7</v>
      </c>
      <c r="H6" s="532"/>
      <c r="I6" s="532"/>
      <c r="J6" s="532"/>
      <c r="K6" s="532"/>
      <c r="L6" s="532"/>
      <c r="M6" s="514"/>
    </row>
    <row r="7" spans="1:13" ht="33" customHeight="1">
      <c r="A7" s="521"/>
      <c r="B7" s="524"/>
      <c r="C7" s="526"/>
      <c r="D7" s="521"/>
      <c r="E7" s="529"/>
      <c r="F7" s="530"/>
      <c r="G7" s="513" t="s">
        <v>8</v>
      </c>
      <c r="H7" s="514"/>
      <c r="I7" s="513" t="s">
        <v>9</v>
      </c>
      <c r="J7" s="514"/>
      <c r="K7" s="516" t="s">
        <v>38</v>
      </c>
      <c r="L7" s="517"/>
      <c r="M7" s="518" t="s">
        <v>10</v>
      </c>
    </row>
    <row r="8" spans="1:13" ht="21" customHeight="1">
      <c r="A8" s="522"/>
      <c r="B8" s="525"/>
      <c r="C8" s="519"/>
      <c r="D8" s="522"/>
      <c r="E8" s="347" t="s">
        <v>37</v>
      </c>
      <c r="F8" s="348" t="s">
        <v>11</v>
      </c>
      <c r="G8" s="347" t="s">
        <v>37</v>
      </c>
      <c r="H8" s="348" t="s">
        <v>11</v>
      </c>
      <c r="I8" s="347" t="s">
        <v>37</v>
      </c>
      <c r="J8" s="348" t="s">
        <v>11</v>
      </c>
      <c r="K8" s="347" t="s">
        <v>37</v>
      </c>
      <c r="L8" s="348" t="s">
        <v>11</v>
      </c>
      <c r="M8" s="519"/>
    </row>
    <row r="9" spans="1:13">
      <c r="A9" s="348">
        <v>1</v>
      </c>
      <c r="B9" s="349">
        <v>2</v>
      </c>
      <c r="C9" s="348">
        <v>3</v>
      </c>
      <c r="D9" s="349">
        <v>4</v>
      </c>
      <c r="E9" s="348">
        <v>5</v>
      </c>
      <c r="F9" s="349">
        <v>6</v>
      </c>
      <c r="G9" s="348">
        <v>7</v>
      </c>
      <c r="H9" s="349">
        <v>8</v>
      </c>
      <c r="I9" s="348">
        <v>9</v>
      </c>
      <c r="J9" s="349">
        <v>10</v>
      </c>
      <c r="K9" s="348">
        <v>11</v>
      </c>
      <c r="L9" s="349">
        <v>12</v>
      </c>
      <c r="M9" s="348">
        <v>13</v>
      </c>
    </row>
    <row r="10" spans="1:13">
      <c r="A10" s="5"/>
      <c r="B10" s="387"/>
      <c r="C10" s="166" t="s">
        <v>146</v>
      </c>
      <c r="D10" s="6"/>
      <c r="E10" s="7"/>
      <c r="F10" s="7"/>
      <c r="G10" s="7"/>
      <c r="H10" s="7"/>
      <c r="I10" s="7"/>
      <c r="J10" s="7"/>
      <c r="K10" s="7"/>
      <c r="L10" s="7"/>
      <c r="M10" s="7"/>
    </row>
    <row r="11" spans="1:13" ht="46.5" customHeight="1">
      <c r="A11" s="41">
        <v>1</v>
      </c>
      <c r="B11" s="62" t="s">
        <v>48</v>
      </c>
      <c r="C11" s="8" t="s">
        <v>332</v>
      </c>
      <c r="D11" s="17" t="s">
        <v>26</v>
      </c>
      <c r="E11" s="10"/>
      <c r="F11" s="28">
        <f>8*5*3/1000</f>
        <v>0.12</v>
      </c>
      <c r="G11" s="12"/>
      <c r="H11" s="12"/>
      <c r="I11" s="12"/>
      <c r="J11" s="12"/>
      <c r="K11" s="12"/>
      <c r="L11" s="12"/>
      <c r="M11" s="12"/>
    </row>
    <row r="12" spans="1:13" ht="15.75" customHeight="1">
      <c r="A12" s="42"/>
      <c r="B12" s="388"/>
      <c r="C12" s="1" t="s">
        <v>12</v>
      </c>
      <c r="D12" s="9" t="s">
        <v>13</v>
      </c>
      <c r="E12" s="10">
        <v>28.3</v>
      </c>
      <c r="F12" s="12">
        <f>F11*E12</f>
        <v>3.3959999999999999</v>
      </c>
      <c r="G12" s="187"/>
      <c r="H12" s="12"/>
      <c r="I12" s="12"/>
      <c r="J12" s="12"/>
      <c r="K12" s="12"/>
      <c r="L12" s="12"/>
      <c r="M12" s="12"/>
    </row>
    <row r="13" spans="1:13" ht="19.5" customHeight="1">
      <c r="A13" s="42"/>
      <c r="B13" s="62" t="s">
        <v>521</v>
      </c>
      <c r="C13" s="1" t="s">
        <v>35</v>
      </c>
      <c r="D13" s="9" t="s">
        <v>33</v>
      </c>
      <c r="E13" s="10">
        <v>63.4</v>
      </c>
      <c r="F13" s="12">
        <f>F11*E13</f>
        <v>7.6079999999999997</v>
      </c>
      <c r="G13" s="12"/>
      <c r="H13" s="12"/>
      <c r="I13" s="12"/>
      <c r="J13" s="12"/>
      <c r="K13" s="187"/>
      <c r="L13" s="12"/>
      <c r="M13" s="12"/>
    </row>
    <row r="14" spans="1:13" ht="15" customHeight="1">
      <c r="A14" s="43"/>
      <c r="B14" s="389"/>
      <c r="C14" s="1" t="s">
        <v>34</v>
      </c>
      <c r="D14" s="9" t="s">
        <v>2</v>
      </c>
      <c r="E14" s="10">
        <v>3.36</v>
      </c>
      <c r="F14" s="12">
        <f>F11*E14</f>
        <v>0.40319999999999995</v>
      </c>
      <c r="G14" s="12"/>
      <c r="H14" s="12"/>
      <c r="I14" s="12"/>
      <c r="J14" s="12"/>
      <c r="K14" s="12"/>
      <c r="L14" s="12"/>
      <c r="M14" s="12"/>
    </row>
    <row r="15" spans="1:13" ht="31.5" customHeight="1">
      <c r="A15" s="41">
        <v>2</v>
      </c>
      <c r="B15" s="62" t="s">
        <v>49</v>
      </c>
      <c r="C15" s="8" t="s">
        <v>46</v>
      </c>
      <c r="D15" s="17" t="s">
        <v>47</v>
      </c>
      <c r="E15" s="14"/>
      <c r="F15" s="11">
        <f>3/100</f>
        <v>0.03</v>
      </c>
      <c r="G15" s="11"/>
      <c r="H15" s="11"/>
      <c r="I15" s="11"/>
      <c r="J15" s="11"/>
      <c r="K15" s="11"/>
      <c r="L15" s="11"/>
      <c r="M15" s="11"/>
    </row>
    <row r="16" spans="1:13" ht="17.25" customHeight="1">
      <c r="A16" s="43"/>
      <c r="B16" s="389"/>
      <c r="C16" s="1" t="s">
        <v>12</v>
      </c>
      <c r="D16" s="9" t="s">
        <v>13</v>
      </c>
      <c r="E16" s="10">
        <v>206</v>
      </c>
      <c r="F16" s="12">
        <f>F15*E16</f>
        <v>6.18</v>
      </c>
      <c r="G16" s="187"/>
      <c r="H16" s="12"/>
      <c r="I16" s="12"/>
      <c r="J16" s="12"/>
      <c r="K16" s="12"/>
      <c r="L16" s="12"/>
      <c r="M16" s="12"/>
    </row>
    <row r="17" spans="1:13" ht="17.25" customHeight="1">
      <c r="A17" s="42">
        <v>3</v>
      </c>
      <c r="B17" s="62" t="s">
        <v>40</v>
      </c>
      <c r="C17" s="8" t="s">
        <v>39</v>
      </c>
      <c r="D17" s="17" t="s">
        <v>15</v>
      </c>
      <c r="E17" s="10">
        <v>1.6</v>
      </c>
      <c r="F17" s="27">
        <f>(120+3)*1.6</f>
        <v>196.8</v>
      </c>
      <c r="G17" s="12"/>
      <c r="H17" s="12"/>
      <c r="I17" s="12"/>
      <c r="J17" s="12"/>
      <c r="K17" s="187"/>
      <c r="L17" s="12"/>
      <c r="M17" s="12"/>
    </row>
    <row r="18" spans="1:13" s="398" customFormat="1" ht="30" customHeight="1">
      <c r="A18" s="357">
        <v>4</v>
      </c>
      <c r="B18" s="36" t="s">
        <v>50</v>
      </c>
      <c r="C18" s="29" t="s">
        <v>41</v>
      </c>
      <c r="D18" s="17" t="s">
        <v>28</v>
      </c>
      <c r="E18" s="30"/>
      <c r="F18" s="11">
        <v>2.82</v>
      </c>
      <c r="G18" s="31"/>
      <c r="H18" s="12"/>
      <c r="I18" s="12"/>
      <c r="J18" s="31"/>
      <c r="K18" s="31"/>
      <c r="L18" s="12"/>
      <c r="M18" s="12"/>
    </row>
    <row r="19" spans="1:13" s="398" customFormat="1" ht="17.25" customHeight="1">
      <c r="A19" s="358"/>
      <c r="B19" s="62"/>
      <c r="C19" s="33" t="s">
        <v>16</v>
      </c>
      <c r="D19" s="30" t="s">
        <v>13</v>
      </c>
      <c r="E19" s="30">
        <v>3.52</v>
      </c>
      <c r="F19" s="12">
        <f>F18*E19</f>
        <v>9.9263999999999992</v>
      </c>
      <c r="G19" s="187"/>
      <c r="H19" s="12"/>
      <c r="I19" s="12"/>
      <c r="J19" s="31"/>
      <c r="K19" s="31"/>
      <c r="L19" s="12"/>
      <c r="M19" s="12"/>
    </row>
    <row r="20" spans="1:13" s="398" customFormat="1" ht="17.25" customHeight="1">
      <c r="A20" s="358"/>
      <c r="B20" s="62"/>
      <c r="C20" s="33" t="s">
        <v>14</v>
      </c>
      <c r="D20" s="30" t="s">
        <v>2</v>
      </c>
      <c r="E20" s="30">
        <v>1.06</v>
      </c>
      <c r="F20" s="12">
        <f>F18*E20</f>
        <v>2.9891999999999999</v>
      </c>
      <c r="G20" s="12"/>
      <c r="H20" s="12"/>
      <c r="I20" s="12"/>
      <c r="J20" s="31"/>
      <c r="K20" s="12"/>
      <c r="L20" s="12"/>
      <c r="M20" s="12"/>
    </row>
    <row r="21" spans="1:13" s="398" customFormat="1" ht="17.25" customHeight="1">
      <c r="A21" s="358"/>
      <c r="B21" s="62" t="s">
        <v>44</v>
      </c>
      <c r="C21" s="33" t="s">
        <v>42</v>
      </c>
      <c r="D21" s="30" t="s">
        <v>29</v>
      </c>
      <c r="E21" s="30">
        <v>0.97</v>
      </c>
      <c r="F21" s="12">
        <f>F18*E21</f>
        <v>2.7353999999999998</v>
      </c>
      <c r="G21" s="12"/>
      <c r="H21" s="12"/>
      <c r="I21" s="12"/>
      <c r="J21" s="12"/>
      <c r="K21" s="12"/>
      <c r="L21" s="12"/>
      <c r="M21" s="12"/>
    </row>
    <row r="22" spans="1:13" s="398" customFormat="1" ht="17.25" customHeight="1">
      <c r="A22" s="358"/>
      <c r="B22" s="62" t="s">
        <v>45</v>
      </c>
      <c r="C22" s="33" t="s">
        <v>43</v>
      </c>
      <c r="D22" s="30" t="s">
        <v>29</v>
      </c>
      <c r="E22" s="30">
        <v>1.6</v>
      </c>
      <c r="F22" s="12">
        <f>F18*E22</f>
        <v>4.5119999999999996</v>
      </c>
      <c r="G22" s="12"/>
      <c r="H22" s="12"/>
      <c r="I22" s="12"/>
      <c r="J22" s="12"/>
      <c r="K22" s="187"/>
      <c r="L22" s="12"/>
      <c r="M22" s="12"/>
    </row>
    <row r="23" spans="1:13" s="398" customFormat="1" ht="17.25" customHeight="1">
      <c r="A23" s="359"/>
      <c r="B23" s="62"/>
      <c r="C23" s="33" t="s">
        <v>19</v>
      </c>
      <c r="D23" s="30" t="s">
        <v>2</v>
      </c>
      <c r="E23" s="30">
        <v>0.02</v>
      </c>
      <c r="F23" s="12">
        <f>F18*E23</f>
        <v>5.6399999999999999E-2</v>
      </c>
      <c r="G23" s="12"/>
      <c r="H23" s="12"/>
      <c r="I23" s="12"/>
      <c r="J23" s="12"/>
      <c r="K23" s="12"/>
      <c r="L23" s="31"/>
      <c r="M23" s="12"/>
    </row>
    <row r="24" spans="1:13" s="398" customFormat="1" ht="44.25" customHeight="1">
      <c r="A24" s="357">
        <v>5</v>
      </c>
      <c r="B24" s="36" t="s">
        <v>50</v>
      </c>
      <c r="C24" s="29" t="s">
        <v>81</v>
      </c>
      <c r="D24" s="17" t="s">
        <v>28</v>
      </c>
      <c r="E24" s="30"/>
      <c r="F24" s="11">
        <v>4</v>
      </c>
      <c r="G24" s="31"/>
      <c r="H24" s="12"/>
      <c r="I24" s="12"/>
      <c r="J24" s="31"/>
      <c r="K24" s="31"/>
      <c r="L24" s="12"/>
      <c r="M24" s="12"/>
    </row>
    <row r="25" spans="1:13" s="398" customFormat="1" ht="17.25" customHeight="1">
      <c r="A25" s="358"/>
      <c r="B25" s="62"/>
      <c r="C25" s="33" t="s">
        <v>16</v>
      </c>
      <c r="D25" s="30" t="s">
        <v>13</v>
      </c>
      <c r="E25" s="30">
        <v>3.52</v>
      </c>
      <c r="F25" s="12">
        <f>F24*E25</f>
        <v>14.08</v>
      </c>
      <c r="G25" s="187"/>
      <c r="H25" s="12"/>
      <c r="I25" s="12"/>
      <c r="J25" s="31"/>
      <c r="K25" s="31"/>
      <c r="L25" s="12"/>
      <c r="M25" s="12"/>
    </row>
    <row r="26" spans="1:13" s="398" customFormat="1" ht="17.25" customHeight="1">
      <c r="A26" s="358"/>
      <c r="B26" s="62"/>
      <c r="C26" s="33" t="s">
        <v>14</v>
      </c>
      <c r="D26" s="30" t="s">
        <v>2</v>
      </c>
      <c r="E26" s="30">
        <v>1.06</v>
      </c>
      <c r="F26" s="12">
        <f>F24*E26</f>
        <v>4.24</v>
      </c>
      <c r="G26" s="12"/>
      <c r="H26" s="12"/>
      <c r="I26" s="12"/>
      <c r="J26" s="31"/>
      <c r="K26" s="12"/>
      <c r="L26" s="12"/>
      <c r="M26" s="12"/>
    </row>
    <row r="27" spans="1:13" s="398" customFormat="1" ht="17.25" customHeight="1">
      <c r="A27" s="358"/>
      <c r="B27" s="62" t="s">
        <v>44</v>
      </c>
      <c r="C27" s="33" t="s">
        <v>42</v>
      </c>
      <c r="D27" s="30" t="s">
        <v>29</v>
      </c>
      <c r="E27" s="30">
        <v>0.97</v>
      </c>
      <c r="F27" s="12">
        <f>F24*E27</f>
        <v>3.88</v>
      </c>
      <c r="G27" s="12"/>
      <c r="H27" s="12"/>
      <c r="I27" s="12"/>
      <c r="J27" s="12"/>
      <c r="K27" s="12"/>
      <c r="L27" s="12"/>
      <c r="M27" s="12"/>
    </row>
    <row r="28" spans="1:13" s="398" customFormat="1" ht="17.25" customHeight="1">
      <c r="A28" s="358"/>
      <c r="B28" s="62" t="s">
        <v>45</v>
      </c>
      <c r="C28" s="33" t="s">
        <v>43</v>
      </c>
      <c r="D28" s="30" t="s">
        <v>29</v>
      </c>
      <c r="E28" s="30">
        <v>1.6</v>
      </c>
      <c r="F28" s="12">
        <f>F24*E28</f>
        <v>6.4</v>
      </c>
      <c r="G28" s="12"/>
      <c r="H28" s="12"/>
      <c r="I28" s="12"/>
      <c r="J28" s="12"/>
      <c r="K28" s="187"/>
      <c r="L28" s="12"/>
      <c r="M28" s="12"/>
    </row>
    <row r="29" spans="1:13" s="398" customFormat="1" ht="17.25" customHeight="1">
      <c r="A29" s="359"/>
      <c r="B29" s="62"/>
      <c r="C29" s="33" t="s">
        <v>19</v>
      </c>
      <c r="D29" s="30" t="s">
        <v>2</v>
      </c>
      <c r="E29" s="30">
        <v>0.02</v>
      </c>
      <c r="F29" s="12">
        <f>F24*E29</f>
        <v>0.08</v>
      </c>
      <c r="G29" s="12"/>
      <c r="H29" s="12"/>
      <c r="I29" s="12"/>
      <c r="J29" s="12"/>
      <c r="K29" s="12"/>
      <c r="L29" s="31"/>
      <c r="M29" s="12"/>
    </row>
    <row r="30" spans="1:13" s="398" customFormat="1" ht="42" customHeight="1">
      <c r="A30" s="357">
        <v>6</v>
      </c>
      <c r="B30" s="62" t="s">
        <v>51</v>
      </c>
      <c r="C30" s="29" t="s">
        <v>52</v>
      </c>
      <c r="D30" s="17" t="s">
        <v>47</v>
      </c>
      <c r="E30" s="30"/>
      <c r="F30" s="34">
        <f>6.73/100</f>
        <v>6.7299999999999999E-2</v>
      </c>
      <c r="G30" s="12"/>
      <c r="H30" s="12"/>
      <c r="I30" s="12"/>
      <c r="J30" s="12"/>
      <c r="K30" s="12"/>
      <c r="L30" s="12"/>
      <c r="M30" s="12"/>
    </row>
    <row r="31" spans="1:13" s="398" customFormat="1" ht="17.25" customHeight="1">
      <c r="A31" s="358"/>
      <c r="B31" s="62"/>
      <c r="C31" s="33" t="s">
        <v>16</v>
      </c>
      <c r="D31" s="30" t="s">
        <v>13</v>
      </c>
      <c r="E31" s="30">
        <v>187</v>
      </c>
      <c r="F31" s="12">
        <f>F30*E31</f>
        <v>12.585100000000001</v>
      </c>
      <c r="G31" s="12"/>
      <c r="H31" s="12"/>
      <c r="I31" s="12"/>
      <c r="J31" s="12"/>
      <c r="K31" s="12"/>
      <c r="L31" s="12"/>
      <c r="M31" s="12"/>
    </row>
    <row r="32" spans="1:13" s="398" customFormat="1" ht="15.75" customHeight="1">
      <c r="A32" s="358"/>
      <c r="B32" s="62"/>
      <c r="C32" s="33" t="s">
        <v>14</v>
      </c>
      <c r="D32" s="30" t="s">
        <v>2</v>
      </c>
      <c r="E32" s="30">
        <v>77</v>
      </c>
      <c r="F32" s="12">
        <f>F30*E32</f>
        <v>5.1821000000000002</v>
      </c>
      <c r="G32" s="12"/>
      <c r="H32" s="12"/>
      <c r="I32" s="12"/>
      <c r="J32" s="12"/>
      <c r="K32" s="12"/>
      <c r="L32" s="12"/>
      <c r="M32" s="12"/>
    </row>
    <row r="33" spans="1:13" s="398" customFormat="1" ht="17.25" customHeight="1">
      <c r="A33" s="358"/>
      <c r="B33" s="62" t="s">
        <v>53</v>
      </c>
      <c r="C33" s="33" t="s">
        <v>535</v>
      </c>
      <c r="D33" s="30" t="s">
        <v>15</v>
      </c>
      <c r="E33" s="30"/>
      <c r="F33" s="12">
        <v>0.47</v>
      </c>
      <c r="G33" s="12"/>
      <c r="H33" s="12"/>
      <c r="I33" s="336"/>
      <c r="J33" s="12"/>
      <c r="K33" s="12"/>
      <c r="L33" s="12"/>
      <c r="M33" s="12"/>
    </row>
    <row r="34" spans="1:13" s="398" customFormat="1" ht="17.25" customHeight="1">
      <c r="A34" s="358"/>
      <c r="B34" s="62" t="s">
        <v>54</v>
      </c>
      <c r="C34" s="33" t="s">
        <v>536</v>
      </c>
      <c r="D34" s="30" t="s">
        <v>15</v>
      </c>
      <c r="E34" s="30"/>
      <c r="F34" s="35">
        <f>66.5/1000</f>
        <v>6.6500000000000004E-2</v>
      </c>
      <c r="G34" s="12"/>
      <c r="H34" s="12"/>
      <c r="I34" s="336"/>
      <c r="J34" s="12"/>
      <c r="K34" s="12"/>
      <c r="L34" s="12"/>
      <c r="M34" s="12"/>
    </row>
    <row r="35" spans="1:13" s="398" customFormat="1">
      <c r="A35" s="358"/>
      <c r="B35" s="390" t="s">
        <v>378</v>
      </c>
      <c r="C35" s="183" t="s">
        <v>537</v>
      </c>
      <c r="D35" s="184" t="s">
        <v>29</v>
      </c>
      <c r="E35" s="185">
        <v>101.5</v>
      </c>
      <c r="F35" s="186">
        <f>F30*E35</f>
        <v>6.8309499999999996</v>
      </c>
      <c r="G35" s="186"/>
      <c r="H35" s="186"/>
      <c r="I35" s="186"/>
      <c r="J35" s="186"/>
      <c r="K35" s="186"/>
      <c r="L35" s="186"/>
      <c r="M35" s="186"/>
    </row>
    <row r="36" spans="1:13" s="398" customFormat="1" ht="13.5">
      <c r="A36" s="358"/>
      <c r="B36" s="390" t="s">
        <v>379</v>
      </c>
      <c r="C36" s="183" t="s">
        <v>380</v>
      </c>
      <c r="D36" s="184" t="s">
        <v>381</v>
      </c>
      <c r="E36" s="184">
        <v>2.4</v>
      </c>
      <c r="F36" s="186">
        <f>F35*E36</f>
        <v>16.394279999999998</v>
      </c>
      <c r="G36" s="186"/>
      <c r="H36" s="186"/>
      <c r="I36" s="186"/>
      <c r="J36" s="186"/>
      <c r="K36" s="335"/>
      <c r="L36" s="186"/>
      <c r="M36" s="186"/>
    </row>
    <row r="37" spans="1:13" s="398" customFormat="1" ht="17.25" customHeight="1">
      <c r="A37" s="358"/>
      <c r="B37" s="62" t="s">
        <v>20</v>
      </c>
      <c r="C37" s="33" t="s">
        <v>32</v>
      </c>
      <c r="D37" s="30" t="s">
        <v>29</v>
      </c>
      <c r="E37" s="30">
        <v>1</v>
      </c>
      <c r="F37" s="12">
        <f>F35*E37</f>
        <v>6.8309499999999996</v>
      </c>
      <c r="G37" s="12"/>
      <c r="H37" s="12"/>
      <c r="I37" s="12"/>
      <c r="J37" s="12"/>
      <c r="K37" s="12"/>
      <c r="L37" s="12"/>
      <c r="M37" s="12"/>
    </row>
    <row r="38" spans="1:13" s="398" customFormat="1" ht="17.25" customHeight="1">
      <c r="A38" s="358"/>
      <c r="B38" s="62" t="s">
        <v>56</v>
      </c>
      <c r="C38" s="33" t="s">
        <v>55</v>
      </c>
      <c r="D38" s="30" t="s">
        <v>27</v>
      </c>
      <c r="E38" s="30">
        <v>7.54</v>
      </c>
      <c r="F38" s="12">
        <f>F30*E38</f>
        <v>0.50744199999999995</v>
      </c>
      <c r="G38" s="12"/>
      <c r="H38" s="12"/>
      <c r="I38" s="12"/>
      <c r="J38" s="12"/>
      <c r="K38" s="12"/>
      <c r="L38" s="12"/>
      <c r="M38" s="12"/>
    </row>
    <row r="39" spans="1:13" s="398" customFormat="1" ht="17.25" customHeight="1">
      <c r="A39" s="358"/>
      <c r="B39" s="62" t="s">
        <v>58</v>
      </c>
      <c r="C39" s="33" t="s">
        <v>57</v>
      </c>
      <c r="D39" s="30" t="s">
        <v>30</v>
      </c>
      <c r="E39" s="30">
        <v>0.08</v>
      </c>
      <c r="F39" s="12">
        <f>F30*E39</f>
        <v>5.3839999999999999E-3</v>
      </c>
      <c r="G39" s="12"/>
      <c r="H39" s="12"/>
      <c r="I39" s="336"/>
      <c r="J39" s="12"/>
      <c r="K39" s="12"/>
      <c r="L39" s="12"/>
      <c r="M39" s="12"/>
    </row>
    <row r="40" spans="1:13" s="398" customFormat="1" ht="17.25" customHeight="1">
      <c r="A40" s="358"/>
      <c r="B40" s="62" t="s">
        <v>60</v>
      </c>
      <c r="C40" s="33" t="s">
        <v>59</v>
      </c>
      <c r="D40" s="30" t="s">
        <v>21</v>
      </c>
      <c r="E40" s="30"/>
      <c r="F40" s="12">
        <v>3</v>
      </c>
      <c r="G40" s="12"/>
      <c r="H40" s="12"/>
      <c r="I40" s="187"/>
      <c r="J40" s="12"/>
      <c r="K40" s="12"/>
      <c r="L40" s="12"/>
      <c r="M40" s="12"/>
    </row>
    <row r="41" spans="1:13" s="398" customFormat="1" ht="17.25" customHeight="1">
      <c r="A41" s="359"/>
      <c r="B41" s="62"/>
      <c r="C41" s="33" t="s">
        <v>19</v>
      </c>
      <c r="D41" s="30" t="s">
        <v>2</v>
      </c>
      <c r="E41" s="30">
        <v>7</v>
      </c>
      <c r="F41" s="12">
        <f>F30*E41</f>
        <v>0.47109999999999996</v>
      </c>
      <c r="G41" s="12"/>
      <c r="H41" s="12"/>
      <c r="I41" s="12"/>
      <c r="J41" s="12"/>
      <c r="K41" s="12"/>
      <c r="L41" s="12"/>
      <c r="M41" s="12"/>
    </row>
    <row r="42" spans="1:13" s="398" customFormat="1" ht="66.75" customHeight="1">
      <c r="A42" s="357">
        <v>7</v>
      </c>
      <c r="B42" s="62" t="s">
        <v>61</v>
      </c>
      <c r="C42" s="29" t="s">
        <v>538</v>
      </c>
      <c r="D42" s="17" t="s">
        <v>47</v>
      </c>
      <c r="E42" s="30"/>
      <c r="F42" s="28">
        <f>17.5/100</f>
        <v>0.17499999999999999</v>
      </c>
      <c r="G42" s="12"/>
      <c r="H42" s="12"/>
      <c r="I42" s="12"/>
      <c r="J42" s="12"/>
      <c r="K42" s="12"/>
      <c r="L42" s="12"/>
      <c r="M42" s="12"/>
    </row>
    <row r="43" spans="1:13" s="398" customFormat="1" ht="17.25" customHeight="1">
      <c r="A43" s="358"/>
      <c r="B43" s="62"/>
      <c r="C43" s="33" t="s">
        <v>16</v>
      </c>
      <c r="D43" s="30" t="s">
        <v>13</v>
      </c>
      <c r="E43" s="30">
        <v>844</v>
      </c>
      <c r="F43" s="12">
        <f>F42*E43</f>
        <v>147.69999999999999</v>
      </c>
      <c r="G43" s="12"/>
      <c r="H43" s="12"/>
      <c r="I43" s="12"/>
      <c r="J43" s="12"/>
      <c r="K43" s="12"/>
      <c r="L43" s="12"/>
      <c r="M43" s="12"/>
    </row>
    <row r="44" spans="1:13" s="398" customFormat="1" ht="17.25" customHeight="1">
      <c r="A44" s="358"/>
      <c r="B44" s="62"/>
      <c r="C44" s="33" t="s">
        <v>14</v>
      </c>
      <c r="D44" s="30" t="s">
        <v>2</v>
      </c>
      <c r="E44" s="30">
        <v>110</v>
      </c>
      <c r="F44" s="12">
        <f>F42*E44</f>
        <v>19.25</v>
      </c>
      <c r="G44" s="12"/>
      <c r="H44" s="12"/>
      <c r="I44" s="12"/>
      <c r="J44" s="12"/>
      <c r="K44" s="12"/>
      <c r="L44" s="12"/>
      <c r="M44" s="12"/>
    </row>
    <row r="45" spans="1:13" s="398" customFormat="1" ht="17.25" customHeight="1">
      <c r="A45" s="358"/>
      <c r="B45" s="62" t="s">
        <v>53</v>
      </c>
      <c r="C45" s="33" t="s">
        <v>535</v>
      </c>
      <c r="D45" s="30" t="s">
        <v>15</v>
      </c>
      <c r="E45" s="30" t="s">
        <v>62</v>
      </c>
      <c r="F45" s="12">
        <v>1.508</v>
      </c>
      <c r="G45" s="12"/>
      <c r="H45" s="12"/>
      <c r="I45" s="336"/>
      <c r="J45" s="12"/>
      <c r="K45" s="12"/>
      <c r="L45" s="12"/>
      <c r="M45" s="12"/>
    </row>
    <row r="46" spans="1:13" s="398" customFormat="1">
      <c r="A46" s="358"/>
      <c r="B46" s="390" t="s">
        <v>378</v>
      </c>
      <c r="C46" s="183" t="s">
        <v>537</v>
      </c>
      <c r="D46" s="184" t="s">
        <v>29</v>
      </c>
      <c r="E46" s="185">
        <v>101.5</v>
      </c>
      <c r="F46" s="186">
        <f>F42*E46</f>
        <v>17.762499999999999</v>
      </c>
      <c r="G46" s="186"/>
      <c r="H46" s="186"/>
      <c r="I46" s="186"/>
      <c r="J46" s="186"/>
      <c r="K46" s="186"/>
      <c r="L46" s="186"/>
      <c r="M46" s="186"/>
    </row>
    <row r="47" spans="1:13" s="398" customFormat="1" ht="13.5">
      <c r="A47" s="358"/>
      <c r="B47" s="390" t="s">
        <v>379</v>
      </c>
      <c r="C47" s="183" t="s">
        <v>380</v>
      </c>
      <c r="D47" s="184" t="s">
        <v>381</v>
      </c>
      <c r="E47" s="184">
        <v>2.4</v>
      </c>
      <c r="F47" s="186">
        <f>F46*E47</f>
        <v>42.629999999999995</v>
      </c>
      <c r="G47" s="186"/>
      <c r="H47" s="186"/>
      <c r="I47" s="186"/>
      <c r="J47" s="186"/>
      <c r="K47" s="335"/>
      <c r="L47" s="186"/>
      <c r="M47" s="186"/>
    </row>
    <row r="48" spans="1:13" s="398" customFormat="1" ht="17.25" customHeight="1">
      <c r="A48" s="358"/>
      <c r="B48" s="62" t="s">
        <v>20</v>
      </c>
      <c r="C48" s="33" t="s">
        <v>32</v>
      </c>
      <c r="D48" s="30" t="s">
        <v>29</v>
      </c>
      <c r="E48" s="30">
        <v>1</v>
      </c>
      <c r="F48" s="12">
        <f>F46*E48</f>
        <v>17.762499999999999</v>
      </c>
      <c r="G48" s="12"/>
      <c r="H48" s="12"/>
      <c r="I48" s="12"/>
      <c r="J48" s="12"/>
      <c r="K48" s="12"/>
      <c r="L48" s="12"/>
      <c r="M48" s="12"/>
    </row>
    <row r="49" spans="1:13" s="398" customFormat="1" ht="17.25" customHeight="1">
      <c r="A49" s="358"/>
      <c r="B49" s="62" t="s">
        <v>56</v>
      </c>
      <c r="C49" s="33" t="s">
        <v>63</v>
      </c>
      <c r="D49" s="30" t="s">
        <v>27</v>
      </c>
      <c r="E49" s="30">
        <v>184</v>
      </c>
      <c r="F49" s="12">
        <f>F42*E49</f>
        <v>32.199999999999996</v>
      </c>
      <c r="G49" s="12"/>
      <c r="H49" s="12"/>
      <c r="I49" s="12"/>
      <c r="J49" s="12"/>
      <c r="K49" s="12"/>
      <c r="L49" s="12"/>
      <c r="M49" s="12"/>
    </row>
    <row r="50" spans="1:13" s="398" customFormat="1" ht="17.25" customHeight="1">
      <c r="A50" s="358"/>
      <c r="B50" s="62" t="s">
        <v>65</v>
      </c>
      <c r="C50" s="33" t="s">
        <v>64</v>
      </c>
      <c r="D50" s="30" t="s">
        <v>30</v>
      </c>
      <c r="E50" s="30">
        <v>0.34</v>
      </c>
      <c r="F50" s="12">
        <f>F42*E50</f>
        <v>5.9499999999999997E-2</v>
      </c>
      <c r="G50" s="12"/>
      <c r="H50" s="12"/>
      <c r="I50" s="336"/>
      <c r="J50" s="12"/>
      <c r="K50" s="12"/>
      <c r="L50" s="12"/>
      <c r="M50" s="12"/>
    </row>
    <row r="51" spans="1:13" s="398" customFormat="1" ht="17.25" customHeight="1">
      <c r="A51" s="358"/>
      <c r="B51" s="62" t="s">
        <v>58</v>
      </c>
      <c r="C51" s="33" t="s">
        <v>57</v>
      </c>
      <c r="D51" s="30" t="s">
        <v>30</v>
      </c>
      <c r="E51" s="30">
        <v>3.91</v>
      </c>
      <c r="F51" s="12">
        <f>F42*E51</f>
        <v>0.68425000000000002</v>
      </c>
      <c r="G51" s="12"/>
      <c r="H51" s="12"/>
      <c r="I51" s="336"/>
      <c r="J51" s="12"/>
      <c r="K51" s="12"/>
      <c r="L51" s="12"/>
      <c r="M51" s="12"/>
    </row>
    <row r="52" spans="1:13" s="398" customFormat="1" ht="17.25" customHeight="1">
      <c r="A52" s="358"/>
      <c r="B52" s="62" t="s">
        <v>18</v>
      </c>
      <c r="C52" s="33" t="s">
        <v>67</v>
      </c>
      <c r="D52" s="30" t="s">
        <v>15</v>
      </c>
      <c r="E52" s="30">
        <v>0.22</v>
      </c>
      <c r="F52" s="12">
        <f>F42*E52</f>
        <v>3.85E-2</v>
      </c>
      <c r="G52" s="12"/>
      <c r="H52" s="12"/>
      <c r="I52" s="27"/>
      <c r="J52" s="12"/>
      <c r="K52" s="12"/>
      <c r="L52" s="12"/>
      <c r="M52" s="12"/>
    </row>
    <row r="53" spans="1:13" s="398" customFormat="1" ht="17.25" customHeight="1">
      <c r="A53" s="358"/>
      <c r="B53" s="62" t="s">
        <v>68</v>
      </c>
      <c r="C53" s="33" t="s">
        <v>66</v>
      </c>
      <c r="D53" s="30" t="s">
        <v>15</v>
      </c>
      <c r="E53" s="30">
        <v>0.1</v>
      </c>
      <c r="F53" s="12">
        <f>F42*E53</f>
        <v>1.7499999999999998E-2</v>
      </c>
      <c r="G53" s="12"/>
      <c r="H53" s="12"/>
      <c r="I53" s="27"/>
      <c r="J53" s="12"/>
      <c r="K53" s="12"/>
      <c r="L53" s="12"/>
      <c r="M53" s="12"/>
    </row>
    <row r="54" spans="1:13" s="398" customFormat="1" ht="15.75" customHeight="1">
      <c r="A54" s="358"/>
      <c r="B54" s="62" t="s">
        <v>20</v>
      </c>
      <c r="C54" s="33" t="s">
        <v>80</v>
      </c>
      <c r="D54" s="30" t="s">
        <v>72</v>
      </c>
      <c r="E54" s="30"/>
      <c r="F54" s="38">
        <v>2</v>
      </c>
      <c r="G54" s="12"/>
      <c r="H54" s="12"/>
      <c r="I54" s="27"/>
      <c r="J54" s="12"/>
      <c r="K54" s="12"/>
      <c r="L54" s="12"/>
      <c r="M54" s="12"/>
    </row>
    <row r="55" spans="1:13" s="398" customFormat="1" ht="27">
      <c r="A55" s="358"/>
      <c r="B55" s="62" t="s">
        <v>20</v>
      </c>
      <c r="C55" s="33" t="s">
        <v>79</v>
      </c>
      <c r="D55" s="30" t="s">
        <v>72</v>
      </c>
      <c r="E55" s="30"/>
      <c r="F55" s="38">
        <v>2</v>
      </c>
      <c r="G55" s="12"/>
      <c r="H55" s="12"/>
      <c r="I55" s="27"/>
      <c r="J55" s="12"/>
      <c r="K55" s="12"/>
      <c r="L55" s="12"/>
      <c r="M55" s="12"/>
    </row>
    <row r="56" spans="1:13" s="398" customFormat="1" ht="15" customHeight="1">
      <c r="A56" s="359"/>
      <c r="B56" s="62"/>
      <c r="C56" s="33" t="s">
        <v>19</v>
      </c>
      <c r="D56" s="30" t="s">
        <v>2</v>
      </c>
      <c r="E56" s="30">
        <v>46</v>
      </c>
      <c r="F56" s="12">
        <f>F42*E56</f>
        <v>8.0499999999999989</v>
      </c>
      <c r="G56" s="12"/>
      <c r="H56" s="12"/>
      <c r="I56" s="12"/>
      <c r="J56" s="12"/>
      <c r="K56" s="12"/>
      <c r="L56" s="12"/>
      <c r="M56" s="12"/>
    </row>
    <row r="57" spans="1:13" s="398" customFormat="1" ht="40.5">
      <c r="A57" s="357">
        <v>8</v>
      </c>
      <c r="B57" s="62" t="s">
        <v>69</v>
      </c>
      <c r="C57" s="29" t="s">
        <v>539</v>
      </c>
      <c r="D57" s="17" t="s">
        <v>47</v>
      </c>
      <c r="E57" s="30"/>
      <c r="F57" s="28">
        <f>7/100</f>
        <v>7.0000000000000007E-2</v>
      </c>
      <c r="G57" s="12"/>
      <c r="H57" s="12"/>
      <c r="I57" s="12"/>
      <c r="J57" s="12"/>
      <c r="K57" s="12"/>
      <c r="L57" s="12"/>
      <c r="M57" s="12"/>
    </row>
    <row r="58" spans="1:13" s="398" customFormat="1" ht="17.25" customHeight="1">
      <c r="A58" s="358"/>
      <c r="B58" s="62"/>
      <c r="C58" s="33" t="s">
        <v>16</v>
      </c>
      <c r="D58" s="30" t="s">
        <v>13</v>
      </c>
      <c r="E58" s="30">
        <v>591</v>
      </c>
      <c r="F58" s="12">
        <f>F57*E58</f>
        <v>41.370000000000005</v>
      </c>
      <c r="G58" s="12"/>
      <c r="H58" s="12"/>
      <c r="I58" s="12"/>
      <c r="J58" s="12"/>
      <c r="K58" s="12"/>
      <c r="L58" s="12"/>
      <c r="M58" s="12"/>
    </row>
    <row r="59" spans="1:13" s="398" customFormat="1" ht="17.25" customHeight="1">
      <c r="A59" s="358"/>
      <c r="B59" s="62"/>
      <c r="C59" s="33" t="s">
        <v>14</v>
      </c>
      <c r="D59" s="30" t="s">
        <v>2</v>
      </c>
      <c r="E59" s="30">
        <v>73</v>
      </c>
      <c r="F59" s="12">
        <f>F57*E59</f>
        <v>5.1100000000000003</v>
      </c>
      <c r="G59" s="12"/>
      <c r="H59" s="12"/>
      <c r="I59" s="12"/>
      <c r="J59" s="12"/>
      <c r="K59" s="12"/>
      <c r="L59" s="12"/>
      <c r="M59" s="12"/>
    </row>
    <row r="60" spans="1:13" s="398" customFormat="1" ht="17.25" customHeight="1">
      <c r="A60" s="358"/>
      <c r="B60" s="62" t="s">
        <v>53</v>
      </c>
      <c r="C60" s="33" t="s">
        <v>535</v>
      </c>
      <c r="D60" s="30" t="s">
        <v>15</v>
      </c>
      <c r="E60" s="30" t="s">
        <v>62</v>
      </c>
      <c r="F60" s="35">
        <v>0.53700000000000003</v>
      </c>
      <c r="G60" s="12"/>
      <c r="H60" s="12"/>
      <c r="I60" s="187"/>
      <c r="J60" s="12"/>
      <c r="K60" s="12"/>
      <c r="L60" s="12"/>
      <c r="M60" s="12"/>
    </row>
    <row r="61" spans="1:13" s="398" customFormat="1" ht="27.75" customHeight="1">
      <c r="A61" s="358"/>
      <c r="B61" s="62" t="s">
        <v>73</v>
      </c>
      <c r="C61" s="33" t="s">
        <v>74</v>
      </c>
      <c r="D61" s="30" t="s">
        <v>72</v>
      </c>
      <c r="E61" s="36" t="s">
        <v>62</v>
      </c>
      <c r="F61" s="38">
        <v>3</v>
      </c>
      <c r="G61" s="12"/>
      <c r="H61" s="12"/>
      <c r="I61" s="12"/>
      <c r="J61" s="12"/>
      <c r="K61" s="12"/>
      <c r="L61" s="12"/>
      <c r="M61" s="12"/>
    </row>
    <row r="62" spans="1:13" s="398" customFormat="1" ht="16.5" customHeight="1">
      <c r="A62" s="358"/>
      <c r="B62" s="62" t="s">
        <v>89</v>
      </c>
      <c r="C62" s="33" t="s">
        <v>88</v>
      </c>
      <c r="D62" s="30" t="s">
        <v>31</v>
      </c>
      <c r="E62" s="36" t="s">
        <v>62</v>
      </c>
      <c r="F62" s="27">
        <v>3</v>
      </c>
      <c r="G62" s="12"/>
      <c r="H62" s="12"/>
      <c r="I62" s="12"/>
      <c r="J62" s="12"/>
      <c r="K62" s="12"/>
      <c r="L62" s="12"/>
      <c r="M62" s="12"/>
    </row>
    <row r="63" spans="1:13" s="398" customFormat="1" ht="16.5" customHeight="1">
      <c r="A63" s="358"/>
      <c r="B63" s="62" t="s">
        <v>117</v>
      </c>
      <c r="C63" s="33" t="s">
        <v>90</v>
      </c>
      <c r="D63" s="30" t="s">
        <v>72</v>
      </c>
      <c r="E63" s="36" t="s">
        <v>62</v>
      </c>
      <c r="F63" s="27">
        <v>1</v>
      </c>
      <c r="G63" s="12"/>
      <c r="H63" s="12"/>
      <c r="I63" s="12"/>
      <c r="J63" s="12"/>
      <c r="K63" s="12"/>
      <c r="L63" s="12"/>
      <c r="M63" s="12"/>
    </row>
    <row r="64" spans="1:13" s="398" customFormat="1">
      <c r="A64" s="358"/>
      <c r="B64" s="390" t="s">
        <v>378</v>
      </c>
      <c r="C64" s="183" t="s">
        <v>537</v>
      </c>
      <c r="D64" s="184" t="s">
        <v>29</v>
      </c>
      <c r="E64" s="185">
        <v>101.5</v>
      </c>
      <c r="F64" s="186">
        <f>F57*E64</f>
        <v>7.1050000000000004</v>
      </c>
      <c r="G64" s="186"/>
      <c r="H64" s="186"/>
      <c r="I64" s="186"/>
      <c r="J64" s="186"/>
      <c r="K64" s="186"/>
      <c r="L64" s="186"/>
      <c r="M64" s="186"/>
    </row>
    <row r="65" spans="1:13" s="398" customFormat="1" ht="13.5">
      <c r="A65" s="358"/>
      <c r="B65" s="390" t="s">
        <v>379</v>
      </c>
      <c r="C65" s="183" t="s">
        <v>380</v>
      </c>
      <c r="D65" s="184" t="s">
        <v>381</v>
      </c>
      <c r="E65" s="184">
        <v>2.4</v>
      </c>
      <c r="F65" s="186">
        <f>F64*E65</f>
        <v>17.052</v>
      </c>
      <c r="G65" s="186"/>
      <c r="H65" s="186"/>
      <c r="I65" s="186"/>
      <c r="J65" s="186"/>
      <c r="K65" s="335"/>
      <c r="L65" s="186"/>
      <c r="M65" s="186"/>
    </row>
    <row r="66" spans="1:13" s="398" customFormat="1" ht="17.25" customHeight="1">
      <c r="A66" s="358"/>
      <c r="B66" s="62" t="s">
        <v>20</v>
      </c>
      <c r="C66" s="33" t="s">
        <v>32</v>
      </c>
      <c r="D66" s="30" t="s">
        <v>29</v>
      </c>
      <c r="E66" s="30">
        <v>1</v>
      </c>
      <c r="F66" s="12">
        <f>F64*E66</f>
        <v>7.1050000000000004</v>
      </c>
      <c r="G66" s="12"/>
      <c r="H66" s="12"/>
      <c r="I66" s="12"/>
      <c r="J66" s="12"/>
      <c r="K66" s="12"/>
      <c r="L66" s="12"/>
      <c r="M66" s="12"/>
    </row>
    <row r="67" spans="1:13" s="398" customFormat="1" ht="14.25" customHeight="1">
      <c r="A67" s="358"/>
      <c r="B67" s="62" t="s">
        <v>56</v>
      </c>
      <c r="C67" s="33" t="s">
        <v>63</v>
      </c>
      <c r="D67" s="30" t="s">
        <v>27</v>
      </c>
      <c r="E67" s="30">
        <v>83</v>
      </c>
      <c r="F67" s="12">
        <f>F57*E67</f>
        <v>5.8100000000000005</v>
      </c>
      <c r="G67" s="12"/>
      <c r="H67" s="12"/>
      <c r="I67" s="12"/>
      <c r="J67" s="12"/>
      <c r="K67" s="12"/>
      <c r="L67" s="12"/>
      <c r="M67" s="12"/>
    </row>
    <row r="68" spans="1:13" s="398" customFormat="1" ht="17.25" customHeight="1">
      <c r="A68" s="358"/>
      <c r="B68" s="62"/>
      <c r="C68" s="33" t="s">
        <v>71</v>
      </c>
      <c r="D68" s="30" t="s">
        <v>30</v>
      </c>
      <c r="E68" s="30">
        <v>0.5</v>
      </c>
      <c r="F68" s="12">
        <f>F57*E68</f>
        <v>3.5000000000000003E-2</v>
      </c>
      <c r="G68" s="12"/>
      <c r="H68" s="12"/>
      <c r="I68" s="27"/>
      <c r="J68" s="12"/>
      <c r="K68" s="12"/>
      <c r="L68" s="12"/>
      <c r="M68" s="12"/>
    </row>
    <row r="69" spans="1:13" s="398" customFormat="1" ht="17.25" customHeight="1">
      <c r="A69" s="358"/>
      <c r="B69" s="62" t="s">
        <v>58</v>
      </c>
      <c r="C69" s="33" t="s">
        <v>70</v>
      </c>
      <c r="D69" s="30" t="s">
        <v>30</v>
      </c>
      <c r="E69" s="30">
        <v>1.51</v>
      </c>
      <c r="F69" s="12">
        <f>F57*E69</f>
        <v>0.10570000000000002</v>
      </c>
      <c r="G69" s="12"/>
      <c r="H69" s="12"/>
      <c r="I69" s="336"/>
      <c r="J69" s="12"/>
      <c r="K69" s="12"/>
      <c r="L69" s="12"/>
      <c r="M69" s="12"/>
    </row>
    <row r="70" spans="1:13" s="398" customFormat="1" ht="17.25" customHeight="1">
      <c r="A70" s="358"/>
      <c r="B70" s="62" t="s">
        <v>58</v>
      </c>
      <c r="C70" s="33" t="s">
        <v>57</v>
      </c>
      <c r="D70" s="30" t="s">
        <v>30</v>
      </c>
      <c r="E70" s="30">
        <v>0.16</v>
      </c>
      <c r="F70" s="12">
        <f>E70*F57</f>
        <v>1.1200000000000002E-2</v>
      </c>
      <c r="G70" s="12"/>
      <c r="H70" s="12"/>
      <c r="I70" s="336"/>
      <c r="J70" s="12"/>
      <c r="K70" s="12"/>
      <c r="L70" s="12"/>
      <c r="M70" s="12"/>
    </row>
    <row r="71" spans="1:13" s="398" customFormat="1" ht="17.25" customHeight="1">
      <c r="A71" s="359"/>
      <c r="B71" s="62"/>
      <c r="C71" s="33" t="s">
        <v>19</v>
      </c>
      <c r="D71" s="30" t="s">
        <v>2</v>
      </c>
      <c r="E71" s="30">
        <v>25</v>
      </c>
      <c r="F71" s="12">
        <f>F57*E71</f>
        <v>1.7500000000000002</v>
      </c>
      <c r="G71" s="12"/>
      <c r="H71" s="12"/>
      <c r="I71" s="12"/>
      <c r="J71" s="12"/>
      <c r="K71" s="12"/>
      <c r="L71" s="12"/>
      <c r="M71" s="12"/>
    </row>
    <row r="72" spans="1:13" s="398" customFormat="1" ht="29.25" customHeight="1">
      <c r="A72" s="357">
        <v>9</v>
      </c>
      <c r="B72" s="62" t="s">
        <v>76</v>
      </c>
      <c r="C72" s="29" t="s">
        <v>75</v>
      </c>
      <c r="D72" s="17" t="s">
        <v>25</v>
      </c>
      <c r="E72" s="37"/>
      <c r="F72" s="28">
        <f>55/1000</f>
        <v>5.5E-2</v>
      </c>
      <c r="G72" s="11"/>
      <c r="H72" s="11"/>
      <c r="I72" s="11"/>
      <c r="J72" s="11"/>
      <c r="K72" s="11"/>
      <c r="L72" s="11"/>
      <c r="M72" s="11"/>
    </row>
    <row r="73" spans="1:13" s="398" customFormat="1" ht="17.25" customHeight="1">
      <c r="A73" s="358"/>
      <c r="B73" s="62"/>
      <c r="C73" s="33" t="s">
        <v>16</v>
      </c>
      <c r="D73" s="30" t="s">
        <v>13</v>
      </c>
      <c r="E73" s="30">
        <v>213</v>
      </c>
      <c r="F73" s="12">
        <f>F72*E73</f>
        <v>11.715</v>
      </c>
      <c r="G73" s="12"/>
      <c r="H73" s="12"/>
      <c r="I73" s="12"/>
      <c r="J73" s="12"/>
      <c r="K73" s="12"/>
      <c r="L73" s="12"/>
      <c r="M73" s="12"/>
    </row>
    <row r="74" spans="1:13" s="398" customFormat="1" ht="17.25" customHeight="1">
      <c r="A74" s="358"/>
      <c r="B74" s="62"/>
      <c r="C74" s="33" t="s">
        <v>14</v>
      </c>
      <c r="D74" s="30" t="s">
        <v>2</v>
      </c>
      <c r="E74" s="30">
        <v>69.8</v>
      </c>
      <c r="F74" s="12">
        <f>F72*E74</f>
        <v>3.839</v>
      </c>
      <c r="G74" s="12"/>
      <c r="H74" s="12"/>
      <c r="I74" s="12"/>
      <c r="J74" s="12"/>
      <c r="K74" s="12"/>
      <c r="L74" s="12"/>
      <c r="M74" s="12"/>
    </row>
    <row r="75" spans="1:13" s="398" customFormat="1" ht="17.25" customHeight="1">
      <c r="A75" s="359"/>
      <c r="B75" s="62" t="s">
        <v>78</v>
      </c>
      <c r="C75" s="33" t="s">
        <v>77</v>
      </c>
      <c r="D75" s="30" t="s">
        <v>15</v>
      </c>
      <c r="E75" s="30">
        <v>2.65</v>
      </c>
      <c r="F75" s="12">
        <f>F72*E75</f>
        <v>0.14574999999999999</v>
      </c>
      <c r="G75" s="12"/>
      <c r="H75" s="12"/>
      <c r="I75" s="27"/>
      <c r="J75" s="12"/>
      <c r="K75" s="12"/>
      <c r="L75" s="12"/>
      <c r="M75" s="12"/>
    </row>
    <row r="76" spans="1:13" s="398" customFormat="1" ht="30" customHeight="1">
      <c r="A76" s="357">
        <v>10</v>
      </c>
      <c r="B76" s="62" t="s">
        <v>82</v>
      </c>
      <c r="C76" s="29" t="s">
        <v>84</v>
      </c>
      <c r="D76" s="17" t="s">
        <v>47</v>
      </c>
      <c r="E76" s="37"/>
      <c r="F76" s="11">
        <f>33/100</f>
        <v>0.33</v>
      </c>
      <c r="G76" s="11"/>
      <c r="H76" s="11"/>
      <c r="I76" s="11"/>
      <c r="J76" s="11"/>
      <c r="K76" s="11"/>
      <c r="L76" s="11"/>
      <c r="M76" s="11"/>
    </row>
    <row r="77" spans="1:13" s="398" customFormat="1" ht="17.25" customHeight="1">
      <c r="A77" s="358"/>
      <c r="B77" s="62"/>
      <c r="C77" s="33" t="s">
        <v>16</v>
      </c>
      <c r="D77" s="30" t="s">
        <v>13</v>
      </c>
      <c r="E77" s="30">
        <v>121</v>
      </c>
      <c r="F77" s="12">
        <f>F76*E77</f>
        <v>39.93</v>
      </c>
      <c r="G77" s="187"/>
      <c r="H77" s="12"/>
      <c r="I77" s="12"/>
      <c r="J77" s="12"/>
      <c r="K77" s="12"/>
      <c r="L77" s="12"/>
      <c r="M77" s="12"/>
    </row>
    <row r="78" spans="1:13" s="398" customFormat="1" ht="17.25" customHeight="1">
      <c r="A78" s="358"/>
      <c r="B78" s="62" t="s">
        <v>20</v>
      </c>
      <c r="C78" s="33" t="s">
        <v>83</v>
      </c>
      <c r="D78" s="30" t="s">
        <v>30</v>
      </c>
      <c r="E78" s="30">
        <v>120</v>
      </c>
      <c r="F78" s="12">
        <f>F76*E78</f>
        <v>39.6</v>
      </c>
      <c r="G78" s="12"/>
      <c r="H78" s="12"/>
      <c r="I78" s="12"/>
      <c r="J78" s="12"/>
      <c r="K78" s="12"/>
      <c r="L78" s="12"/>
      <c r="M78" s="12"/>
    </row>
    <row r="79" spans="1:13" s="398" customFormat="1" ht="17.25" customHeight="1">
      <c r="A79" s="359"/>
      <c r="B79" s="62" t="s">
        <v>86</v>
      </c>
      <c r="C79" s="33" t="s">
        <v>85</v>
      </c>
      <c r="D79" s="30" t="s">
        <v>15</v>
      </c>
      <c r="E79" s="30">
        <v>1.6</v>
      </c>
      <c r="F79" s="12">
        <f>F78*E79</f>
        <v>63.360000000000007</v>
      </c>
      <c r="G79" s="12"/>
      <c r="H79" s="12"/>
      <c r="I79" s="12"/>
      <c r="J79" s="12"/>
      <c r="K79" s="187"/>
      <c r="L79" s="12"/>
      <c r="M79" s="12"/>
    </row>
    <row r="80" spans="1:13">
      <c r="A80" s="26"/>
      <c r="B80" s="391"/>
      <c r="C80" s="25" t="s">
        <v>10</v>
      </c>
      <c r="D80" s="13"/>
      <c r="E80" s="14"/>
      <c r="F80" s="11"/>
      <c r="G80" s="11"/>
      <c r="H80" s="163"/>
      <c r="I80" s="11"/>
      <c r="J80" s="163"/>
      <c r="K80" s="11"/>
      <c r="L80" s="163"/>
      <c r="M80" s="163"/>
    </row>
    <row r="81" spans="1:13" ht="31.5" customHeight="1">
      <c r="A81" s="26"/>
      <c r="B81" s="391"/>
      <c r="C81" s="13" t="s">
        <v>87</v>
      </c>
      <c r="D81" s="39"/>
      <c r="E81" s="14"/>
      <c r="F81" s="11"/>
      <c r="G81" s="11"/>
      <c r="H81" s="11"/>
      <c r="I81" s="11"/>
      <c r="J81" s="12"/>
      <c r="K81" s="11"/>
      <c r="L81" s="11"/>
      <c r="M81" s="11"/>
    </row>
    <row r="82" spans="1:13" ht="18.75" customHeight="1">
      <c r="A82" s="26"/>
      <c r="B82" s="391"/>
      <c r="C82" s="13" t="s">
        <v>10</v>
      </c>
      <c r="D82" s="13"/>
      <c r="E82" s="14"/>
      <c r="F82" s="11"/>
      <c r="G82" s="11"/>
      <c r="H82" s="11"/>
      <c r="I82" s="11"/>
      <c r="J82" s="11"/>
      <c r="K82" s="11"/>
      <c r="L82" s="11"/>
      <c r="M82" s="11"/>
    </row>
    <row r="83" spans="1:13" ht="19.5" customHeight="1">
      <c r="A83" s="26"/>
      <c r="B83" s="391"/>
      <c r="C83" s="13" t="s">
        <v>17</v>
      </c>
      <c r="D83" s="392"/>
      <c r="E83" s="15"/>
      <c r="F83" s="16"/>
      <c r="G83" s="16"/>
      <c r="H83" s="16"/>
      <c r="I83" s="16"/>
      <c r="J83" s="16"/>
      <c r="K83" s="16"/>
      <c r="L83" s="16"/>
      <c r="M83" s="16"/>
    </row>
    <row r="84" spans="1:13" ht="16.5" customHeight="1">
      <c r="A84" s="26"/>
      <c r="B84" s="391"/>
      <c r="C84" s="13" t="s">
        <v>10</v>
      </c>
      <c r="D84" s="393"/>
      <c r="E84" s="15"/>
      <c r="F84" s="16"/>
      <c r="G84" s="16"/>
      <c r="H84" s="16"/>
      <c r="I84" s="16"/>
      <c r="J84" s="16"/>
      <c r="K84" s="16"/>
      <c r="L84" s="16"/>
      <c r="M84" s="16"/>
    </row>
    <row r="85" spans="1:13" ht="19.5" customHeight="1">
      <c r="A85" s="26"/>
      <c r="B85" s="391"/>
      <c r="C85" s="13" t="s">
        <v>157</v>
      </c>
      <c r="D85" s="392"/>
      <c r="E85" s="15"/>
      <c r="F85" s="16"/>
      <c r="G85" s="16"/>
      <c r="H85" s="16"/>
      <c r="I85" s="16"/>
      <c r="J85" s="16"/>
      <c r="K85" s="16"/>
      <c r="L85" s="16"/>
      <c r="M85" s="16"/>
    </row>
    <row r="86" spans="1:13" ht="18" customHeight="1">
      <c r="A86" s="26"/>
      <c r="B86" s="391"/>
      <c r="C86" s="177" t="s">
        <v>10</v>
      </c>
      <c r="D86" s="393"/>
      <c r="E86" s="15"/>
      <c r="F86" s="16"/>
      <c r="G86" s="16"/>
      <c r="H86" s="16"/>
      <c r="I86" s="16"/>
      <c r="J86" s="16"/>
      <c r="K86" s="16"/>
      <c r="L86" s="16"/>
      <c r="M86" s="178"/>
    </row>
    <row r="87" spans="1:13" ht="29.25" customHeight="1">
      <c r="A87" s="23"/>
      <c r="B87" s="394"/>
      <c r="C87" s="4" t="s">
        <v>23</v>
      </c>
      <c r="D87" s="6">
        <v>0.02</v>
      </c>
      <c r="E87" s="18"/>
      <c r="F87" s="18"/>
      <c r="G87" s="18"/>
      <c r="H87" s="7"/>
      <c r="I87" s="7"/>
      <c r="J87" s="7"/>
      <c r="K87" s="7"/>
      <c r="L87" s="7"/>
      <c r="M87" s="7"/>
    </row>
    <row r="88" spans="1:13" ht="18" customHeight="1">
      <c r="A88" s="23"/>
      <c r="B88" s="394"/>
      <c r="C88" s="164" t="s">
        <v>10</v>
      </c>
      <c r="D88" s="6"/>
      <c r="E88" s="18"/>
      <c r="F88" s="18"/>
      <c r="G88" s="18"/>
      <c r="H88" s="7"/>
      <c r="I88" s="7"/>
      <c r="J88" s="7"/>
      <c r="K88" s="7"/>
      <c r="L88" s="7"/>
      <c r="M88" s="162"/>
    </row>
    <row r="89" spans="1:13">
      <c r="A89" s="24"/>
      <c r="B89" s="395"/>
      <c r="C89" s="19"/>
      <c r="D89" s="20"/>
      <c r="E89" s="21"/>
      <c r="F89" s="21"/>
      <c r="G89" s="21"/>
      <c r="H89" s="22"/>
      <c r="I89" s="22"/>
      <c r="J89" s="22"/>
      <c r="K89" s="22"/>
      <c r="L89" s="22"/>
      <c r="M89" s="22"/>
    </row>
    <row r="91" spans="1:13">
      <c r="A91" s="515" t="s">
        <v>294</v>
      </c>
      <c r="B91" s="515"/>
      <c r="C91" s="515"/>
      <c r="D91" s="515"/>
      <c r="E91" s="515"/>
      <c r="F91" s="515"/>
      <c r="G91" s="515"/>
      <c r="H91" s="515"/>
      <c r="I91" s="515"/>
      <c r="J91" s="515"/>
      <c r="K91" s="515"/>
      <c r="L91" s="515"/>
      <c r="M91" s="515"/>
    </row>
    <row r="92" spans="1:13">
      <c r="A92" s="515"/>
      <c r="B92" s="515"/>
      <c r="C92" s="515"/>
      <c r="D92" s="515"/>
      <c r="E92" s="515"/>
      <c r="F92" s="515"/>
      <c r="G92" s="515"/>
      <c r="H92" s="515"/>
      <c r="I92" s="515"/>
      <c r="J92" s="515"/>
      <c r="K92" s="515"/>
      <c r="L92" s="515"/>
      <c r="M92" s="515"/>
    </row>
    <row r="93" spans="1:13">
      <c r="A93" s="515" t="s">
        <v>295</v>
      </c>
      <c r="B93" s="515"/>
      <c r="C93" s="515"/>
      <c r="D93" s="515"/>
      <c r="E93" s="515"/>
      <c r="F93" s="515"/>
      <c r="G93" s="515"/>
      <c r="H93" s="515"/>
      <c r="I93" s="515"/>
      <c r="J93" s="515"/>
      <c r="K93" s="515"/>
      <c r="L93" s="515"/>
      <c r="M93" s="515"/>
    </row>
  </sheetData>
  <mergeCells count="18">
    <mergeCell ref="A1:M1"/>
    <mergeCell ref="A2:M2"/>
    <mergeCell ref="A3:M3"/>
    <mergeCell ref="F4:K4"/>
    <mergeCell ref="A5:M5"/>
    <mergeCell ref="G7:H7"/>
    <mergeCell ref="I7:J7"/>
    <mergeCell ref="A91:M91"/>
    <mergeCell ref="A92:M92"/>
    <mergeCell ref="A93:M93"/>
    <mergeCell ref="K7:L7"/>
    <mergeCell ref="M7:M8"/>
    <mergeCell ref="A6:A8"/>
    <mergeCell ref="B6:B8"/>
    <mergeCell ref="C6:C8"/>
    <mergeCell ref="D6:D8"/>
    <mergeCell ref="E6:F7"/>
    <mergeCell ref="G6:M6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P277"/>
  <sheetViews>
    <sheetView topLeftCell="A261" workbookViewId="0">
      <selection activeCell="D269" sqref="D269"/>
    </sheetView>
  </sheetViews>
  <sheetFormatPr defaultRowHeight="15.75"/>
  <cols>
    <col min="1" max="1" width="2.85546875" style="386" customWidth="1"/>
    <col min="2" max="2" width="11.28515625" style="386" customWidth="1"/>
    <col min="3" max="3" width="42.140625" style="386" customWidth="1"/>
    <col min="4" max="4" width="8.140625" style="386" customWidth="1"/>
    <col min="5" max="5" width="7.85546875" style="386" customWidth="1"/>
    <col min="6" max="6" width="8.85546875" style="386" customWidth="1"/>
    <col min="7" max="7" width="7.5703125" style="386" customWidth="1"/>
    <col min="8" max="8" width="8.42578125" style="386" customWidth="1"/>
    <col min="9" max="9" width="8" style="386" customWidth="1"/>
    <col min="10" max="10" width="9" style="386" customWidth="1"/>
    <col min="11" max="16384" width="9.140625" style="386"/>
  </cols>
  <sheetData>
    <row r="1" spans="1:13" ht="21.75" customHeight="1">
      <c r="A1" s="534" t="s">
        <v>386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</row>
    <row r="2" spans="1:13" ht="16.5" customHeight="1">
      <c r="A2" s="535" t="s">
        <v>387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</row>
    <row r="3" spans="1:13" ht="18.75" customHeight="1">
      <c r="A3" s="536" t="s">
        <v>203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</row>
    <row r="4" spans="1:13">
      <c r="A4" s="221"/>
      <c r="B4" s="351"/>
      <c r="C4" s="221"/>
      <c r="D4" s="221"/>
      <c r="E4" s="221"/>
      <c r="F4" s="536" t="s">
        <v>1</v>
      </c>
      <c r="G4" s="536"/>
      <c r="H4" s="536"/>
      <c r="I4" s="536"/>
      <c r="J4" s="536"/>
      <c r="K4" s="536"/>
      <c r="L4" s="223">
        <f>M272/1000</f>
        <v>0</v>
      </c>
      <c r="M4" s="224" t="s">
        <v>91</v>
      </c>
    </row>
    <row r="5" spans="1:13" ht="23.25" customHeight="1">
      <c r="A5" s="536" t="s">
        <v>523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</row>
    <row r="6" spans="1:13" ht="18.75" customHeight="1">
      <c r="A6" s="538" t="s">
        <v>3</v>
      </c>
      <c r="B6" s="549" t="s">
        <v>36</v>
      </c>
      <c r="C6" s="547" t="s">
        <v>4</v>
      </c>
      <c r="D6" s="538" t="s">
        <v>5</v>
      </c>
      <c r="E6" s="558" t="s">
        <v>6</v>
      </c>
      <c r="F6" s="559"/>
      <c r="G6" s="541" t="s">
        <v>440</v>
      </c>
      <c r="H6" s="542"/>
      <c r="I6" s="542"/>
      <c r="J6" s="542"/>
      <c r="K6" s="542"/>
      <c r="L6" s="542"/>
      <c r="M6" s="543"/>
    </row>
    <row r="7" spans="1:13" ht="33.75" customHeight="1">
      <c r="A7" s="539"/>
      <c r="B7" s="550"/>
      <c r="C7" s="552"/>
      <c r="D7" s="539"/>
      <c r="E7" s="560"/>
      <c r="F7" s="561"/>
      <c r="G7" s="544" t="s">
        <v>8</v>
      </c>
      <c r="H7" s="543"/>
      <c r="I7" s="544" t="s">
        <v>9</v>
      </c>
      <c r="J7" s="543"/>
      <c r="K7" s="545" t="s">
        <v>38</v>
      </c>
      <c r="L7" s="546"/>
      <c r="M7" s="547" t="s">
        <v>10</v>
      </c>
    </row>
    <row r="8" spans="1:13" ht="21" customHeight="1">
      <c r="A8" s="540"/>
      <c r="B8" s="551"/>
      <c r="C8" s="548"/>
      <c r="D8" s="540"/>
      <c r="E8" s="352" t="s">
        <v>37</v>
      </c>
      <c r="F8" s="353" t="s">
        <v>11</v>
      </c>
      <c r="G8" s="352" t="s">
        <v>37</v>
      </c>
      <c r="H8" s="353" t="s">
        <v>11</v>
      </c>
      <c r="I8" s="352" t="s">
        <v>37</v>
      </c>
      <c r="J8" s="353" t="s">
        <v>11</v>
      </c>
      <c r="K8" s="352" t="s">
        <v>37</v>
      </c>
      <c r="L8" s="353" t="s">
        <v>11</v>
      </c>
      <c r="M8" s="548"/>
    </row>
    <row r="9" spans="1:13">
      <c r="A9" s="353">
        <v>1</v>
      </c>
      <c r="B9" s="354">
        <v>2</v>
      </c>
      <c r="C9" s="353">
        <v>3</v>
      </c>
      <c r="D9" s="354">
        <v>4</v>
      </c>
      <c r="E9" s="353">
        <v>5</v>
      </c>
      <c r="F9" s="354">
        <v>6</v>
      </c>
      <c r="G9" s="353">
        <v>7</v>
      </c>
      <c r="H9" s="354">
        <v>8</v>
      </c>
      <c r="I9" s="353">
        <v>9</v>
      </c>
      <c r="J9" s="354">
        <v>10</v>
      </c>
      <c r="K9" s="353">
        <v>11</v>
      </c>
      <c r="L9" s="354">
        <v>12</v>
      </c>
      <c r="M9" s="353">
        <v>13</v>
      </c>
    </row>
    <row r="10" spans="1:13" ht="18" customHeight="1">
      <c r="A10" s="353"/>
      <c r="B10" s="354"/>
      <c r="C10" s="226" t="s">
        <v>437</v>
      </c>
      <c r="D10" s="354"/>
      <c r="E10" s="353"/>
      <c r="F10" s="354"/>
      <c r="G10" s="353"/>
      <c r="H10" s="354"/>
      <c r="I10" s="353"/>
      <c r="J10" s="354"/>
      <c r="K10" s="353"/>
      <c r="L10" s="354"/>
      <c r="M10" s="353"/>
    </row>
    <row r="11" spans="1:13" ht="29.25" customHeight="1">
      <c r="A11" s="354">
        <v>1</v>
      </c>
      <c r="B11" s="397" t="s">
        <v>342</v>
      </c>
      <c r="C11" s="44" t="s">
        <v>518</v>
      </c>
      <c r="D11" s="45" t="s">
        <v>435</v>
      </c>
      <c r="E11" s="170"/>
      <c r="F11" s="170">
        <v>6.12</v>
      </c>
      <c r="G11" s="175"/>
      <c r="H11" s="175"/>
      <c r="I11" s="175"/>
      <c r="J11" s="175"/>
      <c r="K11" s="175"/>
      <c r="L11" s="175"/>
      <c r="M11" s="175"/>
    </row>
    <row r="12" spans="1:13" ht="16.5" customHeight="1">
      <c r="A12" s="356"/>
      <c r="B12" s="397"/>
      <c r="C12" s="33" t="s">
        <v>16</v>
      </c>
      <c r="D12" s="30" t="s">
        <v>13</v>
      </c>
      <c r="E12" s="30">
        <v>1.56</v>
      </c>
      <c r="F12" s="46">
        <f>F11*E12</f>
        <v>9.5472000000000001</v>
      </c>
      <c r="G12" s="175"/>
      <c r="H12" s="175"/>
      <c r="I12" s="175"/>
      <c r="J12" s="175"/>
      <c r="K12" s="175"/>
      <c r="L12" s="175"/>
      <c r="M12" s="175"/>
    </row>
    <row r="13" spans="1:13" ht="15" customHeight="1">
      <c r="A13" s="355"/>
      <c r="B13" s="397"/>
      <c r="C13" s="33" t="s">
        <v>93</v>
      </c>
      <c r="D13" s="30" t="s">
        <v>2</v>
      </c>
      <c r="E13" s="30">
        <v>9.8400000000000001E-2</v>
      </c>
      <c r="F13" s="46">
        <f>F11*E13</f>
        <v>0.60220799999999997</v>
      </c>
      <c r="G13" s="175"/>
      <c r="H13" s="175"/>
      <c r="I13" s="175"/>
      <c r="J13" s="175"/>
      <c r="K13" s="175"/>
      <c r="L13" s="175"/>
      <c r="M13" s="175"/>
    </row>
    <row r="14" spans="1:13" s="398" customFormat="1" ht="29.25" customHeight="1">
      <c r="A14" s="357">
        <v>2</v>
      </c>
      <c r="B14" s="36" t="s">
        <v>373</v>
      </c>
      <c r="C14" s="192" t="s">
        <v>441</v>
      </c>
      <c r="D14" s="45" t="s">
        <v>28</v>
      </c>
      <c r="E14" s="30"/>
      <c r="F14" s="179">
        <v>1.28</v>
      </c>
      <c r="G14" s="175"/>
      <c r="H14" s="175"/>
      <c r="I14" s="175"/>
      <c r="J14" s="175"/>
      <c r="K14" s="175"/>
      <c r="L14" s="175"/>
      <c r="M14" s="175"/>
    </row>
    <row r="15" spans="1:13" s="398" customFormat="1" ht="16.5" customHeight="1">
      <c r="A15" s="358"/>
      <c r="B15" s="399"/>
      <c r="C15" s="33" t="s">
        <v>16</v>
      </c>
      <c r="D15" s="30" t="s">
        <v>13</v>
      </c>
      <c r="E15" s="30">
        <v>8.89</v>
      </c>
      <c r="F15" s="46">
        <f>F14*E15</f>
        <v>11.379200000000001</v>
      </c>
      <c r="G15" s="175"/>
      <c r="H15" s="175"/>
      <c r="I15" s="175"/>
      <c r="J15" s="175"/>
      <c r="K15" s="175"/>
      <c r="L15" s="175"/>
      <c r="M15" s="175"/>
    </row>
    <row r="16" spans="1:13" s="398" customFormat="1" ht="18.75" customHeight="1">
      <c r="A16" s="358"/>
      <c r="B16" s="399"/>
      <c r="C16" s="33" t="s">
        <v>93</v>
      </c>
      <c r="D16" s="30" t="s">
        <v>2</v>
      </c>
      <c r="E16" s="30">
        <v>3.35</v>
      </c>
      <c r="F16" s="46">
        <f>F14*E16</f>
        <v>4.2880000000000003</v>
      </c>
      <c r="G16" s="175"/>
      <c r="H16" s="175"/>
      <c r="I16" s="175"/>
      <c r="J16" s="175"/>
      <c r="K16" s="175"/>
      <c r="L16" s="175"/>
      <c r="M16" s="175"/>
    </row>
    <row r="17" spans="1:13" ht="43.5" customHeight="1">
      <c r="A17" s="354">
        <v>3</v>
      </c>
      <c r="B17" s="397" t="s">
        <v>341</v>
      </c>
      <c r="C17" s="44" t="s">
        <v>330</v>
      </c>
      <c r="D17" s="45" t="s">
        <v>94</v>
      </c>
      <c r="E17" s="170"/>
      <c r="F17" s="170">
        <v>0.46</v>
      </c>
      <c r="G17" s="175"/>
      <c r="H17" s="175"/>
      <c r="I17" s="175"/>
      <c r="J17" s="175"/>
      <c r="K17" s="175"/>
      <c r="L17" s="175"/>
      <c r="M17" s="175"/>
    </row>
    <row r="18" spans="1:13" ht="17.25" customHeight="1">
      <c r="A18" s="356"/>
      <c r="B18" s="397"/>
      <c r="C18" s="33" t="s">
        <v>16</v>
      </c>
      <c r="D18" s="30" t="s">
        <v>13</v>
      </c>
      <c r="E18" s="30">
        <v>8.89</v>
      </c>
      <c r="F18" s="46">
        <f>F17*E18</f>
        <v>4.0894000000000004</v>
      </c>
      <c r="G18" s="175"/>
      <c r="H18" s="175"/>
      <c r="I18" s="175"/>
      <c r="J18" s="175"/>
      <c r="K18" s="175"/>
      <c r="L18" s="175"/>
      <c r="M18" s="175"/>
    </row>
    <row r="19" spans="1:13" ht="15" customHeight="1">
      <c r="A19" s="355"/>
      <c r="B19" s="397"/>
      <c r="C19" s="33" t="s">
        <v>93</v>
      </c>
      <c r="D19" s="30" t="s">
        <v>2</v>
      </c>
      <c r="E19" s="30">
        <v>3.35</v>
      </c>
      <c r="F19" s="46">
        <f>F17*E19</f>
        <v>1.5410000000000001</v>
      </c>
      <c r="G19" s="175"/>
      <c r="H19" s="175"/>
      <c r="I19" s="175"/>
      <c r="J19" s="175"/>
      <c r="K19" s="175"/>
      <c r="L19" s="175"/>
      <c r="M19" s="175"/>
    </row>
    <row r="20" spans="1:13" s="400" customFormat="1" ht="30.75" customHeight="1">
      <c r="A20" s="48">
        <v>4</v>
      </c>
      <c r="B20" s="61" t="s">
        <v>540</v>
      </c>
      <c r="C20" s="44" t="s">
        <v>95</v>
      </c>
      <c r="D20" s="45" t="s">
        <v>96</v>
      </c>
      <c r="E20" s="49"/>
      <c r="F20" s="170">
        <v>2</v>
      </c>
      <c r="G20" s="47"/>
      <c r="H20" s="175"/>
      <c r="I20" s="47"/>
      <c r="J20" s="47"/>
      <c r="K20" s="47"/>
      <c r="L20" s="47"/>
      <c r="M20" s="175"/>
    </row>
    <row r="21" spans="1:13" s="400" customFormat="1" ht="16.5" customHeight="1">
      <c r="A21" s="50"/>
      <c r="B21" s="60"/>
      <c r="C21" s="51" t="s">
        <v>16</v>
      </c>
      <c r="D21" s="49" t="s">
        <v>13</v>
      </c>
      <c r="E21" s="49">
        <v>1.85</v>
      </c>
      <c r="F21" s="46">
        <f>F20*E21</f>
        <v>3.7</v>
      </c>
      <c r="G21" s="175"/>
      <c r="H21" s="175"/>
      <c r="I21" s="47"/>
      <c r="J21" s="47"/>
      <c r="K21" s="47"/>
      <c r="L21" s="47"/>
      <c r="M21" s="175"/>
    </row>
    <row r="22" spans="1:13" s="400" customFormat="1" ht="29.25" customHeight="1">
      <c r="A22" s="48">
        <v>5</v>
      </c>
      <c r="B22" s="556" t="s">
        <v>541</v>
      </c>
      <c r="C22" s="44" t="s">
        <v>97</v>
      </c>
      <c r="D22" s="45" t="s">
        <v>96</v>
      </c>
      <c r="E22" s="49"/>
      <c r="F22" s="170">
        <f>F20</f>
        <v>2</v>
      </c>
      <c r="G22" s="175"/>
      <c r="H22" s="175"/>
      <c r="I22" s="47"/>
      <c r="J22" s="47"/>
      <c r="K22" s="47"/>
      <c r="L22" s="47"/>
      <c r="M22" s="175"/>
    </row>
    <row r="23" spans="1:13" s="400" customFormat="1" ht="16.5" customHeight="1">
      <c r="A23" s="50"/>
      <c r="B23" s="557"/>
      <c r="C23" s="52" t="s">
        <v>12</v>
      </c>
      <c r="D23" s="53" t="s">
        <v>13</v>
      </c>
      <c r="E23" s="49">
        <v>0.53</v>
      </c>
      <c r="F23" s="57">
        <f>F22*E23</f>
        <v>1.06</v>
      </c>
      <c r="G23" s="175"/>
      <c r="H23" s="175"/>
      <c r="I23" s="47"/>
      <c r="J23" s="47"/>
      <c r="K23" s="47"/>
      <c r="L23" s="47"/>
      <c r="M23" s="175"/>
    </row>
    <row r="24" spans="1:13" s="56" customFormat="1" ht="27.75" customHeight="1">
      <c r="A24" s="54">
        <v>6</v>
      </c>
      <c r="B24" s="54"/>
      <c r="C24" s="59" t="s">
        <v>519</v>
      </c>
      <c r="D24" s="58" t="s">
        <v>96</v>
      </c>
      <c r="E24" s="58"/>
      <c r="F24" s="179">
        <f>F22</f>
        <v>2</v>
      </c>
      <c r="G24" s="46"/>
      <c r="H24" s="55"/>
      <c r="I24" s="55"/>
      <c r="J24" s="55"/>
      <c r="K24" s="337"/>
      <c r="L24" s="175"/>
      <c r="M24" s="175"/>
    </row>
    <row r="25" spans="1:13" ht="17.25" customHeight="1">
      <c r="A25" s="353"/>
      <c r="B25" s="354"/>
      <c r="C25" s="227" t="s">
        <v>98</v>
      </c>
      <c r="D25" s="354"/>
      <c r="E25" s="353"/>
      <c r="F25" s="354"/>
      <c r="G25" s="353"/>
      <c r="H25" s="170"/>
      <c r="I25" s="170"/>
      <c r="J25" s="170"/>
      <c r="K25" s="170"/>
      <c r="L25" s="170"/>
      <c r="M25" s="170"/>
    </row>
    <row r="26" spans="1:13" ht="18" customHeight="1">
      <c r="A26" s="227"/>
      <c r="B26" s="397"/>
      <c r="C26" s="226" t="s">
        <v>438</v>
      </c>
      <c r="D26" s="228"/>
      <c r="E26" s="170"/>
      <c r="F26" s="170"/>
      <c r="G26" s="170"/>
      <c r="H26" s="170"/>
      <c r="I26" s="170"/>
      <c r="J26" s="170"/>
      <c r="K26" s="170"/>
      <c r="L26" s="170"/>
      <c r="M26" s="170"/>
    </row>
    <row r="27" spans="1:13" ht="57.75" customHeight="1">
      <c r="A27" s="41">
        <v>1</v>
      </c>
      <c r="B27" s="271" t="s">
        <v>48</v>
      </c>
      <c r="C27" s="229" t="s">
        <v>442</v>
      </c>
      <c r="D27" s="230" t="s">
        <v>26</v>
      </c>
      <c r="E27" s="175"/>
      <c r="F27" s="231">
        <f>12.6/1000</f>
        <v>1.26E-2</v>
      </c>
      <c r="G27" s="171"/>
      <c r="H27" s="171"/>
      <c r="I27" s="171"/>
      <c r="J27" s="171"/>
      <c r="K27" s="171"/>
      <c r="L27" s="171"/>
      <c r="M27" s="171"/>
    </row>
    <row r="28" spans="1:13" ht="15.75" customHeight="1">
      <c r="A28" s="42"/>
      <c r="B28" s="61"/>
      <c r="C28" s="232" t="s">
        <v>12</v>
      </c>
      <c r="D28" s="233" t="s">
        <v>13</v>
      </c>
      <c r="E28" s="234">
        <v>28.3</v>
      </c>
      <c r="F28" s="171">
        <f>F27*E28</f>
        <v>0.35658000000000001</v>
      </c>
      <c r="G28" s="171"/>
      <c r="H28" s="171"/>
      <c r="I28" s="171"/>
      <c r="J28" s="171"/>
      <c r="K28" s="171"/>
      <c r="L28" s="171"/>
      <c r="M28" s="171"/>
    </row>
    <row r="29" spans="1:13" ht="19.5" customHeight="1">
      <c r="A29" s="42"/>
      <c r="B29" s="271" t="s">
        <v>521</v>
      </c>
      <c r="C29" s="232" t="s">
        <v>35</v>
      </c>
      <c r="D29" s="233" t="s">
        <v>33</v>
      </c>
      <c r="E29" s="234">
        <v>63.4</v>
      </c>
      <c r="F29" s="171">
        <f>F27*E29</f>
        <v>0.79883999999999999</v>
      </c>
      <c r="G29" s="171"/>
      <c r="H29" s="171"/>
      <c r="I29" s="171"/>
      <c r="J29" s="171"/>
      <c r="K29" s="187"/>
      <c r="L29" s="171"/>
      <c r="M29" s="171"/>
    </row>
    <row r="30" spans="1:13" ht="15" customHeight="1">
      <c r="A30" s="43"/>
      <c r="B30" s="361"/>
      <c r="C30" s="33" t="s">
        <v>111</v>
      </c>
      <c r="D30" s="233" t="s">
        <v>2</v>
      </c>
      <c r="E30" s="175">
        <v>3.36</v>
      </c>
      <c r="F30" s="171">
        <f>F27*E30</f>
        <v>4.2335999999999999E-2</v>
      </c>
      <c r="G30" s="171"/>
      <c r="H30" s="171"/>
      <c r="I30" s="171"/>
      <c r="J30" s="171"/>
      <c r="K30" s="171"/>
      <c r="L30" s="171"/>
      <c r="M30" s="171"/>
    </row>
    <row r="31" spans="1:13" ht="31.5" customHeight="1">
      <c r="A31" s="41">
        <v>2</v>
      </c>
      <c r="B31" s="271" t="s">
        <v>49</v>
      </c>
      <c r="C31" s="229" t="s">
        <v>46</v>
      </c>
      <c r="D31" s="230" t="s">
        <v>47</v>
      </c>
      <c r="E31" s="235"/>
      <c r="F31" s="182">
        <f>3/100</f>
        <v>0.03</v>
      </c>
      <c r="G31" s="182"/>
      <c r="H31" s="182"/>
      <c r="I31" s="182"/>
      <c r="J31" s="182"/>
      <c r="K31" s="182"/>
      <c r="L31" s="182"/>
      <c r="M31" s="182"/>
    </row>
    <row r="32" spans="1:13" ht="17.25" customHeight="1">
      <c r="A32" s="43"/>
      <c r="B32" s="361"/>
      <c r="C32" s="232" t="s">
        <v>12</v>
      </c>
      <c r="D32" s="233" t="s">
        <v>13</v>
      </c>
      <c r="E32" s="236">
        <v>206</v>
      </c>
      <c r="F32" s="171">
        <f>F31*E32</f>
        <v>6.18</v>
      </c>
      <c r="G32" s="171"/>
      <c r="H32" s="171"/>
      <c r="I32" s="171"/>
      <c r="J32" s="171"/>
      <c r="K32" s="171"/>
      <c r="L32" s="171"/>
      <c r="M32" s="171"/>
    </row>
    <row r="33" spans="1:13" ht="17.25" customHeight="1">
      <c r="A33" s="42">
        <v>3</v>
      </c>
      <c r="B33" s="271" t="s">
        <v>40</v>
      </c>
      <c r="C33" s="229" t="s">
        <v>39</v>
      </c>
      <c r="D33" s="230" t="s">
        <v>15</v>
      </c>
      <c r="E33" s="175">
        <v>1.65</v>
      </c>
      <c r="F33" s="237">
        <f>(12+2)*1.6</f>
        <v>22.400000000000002</v>
      </c>
      <c r="G33" s="171"/>
      <c r="H33" s="171"/>
      <c r="I33" s="171"/>
      <c r="J33" s="171"/>
      <c r="K33" s="187"/>
      <c r="L33" s="171"/>
      <c r="M33" s="171"/>
    </row>
    <row r="34" spans="1:13" s="398" customFormat="1" ht="30" customHeight="1">
      <c r="A34" s="357">
        <v>4</v>
      </c>
      <c r="B34" s="36" t="s">
        <v>50</v>
      </c>
      <c r="C34" s="29" t="s">
        <v>41</v>
      </c>
      <c r="D34" s="230" t="s">
        <v>28</v>
      </c>
      <c r="E34" s="30"/>
      <c r="F34" s="182">
        <f>1*1*6*0.1</f>
        <v>0.60000000000000009</v>
      </c>
      <c r="G34" s="31"/>
      <c r="H34" s="171"/>
      <c r="I34" s="171"/>
      <c r="J34" s="31"/>
      <c r="K34" s="31"/>
      <c r="L34" s="171"/>
      <c r="M34" s="171"/>
    </row>
    <row r="35" spans="1:13" s="398" customFormat="1" ht="17.25" customHeight="1">
      <c r="A35" s="358"/>
      <c r="B35" s="271"/>
      <c r="C35" s="33" t="s">
        <v>16</v>
      </c>
      <c r="D35" s="30" t="s">
        <v>13</v>
      </c>
      <c r="E35" s="30">
        <v>3.52</v>
      </c>
      <c r="F35" s="171">
        <f>F34*E35</f>
        <v>2.1120000000000005</v>
      </c>
      <c r="G35" s="187"/>
      <c r="H35" s="171"/>
      <c r="I35" s="171"/>
      <c r="J35" s="31"/>
      <c r="K35" s="31"/>
      <c r="L35" s="171"/>
      <c r="M35" s="171"/>
    </row>
    <row r="36" spans="1:13" s="398" customFormat="1" ht="17.25" customHeight="1">
      <c r="A36" s="358"/>
      <c r="B36" s="271"/>
      <c r="C36" s="33" t="s">
        <v>111</v>
      </c>
      <c r="D36" s="30" t="s">
        <v>2</v>
      </c>
      <c r="E36" s="30">
        <v>1.06</v>
      </c>
      <c r="F36" s="171">
        <f>F34*E36</f>
        <v>0.63600000000000012</v>
      </c>
      <c r="G36" s="171"/>
      <c r="H36" s="171"/>
      <c r="I36" s="171"/>
      <c r="J36" s="31"/>
      <c r="K36" s="171"/>
      <c r="L36" s="171"/>
      <c r="M36" s="171"/>
    </row>
    <row r="37" spans="1:13" s="398" customFormat="1" ht="17.25" customHeight="1">
      <c r="A37" s="358"/>
      <c r="B37" s="271" t="s">
        <v>44</v>
      </c>
      <c r="C37" s="33" t="s">
        <v>42</v>
      </c>
      <c r="D37" s="30" t="s">
        <v>29</v>
      </c>
      <c r="E37" s="30">
        <v>0.97</v>
      </c>
      <c r="F37" s="171">
        <f>F34*E37</f>
        <v>0.58200000000000007</v>
      </c>
      <c r="G37" s="171"/>
      <c r="H37" s="171"/>
      <c r="I37" s="171"/>
      <c r="J37" s="171"/>
      <c r="K37" s="171"/>
      <c r="L37" s="171"/>
      <c r="M37" s="171"/>
    </row>
    <row r="38" spans="1:13" s="398" customFormat="1" ht="17.25" customHeight="1">
      <c r="A38" s="358"/>
      <c r="B38" s="271" t="s">
        <v>45</v>
      </c>
      <c r="C38" s="33" t="s">
        <v>43</v>
      </c>
      <c r="D38" s="30" t="s">
        <v>29</v>
      </c>
      <c r="E38" s="30">
        <v>1.6</v>
      </c>
      <c r="F38" s="171">
        <f>F34*E38</f>
        <v>0.96000000000000019</v>
      </c>
      <c r="G38" s="171"/>
      <c r="H38" s="171"/>
      <c r="I38" s="171"/>
      <c r="J38" s="171"/>
      <c r="K38" s="187"/>
      <c r="L38" s="171"/>
      <c r="M38" s="171"/>
    </row>
    <row r="39" spans="1:13" s="398" customFormat="1" ht="17.25" customHeight="1">
      <c r="A39" s="359"/>
      <c r="B39" s="271"/>
      <c r="C39" s="33" t="s">
        <v>19</v>
      </c>
      <c r="D39" s="30" t="s">
        <v>2</v>
      </c>
      <c r="E39" s="30">
        <v>0.02</v>
      </c>
      <c r="F39" s="171">
        <f>F34*E39</f>
        <v>1.2000000000000002E-2</v>
      </c>
      <c r="G39" s="171"/>
      <c r="H39" s="171"/>
      <c r="I39" s="171"/>
      <c r="J39" s="171"/>
      <c r="K39" s="171"/>
      <c r="L39" s="171"/>
      <c r="M39" s="171"/>
    </row>
    <row r="40" spans="1:13" s="398" customFormat="1" ht="17.25" customHeight="1">
      <c r="A40" s="359"/>
      <c r="B40" s="271"/>
      <c r="C40" s="227" t="s">
        <v>156</v>
      </c>
      <c r="D40" s="30"/>
      <c r="E40" s="30"/>
      <c r="F40" s="171"/>
      <c r="G40" s="171"/>
      <c r="H40" s="238"/>
      <c r="I40" s="238"/>
      <c r="J40" s="238"/>
      <c r="K40" s="238"/>
      <c r="L40" s="238"/>
      <c r="M40" s="238"/>
    </row>
    <row r="41" spans="1:13" s="398" customFormat="1" ht="17.25" customHeight="1">
      <c r="A41" s="30"/>
      <c r="B41" s="271"/>
      <c r="C41" s="37" t="s">
        <v>439</v>
      </c>
      <c r="D41" s="30"/>
      <c r="E41" s="30"/>
      <c r="F41" s="171"/>
      <c r="G41" s="171"/>
      <c r="H41" s="171"/>
      <c r="I41" s="171"/>
      <c r="J41" s="171"/>
      <c r="K41" s="171"/>
      <c r="L41" s="171"/>
      <c r="M41" s="171"/>
    </row>
    <row r="42" spans="1:13" s="398" customFormat="1" ht="29.25" customHeight="1">
      <c r="A42" s="217">
        <v>1</v>
      </c>
      <c r="B42" s="271" t="s">
        <v>388</v>
      </c>
      <c r="C42" s="29" t="s">
        <v>389</v>
      </c>
      <c r="D42" s="230" t="s">
        <v>47</v>
      </c>
      <c r="E42" s="30"/>
      <c r="F42" s="180">
        <f>2.4/100</f>
        <v>2.4E-2</v>
      </c>
      <c r="G42" s="171"/>
      <c r="H42" s="171"/>
      <c r="I42" s="171"/>
      <c r="J42" s="171"/>
      <c r="K42" s="171"/>
      <c r="L42" s="171"/>
      <c r="M42" s="171"/>
    </row>
    <row r="43" spans="1:13" s="398" customFormat="1" ht="15" customHeight="1">
      <c r="A43" s="358"/>
      <c r="B43" s="271"/>
      <c r="C43" s="33" t="s">
        <v>16</v>
      </c>
      <c r="D43" s="30" t="s">
        <v>13</v>
      </c>
      <c r="E43" s="30">
        <v>666</v>
      </c>
      <c r="F43" s="171">
        <f>F42*E43</f>
        <v>15.984</v>
      </c>
      <c r="G43" s="171"/>
      <c r="H43" s="171"/>
      <c r="I43" s="171"/>
      <c r="J43" s="171"/>
      <c r="K43" s="171"/>
      <c r="L43" s="171"/>
      <c r="M43" s="171"/>
    </row>
    <row r="44" spans="1:13" s="398" customFormat="1" ht="15" customHeight="1">
      <c r="A44" s="358"/>
      <c r="B44" s="271"/>
      <c r="C44" s="33" t="s">
        <v>111</v>
      </c>
      <c r="D44" s="30" t="s">
        <v>2</v>
      </c>
      <c r="E44" s="30">
        <v>59</v>
      </c>
      <c r="F44" s="171">
        <f>F42*E44</f>
        <v>1.4159999999999999</v>
      </c>
      <c r="G44" s="171"/>
      <c r="H44" s="171"/>
      <c r="I44" s="171"/>
      <c r="J44" s="171"/>
      <c r="K44" s="171"/>
      <c r="L44" s="171"/>
      <c r="M44" s="171"/>
    </row>
    <row r="45" spans="1:13" s="398" customFormat="1" ht="17.25" customHeight="1">
      <c r="A45" s="358"/>
      <c r="B45" s="271" t="s">
        <v>18</v>
      </c>
      <c r="C45" s="33" t="s">
        <v>428</v>
      </c>
      <c r="D45" s="30" t="s">
        <v>31</v>
      </c>
      <c r="E45" s="30" t="s">
        <v>62</v>
      </c>
      <c r="F45" s="239">
        <v>60</v>
      </c>
      <c r="G45" s="171"/>
      <c r="H45" s="171"/>
      <c r="I45" s="187"/>
      <c r="J45" s="171"/>
      <c r="K45" s="171"/>
      <c r="L45" s="171"/>
      <c r="M45" s="171"/>
    </row>
    <row r="46" spans="1:13" s="398" customFormat="1" ht="15.75" customHeight="1">
      <c r="A46" s="358"/>
      <c r="B46" s="401" t="s">
        <v>414</v>
      </c>
      <c r="C46" s="33" t="s">
        <v>390</v>
      </c>
      <c r="D46" s="30" t="s">
        <v>29</v>
      </c>
      <c r="E46" s="30">
        <v>101.5</v>
      </c>
      <c r="F46" s="171">
        <f>F42*E46</f>
        <v>2.4359999999999999</v>
      </c>
      <c r="G46" s="171"/>
      <c r="H46" s="171"/>
      <c r="I46" s="181"/>
      <c r="J46" s="171"/>
      <c r="K46" s="171"/>
      <c r="L46" s="171"/>
      <c r="M46" s="171"/>
    </row>
    <row r="47" spans="1:13" s="398" customFormat="1" ht="16.5" customHeight="1">
      <c r="A47" s="358"/>
      <c r="B47" s="271" t="s">
        <v>393</v>
      </c>
      <c r="C47" s="33" t="s">
        <v>391</v>
      </c>
      <c r="D47" s="30" t="s">
        <v>27</v>
      </c>
      <c r="E47" s="30">
        <v>160</v>
      </c>
      <c r="F47" s="171">
        <f>F42*E47</f>
        <v>3.84</v>
      </c>
      <c r="G47" s="171"/>
      <c r="H47" s="171"/>
      <c r="I47" s="171"/>
      <c r="J47" s="171"/>
      <c r="K47" s="171"/>
      <c r="L47" s="171"/>
      <c r="M47" s="171"/>
    </row>
    <row r="48" spans="1:13" s="398" customFormat="1" ht="17.25" customHeight="1">
      <c r="A48" s="358"/>
      <c r="B48" s="271" t="s">
        <v>393</v>
      </c>
      <c r="C48" s="33" t="s">
        <v>392</v>
      </c>
      <c r="D48" s="30" t="s">
        <v>30</v>
      </c>
      <c r="E48" s="339">
        <v>1.83</v>
      </c>
      <c r="F48" s="171">
        <f>F42*E48</f>
        <v>4.3920000000000001E-2</v>
      </c>
      <c r="G48" s="171"/>
      <c r="H48" s="171"/>
      <c r="I48" s="187"/>
      <c r="J48" s="171"/>
      <c r="K48" s="171"/>
      <c r="L48" s="171"/>
      <c r="M48" s="171"/>
    </row>
    <row r="49" spans="1:13" s="398" customFormat="1" ht="17.25" customHeight="1">
      <c r="A49" s="358"/>
      <c r="B49" s="271" t="s">
        <v>424</v>
      </c>
      <c r="C49" s="33" t="s">
        <v>422</v>
      </c>
      <c r="D49" s="30" t="s">
        <v>15</v>
      </c>
      <c r="E49" s="30">
        <v>2.4</v>
      </c>
      <c r="F49" s="171">
        <f>F46*E49</f>
        <v>5.8464</v>
      </c>
      <c r="G49" s="171"/>
      <c r="H49" s="171"/>
      <c r="I49" s="171"/>
      <c r="J49" s="171"/>
      <c r="K49" s="187"/>
      <c r="L49" s="171"/>
      <c r="M49" s="171"/>
    </row>
    <row r="50" spans="1:13" s="398" customFormat="1" ht="14.25" customHeight="1">
      <c r="A50" s="359"/>
      <c r="B50" s="271"/>
      <c r="C50" s="33" t="s">
        <v>19</v>
      </c>
      <c r="D50" s="30" t="s">
        <v>2</v>
      </c>
      <c r="E50" s="30">
        <v>40</v>
      </c>
      <c r="F50" s="171">
        <f>F42*E50</f>
        <v>0.96</v>
      </c>
      <c r="G50" s="171"/>
      <c r="H50" s="171"/>
      <c r="I50" s="171"/>
      <c r="J50" s="171"/>
      <c r="K50" s="171"/>
      <c r="L50" s="171"/>
      <c r="M50" s="171"/>
    </row>
    <row r="51" spans="1:13" s="398" customFormat="1" ht="17.25" customHeight="1">
      <c r="A51" s="357">
        <v>2</v>
      </c>
      <c r="B51" s="271" t="s">
        <v>394</v>
      </c>
      <c r="C51" s="29" t="s">
        <v>395</v>
      </c>
      <c r="D51" s="230" t="s">
        <v>47</v>
      </c>
      <c r="E51" s="30"/>
      <c r="F51" s="240">
        <f>1.73/100</f>
        <v>1.7299999999999999E-2</v>
      </c>
      <c r="G51" s="182"/>
      <c r="H51" s="171"/>
      <c r="I51" s="182"/>
      <c r="J51" s="171"/>
      <c r="K51" s="182"/>
      <c r="L51" s="171"/>
      <c r="M51" s="171"/>
    </row>
    <row r="52" spans="1:13" s="398" customFormat="1" ht="15" customHeight="1">
      <c r="A52" s="358"/>
      <c r="B52" s="271"/>
      <c r="C52" s="33" t="s">
        <v>16</v>
      </c>
      <c r="D52" s="30" t="s">
        <v>13</v>
      </c>
      <c r="E52" s="30">
        <v>1950</v>
      </c>
      <c r="F52" s="171">
        <f>F51*E52</f>
        <v>33.734999999999999</v>
      </c>
      <c r="G52" s="171"/>
      <c r="H52" s="171"/>
      <c r="I52" s="171"/>
      <c r="J52" s="171"/>
      <c r="K52" s="171"/>
      <c r="L52" s="171"/>
      <c r="M52" s="171"/>
    </row>
    <row r="53" spans="1:13" s="398" customFormat="1" ht="15" customHeight="1">
      <c r="A53" s="358"/>
      <c r="B53" s="271"/>
      <c r="C53" s="33" t="s">
        <v>111</v>
      </c>
      <c r="D53" s="30" t="s">
        <v>2</v>
      </c>
      <c r="E53" s="30">
        <v>321</v>
      </c>
      <c r="F53" s="171">
        <f>F51*E53</f>
        <v>5.5533000000000001</v>
      </c>
      <c r="G53" s="171"/>
      <c r="H53" s="171"/>
      <c r="I53" s="171"/>
      <c r="J53" s="171"/>
      <c r="K53" s="171"/>
      <c r="L53" s="171"/>
      <c r="M53" s="171"/>
    </row>
    <row r="54" spans="1:13" s="398" customFormat="1" ht="15" customHeight="1">
      <c r="A54" s="358"/>
      <c r="B54" s="271" t="s">
        <v>397</v>
      </c>
      <c r="C54" s="33" t="s">
        <v>430</v>
      </c>
      <c r="D54" s="30" t="s">
        <v>31</v>
      </c>
      <c r="E54" s="30" t="s">
        <v>62</v>
      </c>
      <c r="F54" s="239">
        <v>116</v>
      </c>
      <c r="G54" s="171"/>
      <c r="H54" s="171"/>
      <c r="I54" s="187"/>
      <c r="J54" s="171"/>
      <c r="K54" s="171"/>
      <c r="L54" s="31"/>
      <c r="M54" s="171"/>
    </row>
    <row r="55" spans="1:13" s="398" customFormat="1" ht="15" customHeight="1">
      <c r="A55" s="358"/>
      <c r="B55" s="271"/>
      <c r="C55" s="33" t="s">
        <v>429</v>
      </c>
      <c r="D55" s="30" t="s">
        <v>31</v>
      </c>
      <c r="E55" s="30" t="s">
        <v>62</v>
      </c>
      <c r="F55" s="239">
        <v>132</v>
      </c>
      <c r="G55" s="171"/>
      <c r="H55" s="171"/>
      <c r="I55" s="187"/>
      <c r="J55" s="171"/>
      <c r="K55" s="171"/>
      <c r="L55" s="31"/>
      <c r="M55" s="171"/>
    </row>
    <row r="56" spans="1:13" s="398" customFormat="1" ht="15" customHeight="1">
      <c r="A56" s="358"/>
      <c r="B56" s="271" t="s">
        <v>414</v>
      </c>
      <c r="C56" s="33" t="s">
        <v>396</v>
      </c>
      <c r="D56" s="30" t="s">
        <v>29</v>
      </c>
      <c r="E56" s="30">
        <v>101.5</v>
      </c>
      <c r="F56" s="171">
        <f>F51*E56</f>
        <v>1.7559499999999999</v>
      </c>
      <c r="G56" s="171"/>
      <c r="H56" s="171"/>
      <c r="I56" s="181"/>
      <c r="J56" s="171"/>
      <c r="K56" s="171"/>
      <c r="L56" s="31"/>
      <c r="M56" s="171"/>
    </row>
    <row r="57" spans="1:13" s="398" customFormat="1" ht="15" customHeight="1">
      <c r="A57" s="358"/>
      <c r="B57" s="271" t="s">
        <v>393</v>
      </c>
      <c r="C57" s="33" t="s">
        <v>391</v>
      </c>
      <c r="D57" s="30" t="s">
        <v>27</v>
      </c>
      <c r="E57" s="30">
        <v>242</v>
      </c>
      <c r="F57" s="171">
        <f>F51*E57</f>
        <v>4.1865999999999994</v>
      </c>
      <c r="G57" s="171"/>
      <c r="H57" s="171"/>
      <c r="I57" s="171"/>
      <c r="J57" s="171"/>
      <c r="K57" s="171"/>
      <c r="L57" s="31"/>
      <c r="M57" s="171"/>
    </row>
    <row r="58" spans="1:13" s="398" customFormat="1" ht="15" customHeight="1">
      <c r="A58" s="358"/>
      <c r="B58" s="271" t="s">
        <v>145</v>
      </c>
      <c r="C58" s="33" t="s">
        <v>70</v>
      </c>
      <c r="D58" s="30" t="s">
        <v>30</v>
      </c>
      <c r="E58" s="30">
        <v>5.76</v>
      </c>
      <c r="F58" s="171">
        <f>F51*E58</f>
        <v>9.9647999999999987E-2</v>
      </c>
      <c r="G58" s="171"/>
      <c r="H58" s="171"/>
      <c r="I58" s="336"/>
      <c r="J58" s="171"/>
      <c r="K58" s="171"/>
      <c r="L58" s="31"/>
      <c r="M58" s="171"/>
    </row>
    <row r="59" spans="1:13" s="398" customFormat="1" ht="15" customHeight="1">
      <c r="A59" s="358"/>
      <c r="B59" s="271" t="s">
        <v>58</v>
      </c>
      <c r="C59" s="33" t="s">
        <v>57</v>
      </c>
      <c r="D59" s="30" t="s">
        <v>30</v>
      </c>
      <c r="E59" s="30">
        <v>1.6</v>
      </c>
      <c r="F59" s="171">
        <f>F51*E59</f>
        <v>2.768E-2</v>
      </c>
      <c r="G59" s="171"/>
      <c r="H59" s="171"/>
      <c r="I59" s="336"/>
      <c r="J59" s="171"/>
      <c r="K59" s="171"/>
      <c r="L59" s="31"/>
      <c r="M59" s="171"/>
    </row>
    <row r="60" spans="1:13" s="398" customFormat="1" ht="15" customHeight="1">
      <c r="A60" s="358"/>
      <c r="B60" s="271" t="s">
        <v>398</v>
      </c>
      <c r="C60" s="33" t="s">
        <v>66</v>
      </c>
      <c r="D60" s="30" t="s">
        <v>15</v>
      </c>
      <c r="E60" s="30">
        <v>0.25</v>
      </c>
      <c r="F60" s="171">
        <f>F51*E60</f>
        <v>4.3249999999999999E-3</v>
      </c>
      <c r="G60" s="171"/>
      <c r="H60" s="171"/>
      <c r="I60" s="241"/>
      <c r="J60" s="171"/>
      <c r="K60" s="171"/>
      <c r="L60" s="31"/>
      <c r="M60" s="171"/>
    </row>
    <row r="61" spans="1:13" s="398" customFormat="1" ht="15" customHeight="1">
      <c r="A61" s="358"/>
      <c r="B61" s="271" t="s">
        <v>423</v>
      </c>
      <c r="C61" s="33" t="s">
        <v>422</v>
      </c>
      <c r="D61" s="30" t="s">
        <v>15</v>
      </c>
      <c r="E61" s="30">
        <v>2.4</v>
      </c>
      <c r="F61" s="171">
        <f>F56*E61</f>
        <v>4.2142799999999996</v>
      </c>
      <c r="G61" s="171"/>
      <c r="H61" s="171"/>
      <c r="I61" s="181"/>
      <c r="J61" s="171"/>
      <c r="K61" s="187"/>
      <c r="L61" s="171"/>
      <c r="M61" s="171"/>
    </row>
    <row r="62" spans="1:13" s="398" customFormat="1" ht="15" customHeight="1">
      <c r="A62" s="359"/>
      <c r="B62" s="271"/>
      <c r="C62" s="33" t="s">
        <v>19</v>
      </c>
      <c r="D62" s="30" t="s">
        <v>2</v>
      </c>
      <c r="E62" s="30">
        <v>60</v>
      </c>
      <c r="F62" s="171">
        <f>F51*E62</f>
        <v>1.038</v>
      </c>
      <c r="G62" s="171"/>
      <c r="H62" s="171"/>
      <c r="I62" s="171"/>
      <c r="J62" s="171"/>
      <c r="K62" s="171"/>
      <c r="L62" s="171"/>
      <c r="M62" s="171"/>
    </row>
    <row r="63" spans="1:13" s="398" customFormat="1" ht="28.5" customHeight="1">
      <c r="A63" s="357">
        <v>3</v>
      </c>
      <c r="B63" s="271" t="s">
        <v>399</v>
      </c>
      <c r="C63" s="29" t="s">
        <v>400</v>
      </c>
      <c r="D63" s="230" t="s">
        <v>47</v>
      </c>
      <c r="E63" s="30"/>
      <c r="F63" s="242">
        <f>4.98/100</f>
        <v>4.9800000000000004E-2</v>
      </c>
      <c r="G63" s="171"/>
      <c r="H63" s="171"/>
      <c r="I63" s="171"/>
      <c r="J63" s="171"/>
      <c r="K63" s="171"/>
      <c r="L63" s="171"/>
      <c r="M63" s="171"/>
    </row>
    <row r="64" spans="1:13" s="398" customFormat="1" ht="15.75" customHeight="1">
      <c r="A64" s="358"/>
      <c r="B64" s="271"/>
      <c r="C64" s="33" t="s">
        <v>16</v>
      </c>
      <c r="D64" s="30" t="s">
        <v>13</v>
      </c>
      <c r="E64" s="30">
        <v>1470</v>
      </c>
      <c r="F64" s="171">
        <f>F63*E64</f>
        <v>73.206000000000003</v>
      </c>
      <c r="G64" s="171"/>
      <c r="H64" s="171"/>
      <c r="I64" s="171"/>
      <c r="J64" s="171"/>
      <c r="K64" s="171"/>
      <c r="L64" s="171"/>
      <c r="M64" s="171"/>
    </row>
    <row r="65" spans="1:13" s="398" customFormat="1" ht="16.5" customHeight="1">
      <c r="A65" s="358"/>
      <c r="B65" s="271"/>
      <c r="C65" s="33" t="s">
        <v>111</v>
      </c>
      <c r="D65" s="30" t="s">
        <v>2</v>
      </c>
      <c r="E65" s="30">
        <v>121</v>
      </c>
      <c r="F65" s="171">
        <f>F63*E65</f>
        <v>6.0258000000000003</v>
      </c>
      <c r="G65" s="171"/>
      <c r="H65" s="171"/>
      <c r="I65" s="171"/>
      <c r="J65" s="171"/>
      <c r="K65" s="171"/>
      <c r="L65" s="171"/>
      <c r="M65" s="171"/>
    </row>
    <row r="66" spans="1:13" s="398" customFormat="1" ht="15.75" customHeight="1">
      <c r="A66" s="358"/>
      <c r="B66" s="271" t="s">
        <v>18</v>
      </c>
      <c r="C66" s="33" t="s">
        <v>430</v>
      </c>
      <c r="D66" s="30" t="s">
        <v>31</v>
      </c>
      <c r="E66" s="30" t="s">
        <v>62</v>
      </c>
      <c r="F66" s="243">
        <v>181</v>
      </c>
      <c r="G66" s="171"/>
      <c r="H66" s="171"/>
      <c r="I66" s="187"/>
      <c r="J66" s="171"/>
      <c r="K66" s="171"/>
      <c r="L66" s="31"/>
      <c r="M66" s="171"/>
    </row>
    <row r="67" spans="1:13" s="398" customFormat="1" ht="15.75" customHeight="1">
      <c r="A67" s="358"/>
      <c r="B67" s="271" t="s">
        <v>18</v>
      </c>
      <c r="C67" s="33" t="s">
        <v>429</v>
      </c>
      <c r="D67" s="30" t="s">
        <v>31</v>
      </c>
      <c r="E67" s="30" t="s">
        <v>62</v>
      </c>
      <c r="F67" s="243">
        <v>412</v>
      </c>
      <c r="G67" s="171"/>
      <c r="H67" s="171"/>
      <c r="I67" s="187"/>
      <c r="J67" s="171"/>
      <c r="K67" s="171"/>
      <c r="L67" s="31"/>
      <c r="M67" s="171"/>
    </row>
    <row r="68" spans="1:13" s="398" customFormat="1" ht="15.75" customHeight="1">
      <c r="A68" s="358"/>
      <c r="B68" s="271" t="s">
        <v>414</v>
      </c>
      <c r="C68" s="33" t="s">
        <v>396</v>
      </c>
      <c r="D68" s="30" t="s">
        <v>29</v>
      </c>
      <c r="E68" s="30">
        <v>101.5</v>
      </c>
      <c r="F68" s="171">
        <f>F63*E68</f>
        <v>5.0547000000000004</v>
      </c>
      <c r="G68" s="171"/>
      <c r="H68" s="171"/>
      <c r="I68" s="181"/>
      <c r="J68" s="171"/>
      <c r="K68" s="171"/>
      <c r="L68" s="31"/>
      <c r="M68" s="171"/>
    </row>
    <row r="69" spans="1:13" s="398" customFormat="1" ht="16.5" customHeight="1">
      <c r="A69" s="358"/>
      <c r="B69" s="271" t="s">
        <v>393</v>
      </c>
      <c r="C69" s="33" t="s">
        <v>391</v>
      </c>
      <c r="D69" s="30" t="s">
        <v>27</v>
      </c>
      <c r="E69" s="30">
        <v>246</v>
      </c>
      <c r="F69" s="171">
        <f>F63*E69</f>
        <v>12.250800000000002</v>
      </c>
      <c r="G69" s="171"/>
      <c r="H69" s="171"/>
      <c r="I69" s="171"/>
      <c r="J69" s="171"/>
      <c r="K69" s="171"/>
      <c r="L69" s="31"/>
      <c r="M69" s="171"/>
    </row>
    <row r="70" spans="1:13" s="398" customFormat="1" ht="15.75" customHeight="1">
      <c r="A70" s="358"/>
      <c r="B70" s="271" t="s">
        <v>145</v>
      </c>
      <c r="C70" s="33" t="s">
        <v>70</v>
      </c>
      <c r="D70" s="30" t="s">
        <v>30</v>
      </c>
      <c r="E70" s="30">
        <v>1.6</v>
      </c>
      <c r="F70" s="171">
        <f>F63*E70</f>
        <v>7.9680000000000015E-2</v>
      </c>
      <c r="G70" s="171"/>
      <c r="H70" s="171"/>
      <c r="I70" s="336"/>
      <c r="J70" s="171"/>
      <c r="K70" s="171"/>
      <c r="L70" s="31"/>
      <c r="M70" s="171"/>
    </row>
    <row r="71" spans="1:13" s="398" customFormat="1" ht="15.75" customHeight="1">
      <c r="A71" s="358"/>
      <c r="B71" s="271"/>
      <c r="C71" s="33" t="s">
        <v>57</v>
      </c>
      <c r="D71" s="30" t="s">
        <v>30</v>
      </c>
      <c r="E71" s="30">
        <v>0.7</v>
      </c>
      <c r="F71" s="171">
        <f>F63*E71</f>
        <v>3.4860000000000002E-2</v>
      </c>
      <c r="G71" s="171"/>
      <c r="H71" s="171"/>
      <c r="I71" s="336"/>
      <c r="J71" s="171"/>
      <c r="K71" s="171"/>
      <c r="L71" s="31"/>
      <c r="M71" s="171"/>
    </row>
    <row r="72" spans="1:13" s="398" customFormat="1" ht="16.5" customHeight="1">
      <c r="A72" s="358"/>
      <c r="B72" s="271" t="s">
        <v>398</v>
      </c>
      <c r="C72" s="33" t="s">
        <v>66</v>
      </c>
      <c r="D72" s="30" t="s">
        <v>15</v>
      </c>
      <c r="E72" s="30">
        <v>0.33</v>
      </c>
      <c r="F72" s="171">
        <f>F63*E72</f>
        <v>1.6434000000000001E-2</v>
      </c>
      <c r="G72" s="171"/>
      <c r="H72" s="171"/>
      <c r="I72" s="241"/>
      <c r="J72" s="171"/>
      <c r="K72" s="171"/>
      <c r="L72" s="31"/>
      <c r="M72" s="171"/>
    </row>
    <row r="73" spans="1:13" s="398" customFormat="1" ht="15" customHeight="1">
      <c r="A73" s="359"/>
      <c r="B73" s="271"/>
      <c r="C73" s="33" t="s">
        <v>19</v>
      </c>
      <c r="D73" s="30" t="s">
        <v>2</v>
      </c>
      <c r="E73" s="30">
        <v>90</v>
      </c>
      <c r="F73" s="171">
        <f>F63*E73</f>
        <v>4.4820000000000002</v>
      </c>
      <c r="G73" s="171"/>
      <c r="H73" s="171"/>
      <c r="I73" s="171"/>
      <c r="J73" s="171"/>
      <c r="K73" s="171"/>
      <c r="L73" s="171"/>
      <c r="M73" s="171"/>
    </row>
    <row r="74" spans="1:13" s="398" customFormat="1" ht="28.5" customHeight="1">
      <c r="A74" s="217">
        <v>4</v>
      </c>
      <c r="B74" s="271" t="s">
        <v>421</v>
      </c>
      <c r="C74" s="331" t="s">
        <v>420</v>
      </c>
      <c r="D74" s="230" t="s">
        <v>47</v>
      </c>
      <c r="E74" s="37"/>
      <c r="F74" s="330">
        <f>2.8/100</f>
        <v>2.7999999999999997E-2</v>
      </c>
      <c r="G74" s="182"/>
      <c r="H74" s="182"/>
      <c r="I74" s="182"/>
      <c r="J74" s="182"/>
      <c r="K74" s="182"/>
      <c r="L74" s="171"/>
      <c r="M74" s="182"/>
    </row>
    <row r="75" spans="1:13" s="398" customFormat="1" ht="15.75" customHeight="1">
      <c r="A75" s="218"/>
      <c r="B75" s="271"/>
      <c r="C75" s="33" t="s">
        <v>16</v>
      </c>
      <c r="D75" s="30" t="s">
        <v>13</v>
      </c>
      <c r="E75" s="30">
        <v>854</v>
      </c>
      <c r="F75" s="171">
        <f>F74*E75</f>
        <v>23.911999999999999</v>
      </c>
      <c r="G75" s="171"/>
      <c r="H75" s="171"/>
      <c r="I75" s="171"/>
      <c r="J75" s="171"/>
      <c r="K75" s="171"/>
      <c r="L75" s="171"/>
      <c r="M75" s="171"/>
    </row>
    <row r="76" spans="1:13" s="398" customFormat="1" ht="16.5" customHeight="1">
      <c r="A76" s="218"/>
      <c r="B76" s="271"/>
      <c r="C76" s="33" t="s">
        <v>111</v>
      </c>
      <c r="D76" s="30" t="s">
        <v>2</v>
      </c>
      <c r="E76" s="30">
        <v>106</v>
      </c>
      <c r="F76" s="171">
        <f>F74*E76</f>
        <v>2.9679999999999995</v>
      </c>
      <c r="G76" s="171"/>
      <c r="H76" s="171"/>
      <c r="I76" s="171"/>
      <c r="J76" s="171"/>
      <c r="K76" s="171"/>
      <c r="L76" s="171"/>
      <c r="M76" s="171"/>
    </row>
    <row r="77" spans="1:13" s="398" customFormat="1" ht="15.75" customHeight="1">
      <c r="A77" s="218"/>
      <c r="B77" s="271" t="s">
        <v>18</v>
      </c>
      <c r="C77" s="33" t="s">
        <v>431</v>
      </c>
      <c r="D77" s="30" t="s">
        <v>31</v>
      </c>
      <c r="E77" s="30" t="s">
        <v>62</v>
      </c>
      <c r="F77" s="239">
        <v>188</v>
      </c>
      <c r="G77" s="171"/>
      <c r="H77" s="171"/>
      <c r="I77" s="187"/>
      <c r="J77" s="171"/>
      <c r="K77" s="171"/>
      <c r="L77" s="31"/>
      <c r="M77" s="171"/>
    </row>
    <row r="78" spans="1:13" s="398" customFormat="1" ht="15.75" customHeight="1">
      <c r="A78" s="218"/>
      <c r="B78" s="271" t="s">
        <v>18</v>
      </c>
      <c r="C78" s="33" t="s">
        <v>429</v>
      </c>
      <c r="D78" s="30" t="s">
        <v>31</v>
      </c>
      <c r="E78" s="30" t="s">
        <v>62</v>
      </c>
      <c r="F78" s="239">
        <v>199</v>
      </c>
      <c r="G78" s="171"/>
      <c r="H78" s="171"/>
      <c r="I78" s="187"/>
      <c r="J78" s="171"/>
      <c r="K78" s="171"/>
      <c r="L78" s="31"/>
      <c r="M78" s="171"/>
    </row>
    <row r="79" spans="1:13" s="398" customFormat="1" ht="16.5" customHeight="1">
      <c r="A79" s="218"/>
      <c r="B79" s="271" t="s">
        <v>414</v>
      </c>
      <c r="C79" s="33" t="s">
        <v>396</v>
      </c>
      <c r="D79" s="30" t="s">
        <v>29</v>
      </c>
      <c r="E79" s="30">
        <v>101.5</v>
      </c>
      <c r="F79" s="171">
        <f>F74*E79</f>
        <v>2.8419999999999996</v>
      </c>
      <c r="G79" s="171"/>
      <c r="H79" s="171"/>
      <c r="I79" s="181"/>
      <c r="J79" s="171"/>
      <c r="K79" s="171"/>
      <c r="L79" s="31"/>
      <c r="M79" s="171"/>
    </row>
    <row r="80" spans="1:13" s="398" customFormat="1" ht="17.25" customHeight="1">
      <c r="A80" s="218"/>
      <c r="B80" s="271" t="s">
        <v>393</v>
      </c>
      <c r="C80" s="33" t="s">
        <v>391</v>
      </c>
      <c r="D80" s="30" t="s">
        <v>27</v>
      </c>
      <c r="E80" s="30">
        <v>140</v>
      </c>
      <c r="F80" s="171">
        <f>F74*E80</f>
        <v>3.9199999999999995</v>
      </c>
      <c r="G80" s="171"/>
      <c r="H80" s="171"/>
      <c r="I80" s="171"/>
      <c r="J80" s="171"/>
      <c r="K80" s="171"/>
      <c r="L80" s="31"/>
      <c r="M80" s="171"/>
    </row>
    <row r="81" spans="1:13" s="398" customFormat="1" ht="15" customHeight="1">
      <c r="A81" s="218"/>
      <c r="B81" s="271" t="s">
        <v>145</v>
      </c>
      <c r="C81" s="33" t="s">
        <v>70</v>
      </c>
      <c r="D81" s="30" t="s">
        <v>30</v>
      </c>
      <c r="E81" s="30">
        <v>1.45</v>
      </c>
      <c r="F81" s="171">
        <f>F74*E81</f>
        <v>4.0599999999999997E-2</v>
      </c>
      <c r="G81" s="171"/>
      <c r="H81" s="171"/>
      <c r="I81" s="187"/>
      <c r="J81" s="171"/>
      <c r="K81" s="171"/>
      <c r="L81" s="31"/>
      <c r="M81" s="171"/>
    </row>
    <row r="82" spans="1:13" s="398" customFormat="1" ht="16.5" customHeight="1">
      <c r="A82" s="218"/>
      <c r="B82" s="271" t="s">
        <v>398</v>
      </c>
      <c r="C82" s="33" t="s">
        <v>66</v>
      </c>
      <c r="D82" s="30" t="s">
        <v>15</v>
      </c>
      <c r="E82" s="30">
        <v>0.25</v>
      </c>
      <c r="F82" s="171">
        <f>F74*E82</f>
        <v>6.9999999999999993E-3</v>
      </c>
      <c r="G82" s="171"/>
      <c r="H82" s="171"/>
      <c r="I82" s="241"/>
      <c r="J82" s="171"/>
      <c r="K82" s="171"/>
      <c r="L82" s="31"/>
      <c r="M82" s="171"/>
    </row>
    <row r="83" spans="1:13" s="398" customFormat="1" ht="15.75" customHeight="1">
      <c r="A83" s="219"/>
      <c r="B83" s="271"/>
      <c r="C83" s="33" t="s">
        <v>19</v>
      </c>
      <c r="D83" s="30" t="s">
        <v>2</v>
      </c>
      <c r="E83" s="30">
        <v>74</v>
      </c>
      <c r="F83" s="171">
        <f>F74*E83</f>
        <v>2.0719999999999996</v>
      </c>
      <c r="G83" s="171"/>
      <c r="H83" s="171"/>
      <c r="I83" s="171"/>
      <c r="J83" s="171"/>
      <c r="K83" s="171"/>
      <c r="L83" s="31"/>
      <c r="M83" s="171"/>
    </row>
    <row r="84" spans="1:13" s="246" customFormat="1" ht="44.25" customHeight="1">
      <c r="A84" s="244">
        <v>1</v>
      </c>
      <c r="B84" s="55" t="s">
        <v>466</v>
      </c>
      <c r="C84" s="66" t="s">
        <v>467</v>
      </c>
      <c r="D84" s="193" t="s">
        <v>465</v>
      </c>
      <c r="E84" s="194"/>
      <c r="F84" s="245">
        <v>1.3</v>
      </c>
      <c r="G84" s="195"/>
      <c r="H84" s="196"/>
      <c r="I84" s="197"/>
      <c r="J84" s="208"/>
      <c r="K84" s="198"/>
      <c r="L84" s="198"/>
      <c r="M84" s="198"/>
    </row>
    <row r="85" spans="1:13" s="246" customFormat="1" ht="16.5" customHeight="1">
      <c r="A85" s="247"/>
      <c r="B85" s="205"/>
      <c r="C85" s="65" t="s">
        <v>176</v>
      </c>
      <c r="D85" s="54" t="s">
        <v>13</v>
      </c>
      <c r="E85" s="71">
        <v>23.8</v>
      </c>
      <c r="F85" s="55">
        <f>E85*F84</f>
        <v>30.94</v>
      </c>
      <c r="G85" s="199"/>
      <c r="H85" s="200"/>
      <c r="I85" s="201"/>
      <c r="J85" s="208"/>
      <c r="K85" s="202"/>
      <c r="L85" s="202"/>
      <c r="M85" s="208"/>
    </row>
    <row r="86" spans="1:13" s="246" customFormat="1" ht="16.5" customHeight="1">
      <c r="A86" s="247"/>
      <c r="B86" s="205"/>
      <c r="C86" s="65" t="s">
        <v>14</v>
      </c>
      <c r="D86" s="203" t="s">
        <v>2</v>
      </c>
      <c r="E86" s="204">
        <v>2.1</v>
      </c>
      <c r="F86" s="55">
        <f>F84*E86</f>
        <v>2.7300000000000004</v>
      </c>
      <c r="G86" s="205"/>
      <c r="H86" s="200"/>
      <c r="I86" s="201"/>
      <c r="J86" s="208"/>
      <c r="K86" s="202"/>
      <c r="L86" s="202"/>
      <c r="M86" s="208"/>
    </row>
    <row r="87" spans="1:13" s="246" customFormat="1" ht="16.5" customHeight="1">
      <c r="A87" s="247"/>
      <c r="B87" s="205" t="s">
        <v>447</v>
      </c>
      <c r="C87" s="65" t="s">
        <v>448</v>
      </c>
      <c r="D87" s="54" t="s">
        <v>469</v>
      </c>
      <c r="E87" s="204">
        <v>1.05</v>
      </c>
      <c r="F87" s="55">
        <f>F84*E87</f>
        <v>1.3650000000000002</v>
      </c>
      <c r="G87" s="205"/>
      <c r="H87" s="200"/>
      <c r="I87" s="342"/>
      <c r="J87" s="208"/>
      <c r="K87" s="202"/>
      <c r="L87" s="202"/>
      <c r="M87" s="208"/>
    </row>
    <row r="88" spans="1:13" s="246" customFormat="1" ht="16.5" customHeight="1">
      <c r="A88" s="247"/>
      <c r="B88" s="205" t="s">
        <v>449</v>
      </c>
      <c r="C88" s="65" t="s">
        <v>450</v>
      </c>
      <c r="D88" s="203" t="s">
        <v>21</v>
      </c>
      <c r="E88" s="204">
        <v>1.96</v>
      </c>
      <c r="F88" s="55">
        <f>F84*E88</f>
        <v>2.548</v>
      </c>
      <c r="G88" s="203"/>
      <c r="H88" s="55"/>
      <c r="I88" s="206"/>
      <c r="J88" s="208"/>
      <c r="K88" s="202"/>
      <c r="L88" s="202"/>
      <c r="M88" s="208"/>
    </row>
    <row r="89" spans="1:13" s="246" customFormat="1" ht="16.5" customHeight="1">
      <c r="A89" s="247"/>
      <c r="B89" s="205" t="s">
        <v>451</v>
      </c>
      <c r="C89" s="65" t="s">
        <v>452</v>
      </c>
      <c r="D89" s="30" t="s">
        <v>27</v>
      </c>
      <c r="E89" s="204">
        <v>3.38</v>
      </c>
      <c r="F89" s="55">
        <f>F84*E89</f>
        <v>4.3940000000000001</v>
      </c>
      <c r="G89" s="203"/>
      <c r="H89" s="55"/>
      <c r="I89" s="202"/>
      <c r="J89" s="208"/>
      <c r="K89" s="202"/>
      <c r="L89" s="202"/>
      <c r="M89" s="208"/>
    </row>
    <row r="90" spans="1:13" s="246" customFormat="1" ht="16.5" customHeight="1">
      <c r="A90" s="247"/>
      <c r="B90" s="205" t="s">
        <v>453</v>
      </c>
      <c r="C90" s="65" t="s">
        <v>454</v>
      </c>
      <c r="D90" s="203" t="s">
        <v>21</v>
      </c>
      <c r="E90" s="204">
        <v>4.38</v>
      </c>
      <c r="F90" s="55">
        <f>E90*F84</f>
        <v>5.694</v>
      </c>
      <c r="G90" s="203"/>
      <c r="H90" s="55"/>
      <c r="I90" s="343"/>
      <c r="J90" s="208"/>
      <c r="K90" s="202"/>
      <c r="L90" s="202"/>
      <c r="M90" s="208"/>
    </row>
    <row r="91" spans="1:13" s="246" customFormat="1" ht="16.5" customHeight="1">
      <c r="A91" s="247"/>
      <c r="B91" s="205" t="s">
        <v>18</v>
      </c>
      <c r="C91" s="65" t="s">
        <v>455</v>
      </c>
      <c r="D91" s="203" t="s">
        <v>21</v>
      </c>
      <c r="E91" s="207">
        <v>7.2</v>
      </c>
      <c r="F91" s="55">
        <f>E91*F84</f>
        <v>9.3600000000000012</v>
      </c>
      <c r="G91" s="203"/>
      <c r="H91" s="55"/>
      <c r="I91" s="206"/>
      <c r="J91" s="208"/>
      <c r="K91" s="202"/>
      <c r="L91" s="202"/>
      <c r="M91" s="208"/>
    </row>
    <row r="92" spans="1:13" s="246" customFormat="1" ht="16.5" customHeight="1">
      <c r="A92" s="248"/>
      <c r="B92" s="205"/>
      <c r="C92" s="65" t="s">
        <v>19</v>
      </c>
      <c r="D92" s="203" t="s">
        <v>2</v>
      </c>
      <c r="E92" s="204">
        <v>3.44</v>
      </c>
      <c r="F92" s="55">
        <f>F84*E92</f>
        <v>4.4720000000000004</v>
      </c>
      <c r="G92" s="205"/>
      <c r="H92" s="200"/>
      <c r="I92" s="201"/>
      <c r="J92" s="208"/>
      <c r="K92" s="202"/>
      <c r="L92" s="202"/>
      <c r="M92" s="208"/>
    </row>
    <row r="93" spans="1:13" ht="18.75" customHeight="1">
      <c r="A93" s="249">
        <v>2</v>
      </c>
      <c r="B93" s="54" t="s">
        <v>456</v>
      </c>
      <c r="C93" s="66" t="s">
        <v>457</v>
      </c>
      <c r="D93" s="45" t="s">
        <v>435</v>
      </c>
      <c r="E93" s="250"/>
      <c r="F93" s="251">
        <v>44</v>
      </c>
      <c r="G93" s="252"/>
      <c r="H93" s="252"/>
      <c r="I93" s="253"/>
      <c r="J93" s="253"/>
      <c r="K93" s="253"/>
      <c r="L93" s="253"/>
      <c r="M93" s="254"/>
    </row>
    <row r="94" spans="1:13">
      <c r="A94" s="255"/>
      <c r="B94" s="256"/>
      <c r="C94" s="65" t="s">
        <v>16</v>
      </c>
      <c r="D94" s="203" t="s">
        <v>458</v>
      </c>
      <c r="E94" s="211">
        <v>0.24199999999999999</v>
      </c>
      <c r="F94" s="208">
        <f>E94*F93</f>
        <v>10.648</v>
      </c>
      <c r="G94" s="252"/>
      <c r="H94" s="208"/>
      <c r="I94" s="257"/>
      <c r="J94" s="257"/>
      <c r="K94" s="253"/>
      <c r="L94" s="253"/>
      <c r="M94" s="208"/>
    </row>
    <row r="95" spans="1:13">
      <c r="A95" s="255"/>
      <c r="B95" s="256"/>
      <c r="C95" s="65" t="s">
        <v>14</v>
      </c>
      <c r="D95" s="203" t="s">
        <v>2</v>
      </c>
      <c r="E95" s="211">
        <v>4.2999999999999997E-2</v>
      </c>
      <c r="F95" s="208">
        <f>E95*F93</f>
        <v>1.8919999999999999</v>
      </c>
      <c r="G95" s="252"/>
      <c r="H95" s="211"/>
      <c r="I95" s="257"/>
      <c r="J95" s="257"/>
      <c r="K95" s="257"/>
      <c r="L95" s="257"/>
      <c r="M95" s="208"/>
    </row>
    <row r="96" spans="1:13" ht="45.75" customHeight="1">
      <c r="A96" s="255"/>
      <c r="B96" s="54" t="s">
        <v>459</v>
      </c>
      <c r="C96" s="65" t="s">
        <v>468</v>
      </c>
      <c r="D96" s="54" t="s">
        <v>469</v>
      </c>
      <c r="E96" s="211" t="s">
        <v>62</v>
      </c>
      <c r="F96" s="209">
        <v>0.26500000000000001</v>
      </c>
      <c r="G96" s="211"/>
      <c r="H96" s="211"/>
      <c r="I96" s="344"/>
      <c r="J96" s="208"/>
      <c r="K96" s="257"/>
      <c r="L96" s="257"/>
      <c r="M96" s="208"/>
    </row>
    <row r="97" spans="1:13" ht="17.25" customHeight="1">
      <c r="A97" s="255"/>
      <c r="B97" s="256" t="s">
        <v>460</v>
      </c>
      <c r="C97" s="65" t="s">
        <v>461</v>
      </c>
      <c r="D97" s="203" t="s">
        <v>21</v>
      </c>
      <c r="E97" s="211">
        <v>0.112</v>
      </c>
      <c r="F97" s="208">
        <f>E97*F93</f>
        <v>4.9279999999999999</v>
      </c>
      <c r="G97" s="211"/>
      <c r="H97" s="208"/>
      <c r="I97" s="258"/>
      <c r="J97" s="208"/>
      <c r="K97" s="257"/>
      <c r="L97" s="257"/>
      <c r="M97" s="208"/>
    </row>
    <row r="98" spans="1:13" ht="15.75" customHeight="1">
      <c r="A98" s="259"/>
      <c r="B98" s="256"/>
      <c r="C98" s="260" t="s">
        <v>19</v>
      </c>
      <c r="D98" s="203" t="s">
        <v>2</v>
      </c>
      <c r="E98" s="209">
        <v>4.8399999999999999E-2</v>
      </c>
      <c r="F98" s="208">
        <f>E98*F93</f>
        <v>2.1295999999999999</v>
      </c>
      <c r="G98" s="252"/>
      <c r="H98" s="261"/>
      <c r="I98" s="257"/>
      <c r="J98" s="208"/>
      <c r="K98" s="257"/>
      <c r="L98" s="257"/>
      <c r="M98" s="208"/>
    </row>
    <row r="99" spans="1:13" ht="18" customHeight="1">
      <c r="A99" s="249">
        <v>3</v>
      </c>
      <c r="B99" s="256" t="s">
        <v>462</v>
      </c>
      <c r="C99" s="262" t="s">
        <v>463</v>
      </c>
      <c r="D99" s="193" t="s">
        <v>464</v>
      </c>
      <c r="E99" s="209"/>
      <c r="F99" s="251">
        <v>44</v>
      </c>
      <c r="G99" s="261"/>
      <c r="H99" s="261"/>
      <c r="I99" s="257"/>
      <c r="J99" s="208"/>
      <c r="K99" s="257"/>
      <c r="L99" s="257"/>
      <c r="M99" s="208"/>
    </row>
    <row r="100" spans="1:13" ht="15.75" customHeight="1">
      <c r="A100" s="255"/>
      <c r="B100" s="256"/>
      <c r="C100" s="65" t="s">
        <v>16</v>
      </c>
      <c r="D100" s="203" t="s">
        <v>458</v>
      </c>
      <c r="E100" s="211">
        <v>4.24E-2</v>
      </c>
      <c r="F100" s="208">
        <f>E100*F99</f>
        <v>1.8655999999999999</v>
      </c>
      <c r="G100" s="208"/>
      <c r="H100" s="208"/>
      <c r="I100" s="257"/>
      <c r="J100" s="208"/>
      <c r="K100" s="253"/>
      <c r="L100" s="253"/>
      <c r="M100" s="208"/>
    </row>
    <row r="101" spans="1:13" ht="16.5" customHeight="1">
      <c r="A101" s="255"/>
      <c r="B101" s="256"/>
      <c r="C101" s="65" t="s">
        <v>111</v>
      </c>
      <c r="D101" s="203" t="s">
        <v>2</v>
      </c>
      <c r="E101" s="211">
        <f>0.21/100</f>
        <v>2.0999999999999999E-3</v>
      </c>
      <c r="F101" s="208">
        <f>E101*F99</f>
        <v>9.2399999999999996E-2</v>
      </c>
      <c r="G101" s="261"/>
      <c r="H101" s="211"/>
      <c r="I101" s="257"/>
      <c r="J101" s="208"/>
      <c r="K101" s="257"/>
      <c r="L101" s="257"/>
      <c r="M101" s="208"/>
    </row>
    <row r="102" spans="1:13" ht="18" customHeight="1">
      <c r="A102" s="259"/>
      <c r="B102" s="256" t="s">
        <v>18</v>
      </c>
      <c r="C102" s="260" t="s">
        <v>450</v>
      </c>
      <c r="D102" s="203" t="s">
        <v>15</v>
      </c>
      <c r="E102" s="263">
        <f>0.015/100</f>
        <v>1.4999999999999999E-4</v>
      </c>
      <c r="F102" s="208">
        <f>F99*E102</f>
        <v>6.5999999999999991E-3</v>
      </c>
      <c r="G102" s="261"/>
      <c r="H102" s="261"/>
      <c r="I102" s="210"/>
      <c r="J102" s="208"/>
      <c r="K102" s="257"/>
      <c r="L102" s="257"/>
      <c r="M102" s="208"/>
    </row>
    <row r="103" spans="1:13" ht="17.25" customHeight="1">
      <c r="A103" s="249">
        <v>4</v>
      </c>
      <c r="B103" s="264" t="s">
        <v>470</v>
      </c>
      <c r="C103" s="66" t="s">
        <v>179</v>
      </c>
      <c r="D103" s="45" t="s">
        <v>118</v>
      </c>
      <c r="E103" s="250"/>
      <c r="F103" s="250">
        <v>8.8000000000000007</v>
      </c>
      <c r="G103" s="252"/>
      <c r="H103" s="252"/>
      <c r="I103" s="257"/>
      <c r="J103" s="253"/>
      <c r="K103" s="253"/>
      <c r="L103" s="257"/>
      <c r="M103" s="265"/>
    </row>
    <row r="104" spans="1:13" ht="15.75" customHeight="1">
      <c r="A104" s="255"/>
      <c r="B104" s="266"/>
      <c r="C104" s="65" t="s">
        <v>176</v>
      </c>
      <c r="D104" s="54" t="s">
        <v>13</v>
      </c>
      <c r="E104" s="211">
        <v>0.28599999999999998</v>
      </c>
      <c r="F104" s="208">
        <f>E104*F103</f>
        <v>2.5167999999999999</v>
      </c>
      <c r="G104" s="208"/>
      <c r="H104" s="208"/>
      <c r="I104" s="257"/>
      <c r="J104" s="253"/>
      <c r="K104" s="253"/>
      <c r="L104" s="257"/>
      <c r="M104" s="258"/>
    </row>
    <row r="105" spans="1:13" ht="17.25" customHeight="1">
      <c r="A105" s="255"/>
      <c r="B105" s="266"/>
      <c r="C105" s="65" t="s">
        <v>111</v>
      </c>
      <c r="D105" s="54" t="s">
        <v>2</v>
      </c>
      <c r="E105" s="211">
        <v>4.1000000000000003E-3</v>
      </c>
      <c r="F105" s="208">
        <f>E105*F103</f>
        <v>3.6080000000000008E-2</v>
      </c>
      <c r="G105" s="267"/>
      <c r="H105" s="208"/>
      <c r="I105" s="257"/>
      <c r="J105" s="253"/>
      <c r="K105" s="257"/>
      <c r="L105" s="257"/>
      <c r="M105" s="258"/>
    </row>
    <row r="106" spans="1:13" ht="29.25" customHeight="1">
      <c r="A106" s="255"/>
      <c r="B106" s="266" t="s">
        <v>191</v>
      </c>
      <c r="C106" s="65" t="s">
        <v>471</v>
      </c>
      <c r="D106" s="54" t="s">
        <v>31</v>
      </c>
      <c r="E106" s="211">
        <v>1.05</v>
      </c>
      <c r="F106" s="208">
        <f>E106*F103</f>
        <v>9.240000000000002</v>
      </c>
      <c r="G106" s="268"/>
      <c r="H106" s="208"/>
      <c r="I106" s="258"/>
      <c r="J106" s="208"/>
      <c r="K106" s="208"/>
      <c r="L106" s="208"/>
      <c r="M106" s="208"/>
    </row>
    <row r="107" spans="1:13" ht="18.75" customHeight="1">
      <c r="A107" s="255"/>
      <c r="B107" s="264" t="s">
        <v>414</v>
      </c>
      <c r="C107" s="65" t="s">
        <v>472</v>
      </c>
      <c r="D107" s="54" t="s">
        <v>72</v>
      </c>
      <c r="E107" s="211">
        <v>2.5</v>
      </c>
      <c r="F107" s="210">
        <f>E107*F103</f>
        <v>22</v>
      </c>
      <c r="G107" s="212"/>
      <c r="H107" s="208"/>
      <c r="I107" s="258"/>
      <c r="J107" s="208"/>
      <c r="K107" s="208"/>
      <c r="L107" s="208"/>
      <c r="M107" s="208"/>
    </row>
    <row r="108" spans="1:13" ht="17.25" customHeight="1">
      <c r="A108" s="255"/>
      <c r="B108" s="264" t="s">
        <v>18</v>
      </c>
      <c r="C108" s="65" t="s">
        <v>473</v>
      </c>
      <c r="D108" s="54" t="s">
        <v>72</v>
      </c>
      <c r="E108" s="211">
        <v>2</v>
      </c>
      <c r="F108" s="210">
        <f>F107*E108</f>
        <v>44</v>
      </c>
      <c r="G108" s="212"/>
      <c r="H108" s="208"/>
      <c r="I108" s="265"/>
      <c r="J108" s="208"/>
      <c r="K108" s="208"/>
      <c r="L108" s="208"/>
      <c r="M108" s="208"/>
    </row>
    <row r="109" spans="1:13" ht="30" customHeight="1">
      <c r="A109" s="269">
        <v>5</v>
      </c>
      <c r="B109" s="264" t="s">
        <v>474</v>
      </c>
      <c r="C109" s="66" t="s">
        <v>479</v>
      </c>
      <c r="D109" s="45" t="s">
        <v>118</v>
      </c>
      <c r="E109" s="250"/>
      <c r="F109" s="250">
        <v>7.2</v>
      </c>
      <c r="G109" s="267"/>
      <c r="H109" s="252"/>
      <c r="I109" s="258"/>
      <c r="J109" s="208"/>
      <c r="K109" s="254"/>
      <c r="L109" s="254"/>
      <c r="M109" s="208"/>
    </row>
    <row r="110" spans="1:13" ht="17.25" customHeight="1">
      <c r="A110" s="270"/>
      <c r="B110" s="266"/>
      <c r="C110" s="65" t="s">
        <v>176</v>
      </c>
      <c r="D110" s="54" t="s">
        <v>13</v>
      </c>
      <c r="E110" s="211">
        <v>0.74</v>
      </c>
      <c r="F110" s="208">
        <f>F109*E110</f>
        <v>5.3280000000000003</v>
      </c>
      <c r="G110" s="261"/>
      <c r="H110" s="208"/>
      <c r="I110" s="258"/>
      <c r="J110" s="208"/>
      <c r="K110" s="254"/>
      <c r="L110" s="254"/>
      <c r="M110" s="258"/>
    </row>
    <row r="111" spans="1:13" ht="17.25" customHeight="1">
      <c r="A111" s="270"/>
      <c r="B111" s="266"/>
      <c r="C111" s="65" t="s">
        <v>111</v>
      </c>
      <c r="D111" s="54" t="s">
        <v>2</v>
      </c>
      <c r="E111" s="211">
        <v>6.6199999999999995E-2</v>
      </c>
      <c r="F111" s="208">
        <f>E111*F109</f>
        <v>0.47663999999999995</v>
      </c>
      <c r="G111" s="252"/>
      <c r="H111" s="208"/>
      <c r="I111" s="254"/>
      <c r="J111" s="208"/>
      <c r="K111" s="258"/>
      <c r="L111" s="258"/>
      <c r="M111" s="258"/>
    </row>
    <row r="112" spans="1:13" ht="30" customHeight="1">
      <c r="A112" s="270"/>
      <c r="B112" s="266" t="s">
        <v>191</v>
      </c>
      <c r="C112" s="65" t="s">
        <v>475</v>
      </c>
      <c r="D112" s="54" t="s">
        <v>118</v>
      </c>
      <c r="E112" s="271">
        <v>1.05</v>
      </c>
      <c r="F112" s="212">
        <f>E112*F109</f>
        <v>7.5600000000000005</v>
      </c>
      <c r="G112" s="211"/>
      <c r="H112" s="208"/>
      <c r="I112" s="272"/>
      <c r="J112" s="208"/>
      <c r="K112" s="273"/>
      <c r="L112" s="273"/>
      <c r="M112" s="258"/>
    </row>
    <row r="113" spans="1:13" ht="15.75" customHeight="1">
      <c r="A113" s="270"/>
      <c r="B113" s="266" t="s">
        <v>20</v>
      </c>
      <c r="C113" s="65" t="s">
        <v>476</v>
      </c>
      <c r="D113" s="54" t="s">
        <v>72</v>
      </c>
      <c r="E113" s="271">
        <v>1.1000000000000001</v>
      </c>
      <c r="F113" s="210">
        <f>E113*F109</f>
        <v>7.9200000000000008</v>
      </c>
      <c r="G113" s="211"/>
      <c r="H113" s="208"/>
      <c r="I113" s="274"/>
      <c r="J113" s="208"/>
      <c r="K113" s="275"/>
      <c r="L113" s="275"/>
      <c r="M113" s="258"/>
    </row>
    <row r="114" spans="1:13" ht="30" customHeight="1">
      <c r="A114" s="270"/>
      <c r="B114" s="266" t="s">
        <v>191</v>
      </c>
      <c r="C114" s="65" t="s">
        <v>481</v>
      </c>
      <c r="D114" s="203" t="s">
        <v>182</v>
      </c>
      <c r="E114" s="211" t="s">
        <v>62</v>
      </c>
      <c r="F114" s="211">
        <v>2</v>
      </c>
      <c r="G114" s="211"/>
      <c r="H114" s="208"/>
      <c r="I114" s="258"/>
      <c r="J114" s="208"/>
      <c r="K114" s="254"/>
      <c r="L114" s="254"/>
      <c r="M114" s="258"/>
    </row>
    <row r="115" spans="1:13" ht="18.75" customHeight="1">
      <c r="A115" s="270"/>
      <c r="B115" s="264" t="s">
        <v>117</v>
      </c>
      <c r="C115" s="260" t="s">
        <v>477</v>
      </c>
      <c r="D115" s="203" t="s">
        <v>182</v>
      </c>
      <c r="E115" s="211">
        <v>3</v>
      </c>
      <c r="F115" s="211">
        <f>F114*E115</f>
        <v>6</v>
      </c>
      <c r="G115" s="211"/>
      <c r="H115" s="208"/>
      <c r="I115" s="258"/>
      <c r="J115" s="208"/>
      <c r="K115" s="254"/>
      <c r="L115" s="254"/>
      <c r="M115" s="258"/>
    </row>
    <row r="116" spans="1:13" ht="16.5" customHeight="1">
      <c r="A116" s="276"/>
      <c r="B116" s="266"/>
      <c r="C116" s="65" t="s">
        <v>19</v>
      </c>
      <c r="D116" s="54" t="s">
        <v>2</v>
      </c>
      <c r="E116" s="271">
        <v>0.13</v>
      </c>
      <c r="F116" s="208">
        <f>E116*F109</f>
        <v>0.93600000000000005</v>
      </c>
      <c r="G116" s="211"/>
      <c r="H116" s="208"/>
      <c r="I116" s="274"/>
      <c r="J116" s="208"/>
      <c r="K116" s="275"/>
      <c r="L116" s="275"/>
      <c r="M116" s="258"/>
    </row>
    <row r="117" spans="1:13" ht="21" customHeight="1">
      <c r="A117" s="249">
        <v>6</v>
      </c>
      <c r="B117" s="264" t="s">
        <v>478</v>
      </c>
      <c r="C117" s="66" t="s">
        <v>480</v>
      </c>
      <c r="D117" s="45" t="s">
        <v>435</v>
      </c>
      <c r="E117" s="250"/>
      <c r="F117" s="251">
        <v>44</v>
      </c>
      <c r="G117" s="252"/>
      <c r="H117" s="252"/>
      <c r="I117" s="258"/>
      <c r="J117" s="258"/>
      <c r="K117" s="258"/>
      <c r="L117" s="254"/>
      <c r="M117" s="208"/>
    </row>
    <row r="118" spans="1:13" ht="16.5" customHeight="1">
      <c r="A118" s="255"/>
      <c r="B118" s="277"/>
      <c r="C118" s="65" t="s">
        <v>176</v>
      </c>
      <c r="D118" s="54" t="s">
        <v>13</v>
      </c>
      <c r="E118" s="211">
        <v>0.42899999999999999</v>
      </c>
      <c r="F118" s="208">
        <f>E118*F117</f>
        <v>18.876000000000001</v>
      </c>
      <c r="G118" s="208"/>
      <c r="H118" s="261"/>
      <c r="I118" s="258"/>
      <c r="J118" s="258"/>
      <c r="K118" s="258"/>
      <c r="L118" s="254"/>
      <c r="M118" s="208"/>
    </row>
    <row r="119" spans="1:13" ht="15.75" customHeight="1">
      <c r="A119" s="255"/>
      <c r="B119" s="277"/>
      <c r="C119" s="65" t="s">
        <v>111</v>
      </c>
      <c r="D119" s="54" t="s">
        <v>2</v>
      </c>
      <c r="E119" s="211">
        <v>2.64E-3</v>
      </c>
      <c r="F119" s="208">
        <f>E119*F117</f>
        <v>0.11616</v>
      </c>
      <c r="G119" s="252"/>
      <c r="H119" s="261"/>
      <c r="I119" s="254"/>
      <c r="J119" s="258"/>
      <c r="K119" s="258"/>
      <c r="L119" s="258"/>
      <c r="M119" s="208"/>
    </row>
    <row r="120" spans="1:13" ht="19.5" customHeight="1">
      <c r="A120" s="255"/>
      <c r="B120" s="264" t="s">
        <v>18</v>
      </c>
      <c r="C120" s="65" t="s">
        <v>483</v>
      </c>
      <c r="D120" s="54" t="s">
        <v>27</v>
      </c>
      <c r="E120" s="211">
        <v>1.1200000000000001</v>
      </c>
      <c r="F120" s="208">
        <f>F117*E120</f>
        <v>49.28</v>
      </c>
      <c r="G120" s="252"/>
      <c r="H120" s="261"/>
      <c r="I120" s="258"/>
      <c r="J120" s="208"/>
      <c r="K120" s="258"/>
      <c r="L120" s="258"/>
      <c r="M120" s="208"/>
    </row>
    <row r="121" spans="1:13" ht="43.5" customHeight="1">
      <c r="A121" s="255"/>
      <c r="B121" s="54" t="s">
        <v>143</v>
      </c>
      <c r="C121" s="33" t="s">
        <v>482</v>
      </c>
      <c r="D121" s="54" t="s">
        <v>27</v>
      </c>
      <c r="E121" s="36"/>
      <c r="F121" s="208">
        <v>4.62</v>
      </c>
      <c r="G121" s="252"/>
      <c r="H121" s="261"/>
      <c r="I121" s="258"/>
      <c r="J121" s="208"/>
      <c r="K121" s="258"/>
      <c r="L121" s="258"/>
      <c r="M121" s="208"/>
    </row>
    <row r="122" spans="1:13" ht="18" customHeight="1">
      <c r="A122" s="255"/>
      <c r="B122" s="256" t="s">
        <v>18</v>
      </c>
      <c r="C122" s="65" t="s">
        <v>178</v>
      </c>
      <c r="D122" s="54" t="s">
        <v>72</v>
      </c>
      <c r="E122" s="211">
        <v>6</v>
      </c>
      <c r="F122" s="211">
        <f>E122*F117</f>
        <v>264</v>
      </c>
      <c r="G122" s="252"/>
      <c r="H122" s="261"/>
      <c r="I122" s="258"/>
      <c r="J122" s="208"/>
      <c r="K122" s="257"/>
      <c r="L122" s="253"/>
      <c r="M122" s="208"/>
    </row>
    <row r="123" spans="1:13" ht="16.5" customHeight="1">
      <c r="A123" s="259"/>
      <c r="B123" s="277"/>
      <c r="C123" s="65" t="s">
        <v>19</v>
      </c>
      <c r="D123" s="54" t="s">
        <v>2</v>
      </c>
      <c r="E123" s="211">
        <v>7.8E-2</v>
      </c>
      <c r="F123" s="208">
        <f>E123*F117</f>
        <v>3.4319999999999999</v>
      </c>
      <c r="G123" s="252"/>
      <c r="H123" s="261"/>
      <c r="I123" s="257"/>
      <c r="J123" s="208"/>
      <c r="K123" s="257"/>
      <c r="L123" s="253"/>
      <c r="M123" s="208"/>
    </row>
    <row r="124" spans="1:13" s="398" customFormat="1" ht="44.25" customHeight="1">
      <c r="A124" s="217">
        <v>7</v>
      </c>
      <c r="B124" s="402" t="s">
        <v>484</v>
      </c>
      <c r="C124" s="44" t="s">
        <v>486</v>
      </c>
      <c r="D124" s="45" t="s">
        <v>435</v>
      </c>
      <c r="E124" s="36"/>
      <c r="F124" s="278">
        <v>4.62</v>
      </c>
      <c r="G124" s="47"/>
      <c r="H124" s="47"/>
      <c r="I124" s="47"/>
      <c r="J124" s="47"/>
      <c r="K124" s="47"/>
      <c r="L124" s="47"/>
      <c r="M124" s="47"/>
    </row>
    <row r="125" spans="1:13" s="398" customFormat="1" ht="16.5" customHeight="1">
      <c r="A125" s="218"/>
      <c r="B125" s="256"/>
      <c r="C125" s="33" t="s">
        <v>16</v>
      </c>
      <c r="D125" s="30" t="s">
        <v>13</v>
      </c>
      <c r="E125" s="30">
        <v>0.83</v>
      </c>
      <c r="F125" s="200">
        <f>F124*E125</f>
        <v>3.8346</v>
      </c>
      <c r="G125" s="47"/>
      <c r="H125" s="261"/>
      <c r="I125" s="258"/>
      <c r="J125" s="258"/>
      <c r="K125" s="258"/>
      <c r="L125" s="258"/>
      <c r="M125" s="208"/>
    </row>
    <row r="126" spans="1:13" s="398" customFormat="1" ht="16.5" customHeight="1">
      <c r="A126" s="218"/>
      <c r="B126" s="256"/>
      <c r="C126" s="33" t="s">
        <v>14</v>
      </c>
      <c r="D126" s="30" t="s">
        <v>2</v>
      </c>
      <c r="E126" s="30">
        <v>4.1000000000000003E-3</v>
      </c>
      <c r="F126" s="200">
        <f>F124*E126</f>
        <v>1.8942000000000001E-2</v>
      </c>
      <c r="G126" s="47"/>
      <c r="H126" s="47"/>
      <c r="I126" s="258"/>
      <c r="J126" s="258"/>
      <c r="K126" s="258"/>
      <c r="L126" s="258"/>
      <c r="M126" s="208"/>
    </row>
    <row r="127" spans="1:13" s="398" customFormat="1" ht="15.75" customHeight="1">
      <c r="A127" s="218"/>
      <c r="B127" s="256" t="s">
        <v>143</v>
      </c>
      <c r="C127" s="33" t="s">
        <v>485</v>
      </c>
      <c r="D127" s="54" t="s">
        <v>27</v>
      </c>
      <c r="E127" s="36">
        <v>1.05</v>
      </c>
      <c r="F127" s="55">
        <f>F124*E127</f>
        <v>4.851</v>
      </c>
      <c r="G127" s="47"/>
      <c r="H127" s="47"/>
      <c r="I127" s="258"/>
      <c r="J127" s="258"/>
      <c r="K127" s="258"/>
      <c r="L127" s="258"/>
      <c r="M127" s="208"/>
    </row>
    <row r="128" spans="1:13" s="398" customFormat="1" ht="19.5" customHeight="1">
      <c r="A128" s="218"/>
      <c r="B128" s="256" t="s">
        <v>18</v>
      </c>
      <c r="C128" s="65" t="s">
        <v>178</v>
      </c>
      <c r="D128" s="54" t="s">
        <v>72</v>
      </c>
      <c r="E128" s="211">
        <v>6</v>
      </c>
      <c r="F128" s="210">
        <f>F124*E128</f>
        <v>27.72</v>
      </c>
      <c r="G128" s="252"/>
      <c r="H128" s="261"/>
      <c r="I128" s="258"/>
      <c r="J128" s="208"/>
      <c r="K128" s="257"/>
      <c r="L128" s="253"/>
      <c r="M128" s="208"/>
    </row>
    <row r="129" spans="1:16" s="398" customFormat="1" ht="16.5" customHeight="1">
      <c r="A129" s="218"/>
      <c r="B129" s="256"/>
      <c r="C129" s="33" t="s">
        <v>19</v>
      </c>
      <c r="D129" s="30" t="s">
        <v>2</v>
      </c>
      <c r="E129" s="30">
        <v>7.8E-2</v>
      </c>
      <c r="F129" s="200">
        <f>F124*E129</f>
        <v>0.36036000000000001</v>
      </c>
      <c r="G129" s="47"/>
      <c r="H129" s="47"/>
      <c r="I129" s="258"/>
      <c r="J129" s="258"/>
      <c r="K129" s="47"/>
      <c r="L129" s="47"/>
      <c r="M129" s="208"/>
    </row>
    <row r="130" spans="1:16" s="398" customFormat="1" ht="36.75" customHeight="1">
      <c r="A130" s="217">
        <v>8</v>
      </c>
      <c r="B130" s="402" t="s">
        <v>484</v>
      </c>
      <c r="C130" s="44" t="s">
        <v>500</v>
      </c>
      <c r="D130" s="45" t="s">
        <v>435</v>
      </c>
      <c r="E130" s="36"/>
      <c r="F130" s="251">
        <v>12</v>
      </c>
      <c r="G130" s="47"/>
      <c r="H130" s="47"/>
      <c r="I130" s="47"/>
      <c r="J130" s="47"/>
      <c r="K130" s="47"/>
      <c r="L130" s="47"/>
      <c r="M130" s="47"/>
    </row>
    <row r="131" spans="1:16" s="398" customFormat="1" ht="16.5" customHeight="1">
      <c r="A131" s="218"/>
      <c r="B131" s="256"/>
      <c r="C131" s="33" t="s">
        <v>16</v>
      </c>
      <c r="D131" s="30" t="s">
        <v>13</v>
      </c>
      <c r="E131" s="30">
        <v>0.83</v>
      </c>
      <c r="F131" s="200">
        <f>F130*E131</f>
        <v>9.9599999999999991</v>
      </c>
      <c r="G131" s="47"/>
      <c r="H131" s="261"/>
      <c r="I131" s="258"/>
      <c r="J131" s="258"/>
      <c r="K131" s="258"/>
      <c r="L131" s="258"/>
      <c r="M131" s="208"/>
    </row>
    <row r="132" spans="1:16" s="398" customFormat="1" ht="16.5" customHeight="1">
      <c r="A132" s="218"/>
      <c r="B132" s="256"/>
      <c r="C132" s="33" t="s">
        <v>14</v>
      </c>
      <c r="D132" s="30" t="s">
        <v>2</v>
      </c>
      <c r="E132" s="30">
        <v>4.1000000000000003E-3</v>
      </c>
      <c r="F132" s="200">
        <f>F130*E132</f>
        <v>4.9200000000000008E-2</v>
      </c>
      <c r="G132" s="47"/>
      <c r="H132" s="47"/>
      <c r="I132" s="258"/>
      <c r="J132" s="258"/>
      <c r="K132" s="258"/>
      <c r="L132" s="258"/>
      <c r="M132" s="208"/>
    </row>
    <row r="133" spans="1:16" s="398" customFormat="1" ht="15.75" customHeight="1">
      <c r="A133" s="218"/>
      <c r="B133" s="256" t="s">
        <v>143</v>
      </c>
      <c r="C133" s="33" t="s">
        <v>485</v>
      </c>
      <c r="D133" s="54" t="s">
        <v>27</v>
      </c>
      <c r="E133" s="36">
        <v>1.05</v>
      </c>
      <c r="F133" s="55">
        <f>F130*E133</f>
        <v>12.600000000000001</v>
      </c>
      <c r="G133" s="47"/>
      <c r="H133" s="47"/>
      <c r="I133" s="258"/>
      <c r="J133" s="258"/>
      <c r="K133" s="258"/>
      <c r="L133" s="258"/>
      <c r="M133" s="208"/>
    </row>
    <row r="134" spans="1:16" s="398" customFormat="1" ht="19.5" customHeight="1">
      <c r="A134" s="218"/>
      <c r="B134" s="256" t="s">
        <v>18</v>
      </c>
      <c r="C134" s="65" t="s">
        <v>178</v>
      </c>
      <c r="D134" s="54" t="s">
        <v>72</v>
      </c>
      <c r="E134" s="211">
        <v>6</v>
      </c>
      <c r="F134" s="210">
        <f>F130*E134</f>
        <v>72</v>
      </c>
      <c r="G134" s="252"/>
      <c r="H134" s="261"/>
      <c r="I134" s="258"/>
      <c r="J134" s="208"/>
      <c r="K134" s="257"/>
      <c r="L134" s="253"/>
      <c r="M134" s="208"/>
    </row>
    <row r="135" spans="1:16" s="398" customFormat="1" ht="16.5" customHeight="1">
      <c r="A135" s="218"/>
      <c r="B135" s="256"/>
      <c r="C135" s="33" t="s">
        <v>19</v>
      </c>
      <c r="D135" s="30" t="s">
        <v>2</v>
      </c>
      <c r="E135" s="30">
        <v>7.8E-2</v>
      </c>
      <c r="F135" s="200">
        <f>F130*E135</f>
        <v>0.93599999999999994</v>
      </c>
      <c r="G135" s="47"/>
      <c r="H135" s="47"/>
      <c r="I135" s="258"/>
      <c r="J135" s="258"/>
      <c r="K135" s="47"/>
      <c r="L135" s="47"/>
      <c r="M135" s="208"/>
    </row>
    <row r="136" spans="1:16" s="398" customFormat="1" ht="30" customHeight="1">
      <c r="A136" s="217">
        <v>9</v>
      </c>
      <c r="B136" s="271" t="s">
        <v>82</v>
      </c>
      <c r="C136" s="29" t="s">
        <v>405</v>
      </c>
      <c r="D136" s="230" t="s">
        <v>28</v>
      </c>
      <c r="E136" s="37"/>
      <c r="F136" s="238">
        <v>12.2</v>
      </c>
      <c r="G136" s="182"/>
      <c r="H136" s="182"/>
      <c r="I136" s="182"/>
      <c r="J136" s="182"/>
      <c r="K136" s="182"/>
      <c r="L136" s="191"/>
      <c r="M136" s="171"/>
    </row>
    <row r="137" spans="1:16" s="398" customFormat="1" ht="14.25" customHeight="1">
      <c r="A137" s="358"/>
      <c r="B137" s="271"/>
      <c r="C137" s="33" t="s">
        <v>16</v>
      </c>
      <c r="D137" s="30" t="s">
        <v>13</v>
      </c>
      <c r="E137" s="339">
        <v>1.21</v>
      </c>
      <c r="F137" s="171">
        <f>F136*E137</f>
        <v>14.761999999999999</v>
      </c>
      <c r="G137" s="171"/>
      <c r="H137" s="171"/>
      <c r="I137" s="171"/>
      <c r="J137" s="171"/>
      <c r="K137" s="171"/>
      <c r="L137" s="31"/>
      <c r="M137" s="171"/>
    </row>
    <row r="138" spans="1:16" s="398" customFormat="1" ht="26.25" customHeight="1">
      <c r="A138" s="358"/>
      <c r="B138" s="403" t="s">
        <v>402</v>
      </c>
      <c r="C138" s="190" t="s">
        <v>401</v>
      </c>
      <c r="D138" s="36" t="s">
        <v>30</v>
      </c>
      <c r="E138" s="36">
        <v>1.24</v>
      </c>
      <c r="F138" s="171">
        <f>F136*E138</f>
        <v>15.127999999999998</v>
      </c>
      <c r="G138" s="171"/>
      <c r="H138" s="171"/>
      <c r="I138" s="171"/>
      <c r="J138" s="171"/>
      <c r="K138" s="171"/>
      <c r="L138" s="31"/>
      <c r="M138" s="171"/>
    </row>
    <row r="139" spans="1:16" s="398" customFormat="1" ht="27.75" customHeight="1">
      <c r="A139" s="359"/>
      <c r="B139" s="271" t="s">
        <v>404</v>
      </c>
      <c r="C139" s="33" t="s">
        <v>403</v>
      </c>
      <c r="D139" s="36" t="s">
        <v>15</v>
      </c>
      <c r="E139" s="36">
        <v>1.6</v>
      </c>
      <c r="F139" s="171">
        <f>F136*E139</f>
        <v>19.52</v>
      </c>
      <c r="G139" s="171"/>
      <c r="H139" s="171"/>
      <c r="I139" s="171"/>
      <c r="J139" s="171"/>
      <c r="K139" s="187"/>
      <c r="L139" s="171"/>
      <c r="M139" s="171"/>
      <c r="P139" s="404"/>
    </row>
    <row r="140" spans="1:16" s="398" customFormat="1" ht="17.25" customHeight="1">
      <c r="A140" s="553">
        <v>10</v>
      </c>
      <c r="B140" s="271" t="s">
        <v>406</v>
      </c>
      <c r="C140" s="29" t="s">
        <v>407</v>
      </c>
      <c r="D140" s="230" t="s">
        <v>28</v>
      </c>
      <c r="E140" s="37"/>
      <c r="F140" s="238">
        <v>3.78</v>
      </c>
      <c r="G140" s="182"/>
      <c r="H140" s="171"/>
      <c r="I140" s="182"/>
      <c r="J140" s="171"/>
      <c r="K140" s="182"/>
      <c r="L140" s="171"/>
      <c r="M140" s="171"/>
    </row>
    <row r="141" spans="1:16" s="398" customFormat="1" ht="15" customHeight="1">
      <c r="A141" s="554"/>
      <c r="B141" s="271"/>
      <c r="C141" s="33" t="s">
        <v>16</v>
      </c>
      <c r="D141" s="30" t="s">
        <v>13</v>
      </c>
      <c r="E141" s="30">
        <v>0.89</v>
      </c>
      <c r="F141" s="171">
        <f>F140*E141</f>
        <v>3.3641999999999999</v>
      </c>
      <c r="G141" s="187"/>
      <c r="H141" s="171"/>
      <c r="I141" s="171"/>
      <c r="J141" s="171"/>
      <c r="K141" s="171"/>
      <c r="L141" s="171"/>
      <c r="M141" s="171"/>
    </row>
    <row r="142" spans="1:16" s="398" customFormat="1" ht="15" customHeight="1">
      <c r="A142" s="554"/>
      <c r="B142" s="271"/>
      <c r="C142" s="33" t="s">
        <v>111</v>
      </c>
      <c r="D142" s="30" t="s">
        <v>2</v>
      </c>
      <c r="E142" s="30">
        <v>0.37</v>
      </c>
      <c r="F142" s="171">
        <f>F140*E142</f>
        <v>1.3985999999999998</v>
      </c>
      <c r="G142" s="171"/>
      <c r="H142" s="171"/>
      <c r="I142" s="171"/>
      <c r="J142" s="171"/>
      <c r="K142" s="171"/>
      <c r="L142" s="171"/>
      <c r="M142" s="171"/>
    </row>
    <row r="143" spans="1:16" s="398" customFormat="1" ht="15.75" customHeight="1">
      <c r="A143" s="554"/>
      <c r="B143" s="271" t="s">
        <v>409</v>
      </c>
      <c r="C143" s="33" t="s">
        <v>408</v>
      </c>
      <c r="D143" s="30" t="s">
        <v>30</v>
      </c>
      <c r="E143" s="30">
        <v>1.1499999999999999</v>
      </c>
      <c r="F143" s="171">
        <f>F140*E143</f>
        <v>4.3469999999999995</v>
      </c>
      <c r="G143" s="171"/>
      <c r="H143" s="171"/>
      <c r="I143" s="171"/>
      <c r="J143" s="171"/>
      <c r="K143" s="171"/>
      <c r="L143" s="31"/>
      <c r="M143" s="171"/>
    </row>
    <row r="144" spans="1:16" s="398" customFormat="1" ht="15" customHeight="1">
      <c r="A144" s="555"/>
      <c r="B144" s="271"/>
      <c r="C144" s="33" t="s">
        <v>19</v>
      </c>
      <c r="D144" s="30" t="s">
        <v>2</v>
      </c>
      <c r="E144" s="30">
        <v>0.02</v>
      </c>
      <c r="F144" s="171">
        <f>F140*E144</f>
        <v>7.5600000000000001E-2</v>
      </c>
      <c r="G144" s="171"/>
      <c r="H144" s="171"/>
      <c r="I144" s="171"/>
      <c r="J144" s="171"/>
      <c r="K144" s="171"/>
      <c r="L144" s="31"/>
      <c r="M144" s="171"/>
    </row>
    <row r="145" spans="1:13" ht="16.5" customHeight="1">
      <c r="A145" s="354">
        <v>11</v>
      </c>
      <c r="B145" s="397" t="s">
        <v>410</v>
      </c>
      <c r="C145" s="279" t="s">
        <v>411</v>
      </c>
      <c r="D145" s="280" t="s">
        <v>432</v>
      </c>
      <c r="E145" s="281"/>
      <c r="F145" s="282">
        <f>36.8/100</f>
        <v>0.36799999999999999</v>
      </c>
      <c r="G145" s="283"/>
      <c r="H145" s="283"/>
      <c r="I145" s="283"/>
      <c r="J145" s="283"/>
      <c r="K145" s="283"/>
      <c r="L145" s="283"/>
      <c r="M145" s="283"/>
    </row>
    <row r="146" spans="1:13" ht="15" customHeight="1">
      <c r="A146" s="356"/>
      <c r="B146" s="61"/>
      <c r="C146" s="232" t="s">
        <v>412</v>
      </c>
      <c r="D146" s="271" t="s">
        <v>13</v>
      </c>
      <c r="E146" s="175">
        <f>40.2+10*1.06</f>
        <v>50.800000000000004</v>
      </c>
      <c r="F146" s="171">
        <f>F145*E146</f>
        <v>18.694400000000002</v>
      </c>
      <c r="G146" s="171"/>
      <c r="H146" s="171"/>
      <c r="I146" s="171"/>
      <c r="J146" s="171"/>
      <c r="K146" s="171"/>
      <c r="L146" s="171"/>
      <c r="M146" s="171"/>
    </row>
    <row r="147" spans="1:13" ht="16.5" customHeight="1">
      <c r="A147" s="356"/>
      <c r="B147" s="61"/>
      <c r="C147" s="232" t="s">
        <v>413</v>
      </c>
      <c r="D147" s="36" t="s">
        <v>2</v>
      </c>
      <c r="E147" s="175">
        <f>1.74+10*0.28</f>
        <v>4.54</v>
      </c>
      <c r="F147" s="171">
        <f>F145*E147</f>
        <v>1.67072</v>
      </c>
      <c r="G147" s="171"/>
      <c r="H147" s="171"/>
      <c r="I147" s="171"/>
      <c r="J147" s="171"/>
      <c r="K147" s="171"/>
      <c r="L147" s="171"/>
      <c r="M147" s="171"/>
    </row>
    <row r="148" spans="1:13" ht="16.5" customHeight="1">
      <c r="A148" s="356"/>
      <c r="B148" s="401" t="s">
        <v>414</v>
      </c>
      <c r="C148" s="284" t="s">
        <v>542</v>
      </c>
      <c r="D148" s="256" t="s">
        <v>29</v>
      </c>
      <c r="E148" s="54">
        <f>3.06+10*0.51</f>
        <v>8.16</v>
      </c>
      <c r="F148" s="285">
        <f>F145*E148</f>
        <v>3.0028800000000002</v>
      </c>
      <c r="G148" s="285"/>
      <c r="H148" s="285"/>
      <c r="I148" s="286"/>
      <c r="J148" s="285"/>
      <c r="K148" s="285"/>
      <c r="L148" s="285"/>
      <c r="M148" s="285"/>
    </row>
    <row r="149" spans="1:13" ht="15.75" customHeight="1">
      <c r="A149" s="356"/>
      <c r="B149" s="401" t="s">
        <v>379</v>
      </c>
      <c r="C149" s="284" t="s">
        <v>415</v>
      </c>
      <c r="D149" s="256" t="s">
        <v>15</v>
      </c>
      <c r="E149" s="256">
        <v>2.4</v>
      </c>
      <c r="F149" s="285">
        <f>F148*E149</f>
        <v>7.206912</v>
      </c>
      <c r="G149" s="285"/>
      <c r="H149" s="285"/>
      <c r="I149" s="285"/>
      <c r="J149" s="285"/>
      <c r="K149" s="335"/>
      <c r="L149" s="285"/>
      <c r="M149" s="285"/>
    </row>
    <row r="150" spans="1:13" ht="14.25" customHeight="1">
      <c r="A150" s="355"/>
      <c r="B150" s="61"/>
      <c r="C150" s="232" t="s">
        <v>19</v>
      </c>
      <c r="D150" s="36" t="s">
        <v>2</v>
      </c>
      <c r="E150" s="175">
        <v>6.64</v>
      </c>
      <c r="F150" s="171">
        <f>F145*E150</f>
        <v>2.4435199999999999</v>
      </c>
      <c r="G150" s="171"/>
      <c r="H150" s="171"/>
      <c r="I150" s="171"/>
      <c r="J150" s="171"/>
      <c r="K150" s="171"/>
      <c r="L150" s="171"/>
      <c r="M150" s="171"/>
    </row>
    <row r="151" spans="1:13" ht="28.5" customHeight="1">
      <c r="A151" s="354">
        <v>12</v>
      </c>
      <c r="B151" s="397" t="s">
        <v>418</v>
      </c>
      <c r="C151" s="44" t="s">
        <v>419</v>
      </c>
      <c r="D151" s="287" t="s">
        <v>433</v>
      </c>
      <c r="E151" s="288"/>
      <c r="F151" s="170">
        <v>9.1</v>
      </c>
      <c r="G151" s="175"/>
      <c r="H151" s="171"/>
      <c r="I151" s="175"/>
      <c r="J151" s="175"/>
      <c r="K151" s="175"/>
      <c r="L151" s="175"/>
      <c r="M151" s="171"/>
    </row>
    <row r="152" spans="1:13" ht="14.25" customHeight="1">
      <c r="A152" s="356"/>
      <c r="B152" s="397"/>
      <c r="C152" s="52" t="s">
        <v>12</v>
      </c>
      <c r="D152" s="53" t="s">
        <v>13</v>
      </c>
      <c r="E152" s="49">
        <v>3.36</v>
      </c>
      <c r="F152" s="57">
        <f>F151*E152</f>
        <v>30.575999999999997</v>
      </c>
      <c r="G152" s="175"/>
      <c r="H152" s="171"/>
      <c r="I152" s="175"/>
      <c r="J152" s="175"/>
      <c r="K152" s="175"/>
      <c r="L152" s="175"/>
      <c r="M152" s="171"/>
    </row>
    <row r="153" spans="1:13" ht="16.5" customHeight="1">
      <c r="A153" s="356"/>
      <c r="B153" s="397"/>
      <c r="C153" s="64" t="s">
        <v>102</v>
      </c>
      <c r="D153" s="289" t="s">
        <v>2</v>
      </c>
      <c r="E153" s="172">
        <v>0.92</v>
      </c>
      <c r="F153" s="172">
        <f>F151*E153</f>
        <v>8.3719999999999999</v>
      </c>
      <c r="G153" s="290"/>
      <c r="H153" s="290"/>
      <c r="I153" s="290"/>
      <c r="J153" s="290"/>
      <c r="K153" s="175"/>
      <c r="L153" s="171"/>
      <c r="M153" s="171"/>
    </row>
    <row r="154" spans="1:13" ht="15" customHeight="1">
      <c r="A154" s="356"/>
      <c r="B154" s="397" t="s">
        <v>115</v>
      </c>
      <c r="C154" s="64" t="s">
        <v>427</v>
      </c>
      <c r="D154" s="289" t="s">
        <v>72</v>
      </c>
      <c r="E154" s="174">
        <v>62.5</v>
      </c>
      <c r="F154" s="174">
        <f>F151*E154</f>
        <v>568.75</v>
      </c>
      <c r="G154" s="290"/>
      <c r="H154" s="290"/>
      <c r="I154" s="345"/>
      <c r="J154" s="171"/>
      <c r="K154" s="175"/>
      <c r="L154" s="290"/>
      <c r="M154" s="171"/>
    </row>
    <row r="155" spans="1:13" ht="15.75" customHeight="1">
      <c r="A155" s="356"/>
      <c r="B155" s="397" t="s">
        <v>417</v>
      </c>
      <c r="C155" s="64" t="s">
        <v>416</v>
      </c>
      <c r="D155" s="256" t="s">
        <v>29</v>
      </c>
      <c r="E155" s="172">
        <v>0.23</v>
      </c>
      <c r="F155" s="172">
        <f>F151*E155</f>
        <v>2.093</v>
      </c>
      <c r="G155" s="290"/>
      <c r="H155" s="290"/>
      <c r="I155" s="175"/>
      <c r="J155" s="171"/>
      <c r="K155" s="175"/>
      <c r="L155" s="290"/>
      <c r="M155" s="171"/>
    </row>
    <row r="156" spans="1:13">
      <c r="A156" s="355"/>
      <c r="B156" s="397"/>
      <c r="C156" s="64" t="s">
        <v>19</v>
      </c>
      <c r="D156" s="289" t="s">
        <v>2</v>
      </c>
      <c r="E156" s="172">
        <v>0.16</v>
      </c>
      <c r="F156" s="175">
        <f>F151*E156</f>
        <v>1.456</v>
      </c>
      <c r="G156" s="175"/>
      <c r="H156" s="175"/>
      <c r="I156" s="175"/>
      <c r="J156" s="171"/>
      <c r="K156" s="175"/>
      <c r="L156" s="175"/>
      <c r="M156" s="171"/>
    </row>
    <row r="157" spans="1:13" ht="46.5" customHeight="1">
      <c r="A157" s="354">
        <v>13</v>
      </c>
      <c r="B157" s="397" t="s">
        <v>418</v>
      </c>
      <c r="C157" s="44" t="s">
        <v>491</v>
      </c>
      <c r="D157" s="287" t="s">
        <v>433</v>
      </c>
      <c r="E157" s="288"/>
      <c r="F157" s="170">
        <v>1.27</v>
      </c>
      <c r="G157" s="175"/>
      <c r="H157" s="171"/>
      <c r="I157" s="175"/>
      <c r="J157" s="175"/>
      <c r="K157" s="175"/>
      <c r="L157" s="175"/>
      <c r="M157" s="171"/>
    </row>
    <row r="158" spans="1:13" ht="14.25" customHeight="1">
      <c r="A158" s="356"/>
      <c r="B158" s="397"/>
      <c r="C158" s="52" t="s">
        <v>12</v>
      </c>
      <c r="D158" s="53" t="s">
        <v>13</v>
      </c>
      <c r="E158" s="49">
        <v>3.36</v>
      </c>
      <c r="F158" s="57">
        <f>F157*E158</f>
        <v>4.2671999999999999</v>
      </c>
      <c r="G158" s="175"/>
      <c r="H158" s="171"/>
      <c r="I158" s="175"/>
      <c r="J158" s="175"/>
      <c r="K158" s="175"/>
      <c r="L158" s="175"/>
      <c r="M158" s="171"/>
    </row>
    <row r="159" spans="1:13" ht="16.5" customHeight="1">
      <c r="A159" s="356"/>
      <c r="B159" s="397"/>
      <c r="C159" s="64" t="s">
        <v>102</v>
      </c>
      <c r="D159" s="289" t="s">
        <v>2</v>
      </c>
      <c r="E159" s="172">
        <v>0.92</v>
      </c>
      <c r="F159" s="172">
        <f>F157*E159</f>
        <v>1.1684000000000001</v>
      </c>
      <c r="G159" s="290"/>
      <c r="H159" s="290"/>
      <c r="I159" s="290"/>
      <c r="J159" s="290"/>
      <c r="K159" s="175"/>
      <c r="L159" s="171"/>
      <c r="M159" s="171"/>
    </row>
    <row r="160" spans="1:13" ht="15" customHeight="1">
      <c r="A160" s="356"/>
      <c r="B160" s="397" t="s">
        <v>115</v>
      </c>
      <c r="C160" s="64" t="s">
        <v>427</v>
      </c>
      <c r="D160" s="289" t="s">
        <v>72</v>
      </c>
      <c r="E160" s="174">
        <v>62.5</v>
      </c>
      <c r="F160" s="174">
        <f>F157*E160</f>
        <v>79.375</v>
      </c>
      <c r="G160" s="290"/>
      <c r="H160" s="290"/>
      <c r="I160" s="345"/>
      <c r="J160" s="171"/>
      <c r="K160" s="175"/>
      <c r="L160" s="290"/>
      <c r="M160" s="171"/>
    </row>
    <row r="161" spans="1:16" ht="15.75" customHeight="1">
      <c r="A161" s="356"/>
      <c r="B161" s="397" t="s">
        <v>417</v>
      </c>
      <c r="C161" s="64" t="s">
        <v>416</v>
      </c>
      <c r="D161" s="256" t="s">
        <v>29</v>
      </c>
      <c r="E161" s="172">
        <v>0.23</v>
      </c>
      <c r="F161" s="172">
        <f>F157*E161</f>
        <v>0.29210000000000003</v>
      </c>
      <c r="G161" s="290"/>
      <c r="H161" s="290"/>
      <c r="I161" s="175"/>
      <c r="J161" s="171"/>
      <c r="K161" s="175"/>
      <c r="L161" s="290"/>
      <c r="M161" s="171"/>
    </row>
    <row r="162" spans="1:16">
      <c r="A162" s="355"/>
      <c r="B162" s="397"/>
      <c r="C162" s="64" t="s">
        <v>19</v>
      </c>
      <c r="D162" s="289" t="s">
        <v>2</v>
      </c>
      <c r="E162" s="172">
        <v>0.16</v>
      </c>
      <c r="F162" s="175">
        <f>F157*E162</f>
        <v>0.20320000000000002</v>
      </c>
      <c r="G162" s="175"/>
      <c r="H162" s="175"/>
      <c r="I162" s="175"/>
      <c r="J162" s="171"/>
      <c r="K162" s="175"/>
      <c r="L162" s="175"/>
      <c r="M162" s="171"/>
    </row>
    <row r="163" spans="1:16" ht="30" customHeight="1">
      <c r="A163" s="354">
        <v>14</v>
      </c>
      <c r="B163" s="397" t="s">
        <v>418</v>
      </c>
      <c r="C163" s="44" t="s">
        <v>425</v>
      </c>
      <c r="D163" s="287" t="s">
        <v>433</v>
      </c>
      <c r="E163" s="288"/>
      <c r="F163" s="170">
        <v>6.6</v>
      </c>
      <c r="G163" s="175"/>
      <c r="H163" s="171"/>
      <c r="I163" s="175"/>
      <c r="J163" s="175"/>
      <c r="K163" s="175"/>
      <c r="L163" s="175"/>
      <c r="M163" s="171"/>
    </row>
    <row r="164" spans="1:16" ht="15" customHeight="1">
      <c r="A164" s="356"/>
      <c r="B164" s="397"/>
      <c r="C164" s="52" t="s">
        <v>12</v>
      </c>
      <c r="D164" s="53" t="s">
        <v>13</v>
      </c>
      <c r="E164" s="49">
        <v>3.36</v>
      </c>
      <c r="F164" s="57">
        <f>F163*E164</f>
        <v>22.175999999999998</v>
      </c>
      <c r="G164" s="175"/>
      <c r="H164" s="171"/>
      <c r="I164" s="175"/>
      <c r="J164" s="175"/>
      <c r="K164" s="175"/>
      <c r="L164" s="175"/>
      <c r="M164" s="171"/>
    </row>
    <row r="165" spans="1:16" ht="16.5" customHeight="1">
      <c r="A165" s="356"/>
      <c r="B165" s="397"/>
      <c r="C165" s="64" t="s">
        <v>102</v>
      </c>
      <c r="D165" s="289" t="s">
        <v>2</v>
      </c>
      <c r="E165" s="172">
        <v>0.92</v>
      </c>
      <c r="F165" s="172">
        <f>F163*E165</f>
        <v>6.0720000000000001</v>
      </c>
      <c r="G165" s="290"/>
      <c r="H165" s="290"/>
      <c r="I165" s="290"/>
      <c r="J165" s="290"/>
      <c r="K165" s="175"/>
      <c r="L165" s="171"/>
      <c r="M165" s="171"/>
    </row>
    <row r="166" spans="1:16" ht="17.25" customHeight="1">
      <c r="A166" s="356"/>
      <c r="B166" s="397" t="s">
        <v>115</v>
      </c>
      <c r="C166" s="64" t="s">
        <v>426</v>
      </c>
      <c r="D166" s="289" t="s">
        <v>72</v>
      </c>
      <c r="E166" s="174">
        <v>83.3</v>
      </c>
      <c r="F166" s="174">
        <f>F163*E166</f>
        <v>549.78</v>
      </c>
      <c r="G166" s="290"/>
      <c r="H166" s="290"/>
      <c r="I166" s="345"/>
      <c r="J166" s="171"/>
      <c r="K166" s="175"/>
      <c r="L166" s="290"/>
      <c r="M166" s="171"/>
      <c r="P166" s="386" t="s">
        <v>434</v>
      </c>
    </row>
    <row r="167" spans="1:16" ht="15.75" customHeight="1">
      <c r="A167" s="356"/>
      <c r="B167" s="397" t="s">
        <v>417</v>
      </c>
      <c r="C167" s="64" t="s">
        <v>416</v>
      </c>
      <c r="D167" s="256" t="s">
        <v>29</v>
      </c>
      <c r="E167" s="172">
        <v>0.23</v>
      </c>
      <c r="F167" s="172">
        <f>F163*E167</f>
        <v>1.518</v>
      </c>
      <c r="G167" s="290"/>
      <c r="H167" s="290"/>
      <c r="I167" s="175"/>
      <c r="J167" s="171"/>
      <c r="K167" s="175"/>
      <c r="L167" s="290"/>
      <c r="M167" s="171"/>
    </row>
    <row r="168" spans="1:16">
      <c r="A168" s="355"/>
      <c r="B168" s="397"/>
      <c r="C168" s="64" t="s">
        <v>19</v>
      </c>
      <c r="D168" s="289" t="s">
        <v>2</v>
      </c>
      <c r="E168" s="172">
        <v>0.16</v>
      </c>
      <c r="F168" s="175">
        <f>F163*E168</f>
        <v>1.056</v>
      </c>
      <c r="G168" s="175"/>
      <c r="H168" s="175"/>
      <c r="I168" s="175"/>
      <c r="J168" s="171"/>
      <c r="K168" s="175"/>
      <c r="L168" s="175"/>
      <c r="M168" s="171"/>
    </row>
    <row r="169" spans="1:16" ht="44.25" customHeight="1">
      <c r="A169" s="354">
        <v>15</v>
      </c>
      <c r="B169" s="397" t="s">
        <v>339</v>
      </c>
      <c r="C169" s="476" t="s">
        <v>511</v>
      </c>
      <c r="D169" s="477" t="s">
        <v>433</v>
      </c>
      <c r="E169" s="478"/>
      <c r="F169" s="7">
        <v>1.8</v>
      </c>
      <c r="G169" s="175"/>
      <c r="H169" s="171"/>
      <c r="I169" s="175"/>
      <c r="J169" s="175"/>
      <c r="K169" s="175"/>
      <c r="L169" s="175"/>
      <c r="M169" s="171"/>
    </row>
    <row r="170" spans="1:16" ht="15" customHeight="1">
      <c r="A170" s="356"/>
      <c r="B170" s="397"/>
      <c r="C170" s="479" t="s">
        <v>12</v>
      </c>
      <c r="D170" s="480" t="s">
        <v>13</v>
      </c>
      <c r="E170" s="481">
        <v>3.9</v>
      </c>
      <c r="F170" s="482">
        <f>F169*E170</f>
        <v>7.02</v>
      </c>
      <c r="G170" s="175"/>
      <c r="H170" s="171"/>
      <c r="I170" s="175"/>
      <c r="J170" s="175"/>
      <c r="K170" s="175"/>
      <c r="L170" s="175"/>
      <c r="M170" s="171"/>
      <c r="O170" s="405"/>
    </row>
    <row r="171" spans="1:16" ht="16.5" customHeight="1">
      <c r="A171" s="356"/>
      <c r="B171" s="397"/>
      <c r="C171" s="483" t="s">
        <v>102</v>
      </c>
      <c r="D171" s="484" t="s">
        <v>2</v>
      </c>
      <c r="E171" s="485">
        <v>0.81</v>
      </c>
      <c r="F171" s="485">
        <f>F169*E171</f>
        <v>1.4580000000000002</v>
      </c>
      <c r="G171" s="290"/>
      <c r="H171" s="171"/>
      <c r="I171" s="290"/>
      <c r="J171" s="290"/>
      <c r="K171" s="175"/>
      <c r="L171" s="171"/>
      <c r="M171" s="171"/>
    </row>
    <row r="172" spans="1:16" ht="17.25" customHeight="1">
      <c r="A172" s="356"/>
      <c r="B172" s="397" t="s">
        <v>18</v>
      </c>
      <c r="C172" s="483" t="s">
        <v>103</v>
      </c>
      <c r="D172" s="484" t="s">
        <v>72</v>
      </c>
      <c r="E172" s="486">
        <v>83.3</v>
      </c>
      <c r="F172" s="485">
        <f>F169*E172</f>
        <v>149.94</v>
      </c>
      <c r="G172" s="290"/>
      <c r="H172" s="171"/>
      <c r="I172" s="345"/>
      <c r="J172" s="171"/>
      <c r="K172" s="290"/>
      <c r="L172" s="290"/>
      <c r="M172" s="171"/>
    </row>
    <row r="173" spans="1:16" ht="18" customHeight="1">
      <c r="A173" s="356"/>
      <c r="B173" s="397" t="s">
        <v>105</v>
      </c>
      <c r="C173" s="483" t="s">
        <v>104</v>
      </c>
      <c r="D173" s="62" t="s">
        <v>29</v>
      </c>
      <c r="E173" s="485">
        <v>0.23</v>
      </c>
      <c r="F173" s="485">
        <f>F169*E173</f>
        <v>0.41400000000000003</v>
      </c>
      <c r="G173" s="290"/>
      <c r="H173" s="171"/>
      <c r="I173" s="175"/>
      <c r="J173" s="171"/>
      <c r="K173" s="290"/>
      <c r="L173" s="290"/>
      <c r="M173" s="171"/>
    </row>
    <row r="174" spans="1:16" ht="15" customHeight="1">
      <c r="A174" s="355"/>
      <c r="B174" s="397"/>
      <c r="C174" s="483" t="s">
        <v>19</v>
      </c>
      <c r="D174" s="484" t="s">
        <v>2</v>
      </c>
      <c r="E174" s="485">
        <v>0.11</v>
      </c>
      <c r="F174" s="10">
        <f>F169*E174</f>
        <v>0.19800000000000001</v>
      </c>
      <c r="G174" s="175"/>
      <c r="H174" s="171"/>
      <c r="I174" s="175"/>
      <c r="J174" s="171"/>
      <c r="K174" s="175"/>
      <c r="L174" s="175"/>
      <c r="M174" s="171"/>
    </row>
    <row r="175" spans="1:16" s="398" customFormat="1" ht="45" customHeight="1">
      <c r="A175" s="217">
        <v>15</v>
      </c>
      <c r="B175" s="271" t="s">
        <v>421</v>
      </c>
      <c r="C175" s="487" t="s">
        <v>516</v>
      </c>
      <c r="D175" s="17" t="s">
        <v>47</v>
      </c>
      <c r="E175" s="488"/>
      <c r="F175" s="489">
        <f>0.31/100</f>
        <v>3.0999999999999999E-3</v>
      </c>
      <c r="G175" s="182"/>
      <c r="H175" s="182"/>
      <c r="I175" s="182"/>
      <c r="J175" s="182"/>
      <c r="K175" s="182"/>
      <c r="L175" s="171"/>
      <c r="M175" s="182"/>
    </row>
    <row r="176" spans="1:16" s="398" customFormat="1" ht="15.75" customHeight="1">
      <c r="A176" s="218"/>
      <c r="B176" s="271"/>
      <c r="C176" s="490" t="s">
        <v>16</v>
      </c>
      <c r="D176" s="491" t="s">
        <v>13</v>
      </c>
      <c r="E176" s="491">
        <v>854</v>
      </c>
      <c r="F176" s="12">
        <f>F175*E176</f>
        <v>2.6473999999999998</v>
      </c>
      <c r="G176" s="171"/>
      <c r="H176" s="171"/>
      <c r="I176" s="171"/>
      <c r="J176" s="171"/>
      <c r="K176" s="171"/>
      <c r="L176" s="171"/>
      <c r="M176" s="171"/>
    </row>
    <row r="177" spans="1:13" s="398" customFormat="1" ht="16.5" customHeight="1">
      <c r="A177" s="218"/>
      <c r="B177" s="271"/>
      <c r="C177" s="490" t="s">
        <v>111</v>
      </c>
      <c r="D177" s="491" t="s">
        <v>2</v>
      </c>
      <c r="E177" s="491">
        <v>106</v>
      </c>
      <c r="F177" s="12">
        <f>F175*E177</f>
        <v>0.3286</v>
      </c>
      <c r="G177" s="171"/>
      <c r="H177" s="171"/>
      <c r="I177" s="171"/>
      <c r="J177" s="171"/>
      <c r="K177" s="171"/>
      <c r="L177" s="171"/>
      <c r="M177" s="171"/>
    </row>
    <row r="178" spans="1:13" s="398" customFormat="1" ht="15.75" customHeight="1">
      <c r="A178" s="218"/>
      <c r="B178" s="271" t="s">
        <v>18</v>
      </c>
      <c r="C178" s="490" t="s">
        <v>517</v>
      </c>
      <c r="D178" s="491" t="s">
        <v>31</v>
      </c>
      <c r="E178" s="491" t="s">
        <v>62</v>
      </c>
      <c r="F178" s="492">
        <v>54</v>
      </c>
      <c r="G178" s="171"/>
      <c r="H178" s="171"/>
      <c r="I178" s="187"/>
      <c r="J178" s="171"/>
      <c r="K178" s="171"/>
      <c r="L178" s="31"/>
      <c r="M178" s="171"/>
    </row>
    <row r="179" spans="1:13" s="398" customFormat="1" ht="15.75" customHeight="1">
      <c r="A179" s="218"/>
      <c r="B179" s="271" t="s">
        <v>18</v>
      </c>
      <c r="C179" s="490" t="s">
        <v>429</v>
      </c>
      <c r="D179" s="491" t="s">
        <v>31</v>
      </c>
      <c r="E179" s="491" t="s">
        <v>62</v>
      </c>
      <c r="F179" s="492">
        <v>24</v>
      </c>
      <c r="G179" s="171"/>
      <c r="H179" s="171"/>
      <c r="I179" s="187"/>
      <c r="J179" s="171"/>
      <c r="K179" s="171"/>
      <c r="L179" s="31"/>
      <c r="M179" s="171"/>
    </row>
    <row r="180" spans="1:13" s="398" customFormat="1" ht="16.5" customHeight="1">
      <c r="A180" s="218"/>
      <c r="B180" s="271" t="s">
        <v>414</v>
      </c>
      <c r="C180" s="490" t="s">
        <v>396</v>
      </c>
      <c r="D180" s="491" t="s">
        <v>29</v>
      </c>
      <c r="E180" s="491">
        <v>101.5</v>
      </c>
      <c r="F180" s="12">
        <f>F175*E180</f>
        <v>0.31464999999999999</v>
      </c>
      <c r="G180" s="171"/>
      <c r="H180" s="171"/>
      <c r="I180" s="181"/>
      <c r="J180" s="171"/>
      <c r="K180" s="171"/>
      <c r="L180" s="31"/>
      <c r="M180" s="171"/>
    </row>
    <row r="181" spans="1:13" s="398" customFormat="1" ht="17.25" customHeight="1">
      <c r="A181" s="218"/>
      <c r="B181" s="271" t="s">
        <v>393</v>
      </c>
      <c r="C181" s="490" t="s">
        <v>391</v>
      </c>
      <c r="D181" s="491" t="s">
        <v>27</v>
      </c>
      <c r="E181" s="491">
        <v>140</v>
      </c>
      <c r="F181" s="12">
        <f>F175*E181</f>
        <v>0.434</v>
      </c>
      <c r="G181" s="171"/>
      <c r="H181" s="171"/>
      <c r="I181" s="171"/>
      <c r="J181" s="171"/>
      <c r="K181" s="171"/>
      <c r="L181" s="31"/>
      <c r="M181" s="171"/>
    </row>
    <row r="182" spans="1:13" s="398" customFormat="1" ht="15" customHeight="1">
      <c r="A182" s="218"/>
      <c r="B182" s="271" t="s">
        <v>145</v>
      </c>
      <c r="C182" s="490" t="s">
        <v>70</v>
      </c>
      <c r="D182" s="491" t="s">
        <v>30</v>
      </c>
      <c r="E182" s="491">
        <v>1.45</v>
      </c>
      <c r="F182" s="35">
        <f>F175*E182</f>
        <v>4.4949999999999999E-3</v>
      </c>
      <c r="G182" s="171"/>
      <c r="H182" s="171"/>
      <c r="I182" s="187"/>
      <c r="J182" s="171"/>
      <c r="K182" s="171"/>
      <c r="L182" s="31"/>
      <c r="M182" s="171"/>
    </row>
    <row r="183" spans="1:13" s="398" customFormat="1" ht="15.75" customHeight="1">
      <c r="A183" s="219"/>
      <c r="B183" s="271"/>
      <c r="C183" s="490" t="s">
        <v>19</v>
      </c>
      <c r="D183" s="491" t="s">
        <v>2</v>
      </c>
      <c r="E183" s="491">
        <v>74</v>
      </c>
      <c r="F183" s="12">
        <f>F175*E183</f>
        <v>0.22939999999999999</v>
      </c>
      <c r="G183" s="171"/>
      <c r="H183" s="171"/>
      <c r="I183" s="171"/>
      <c r="J183" s="171"/>
      <c r="K183" s="171"/>
      <c r="L183" s="31"/>
      <c r="M183" s="171"/>
    </row>
    <row r="184" spans="1:13" ht="43.5" customHeight="1">
      <c r="A184" s="354">
        <v>16</v>
      </c>
      <c r="B184" s="397" t="s">
        <v>340</v>
      </c>
      <c r="C184" s="229" t="s">
        <v>436</v>
      </c>
      <c r="D184" s="230" t="s">
        <v>47</v>
      </c>
      <c r="E184" s="291"/>
      <c r="F184" s="242">
        <f>1.44/100</f>
        <v>1.44E-2</v>
      </c>
      <c r="G184" s="182"/>
      <c r="H184" s="182"/>
      <c r="I184" s="182"/>
      <c r="J184" s="182"/>
      <c r="K184" s="182"/>
      <c r="L184" s="182"/>
      <c r="M184" s="182"/>
    </row>
    <row r="185" spans="1:13" ht="15.75" customHeight="1">
      <c r="A185" s="356"/>
      <c r="B185" s="61"/>
      <c r="C185" s="52" t="s">
        <v>12</v>
      </c>
      <c r="D185" s="53" t="s">
        <v>13</v>
      </c>
      <c r="E185" s="49">
        <v>242</v>
      </c>
      <c r="F185" s="57">
        <f>F184*E185</f>
        <v>3.4847999999999999</v>
      </c>
      <c r="G185" s="345"/>
      <c r="H185" s="171"/>
      <c r="I185" s="175"/>
      <c r="J185" s="175"/>
      <c r="K185" s="175"/>
      <c r="L185" s="175"/>
      <c r="M185" s="171"/>
    </row>
    <row r="186" spans="1:13">
      <c r="A186" s="356"/>
      <c r="B186" s="61"/>
      <c r="C186" s="64" t="s">
        <v>102</v>
      </c>
      <c r="D186" s="289" t="s">
        <v>2</v>
      </c>
      <c r="E186" s="213">
        <v>108</v>
      </c>
      <c r="F186" s="172">
        <f>F184*E186</f>
        <v>1.5551999999999999</v>
      </c>
      <c r="G186" s="290"/>
      <c r="H186" s="290"/>
      <c r="I186" s="290"/>
      <c r="J186" s="290"/>
      <c r="K186" s="175"/>
      <c r="L186" s="171"/>
      <c r="M186" s="171"/>
    </row>
    <row r="187" spans="1:13" ht="18" customHeight="1">
      <c r="A187" s="356"/>
      <c r="B187" s="401" t="s">
        <v>382</v>
      </c>
      <c r="C187" s="284" t="s">
        <v>543</v>
      </c>
      <c r="D187" s="256" t="s">
        <v>29</v>
      </c>
      <c r="E187" s="54">
        <v>101.5</v>
      </c>
      <c r="F187" s="285">
        <f>F184*E187</f>
        <v>1.4616</v>
      </c>
      <c r="G187" s="285"/>
      <c r="H187" s="285"/>
      <c r="I187" s="285"/>
      <c r="J187" s="285"/>
      <c r="K187" s="285"/>
      <c r="L187" s="285"/>
      <c r="M187" s="285"/>
    </row>
    <row r="188" spans="1:13" ht="18" customHeight="1">
      <c r="A188" s="356"/>
      <c r="B188" s="401" t="s">
        <v>379</v>
      </c>
      <c r="C188" s="284" t="s">
        <v>380</v>
      </c>
      <c r="D188" s="256" t="s">
        <v>15</v>
      </c>
      <c r="E188" s="256">
        <v>2.4</v>
      </c>
      <c r="F188" s="285">
        <f>F187*E188</f>
        <v>3.5078399999999998</v>
      </c>
      <c r="G188" s="285"/>
      <c r="H188" s="285"/>
      <c r="I188" s="285"/>
      <c r="J188" s="285"/>
      <c r="K188" s="335"/>
      <c r="L188" s="285"/>
      <c r="M188" s="285"/>
    </row>
    <row r="189" spans="1:13" ht="15.75" customHeight="1">
      <c r="A189" s="356"/>
      <c r="B189" s="271" t="s">
        <v>18</v>
      </c>
      <c r="C189" s="232" t="s">
        <v>55</v>
      </c>
      <c r="D189" s="256" t="s">
        <v>27</v>
      </c>
      <c r="E189" s="236">
        <v>40</v>
      </c>
      <c r="F189" s="171">
        <f>F184*E189</f>
        <v>0.57599999999999996</v>
      </c>
      <c r="G189" s="171"/>
      <c r="H189" s="171"/>
      <c r="I189" s="171"/>
      <c r="J189" s="171"/>
      <c r="K189" s="171"/>
      <c r="L189" s="171"/>
      <c r="M189" s="171"/>
    </row>
    <row r="190" spans="1:13" ht="15" customHeight="1">
      <c r="A190" s="356"/>
      <c r="B190" s="271" t="s">
        <v>145</v>
      </c>
      <c r="C190" s="232" t="s">
        <v>144</v>
      </c>
      <c r="D190" s="271" t="s">
        <v>29</v>
      </c>
      <c r="E190" s="175">
        <v>7.0000000000000007E-2</v>
      </c>
      <c r="F190" s="173">
        <f>F184*E190</f>
        <v>1.008E-3</v>
      </c>
      <c r="G190" s="171"/>
      <c r="H190" s="171"/>
      <c r="I190" s="187"/>
      <c r="J190" s="171"/>
      <c r="K190" s="171"/>
      <c r="L190" s="171"/>
      <c r="M190" s="171"/>
    </row>
    <row r="191" spans="1:13" ht="15.75" customHeight="1">
      <c r="A191" s="355"/>
      <c r="B191" s="61"/>
      <c r="C191" s="232" t="s">
        <v>19</v>
      </c>
      <c r="D191" s="36" t="s">
        <v>2</v>
      </c>
      <c r="E191" s="236">
        <v>22</v>
      </c>
      <c r="F191" s="171">
        <f>F184*E191</f>
        <v>0.31679999999999997</v>
      </c>
      <c r="G191" s="171"/>
      <c r="H191" s="171"/>
      <c r="I191" s="171"/>
      <c r="J191" s="171"/>
      <c r="K191" s="171"/>
      <c r="L191" s="171"/>
      <c r="M191" s="171"/>
    </row>
    <row r="192" spans="1:13" ht="28.5" customHeight="1">
      <c r="A192" s="354">
        <v>17</v>
      </c>
      <c r="B192" s="54" t="s">
        <v>338</v>
      </c>
      <c r="C192" s="333" t="s">
        <v>114</v>
      </c>
      <c r="D192" s="45" t="s">
        <v>435</v>
      </c>
      <c r="E192" s="45"/>
      <c r="F192" s="332">
        <v>216</v>
      </c>
      <c r="G192" s="175"/>
      <c r="H192" s="171"/>
      <c r="I192" s="175"/>
      <c r="J192" s="171"/>
      <c r="K192" s="175"/>
      <c r="L192" s="175"/>
      <c r="M192" s="171"/>
    </row>
    <row r="193" spans="1:13" ht="15" customHeight="1">
      <c r="A193" s="356"/>
      <c r="B193" s="406"/>
      <c r="C193" s="65" t="s">
        <v>16</v>
      </c>
      <c r="D193" s="54" t="s">
        <v>13</v>
      </c>
      <c r="E193" s="54">
        <v>0.64</v>
      </c>
      <c r="F193" s="172">
        <f>F192*E193</f>
        <v>138.24</v>
      </c>
      <c r="G193" s="172"/>
      <c r="H193" s="171"/>
      <c r="I193" s="172"/>
      <c r="J193" s="172"/>
      <c r="K193" s="172"/>
      <c r="L193" s="172"/>
      <c r="M193" s="171"/>
    </row>
    <row r="194" spans="1:13" ht="15.75" customHeight="1">
      <c r="A194" s="356"/>
      <c r="B194" s="36" t="s">
        <v>116</v>
      </c>
      <c r="C194" s="65" t="s">
        <v>99</v>
      </c>
      <c r="D194" s="54" t="s">
        <v>100</v>
      </c>
      <c r="E194" s="54">
        <v>4.1000000000000002E-2</v>
      </c>
      <c r="F194" s="172">
        <f>F192*E194</f>
        <v>8.8559999999999999</v>
      </c>
      <c r="G194" s="175"/>
      <c r="H194" s="171"/>
      <c r="I194" s="175"/>
      <c r="J194" s="171"/>
      <c r="K194" s="171"/>
      <c r="L194" s="171"/>
      <c r="M194" s="171"/>
    </row>
    <row r="195" spans="1:13" ht="16.5" customHeight="1">
      <c r="A195" s="356"/>
      <c r="B195" s="406"/>
      <c r="C195" s="65" t="s">
        <v>111</v>
      </c>
      <c r="D195" s="54" t="s">
        <v>2</v>
      </c>
      <c r="E195" s="54">
        <v>2.1000000000000001E-2</v>
      </c>
      <c r="F195" s="172">
        <f>F192*E195</f>
        <v>4.5360000000000005</v>
      </c>
      <c r="G195" s="175"/>
      <c r="H195" s="171"/>
      <c r="I195" s="175"/>
      <c r="J195" s="171"/>
      <c r="K195" s="172"/>
      <c r="L195" s="171"/>
      <c r="M195" s="171"/>
    </row>
    <row r="196" spans="1:13" ht="15.75" customHeight="1">
      <c r="A196" s="356"/>
      <c r="B196" s="36" t="s">
        <v>112</v>
      </c>
      <c r="C196" s="65" t="s">
        <v>113</v>
      </c>
      <c r="D196" s="271" t="s">
        <v>29</v>
      </c>
      <c r="E196" s="67">
        <f>1.78/100</f>
        <v>1.78E-2</v>
      </c>
      <c r="F196" s="172">
        <f>F192*E196</f>
        <v>3.8447999999999998</v>
      </c>
      <c r="G196" s="175"/>
      <c r="H196" s="171"/>
      <c r="I196" s="175"/>
      <c r="J196" s="171"/>
      <c r="K196" s="175"/>
      <c r="L196" s="175"/>
      <c r="M196" s="171"/>
    </row>
    <row r="197" spans="1:13" ht="15" customHeight="1">
      <c r="A197" s="355"/>
      <c r="B197" s="36"/>
      <c r="C197" s="65" t="s">
        <v>19</v>
      </c>
      <c r="D197" s="54" t="s">
        <v>2</v>
      </c>
      <c r="E197" s="54">
        <f>0.3/100</f>
        <v>3.0000000000000001E-3</v>
      </c>
      <c r="F197" s="172">
        <f>F192*E197</f>
        <v>0.64800000000000002</v>
      </c>
      <c r="G197" s="175"/>
      <c r="H197" s="171"/>
      <c r="I197" s="175"/>
      <c r="J197" s="171"/>
      <c r="K197" s="175"/>
      <c r="L197" s="175"/>
      <c r="M197" s="171"/>
    </row>
    <row r="198" spans="1:13" ht="28.5" customHeight="1">
      <c r="A198" s="354">
        <v>18</v>
      </c>
      <c r="B198" s="36" t="s">
        <v>337</v>
      </c>
      <c r="C198" s="66" t="s">
        <v>125</v>
      </c>
      <c r="D198" s="45" t="s">
        <v>126</v>
      </c>
      <c r="E198" s="45"/>
      <c r="F198" s="293">
        <v>0.58199999999999996</v>
      </c>
      <c r="G198" s="235"/>
      <c r="H198" s="182"/>
      <c r="I198" s="235"/>
      <c r="J198" s="182"/>
      <c r="K198" s="235"/>
      <c r="L198" s="235"/>
      <c r="M198" s="182"/>
    </row>
    <row r="199" spans="1:13" ht="15.75" customHeight="1">
      <c r="A199" s="356"/>
      <c r="B199" s="36"/>
      <c r="C199" s="65" t="s">
        <v>16</v>
      </c>
      <c r="D199" s="54" t="s">
        <v>13</v>
      </c>
      <c r="E199" s="71">
        <v>62</v>
      </c>
      <c r="F199" s="172">
        <f>F198*E199</f>
        <v>36.083999999999996</v>
      </c>
      <c r="G199" s="172"/>
      <c r="H199" s="171"/>
      <c r="I199" s="172"/>
      <c r="J199" s="172"/>
      <c r="K199" s="172"/>
      <c r="L199" s="172"/>
      <c r="M199" s="171"/>
    </row>
    <row r="200" spans="1:13" ht="16.5" customHeight="1">
      <c r="A200" s="356"/>
      <c r="B200" s="36"/>
      <c r="C200" s="65" t="s">
        <v>111</v>
      </c>
      <c r="D200" s="54" t="s">
        <v>2</v>
      </c>
      <c r="E200" s="55">
        <v>1.1000000000000001</v>
      </c>
      <c r="F200" s="172">
        <f>F198*E200</f>
        <v>0.64019999999999999</v>
      </c>
      <c r="G200" s="175"/>
      <c r="H200" s="171"/>
      <c r="I200" s="175"/>
      <c r="J200" s="171"/>
      <c r="K200" s="172"/>
      <c r="L200" s="171"/>
      <c r="M200" s="171"/>
    </row>
    <row r="201" spans="1:13" ht="17.25" customHeight="1">
      <c r="A201" s="355"/>
      <c r="B201" s="36" t="s">
        <v>112</v>
      </c>
      <c r="C201" s="65" t="s">
        <v>113</v>
      </c>
      <c r="D201" s="271" t="s">
        <v>29</v>
      </c>
      <c r="E201" s="55">
        <v>0.67</v>
      </c>
      <c r="F201" s="172">
        <f>F198*E201</f>
        <v>0.38994000000000001</v>
      </c>
      <c r="G201" s="175"/>
      <c r="H201" s="171"/>
      <c r="I201" s="175"/>
      <c r="J201" s="171"/>
      <c r="K201" s="175"/>
      <c r="L201" s="175"/>
      <c r="M201" s="171"/>
    </row>
    <row r="202" spans="1:13" ht="30.75" customHeight="1">
      <c r="A202" s="354">
        <v>19</v>
      </c>
      <c r="B202" s="36" t="s">
        <v>335</v>
      </c>
      <c r="C202" s="66" t="s">
        <v>296</v>
      </c>
      <c r="D202" s="280" t="s">
        <v>432</v>
      </c>
      <c r="E202" s="45"/>
      <c r="F202" s="294">
        <f>2.2/100</f>
        <v>2.2000000000000002E-2</v>
      </c>
      <c r="G202" s="170"/>
      <c r="H202" s="292"/>
      <c r="I202" s="170"/>
      <c r="J202" s="171"/>
      <c r="K202" s="170"/>
      <c r="L202" s="170"/>
      <c r="M202" s="182"/>
    </row>
    <row r="203" spans="1:13">
      <c r="A203" s="356"/>
      <c r="B203" s="36"/>
      <c r="C203" s="65" t="s">
        <v>16</v>
      </c>
      <c r="D203" s="54" t="s">
        <v>13</v>
      </c>
      <c r="E203" s="346">
        <v>272</v>
      </c>
      <c r="F203" s="172">
        <f>F202*E203</f>
        <v>5.9840000000000009</v>
      </c>
      <c r="G203" s="172"/>
      <c r="H203" s="171"/>
      <c r="I203" s="172"/>
      <c r="J203" s="171"/>
      <c r="K203" s="172"/>
      <c r="L203" s="172"/>
      <c r="M203" s="171"/>
    </row>
    <row r="204" spans="1:13" ht="30.75" customHeight="1">
      <c r="A204" s="355"/>
      <c r="B204" s="36" t="s">
        <v>139</v>
      </c>
      <c r="C204" s="65" t="s">
        <v>298</v>
      </c>
      <c r="D204" s="54" t="s">
        <v>27</v>
      </c>
      <c r="E204" s="54">
        <v>100</v>
      </c>
      <c r="F204" s="172">
        <f>F202*E204</f>
        <v>2.2000000000000002</v>
      </c>
      <c r="G204" s="172"/>
      <c r="H204" s="174"/>
      <c r="I204" s="174"/>
      <c r="J204" s="171"/>
      <c r="K204" s="172"/>
      <c r="L204" s="172"/>
      <c r="M204" s="171"/>
    </row>
    <row r="205" spans="1:13" ht="44.25" customHeight="1">
      <c r="A205" s="354">
        <v>20</v>
      </c>
      <c r="B205" s="36" t="s">
        <v>335</v>
      </c>
      <c r="C205" s="325" t="s">
        <v>512</v>
      </c>
      <c r="D205" s="326" t="s">
        <v>432</v>
      </c>
      <c r="E205" s="68"/>
      <c r="F205" s="327">
        <f>7.3/100</f>
        <v>7.2999999999999995E-2</v>
      </c>
      <c r="G205" s="170"/>
      <c r="H205" s="292"/>
      <c r="I205" s="170"/>
      <c r="J205" s="171"/>
      <c r="K205" s="170"/>
      <c r="L205" s="170"/>
      <c r="M205" s="182"/>
    </row>
    <row r="206" spans="1:13" ht="16.5" customHeight="1">
      <c r="A206" s="356"/>
      <c r="B206" s="36"/>
      <c r="C206" s="328" t="s">
        <v>16</v>
      </c>
      <c r="D206" s="329" t="s">
        <v>13</v>
      </c>
      <c r="E206" s="346">
        <v>272</v>
      </c>
      <c r="F206" s="324">
        <f>F205*E206</f>
        <v>19.855999999999998</v>
      </c>
      <c r="G206" s="172"/>
      <c r="H206" s="171"/>
      <c r="I206" s="172"/>
      <c r="J206" s="171"/>
      <c r="K206" s="172"/>
      <c r="L206" s="172"/>
      <c r="M206" s="171"/>
    </row>
    <row r="207" spans="1:13" ht="29.25" customHeight="1">
      <c r="A207" s="355"/>
      <c r="B207" s="36" t="s">
        <v>140</v>
      </c>
      <c r="C207" s="328" t="s">
        <v>297</v>
      </c>
      <c r="D207" s="329" t="s">
        <v>27</v>
      </c>
      <c r="E207" s="329">
        <v>100</v>
      </c>
      <c r="F207" s="324">
        <f>F205*E207</f>
        <v>7.3</v>
      </c>
      <c r="G207" s="172"/>
      <c r="H207" s="174"/>
      <c r="I207" s="174"/>
      <c r="J207" s="181"/>
      <c r="K207" s="172"/>
      <c r="L207" s="172"/>
      <c r="M207" s="181"/>
    </row>
    <row r="208" spans="1:13" ht="62.25" customHeight="1">
      <c r="A208" s="354">
        <v>21</v>
      </c>
      <c r="B208" s="36" t="s">
        <v>335</v>
      </c>
      <c r="C208" s="322" t="s">
        <v>513</v>
      </c>
      <c r="D208" s="280" t="s">
        <v>432</v>
      </c>
      <c r="E208" s="45"/>
      <c r="F208" s="323">
        <f>6/100</f>
        <v>0.06</v>
      </c>
      <c r="G208" s="170"/>
      <c r="H208" s="292"/>
      <c r="I208" s="170"/>
      <c r="J208" s="171"/>
      <c r="K208" s="170"/>
      <c r="L208" s="170"/>
      <c r="M208" s="182"/>
    </row>
    <row r="209" spans="1:13" ht="16.5" customHeight="1">
      <c r="A209" s="356"/>
      <c r="B209" s="36"/>
      <c r="C209" s="65" t="s">
        <v>16</v>
      </c>
      <c r="D209" s="54" t="s">
        <v>13</v>
      </c>
      <c r="E209" s="346">
        <v>272</v>
      </c>
      <c r="F209" s="172">
        <f>F208*E209</f>
        <v>16.32</v>
      </c>
      <c r="G209" s="172"/>
      <c r="H209" s="171"/>
      <c r="I209" s="172"/>
      <c r="J209" s="171"/>
      <c r="K209" s="172"/>
      <c r="L209" s="172"/>
      <c r="M209" s="171"/>
    </row>
    <row r="210" spans="1:13" ht="31.5" customHeight="1">
      <c r="A210" s="355"/>
      <c r="B210" s="36" t="s">
        <v>140</v>
      </c>
      <c r="C210" s="65" t="s">
        <v>297</v>
      </c>
      <c r="D210" s="54" t="s">
        <v>27</v>
      </c>
      <c r="E210" s="54">
        <v>100</v>
      </c>
      <c r="F210" s="172">
        <f>F208*E210</f>
        <v>6</v>
      </c>
      <c r="G210" s="172"/>
      <c r="H210" s="174"/>
      <c r="I210" s="174"/>
      <c r="J210" s="181"/>
      <c r="K210" s="172"/>
      <c r="L210" s="172"/>
      <c r="M210" s="181"/>
    </row>
    <row r="211" spans="1:13" ht="45" customHeight="1">
      <c r="A211" s="354">
        <v>22</v>
      </c>
      <c r="B211" s="36" t="s">
        <v>446</v>
      </c>
      <c r="C211" s="188" t="s">
        <v>514</v>
      </c>
      <c r="D211" s="280" t="s">
        <v>432</v>
      </c>
      <c r="E211" s="45"/>
      <c r="F211" s="294">
        <f>2.1/100</f>
        <v>2.1000000000000001E-2</v>
      </c>
      <c r="G211" s="170"/>
      <c r="H211" s="292"/>
      <c r="I211" s="170"/>
      <c r="J211" s="171"/>
      <c r="K211" s="170"/>
      <c r="L211" s="170"/>
      <c r="M211" s="182"/>
    </row>
    <row r="212" spans="1:13" ht="16.5" customHeight="1">
      <c r="A212" s="356"/>
      <c r="B212" s="36"/>
      <c r="C212" s="65" t="s">
        <v>16</v>
      </c>
      <c r="D212" s="54" t="s">
        <v>13</v>
      </c>
      <c r="E212" s="346">
        <v>272</v>
      </c>
      <c r="F212" s="172">
        <f>F211*E212</f>
        <v>5.7120000000000006</v>
      </c>
      <c r="G212" s="172"/>
      <c r="H212" s="171"/>
      <c r="I212" s="172"/>
      <c r="J212" s="171"/>
      <c r="K212" s="172"/>
      <c r="L212" s="172"/>
      <c r="M212" s="171"/>
    </row>
    <row r="213" spans="1:13" ht="42.75" customHeight="1">
      <c r="A213" s="355"/>
      <c r="B213" s="36" t="s">
        <v>444</v>
      </c>
      <c r="C213" s="65" t="s">
        <v>443</v>
      </c>
      <c r="D213" s="54" t="s">
        <v>27</v>
      </c>
      <c r="E213" s="54">
        <v>100</v>
      </c>
      <c r="F213" s="172">
        <f>F211*E213</f>
        <v>2.1</v>
      </c>
      <c r="G213" s="172"/>
      <c r="H213" s="174"/>
      <c r="I213" s="174"/>
      <c r="J213" s="181"/>
      <c r="K213" s="172"/>
      <c r="L213" s="172"/>
      <c r="M213" s="181"/>
    </row>
    <row r="214" spans="1:13" ht="19.5" customHeight="1">
      <c r="A214" s="354"/>
      <c r="B214" s="36" t="s">
        <v>445</v>
      </c>
      <c r="C214" s="66" t="s">
        <v>141</v>
      </c>
      <c r="D214" s="280" t="s">
        <v>432</v>
      </c>
      <c r="E214" s="45"/>
      <c r="F214" s="288">
        <f>1/100</f>
        <v>0.01</v>
      </c>
      <c r="G214" s="170"/>
      <c r="H214" s="292"/>
      <c r="I214" s="170"/>
      <c r="J214" s="171"/>
      <c r="K214" s="170"/>
      <c r="L214" s="170"/>
      <c r="M214" s="182"/>
    </row>
    <row r="215" spans="1:13" ht="16.5" customHeight="1">
      <c r="A215" s="356">
        <v>23</v>
      </c>
      <c r="B215" s="36"/>
      <c r="C215" s="65" t="s">
        <v>16</v>
      </c>
      <c r="D215" s="54" t="s">
        <v>13</v>
      </c>
      <c r="E215" s="54">
        <v>53.5</v>
      </c>
      <c r="F215" s="172">
        <f>F214*E215</f>
        <v>0.53500000000000003</v>
      </c>
      <c r="G215" s="172"/>
      <c r="H215" s="171"/>
      <c r="I215" s="172"/>
      <c r="J215" s="171"/>
      <c r="K215" s="172"/>
      <c r="L215" s="172"/>
      <c r="M215" s="171"/>
    </row>
    <row r="216" spans="1:13" ht="17.25" customHeight="1">
      <c r="A216" s="356"/>
      <c r="B216" s="36"/>
      <c r="C216" s="65" t="s">
        <v>111</v>
      </c>
      <c r="D216" s="54" t="s">
        <v>2</v>
      </c>
      <c r="E216" s="54">
        <v>1.2</v>
      </c>
      <c r="F216" s="172">
        <f>F214*E216</f>
        <v>1.2E-2</v>
      </c>
      <c r="G216" s="172"/>
      <c r="H216" s="172"/>
      <c r="I216" s="172"/>
      <c r="J216" s="171"/>
      <c r="K216" s="172"/>
      <c r="L216" s="171"/>
      <c r="M216" s="171"/>
    </row>
    <row r="217" spans="1:13" ht="17.25" customHeight="1">
      <c r="A217" s="356"/>
      <c r="B217" s="36" t="s">
        <v>143</v>
      </c>
      <c r="C217" s="65" t="s">
        <v>142</v>
      </c>
      <c r="D217" s="54" t="s">
        <v>27</v>
      </c>
      <c r="E217" s="54">
        <v>105</v>
      </c>
      <c r="F217" s="172">
        <f>F214*E217</f>
        <v>1.05</v>
      </c>
      <c r="G217" s="172"/>
      <c r="H217" s="174"/>
      <c r="I217" s="341"/>
      <c r="J217" s="171"/>
      <c r="K217" s="172"/>
      <c r="L217" s="172"/>
      <c r="M217" s="171"/>
    </row>
    <row r="218" spans="1:13" ht="16.5" customHeight="1">
      <c r="A218" s="355"/>
      <c r="B218" s="36"/>
      <c r="C218" s="65" t="s">
        <v>19</v>
      </c>
      <c r="D218" s="54" t="s">
        <v>2</v>
      </c>
      <c r="E218" s="54">
        <v>7.8</v>
      </c>
      <c r="F218" s="172">
        <f>F214*E218</f>
        <v>7.8E-2</v>
      </c>
      <c r="G218" s="172"/>
      <c r="H218" s="174"/>
      <c r="I218" s="172"/>
      <c r="J218" s="171"/>
      <c r="K218" s="172"/>
      <c r="L218" s="172"/>
      <c r="M218" s="171"/>
    </row>
    <row r="219" spans="1:13" ht="43.5" customHeight="1">
      <c r="A219" s="354">
        <v>24</v>
      </c>
      <c r="B219" s="36" t="s">
        <v>492</v>
      </c>
      <c r="C219" s="66" t="s">
        <v>515</v>
      </c>
      <c r="D219" s="280" t="s">
        <v>432</v>
      </c>
      <c r="E219" s="45"/>
      <c r="F219" s="170">
        <f>73/100</f>
        <v>0.73</v>
      </c>
      <c r="G219" s="170"/>
      <c r="H219" s="292"/>
      <c r="I219" s="170"/>
      <c r="J219" s="171"/>
      <c r="K219" s="170"/>
      <c r="L219" s="170"/>
      <c r="M219" s="182"/>
    </row>
    <row r="220" spans="1:13" ht="16.5" customHeight="1">
      <c r="A220" s="356"/>
      <c r="B220" s="36"/>
      <c r="C220" s="65" t="s">
        <v>16</v>
      </c>
      <c r="D220" s="54" t="s">
        <v>13</v>
      </c>
      <c r="E220" s="54">
        <v>25</v>
      </c>
      <c r="F220" s="172">
        <f>F219*E220</f>
        <v>18.25</v>
      </c>
      <c r="G220" s="172"/>
      <c r="H220" s="171"/>
      <c r="I220" s="172"/>
      <c r="J220" s="171"/>
      <c r="K220" s="172"/>
      <c r="L220" s="172"/>
      <c r="M220" s="171"/>
    </row>
    <row r="221" spans="1:13" ht="16.5" customHeight="1">
      <c r="A221" s="356"/>
      <c r="B221" s="36"/>
      <c r="C221" s="65" t="s">
        <v>111</v>
      </c>
      <c r="D221" s="54" t="s">
        <v>2</v>
      </c>
      <c r="E221" s="54">
        <v>8</v>
      </c>
      <c r="F221" s="172">
        <f>F219*E221</f>
        <v>5.84</v>
      </c>
      <c r="G221" s="172"/>
      <c r="H221" s="172"/>
      <c r="I221" s="172"/>
      <c r="J221" s="171"/>
      <c r="K221" s="172"/>
      <c r="L221" s="171"/>
      <c r="M221" s="171"/>
    </row>
    <row r="222" spans="1:13" ht="28.5" customHeight="1">
      <c r="A222" s="356"/>
      <c r="B222" s="36" t="s">
        <v>501</v>
      </c>
      <c r="C222" s="65" t="s">
        <v>493</v>
      </c>
      <c r="D222" s="54" t="s">
        <v>15</v>
      </c>
      <c r="E222" s="54">
        <v>0.39600000000000002</v>
      </c>
      <c r="F222" s="172">
        <f>F219*E222</f>
        <v>0.28908</v>
      </c>
      <c r="G222" s="172"/>
      <c r="H222" s="174"/>
      <c r="I222" s="341"/>
      <c r="J222" s="171"/>
      <c r="K222" s="172"/>
      <c r="L222" s="172"/>
      <c r="M222" s="171"/>
    </row>
    <row r="223" spans="1:13" ht="29.25" customHeight="1">
      <c r="A223" s="356"/>
      <c r="B223" s="36" t="s">
        <v>501</v>
      </c>
      <c r="C223" s="65" t="s">
        <v>494</v>
      </c>
      <c r="D223" s="54" t="s">
        <v>15</v>
      </c>
      <c r="E223" s="54">
        <v>0.15</v>
      </c>
      <c r="F223" s="172">
        <f>F219*E223</f>
        <v>0.1095</v>
      </c>
      <c r="G223" s="172"/>
      <c r="H223" s="174"/>
      <c r="I223" s="172"/>
      <c r="J223" s="171"/>
      <c r="K223" s="172"/>
      <c r="L223" s="172"/>
      <c r="M223" s="171"/>
    </row>
    <row r="224" spans="1:13" ht="16.5" customHeight="1">
      <c r="A224" s="355"/>
      <c r="B224" s="36"/>
      <c r="C224" s="65" t="s">
        <v>19</v>
      </c>
      <c r="D224" s="54" t="s">
        <v>2</v>
      </c>
      <c r="E224" s="54">
        <v>0.42</v>
      </c>
      <c r="F224" s="172">
        <f>F219*E224</f>
        <v>0.30659999999999998</v>
      </c>
      <c r="G224" s="172"/>
      <c r="H224" s="174"/>
      <c r="I224" s="172"/>
      <c r="J224" s="171"/>
      <c r="K224" s="172"/>
      <c r="L224" s="172"/>
      <c r="M224" s="171"/>
    </row>
    <row r="225" spans="1:13" s="398" customFormat="1" ht="45.75" customHeight="1">
      <c r="A225" s="357">
        <v>25</v>
      </c>
      <c r="B225" s="271" t="s">
        <v>406</v>
      </c>
      <c r="C225" s="29" t="s">
        <v>495</v>
      </c>
      <c r="D225" s="230" t="s">
        <v>28</v>
      </c>
      <c r="E225" s="37"/>
      <c r="F225" s="238">
        <v>2.04</v>
      </c>
      <c r="G225" s="182"/>
      <c r="H225" s="171"/>
      <c r="I225" s="182"/>
      <c r="J225" s="171"/>
      <c r="K225" s="182"/>
      <c r="L225" s="171"/>
      <c r="M225" s="171"/>
    </row>
    <row r="226" spans="1:13" s="398" customFormat="1" ht="15" customHeight="1">
      <c r="A226" s="358"/>
      <c r="B226" s="271"/>
      <c r="C226" s="33" t="s">
        <v>16</v>
      </c>
      <c r="D226" s="30" t="s">
        <v>13</v>
      </c>
      <c r="E226" s="30">
        <v>0.89</v>
      </c>
      <c r="F226" s="171">
        <f>F225*E226</f>
        <v>1.8156000000000001</v>
      </c>
      <c r="G226" s="187"/>
      <c r="H226" s="171"/>
      <c r="I226" s="171"/>
      <c r="J226" s="171"/>
      <c r="K226" s="171"/>
      <c r="L226" s="171"/>
      <c r="M226" s="171"/>
    </row>
    <row r="227" spans="1:13" s="398" customFormat="1" ht="15" customHeight="1">
      <c r="A227" s="358"/>
      <c r="B227" s="271"/>
      <c r="C227" s="33" t="s">
        <v>111</v>
      </c>
      <c r="D227" s="30" t="s">
        <v>2</v>
      </c>
      <c r="E227" s="30">
        <v>0.37</v>
      </c>
      <c r="F227" s="171">
        <f>F225*E227</f>
        <v>0.75480000000000003</v>
      </c>
      <c r="G227" s="171"/>
      <c r="H227" s="171"/>
      <c r="I227" s="171"/>
      <c r="J227" s="171"/>
      <c r="K227" s="171"/>
      <c r="L227" s="171"/>
      <c r="M227" s="171"/>
    </row>
    <row r="228" spans="1:13" s="398" customFormat="1" ht="15.75" customHeight="1">
      <c r="A228" s="358"/>
      <c r="B228" s="271" t="s">
        <v>409</v>
      </c>
      <c r="C228" s="33" t="s">
        <v>408</v>
      </c>
      <c r="D228" s="30" t="s">
        <v>30</v>
      </c>
      <c r="E228" s="30">
        <v>1.1499999999999999</v>
      </c>
      <c r="F228" s="171">
        <f>F225*E228</f>
        <v>2.3459999999999996</v>
      </c>
      <c r="G228" s="171"/>
      <c r="H228" s="171"/>
      <c r="I228" s="171"/>
      <c r="J228" s="171"/>
      <c r="K228" s="171"/>
      <c r="L228" s="31"/>
      <c r="M228" s="171"/>
    </row>
    <row r="229" spans="1:13" s="398" customFormat="1" ht="15" customHeight="1">
      <c r="A229" s="359"/>
      <c r="B229" s="271"/>
      <c r="C229" s="33" t="s">
        <v>19</v>
      </c>
      <c r="D229" s="30" t="s">
        <v>2</v>
      </c>
      <c r="E229" s="30">
        <v>0.02</v>
      </c>
      <c r="F229" s="171">
        <f>F225*E229</f>
        <v>4.0800000000000003E-2</v>
      </c>
      <c r="G229" s="171"/>
      <c r="H229" s="171"/>
      <c r="I229" s="171"/>
      <c r="J229" s="171"/>
      <c r="K229" s="171"/>
      <c r="L229" s="31"/>
      <c r="M229" s="171"/>
    </row>
    <row r="230" spans="1:13" ht="30.75" customHeight="1">
      <c r="A230" s="354">
        <v>26</v>
      </c>
      <c r="B230" s="397" t="s">
        <v>410</v>
      </c>
      <c r="C230" s="279" t="s">
        <v>496</v>
      </c>
      <c r="D230" s="280" t="s">
        <v>432</v>
      </c>
      <c r="E230" s="281"/>
      <c r="F230" s="282">
        <f>20.4/100</f>
        <v>0.20399999999999999</v>
      </c>
      <c r="G230" s="283"/>
      <c r="H230" s="283"/>
      <c r="I230" s="283"/>
      <c r="J230" s="283"/>
      <c r="K230" s="283"/>
      <c r="L230" s="283"/>
      <c r="M230" s="283"/>
    </row>
    <row r="231" spans="1:13" ht="15" customHeight="1">
      <c r="A231" s="356"/>
      <c r="B231" s="61"/>
      <c r="C231" s="232" t="s">
        <v>412</v>
      </c>
      <c r="D231" s="271" t="s">
        <v>13</v>
      </c>
      <c r="E231" s="175">
        <f>40.2+10*1.06</f>
        <v>50.800000000000004</v>
      </c>
      <c r="F231" s="171">
        <f>F230*E231</f>
        <v>10.363200000000001</v>
      </c>
      <c r="G231" s="171"/>
      <c r="H231" s="171"/>
      <c r="I231" s="171"/>
      <c r="J231" s="171"/>
      <c r="K231" s="171"/>
      <c r="L231" s="171"/>
      <c r="M231" s="171"/>
    </row>
    <row r="232" spans="1:13" ht="16.5" customHeight="1">
      <c r="A232" s="356"/>
      <c r="B232" s="61"/>
      <c r="C232" s="232" t="s">
        <v>413</v>
      </c>
      <c r="D232" s="36" t="s">
        <v>2</v>
      </c>
      <c r="E232" s="175">
        <f>1.74+10*0.28</f>
        <v>4.54</v>
      </c>
      <c r="F232" s="171">
        <f>F230*E232</f>
        <v>0.92615999999999998</v>
      </c>
      <c r="G232" s="171"/>
      <c r="H232" s="171"/>
      <c r="I232" s="171"/>
      <c r="J232" s="171"/>
      <c r="K232" s="171"/>
      <c r="L232" s="171"/>
      <c r="M232" s="171"/>
    </row>
    <row r="233" spans="1:13" ht="16.5" customHeight="1">
      <c r="A233" s="356"/>
      <c r="B233" s="401" t="s">
        <v>414</v>
      </c>
      <c r="C233" s="284" t="s">
        <v>542</v>
      </c>
      <c r="D233" s="256" t="s">
        <v>29</v>
      </c>
      <c r="E233" s="54">
        <f>3.06+10*0.51</f>
        <v>8.16</v>
      </c>
      <c r="F233" s="285">
        <f>F230*E233</f>
        <v>1.6646399999999999</v>
      </c>
      <c r="G233" s="285"/>
      <c r="H233" s="285"/>
      <c r="I233" s="286"/>
      <c r="J233" s="285"/>
      <c r="K233" s="285"/>
      <c r="L233" s="285"/>
      <c r="M233" s="285"/>
    </row>
    <row r="234" spans="1:13" ht="15.75" customHeight="1">
      <c r="A234" s="356"/>
      <c r="B234" s="401" t="s">
        <v>379</v>
      </c>
      <c r="C234" s="284" t="s">
        <v>415</v>
      </c>
      <c r="D234" s="256" t="s">
        <v>15</v>
      </c>
      <c r="E234" s="256">
        <v>2.4</v>
      </c>
      <c r="F234" s="285">
        <f>F233*E234</f>
        <v>3.9951359999999996</v>
      </c>
      <c r="G234" s="285"/>
      <c r="H234" s="285"/>
      <c r="I234" s="285"/>
      <c r="J234" s="285"/>
      <c r="K234" s="335"/>
      <c r="L234" s="285"/>
      <c r="M234" s="285"/>
    </row>
    <row r="235" spans="1:13" ht="14.25" customHeight="1">
      <c r="A235" s="355"/>
      <c r="B235" s="61"/>
      <c r="C235" s="232" t="s">
        <v>19</v>
      </c>
      <c r="D235" s="36" t="s">
        <v>2</v>
      </c>
      <c r="E235" s="175">
        <v>6.64</v>
      </c>
      <c r="F235" s="171">
        <f>F230*E235</f>
        <v>1.3545599999999998</v>
      </c>
      <c r="G235" s="171"/>
      <c r="H235" s="171"/>
      <c r="I235" s="171"/>
      <c r="J235" s="171"/>
      <c r="K235" s="171"/>
      <c r="L235" s="171"/>
      <c r="M235" s="171"/>
    </row>
    <row r="236" spans="1:13" ht="30" customHeight="1">
      <c r="A236" s="354">
        <v>27</v>
      </c>
      <c r="B236" s="407" t="s">
        <v>333</v>
      </c>
      <c r="C236" s="66" t="s">
        <v>106</v>
      </c>
      <c r="D236" s="45" t="s">
        <v>435</v>
      </c>
      <c r="E236" s="45"/>
      <c r="F236" s="295">
        <v>118.8</v>
      </c>
      <c r="G236" s="172"/>
      <c r="H236" s="171"/>
      <c r="I236" s="172"/>
      <c r="J236" s="172"/>
      <c r="K236" s="172"/>
      <c r="L236" s="172"/>
      <c r="M236" s="171"/>
    </row>
    <row r="237" spans="1:13">
      <c r="A237" s="356"/>
      <c r="B237" s="397"/>
      <c r="C237" s="65" t="s">
        <v>16</v>
      </c>
      <c r="D237" s="54" t="s">
        <v>13</v>
      </c>
      <c r="E237" s="54">
        <v>2.19</v>
      </c>
      <c r="F237" s="172">
        <f>F236*E237</f>
        <v>260.17199999999997</v>
      </c>
      <c r="G237" s="172"/>
      <c r="H237" s="171"/>
      <c r="I237" s="172"/>
      <c r="J237" s="172"/>
      <c r="K237" s="172"/>
      <c r="L237" s="172"/>
      <c r="M237" s="171"/>
    </row>
    <row r="238" spans="1:13">
      <c r="A238" s="356"/>
      <c r="B238" s="397"/>
      <c r="C238" s="64" t="s">
        <v>102</v>
      </c>
      <c r="D238" s="54" t="s">
        <v>2</v>
      </c>
      <c r="E238" s="54">
        <v>0.02</v>
      </c>
      <c r="F238" s="172">
        <f>F236*E238</f>
        <v>2.3759999999999999</v>
      </c>
      <c r="G238" s="172"/>
      <c r="H238" s="171"/>
      <c r="I238" s="172"/>
      <c r="J238" s="172"/>
      <c r="K238" s="172"/>
      <c r="L238" s="171"/>
      <c r="M238" s="171"/>
    </row>
    <row r="239" spans="1:13">
      <c r="A239" s="356"/>
      <c r="B239" s="397" t="s">
        <v>18</v>
      </c>
      <c r="C239" s="65" t="s">
        <v>107</v>
      </c>
      <c r="D239" s="54" t="s">
        <v>21</v>
      </c>
      <c r="E239" s="71">
        <v>6</v>
      </c>
      <c r="F239" s="172">
        <f>F236*E239</f>
        <v>712.8</v>
      </c>
      <c r="G239" s="172"/>
      <c r="H239" s="171"/>
      <c r="I239" s="341"/>
      <c r="J239" s="171"/>
      <c r="K239" s="172"/>
      <c r="L239" s="172"/>
      <c r="M239" s="171"/>
    </row>
    <row r="240" spans="1:13">
      <c r="A240" s="356"/>
      <c r="B240" s="397" t="s">
        <v>20</v>
      </c>
      <c r="C240" s="65" t="s">
        <v>108</v>
      </c>
      <c r="D240" s="54" t="s">
        <v>27</v>
      </c>
      <c r="E240" s="54">
        <v>1.02</v>
      </c>
      <c r="F240" s="172">
        <f>F236*E240</f>
        <v>121.176</v>
      </c>
      <c r="G240" s="172"/>
      <c r="H240" s="171"/>
      <c r="I240" s="172"/>
      <c r="J240" s="171"/>
      <c r="K240" s="172"/>
      <c r="L240" s="172"/>
      <c r="M240" s="171"/>
    </row>
    <row r="241" spans="1:13">
      <c r="A241" s="355"/>
      <c r="B241" s="407"/>
      <c r="C241" s="65" t="s">
        <v>19</v>
      </c>
      <c r="D241" s="54" t="s">
        <v>2</v>
      </c>
      <c r="E241" s="54">
        <v>7.0000000000000007E-2</v>
      </c>
      <c r="F241" s="172">
        <f>F236*E241</f>
        <v>8.3160000000000007</v>
      </c>
      <c r="G241" s="172"/>
      <c r="H241" s="171"/>
      <c r="I241" s="172"/>
      <c r="J241" s="171"/>
      <c r="K241" s="172"/>
      <c r="L241" s="172"/>
      <c r="M241" s="171"/>
    </row>
    <row r="242" spans="1:13" ht="18.75" customHeight="1">
      <c r="A242" s="354">
        <v>28</v>
      </c>
      <c r="B242" s="54" t="s">
        <v>336</v>
      </c>
      <c r="C242" s="66" t="s">
        <v>110</v>
      </c>
      <c r="D242" s="45" t="s">
        <v>435</v>
      </c>
      <c r="E242" s="45"/>
      <c r="F242" s="288">
        <v>36.799999999999997</v>
      </c>
      <c r="G242" s="172"/>
      <c r="H242" s="171"/>
      <c r="I242" s="172"/>
      <c r="J242" s="172"/>
      <c r="K242" s="172"/>
      <c r="L242" s="172"/>
      <c r="M242" s="171"/>
    </row>
    <row r="243" spans="1:13">
      <c r="A243" s="356"/>
      <c r="B243" s="406"/>
      <c r="C243" s="65" t="s">
        <v>16</v>
      </c>
      <c r="D243" s="54" t="s">
        <v>13</v>
      </c>
      <c r="E243" s="54">
        <v>1.08</v>
      </c>
      <c r="F243" s="172">
        <f>F242*E243</f>
        <v>39.744</v>
      </c>
      <c r="G243" s="172"/>
      <c r="H243" s="181"/>
      <c r="I243" s="172"/>
      <c r="J243" s="172"/>
      <c r="K243" s="172"/>
      <c r="L243" s="172"/>
      <c r="M243" s="171"/>
    </row>
    <row r="244" spans="1:13">
      <c r="A244" s="356"/>
      <c r="B244" s="406"/>
      <c r="C244" s="64" t="s">
        <v>102</v>
      </c>
      <c r="D244" s="54" t="s">
        <v>2</v>
      </c>
      <c r="E244" s="54">
        <v>4.5199999999999997E-2</v>
      </c>
      <c r="F244" s="172">
        <f>F242*E244</f>
        <v>1.6633599999999997</v>
      </c>
      <c r="G244" s="172"/>
      <c r="H244" s="172"/>
      <c r="I244" s="172"/>
      <c r="J244" s="172"/>
      <c r="K244" s="172"/>
      <c r="L244" s="171"/>
      <c r="M244" s="171"/>
    </row>
    <row r="245" spans="1:13" ht="18" customHeight="1">
      <c r="A245" s="356"/>
      <c r="B245" s="340" t="s">
        <v>530</v>
      </c>
      <c r="C245" s="65" t="s">
        <v>107</v>
      </c>
      <c r="D245" s="54" t="s">
        <v>21</v>
      </c>
      <c r="E245" s="55">
        <v>6</v>
      </c>
      <c r="F245" s="174">
        <f>F242*E245</f>
        <v>220.79999999999998</v>
      </c>
      <c r="G245" s="172"/>
      <c r="H245" s="172"/>
      <c r="I245" s="341"/>
      <c r="J245" s="171"/>
      <c r="K245" s="172"/>
      <c r="L245" s="172"/>
      <c r="M245" s="171"/>
    </row>
    <row r="246" spans="1:13" ht="15.75" customHeight="1">
      <c r="A246" s="356"/>
      <c r="B246" s="406"/>
      <c r="C246" s="65" t="s">
        <v>109</v>
      </c>
      <c r="D246" s="54" t="s">
        <v>27</v>
      </c>
      <c r="E246" s="54">
        <v>1.02</v>
      </c>
      <c r="F246" s="172">
        <f>F242*E246</f>
        <v>37.535999999999994</v>
      </c>
      <c r="G246" s="172"/>
      <c r="H246" s="172"/>
      <c r="I246" s="172"/>
      <c r="J246" s="171"/>
      <c r="K246" s="172"/>
      <c r="L246" s="172"/>
      <c r="M246" s="171"/>
    </row>
    <row r="247" spans="1:13">
      <c r="A247" s="355"/>
      <c r="B247" s="406"/>
      <c r="C247" s="65" t="s">
        <v>19</v>
      </c>
      <c r="D247" s="54" t="s">
        <v>2</v>
      </c>
      <c r="E247" s="54">
        <v>7.0000000000000007E-2</v>
      </c>
      <c r="F247" s="172">
        <f>F242*E247</f>
        <v>2.5760000000000001</v>
      </c>
      <c r="G247" s="172"/>
      <c r="H247" s="172"/>
      <c r="I247" s="172"/>
      <c r="J247" s="171"/>
      <c r="K247" s="172"/>
      <c r="L247" s="172"/>
      <c r="M247" s="171"/>
    </row>
    <row r="248" spans="1:13" ht="19.5" customHeight="1">
      <c r="A248" s="354">
        <v>29</v>
      </c>
      <c r="B248" s="36" t="s">
        <v>488</v>
      </c>
      <c r="C248" s="66" t="s">
        <v>487</v>
      </c>
      <c r="D248" s="280" t="s">
        <v>432</v>
      </c>
      <c r="E248" s="45"/>
      <c r="F248" s="293">
        <f>F242/100</f>
        <v>0.36799999999999999</v>
      </c>
      <c r="G248" s="170"/>
      <c r="H248" s="170"/>
      <c r="I248" s="170"/>
      <c r="J248" s="171"/>
      <c r="K248" s="170"/>
      <c r="L248" s="170"/>
      <c r="M248" s="182"/>
    </row>
    <row r="249" spans="1:13">
      <c r="A249" s="356"/>
      <c r="B249" s="406"/>
      <c r="C249" s="65" t="s">
        <v>16</v>
      </c>
      <c r="D249" s="54" t="s">
        <v>13</v>
      </c>
      <c r="E249" s="54">
        <v>145</v>
      </c>
      <c r="F249" s="172">
        <f>F248*E249</f>
        <v>53.36</v>
      </c>
      <c r="G249" s="172"/>
      <c r="H249" s="171"/>
      <c r="I249" s="172"/>
      <c r="J249" s="171"/>
      <c r="K249" s="172"/>
      <c r="L249" s="172"/>
      <c r="M249" s="171"/>
    </row>
    <row r="250" spans="1:13">
      <c r="A250" s="356"/>
      <c r="B250" s="406"/>
      <c r="C250" s="65" t="s">
        <v>111</v>
      </c>
      <c r="D250" s="54" t="s">
        <v>2</v>
      </c>
      <c r="E250" s="54">
        <v>6.81</v>
      </c>
      <c r="F250" s="172">
        <f>F248*E250</f>
        <v>2.5060799999999999</v>
      </c>
      <c r="G250" s="172"/>
      <c r="H250" s="172"/>
      <c r="I250" s="172"/>
      <c r="J250" s="171"/>
      <c r="K250" s="172"/>
      <c r="L250" s="171"/>
      <c r="M250" s="171"/>
    </row>
    <row r="251" spans="1:13">
      <c r="A251" s="356"/>
      <c r="B251" s="340" t="s">
        <v>529</v>
      </c>
      <c r="C251" s="65" t="s">
        <v>544</v>
      </c>
      <c r="D251" s="54" t="s">
        <v>92</v>
      </c>
      <c r="E251" s="54">
        <v>102</v>
      </c>
      <c r="F251" s="172">
        <f>F248*E251</f>
        <v>37.536000000000001</v>
      </c>
      <c r="G251" s="172"/>
      <c r="H251" s="172"/>
      <c r="I251" s="172"/>
      <c r="J251" s="171"/>
      <c r="K251" s="172"/>
      <c r="L251" s="172"/>
      <c r="M251" s="171"/>
    </row>
    <row r="252" spans="1:13" ht="19.5" customHeight="1">
      <c r="A252" s="356"/>
      <c r="B252" s="36" t="s">
        <v>131</v>
      </c>
      <c r="C252" s="65" t="s">
        <v>545</v>
      </c>
      <c r="D252" s="54" t="s">
        <v>130</v>
      </c>
      <c r="E252" s="54"/>
      <c r="F252" s="174">
        <v>84</v>
      </c>
      <c r="G252" s="172"/>
      <c r="H252" s="172"/>
      <c r="I252" s="172"/>
      <c r="J252" s="171"/>
      <c r="K252" s="172"/>
      <c r="L252" s="172"/>
      <c r="M252" s="171"/>
    </row>
    <row r="253" spans="1:13" ht="17.25" customHeight="1">
      <c r="A253" s="356"/>
      <c r="B253" s="36" t="s">
        <v>132</v>
      </c>
      <c r="C253" s="65" t="s">
        <v>546</v>
      </c>
      <c r="D253" s="54" t="s">
        <v>130</v>
      </c>
      <c r="E253" s="54"/>
      <c r="F253" s="174">
        <v>112</v>
      </c>
      <c r="G253" s="172"/>
      <c r="H253" s="172"/>
      <c r="I253" s="172"/>
      <c r="J253" s="171"/>
      <c r="K253" s="172"/>
      <c r="L253" s="172"/>
      <c r="M253" s="171"/>
    </row>
    <row r="254" spans="1:13" ht="18" customHeight="1">
      <c r="A254" s="356"/>
      <c r="B254" s="36" t="s">
        <v>20</v>
      </c>
      <c r="C254" s="65" t="s">
        <v>489</v>
      </c>
      <c r="D254" s="54" t="s">
        <v>72</v>
      </c>
      <c r="E254" s="54">
        <v>4</v>
      </c>
      <c r="F254" s="213">
        <f>F252*E254</f>
        <v>336</v>
      </c>
      <c r="G254" s="172"/>
      <c r="H254" s="172"/>
      <c r="I254" s="172"/>
      <c r="J254" s="171"/>
      <c r="K254" s="172"/>
      <c r="L254" s="172"/>
      <c r="M254" s="171"/>
    </row>
    <row r="255" spans="1:13">
      <c r="A255" s="356"/>
      <c r="B255" s="36" t="s">
        <v>20</v>
      </c>
      <c r="C255" s="65" t="s">
        <v>133</v>
      </c>
      <c r="D255" s="54" t="s">
        <v>72</v>
      </c>
      <c r="E255" s="54">
        <v>1500</v>
      </c>
      <c r="F255" s="213">
        <f>F248*E255</f>
        <v>552</v>
      </c>
      <c r="G255" s="172"/>
      <c r="H255" s="172"/>
      <c r="I255" s="172"/>
      <c r="J255" s="171"/>
      <c r="K255" s="172"/>
      <c r="L255" s="172"/>
      <c r="M255" s="171"/>
    </row>
    <row r="256" spans="1:13">
      <c r="A256" s="356"/>
      <c r="B256" s="36" t="s">
        <v>134</v>
      </c>
      <c r="C256" s="65" t="s">
        <v>490</v>
      </c>
      <c r="D256" s="54" t="s">
        <v>72</v>
      </c>
      <c r="E256" s="54">
        <v>250</v>
      </c>
      <c r="F256" s="213">
        <f>F248*E256</f>
        <v>92</v>
      </c>
      <c r="G256" s="172"/>
      <c r="H256" s="172"/>
      <c r="I256" s="172"/>
      <c r="J256" s="171"/>
      <c r="K256" s="172"/>
      <c r="L256" s="172"/>
      <c r="M256" s="171"/>
    </row>
    <row r="257" spans="1:13" ht="30" customHeight="1">
      <c r="A257" s="354">
        <v>30</v>
      </c>
      <c r="B257" s="36" t="s">
        <v>334</v>
      </c>
      <c r="C257" s="66" t="s">
        <v>497</v>
      </c>
      <c r="D257" s="45" t="s">
        <v>432</v>
      </c>
      <c r="E257" s="45"/>
      <c r="F257" s="288">
        <v>1.1599999999999999</v>
      </c>
      <c r="G257" s="170"/>
      <c r="H257" s="170"/>
      <c r="I257" s="170"/>
      <c r="J257" s="171"/>
      <c r="K257" s="170"/>
      <c r="L257" s="170"/>
      <c r="M257" s="182"/>
    </row>
    <row r="258" spans="1:13">
      <c r="A258" s="356"/>
      <c r="B258" s="36"/>
      <c r="C258" s="65" t="s">
        <v>16</v>
      </c>
      <c r="D258" s="54" t="s">
        <v>13</v>
      </c>
      <c r="E258" s="54">
        <v>53.5</v>
      </c>
      <c r="F258" s="172">
        <f>F257*E258</f>
        <v>62.059999999999995</v>
      </c>
      <c r="G258" s="172"/>
      <c r="H258" s="171"/>
      <c r="I258" s="172"/>
      <c r="J258" s="171"/>
      <c r="K258" s="172"/>
      <c r="L258" s="172"/>
      <c r="M258" s="171"/>
    </row>
    <row r="259" spans="1:13">
      <c r="A259" s="356"/>
      <c r="B259" s="36"/>
      <c r="C259" s="65" t="s">
        <v>111</v>
      </c>
      <c r="D259" s="54" t="s">
        <v>2</v>
      </c>
      <c r="E259" s="54">
        <v>1.2</v>
      </c>
      <c r="F259" s="172">
        <f>F257*E259</f>
        <v>1.3919999999999999</v>
      </c>
      <c r="G259" s="172"/>
      <c r="H259" s="172"/>
      <c r="I259" s="172"/>
      <c r="J259" s="171"/>
      <c r="K259" s="172"/>
      <c r="L259" s="171"/>
      <c r="M259" s="171"/>
    </row>
    <row r="260" spans="1:13">
      <c r="A260" s="356"/>
      <c r="B260" s="36" t="s">
        <v>138</v>
      </c>
      <c r="C260" s="65" t="s">
        <v>135</v>
      </c>
      <c r="D260" s="54" t="s">
        <v>21</v>
      </c>
      <c r="E260" s="54">
        <v>37</v>
      </c>
      <c r="F260" s="172">
        <f>F257*E260</f>
        <v>42.919999999999995</v>
      </c>
      <c r="G260" s="172"/>
      <c r="H260" s="174"/>
      <c r="I260" s="172"/>
      <c r="J260" s="171"/>
      <c r="K260" s="172"/>
      <c r="L260" s="172"/>
      <c r="M260" s="171"/>
    </row>
    <row r="261" spans="1:13" ht="18.75" customHeight="1">
      <c r="A261" s="356"/>
      <c r="B261" s="36" t="s">
        <v>137</v>
      </c>
      <c r="C261" s="65" t="s">
        <v>136</v>
      </c>
      <c r="D261" s="54" t="s">
        <v>21</v>
      </c>
      <c r="E261" s="54">
        <v>63</v>
      </c>
      <c r="F261" s="172">
        <f>F257*E261</f>
        <v>73.08</v>
      </c>
      <c r="G261" s="172"/>
      <c r="H261" s="174"/>
      <c r="I261" s="172"/>
      <c r="J261" s="171"/>
      <c r="K261" s="172"/>
      <c r="L261" s="172"/>
      <c r="M261" s="171"/>
    </row>
    <row r="262" spans="1:13" ht="15.75" customHeight="1">
      <c r="A262" s="355"/>
      <c r="B262" s="36"/>
      <c r="C262" s="65" t="s">
        <v>19</v>
      </c>
      <c r="D262" s="54" t="s">
        <v>2</v>
      </c>
      <c r="E262" s="54">
        <v>1.6</v>
      </c>
      <c r="F262" s="172">
        <f>F257*E262</f>
        <v>1.8559999999999999</v>
      </c>
      <c r="G262" s="172"/>
      <c r="H262" s="174"/>
      <c r="I262" s="172"/>
      <c r="J262" s="171"/>
      <c r="K262" s="172"/>
      <c r="L262" s="172"/>
      <c r="M262" s="171"/>
    </row>
    <row r="263" spans="1:13" ht="17.25" customHeight="1">
      <c r="A263" s="355"/>
      <c r="B263" s="36"/>
      <c r="C263" s="177" t="s">
        <v>498</v>
      </c>
      <c r="D263" s="54"/>
      <c r="E263" s="45"/>
      <c r="F263" s="170"/>
      <c r="G263" s="170"/>
      <c r="H263" s="182"/>
      <c r="I263" s="182"/>
      <c r="J263" s="182"/>
      <c r="K263" s="182"/>
      <c r="L263" s="182"/>
      <c r="M263" s="182"/>
    </row>
    <row r="264" spans="1:13" ht="16.5" customHeight="1">
      <c r="A264" s="26"/>
      <c r="B264" s="382"/>
      <c r="C264" s="177" t="s">
        <v>499</v>
      </c>
      <c r="D264" s="177"/>
      <c r="E264" s="235"/>
      <c r="F264" s="182"/>
      <c r="G264" s="182"/>
      <c r="H264" s="182"/>
      <c r="I264" s="182"/>
      <c r="J264" s="182"/>
      <c r="K264" s="182"/>
      <c r="L264" s="182"/>
      <c r="M264" s="182"/>
    </row>
    <row r="265" spans="1:13" ht="31.5" customHeight="1">
      <c r="A265" s="26"/>
      <c r="B265" s="382"/>
      <c r="C265" s="177" t="s">
        <v>87</v>
      </c>
      <c r="D265" s="296"/>
      <c r="E265" s="235"/>
      <c r="F265" s="182"/>
      <c r="G265" s="182"/>
      <c r="H265" s="182"/>
      <c r="I265" s="182"/>
      <c r="J265" s="171"/>
      <c r="K265" s="182"/>
      <c r="L265" s="182"/>
      <c r="M265" s="182"/>
    </row>
    <row r="266" spans="1:13" ht="18.75" customHeight="1">
      <c r="A266" s="26"/>
      <c r="B266" s="382"/>
      <c r="C266" s="177" t="s">
        <v>10</v>
      </c>
      <c r="D266" s="177"/>
      <c r="E266" s="235"/>
      <c r="F266" s="182"/>
      <c r="G266" s="182"/>
      <c r="H266" s="182"/>
      <c r="I266" s="182"/>
      <c r="J266" s="182"/>
      <c r="K266" s="182"/>
      <c r="L266" s="182"/>
      <c r="M266" s="182"/>
    </row>
    <row r="267" spans="1:13" ht="19.5" customHeight="1">
      <c r="A267" s="26"/>
      <c r="B267" s="382"/>
      <c r="C267" s="177" t="s">
        <v>17</v>
      </c>
      <c r="D267" s="383"/>
      <c r="E267" s="297"/>
      <c r="F267" s="178"/>
      <c r="G267" s="178"/>
      <c r="H267" s="178"/>
      <c r="I267" s="178"/>
      <c r="J267" s="178"/>
      <c r="K267" s="178"/>
      <c r="L267" s="178"/>
      <c r="M267" s="178"/>
    </row>
    <row r="268" spans="1:13" ht="16.5" customHeight="1">
      <c r="A268" s="26"/>
      <c r="B268" s="382"/>
      <c r="C268" s="177" t="s">
        <v>10</v>
      </c>
      <c r="D268" s="384"/>
      <c r="E268" s="297"/>
      <c r="F268" s="178"/>
      <c r="G268" s="178"/>
      <c r="H268" s="178"/>
      <c r="I268" s="178"/>
      <c r="J268" s="178"/>
      <c r="K268" s="178"/>
      <c r="L268" s="178"/>
      <c r="M268" s="178"/>
    </row>
    <row r="269" spans="1:13" ht="19.5" customHeight="1">
      <c r="A269" s="26"/>
      <c r="B269" s="382"/>
      <c r="C269" s="177" t="s">
        <v>157</v>
      </c>
      <c r="D269" s="383"/>
      <c r="E269" s="297"/>
      <c r="F269" s="178"/>
      <c r="G269" s="178"/>
      <c r="H269" s="178"/>
      <c r="I269" s="178"/>
      <c r="J269" s="178"/>
      <c r="K269" s="178"/>
      <c r="L269" s="178"/>
      <c r="M269" s="178"/>
    </row>
    <row r="270" spans="1:13" ht="18" customHeight="1">
      <c r="A270" s="26"/>
      <c r="B270" s="382"/>
      <c r="C270" s="177" t="s">
        <v>10</v>
      </c>
      <c r="D270" s="384"/>
      <c r="E270" s="297"/>
      <c r="F270" s="178"/>
      <c r="G270" s="178"/>
      <c r="H270" s="178"/>
      <c r="I270" s="178"/>
      <c r="J270" s="178"/>
      <c r="K270" s="178"/>
      <c r="L270" s="178"/>
      <c r="M270" s="178"/>
    </row>
    <row r="271" spans="1:13" ht="29.25" customHeight="1">
      <c r="A271" s="298"/>
      <c r="B271" s="408"/>
      <c r="C271" s="226" t="s">
        <v>23</v>
      </c>
      <c r="D271" s="228">
        <v>0.02</v>
      </c>
      <c r="E271" s="299"/>
      <c r="F271" s="299"/>
      <c r="G271" s="299"/>
      <c r="H271" s="170"/>
      <c r="I271" s="170"/>
      <c r="J271" s="170"/>
      <c r="K271" s="170"/>
      <c r="L271" s="170"/>
      <c r="M271" s="170"/>
    </row>
    <row r="272" spans="1:13" ht="18" customHeight="1">
      <c r="A272" s="298"/>
      <c r="B272" s="408"/>
      <c r="C272" s="226" t="s">
        <v>10</v>
      </c>
      <c r="D272" s="228"/>
      <c r="E272" s="299"/>
      <c r="F272" s="299"/>
      <c r="G272" s="299"/>
      <c r="H272" s="170"/>
      <c r="I272" s="170"/>
      <c r="J272" s="170"/>
      <c r="K272" s="170"/>
      <c r="L272" s="170"/>
      <c r="M272" s="170"/>
    </row>
    <row r="273" spans="1:13">
      <c r="A273" s="300"/>
      <c r="B273" s="385"/>
      <c r="C273" s="301"/>
      <c r="D273" s="302"/>
      <c r="E273" s="303"/>
      <c r="F273" s="303"/>
      <c r="G273" s="303"/>
      <c r="H273" s="304"/>
      <c r="I273" s="304"/>
      <c r="J273" s="304"/>
      <c r="K273" s="304"/>
      <c r="L273" s="304"/>
      <c r="M273" s="304"/>
    </row>
    <row r="275" spans="1:13">
      <c r="A275" s="537" t="s">
        <v>294</v>
      </c>
      <c r="B275" s="537"/>
      <c r="C275" s="537"/>
      <c r="D275" s="537"/>
      <c r="E275" s="537"/>
      <c r="F275" s="537"/>
      <c r="G275" s="537"/>
      <c r="H275" s="537"/>
      <c r="I275" s="537"/>
      <c r="J275" s="537"/>
      <c r="K275" s="537"/>
      <c r="L275" s="537"/>
      <c r="M275" s="537"/>
    </row>
    <row r="276" spans="1:13">
      <c r="A276" s="537"/>
      <c r="B276" s="537"/>
      <c r="C276" s="537"/>
      <c r="D276" s="537"/>
      <c r="E276" s="537"/>
      <c r="F276" s="537"/>
      <c r="G276" s="537"/>
      <c r="H276" s="537"/>
      <c r="I276" s="537"/>
      <c r="J276" s="537"/>
      <c r="K276" s="537"/>
      <c r="L276" s="537"/>
      <c r="M276" s="537"/>
    </row>
    <row r="277" spans="1:13">
      <c r="A277" s="537" t="s">
        <v>295</v>
      </c>
      <c r="B277" s="537"/>
      <c r="C277" s="537"/>
      <c r="D277" s="537"/>
      <c r="E277" s="537"/>
      <c r="F277" s="537"/>
      <c r="G277" s="537"/>
      <c r="H277" s="537"/>
      <c r="I277" s="537"/>
      <c r="J277" s="537"/>
      <c r="K277" s="537"/>
      <c r="L277" s="537"/>
      <c r="M277" s="537"/>
    </row>
  </sheetData>
  <mergeCells count="20">
    <mergeCell ref="A275:M275"/>
    <mergeCell ref="A276:M276"/>
    <mergeCell ref="A277:M277"/>
    <mergeCell ref="A6:A8"/>
    <mergeCell ref="G6:M6"/>
    <mergeCell ref="G7:H7"/>
    <mergeCell ref="I7:J7"/>
    <mergeCell ref="K7:L7"/>
    <mergeCell ref="M7:M8"/>
    <mergeCell ref="B6:B8"/>
    <mergeCell ref="C6:C8"/>
    <mergeCell ref="A140:A144"/>
    <mergeCell ref="B22:B23"/>
    <mergeCell ref="D6:D8"/>
    <mergeCell ref="E6:F7"/>
    <mergeCell ref="A1:M1"/>
    <mergeCell ref="A2:M2"/>
    <mergeCell ref="A3:M3"/>
    <mergeCell ref="F4:K4"/>
    <mergeCell ref="A5:M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50"/>
  <sheetViews>
    <sheetView topLeftCell="A31" workbookViewId="0">
      <selection activeCell="O57" sqref="O55:O57"/>
    </sheetView>
  </sheetViews>
  <sheetFormatPr defaultRowHeight="15"/>
  <cols>
    <col min="1" max="1" width="3" customWidth="1"/>
    <col min="2" max="2" width="11.42578125" customWidth="1"/>
    <col min="3" max="3" width="39.140625" customWidth="1"/>
    <col min="4" max="4" width="8.28515625" customWidth="1"/>
  </cols>
  <sheetData>
    <row r="1" spans="1:13" s="70" customFormat="1" ht="18">
      <c r="A1" s="562" t="s">
        <v>172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</row>
    <row r="2" spans="1:13" s="70" customFormat="1" ht="18">
      <c r="A2" s="501" t="s">
        <v>147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</row>
    <row r="3" spans="1:13" s="70" customFormat="1">
      <c r="A3" s="495"/>
      <c r="B3" s="495"/>
      <c r="C3" s="495"/>
      <c r="D3" s="74"/>
      <c r="E3" s="74"/>
      <c r="F3" s="74"/>
      <c r="G3" s="74"/>
      <c r="H3" s="74"/>
      <c r="I3" s="75"/>
      <c r="J3" s="76"/>
      <c r="K3" s="77"/>
      <c r="L3" s="78"/>
      <c r="M3" s="79"/>
    </row>
    <row r="4" spans="1:13" s="70" customFormat="1">
      <c r="A4" s="502" t="s">
        <v>148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</row>
    <row r="5" spans="1:13" s="70" customForma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s="70" customFormat="1">
      <c r="A6" s="563" t="s">
        <v>173</v>
      </c>
      <c r="B6" s="564" t="s">
        <v>159</v>
      </c>
      <c r="C6" s="565" t="s">
        <v>160</v>
      </c>
      <c r="D6" s="564" t="s">
        <v>161</v>
      </c>
      <c r="E6" s="566" t="s">
        <v>162</v>
      </c>
      <c r="F6" s="566"/>
      <c r="G6" s="565" t="s">
        <v>163</v>
      </c>
      <c r="H6" s="565"/>
      <c r="I6" s="565"/>
      <c r="J6" s="565"/>
      <c r="K6" s="565"/>
      <c r="L6" s="565"/>
      <c r="M6" s="565"/>
    </row>
    <row r="7" spans="1:13" s="70" customFormat="1">
      <c r="A7" s="563"/>
      <c r="B7" s="564"/>
      <c r="C7" s="565"/>
      <c r="D7" s="564"/>
      <c r="E7" s="564" t="s">
        <v>164</v>
      </c>
      <c r="F7" s="564" t="s">
        <v>165</v>
      </c>
      <c r="G7" s="565" t="s">
        <v>166</v>
      </c>
      <c r="H7" s="565"/>
      <c r="I7" s="565" t="s">
        <v>167</v>
      </c>
      <c r="J7" s="565"/>
      <c r="K7" s="565" t="s">
        <v>168</v>
      </c>
      <c r="L7" s="565"/>
      <c r="M7" s="567" t="s">
        <v>169</v>
      </c>
    </row>
    <row r="8" spans="1:13" s="70" customFormat="1">
      <c r="A8" s="563"/>
      <c r="B8" s="564"/>
      <c r="C8" s="565"/>
      <c r="D8" s="564"/>
      <c r="E8" s="564"/>
      <c r="F8" s="564"/>
      <c r="G8" s="564" t="s">
        <v>170</v>
      </c>
      <c r="H8" s="565" t="s">
        <v>171</v>
      </c>
      <c r="I8" s="564" t="s">
        <v>170</v>
      </c>
      <c r="J8" s="565" t="s">
        <v>171</v>
      </c>
      <c r="K8" s="564" t="s">
        <v>170</v>
      </c>
      <c r="L8" s="565" t="s">
        <v>171</v>
      </c>
      <c r="M8" s="567"/>
    </row>
    <row r="9" spans="1:13" s="70" customFormat="1" ht="52.5" customHeight="1">
      <c r="A9" s="563"/>
      <c r="B9" s="564"/>
      <c r="C9" s="565"/>
      <c r="D9" s="564"/>
      <c r="E9" s="564"/>
      <c r="F9" s="564"/>
      <c r="G9" s="564"/>
      <c r="H9" s="565"/>
      <c r="I9" s="564"/>
      <c r="J9" s="565"/>
      <c r="K9" s="564"/>
      <c r="L9" s="565"/>
      <c r="M9" s="567"/>
    </row>
    <row r="10" spans="1:13" s="94" customFormat="1">
      <c r="A10" s="118">
        <v>1</v>
      </c>
      <c r="B10" s="144">
        <v>2</v>
      </c>
      <c r="C10" s="144">
        <v>3</v>
      </c>
      <c r="D10" s="145">
        <v>4</v>
      </c>
      <c r="E10" s="144">
        <v>5</v>
      </c>
      <c r="F10" s="144">
        <v>6</v>
      </c>
      <c r="G10" s="144">
        <v>7</v>
      </c>
      <c r="H10" s="144">
        <v>8</v>
      </c>
      <c r="I10" s="144">
        <v>9</v>
      </c>
      <c r="J10" s="144">
        <v>10</v>
      </c>
      <c r="K10" s="144">
        <v>11</v>
      </c>
      <c r="L10" s="144">
        <v>12</v>
      </c>
      <c r="M10" s="118">
        <v>13</v>
      </c>
    </row>
    <row r="11" spans="1:13" s="94" customFormat="1" ht="20.25" customHeight="1">
      <c r="A11" s="91"/>
      <c r="B11" s="92"/>
      <c r="C11" s="95" t="s">
        <v>185</v>
      </c>
      <c r="D11" s="93"/>
      <c r="E11" s="92"/>
      <c r="F11" s="92"/>
      <c r="G11" s="92"/>
      <c r="H11" s="92"/>
      <c r="I11" s="92"/>
      <c r="J11" s="92"/>
      <c r="K11" s="92"/>
      <c r="L11" s="92"/>
      <c r="M11" s="91"/>
    </row>
    <row r="12" spans="1:13" s="102" customFormat="1" ht="77.25" customHeight="1">
      <c r="A12" s="146">
        <v>1</v>
      </c>
      <c r="B12" s="96" t="s">
        <v>174</v>
      </c>
      <c r="C12" s="97" t="s">
        <v>186</v>
      </c>
      <c r="D12" s="98" t="s">
        <v>92</v>
      </c>
      <c r="E12" s="99"/>
      <c r="F12" s="150">
        <v>371</v>
      </c>
      <c r="G12" s="100"/>
      <c r="H12" s="100"/>
      <c r="I12" s="101"/>
      <c r="J12" s="101"/>
      <c r="K12" s="101"/>
      <c r="L12" s="101"/>
      <c r="M12" s="101"/>
    </row>
    <row r="13" spans="1:13" s="108" customFormat="1" ht="18" customHeight="1">
      <c r="A13" s="148"/>
      <c r="B13" s="103"/>
      <c r="C13" s="104" t="s">
        <v>16</v>
      </c>
      <c r="D13" s="96" t="s">
        <v>13</v>
      </c>
      <c r="E13" s="105">
        <v>8.2000000000000003E-2</v>
      </c>
      <c r="F13" s="106">
        <f>E13*F12</f>
        <v>30.422000000000001</v>
      </c>
      <c r="G13" s="107">
        <v>4.5999999999999996</v>
      </c>
      <c r="H13" s="107">
        <f>G13*F13</f>
        <v>139.94119999999998</v>
      </c>
      <c r="I13" s="107"/>
      <c r="J13" s="107"/>
      <c r="K13" s="107"/>
      <c r="L13" s="107"/>
      <c r="M13" s="107">
        <f>L13+J13+H13</f>
        <v>139.94119999999998</v>
      </c>
    </row>
    <row r="14" spans="1:13" s="108" customFormat="1" ht="18.75" customHeight="1">
      <c r="A14" s="149"/>
      <c r="B14" s="103"/>
      <c r="C14" s="109" t="s">
        <v>111</v>
      </c>
      <c r="D14" s="103" t="s">
        <v>175</v>
      </c>
      <c r="E14" s="105">
        <v>5.0000000000000001E-3</v>
      </c>
      <c r="F14" s="63">
        <f>E14*F12</f>
        <v>1.855</v>
      </c>
      <c r="G14" s="107"/>
      <c r="H14" s="107"/>
      <c r="I14" s="107"/>
      <c r="J14" s="107"/>
      <c r="K14" s="107">
        <v>3.2</v>
      </c>
      <c r="L14" s="107">
        <f>K14*F14</f>
        <v>5.9359999999999999</v>
      </c>
      <c r="M14" s="107">
        <f t="shared" ref="M14:M15" si="0">L14+J14+H14</f>
        <v>5.9359999999999999</v>
      </c>
    </row>
    <row r="15" spans="1:13" s="102" customFormat="1" ht="18" customHeight="1">
      <c r="A15" s="110">
        <v>2</v>
      </c>
      <c r="B15" s="100" t="s">
        <v>18</v>
      </c>
      <c r="C15" s="97" t="s">
        <v>187</v>
      </c>
      <c r="D15" s="98" t="s">
        <v>15</v>
      </c>
      <c r="E15" s="99"/>
      <c r="F15" s="99">
        <v>0.5</v>
      </c>
      <c r="G15" s="107"/>
      <c r="H15" s="107"/>
      <c r="I15" s="107"/>
      <c r="J15" s="107"/>
      <c r="K15" s="107">
        <v>3.47</v>
      </c>
      <c r="L15" s="107">
        <f>K15*F15</f>
        <v>1.7350000000000001</v>
      </c>
      <c r="M15" s="107">
        <f t="shared" si="0"/>
        <v>1.7350000000000001</v>
      </c>
    </row>
    <row r="16" spans="1:13" s="102" customFormat="1" ht="18" customHeight="1">
      <c r="A16" s="146"/>
      <c r="B16" s="100"/>
      <c r="C16" s="68" t="s">
        <v>98</v>
      </c>
      <c r="D16" s="98"/>
      <c r="E16" s="99"/>
      <c r="F16" s="99"/>
      <c r="G16" s="107"/>
      <c r="H16" s="99">
        <f>SUM(H13:H15)</f>
        <v>139.94119999999998</v>
      </c>
      <c r="I16" s="99"/>
      <c r="J16" s="99">
        <v>0</v>
      </c>
      <c r="K16" s="99"/>
      <c r="L16" s="99">
        <f>SUM(L14:L15)</f>
        <v>7.6710000000000003</v>
      </c>
      <c r="M16" s="147">
        <f>SUM(M12:M15)</f>
        <v>147.6122</v>
      </c>
    </row>
    <row r="17" spans="1:13" s="94" customFormat="1" ht="19.5" customHeight="1">
      <c r="A17" s="568">
        <v>1</v>
      </c>
      <c r="B17" s="124">
        <v>41125</v>
      </c>
      <c r="C17" s="97" t="s">
        <v>179</v>
      </c>
      <c r="D17" s="98" t="s">
        <v>118</v>
      </c>
      <c r="E17" s="95"/>
      <c r="F17" s="95">
        <v>185.5</v>
      </c>
      <c r="G17" s="92"/>
      <c r="H17" s="92"/>
      <c r="I17" s="117"/>
      <c r="J17" s="113"/>
      <c r="K17" s="113"/>
      <c r="L17" s="113"/>
      <c r="M17" s="123"/>
    </row>
    <row r="18" spans="1:13" s="94" customFormat="1">
      <c r="A18" s="568"/>
      <c r="B18" s="122"/>
      <c r="C18" s="104" t="s">
        <v>176</v>
      </c>
      <c r="D18" s="96" t="s">
        <v>13</v>
      </c>
      <c r="E18" s="91">
        <v>0.28599999999999998</v>
      </c>
      <c r="F18" s="116">
        <f>E18*F17</f>
        <v>53.052999999999997</v>
      </c>
      <c r="G18" s="92">
        <v>7.8</v>
      </c>
      <c r="H18" s="107">
        <f>G18*F18</f>
        <v>413.81339999999994</v>
      </c>
      <c r="I18" s="117"/>
      <c r="J18" s="113"/>
      <c r="K18" s="113"/>
      <c r="L18" s="113"/>
      <c r="M18" s="123">
        <f>L18+J18+H18</f>
        <v>413.81339999999994</v>
      </c>
    </row>
    <row r="19" spans="1:13" s="94" customFormat="1">
      <c r="A19" s="568"/>
      <c r="B19" s="122"/>
      <c r="C19" s="104" t="s">
        <v>111</v>
      </c>
      <c r="D19" s="96" t="s">
        <v>2</v>
      </c>
      <c r="E19" s="91">
        <v>4.1000000000000003E-3</v>
      </c>
      <c r="F19" s="116">
        <f>E19*F17</f>
        <v>0.76055000000000006</v>
      </c>
      <c r="G19" s="92"/>
      <c r="H19" s="92"/>
      <c r="I19" s="117"/>
      <c r="J19" s="113"/>
      <c r="K19" s="113">
        <v>3.2</v>
      </c>
      <c r="L19" s="117">
        <f>K19*F19</f>
        <v>2.4337600000000004</v>
      </c>
      <c r="M19" s="123">
        <f>L19+J19+H19</f>
        <v>2.4337600000000004</v>
      </c>
    </row>
    <row r="20" spans="1:13" s="94" customFormat="1" ht="30" customHeight="1">
      <c r="A20" s="568"/>
      <c r="B20" s="124" t="s">
        <v>190</v>
      </c>
      <c r="C20" s="104" t="s">
        <v>180</v>
      </c>
      <c r="D20" s="96" t="s">
        <v>31</v>
      </c>
      <c r="E20" s="91">
        <v>1.05</v>
      </c>
      <c r="F20" s="151">
        <f>E20*F17</f>
        <v>194.77500000000001</v>
      </c>
      <c r="G20" s="120"/>
      <c r="H20" s="116"/>
      <c r="I20" s="121">
        <v>5.5</v>
      </c>
      <c r="J20" s="116">
        <f>I20*F20</f>
        <v>1071.2625</v>
      </c>
      <c r="K20" s="114"/>
      <c r="L20" s="121"/>
      <c r="M20" s="116">
        <f>L20+J20+H20</f>
        <v>1071.2625</v>
      </c>
    </row>
    <row r="21" spans="1:13" s="94" customFormat="1">
      <c r="A21" s="568"/>
      <c r="B21" s="122" t="s">
        <v>20</v>
      </c>
      <c r="C21" s="104" t="s">
        <v>197</v>
      </c>
      <c r="D21" s="103" t="s">
        <v>182</v>
      </c>
      <c r="E21" s="91"/>
      <c r="F21" s="91">
        <v>5</v>
      </c>
      <c r="G21" s="91"/>
      <c r="H21" s="116"/>
      <c r="I21" s="114">
        <v>6</v>
      </c>
      <c r="J21" s="116">
        <f t="shared" ref="J21:J22" si="1">I21*F21</f>
        <v>30</v>
      </c>
      <c r="K21" s="114"/>
      <c r="L21" s="114"/>
      <c r="M21" s="121">
        <f t="shared" ref="M21:M22" si="2">L21+J21+H21</f>
        <v>30</v>
      </c>
    </row>
    <row r="22" spans="1:13" s="94" customFormat="1">
      <c r="A22" s="568"/>
      <c r="B22" s="122" t="s">
        <v>20</v>
      </c>
      <c r="C22" s="104" t="s">
        <v>198</v>
      </c>
      <c r="D22" s="103" t="s">
        <v>182</v>
      </c>
      <c r="E22" s="91"/>
      <c r="F22" s="91">
        <v>2</v>
      </c>
      <c r="G22" s="91"/>
      <c r="H22" s="116"/>
      <c r="I22" s="114">
        <v>6</v>
      </c>
      <c r="J22" s="116">
        <f t="shared" si="1"/>
        <v>12</v>
      </c>
      <c r="K22" s="114"/>
      <c r="L22" s="114"/>
      <c r="M22" s="121">
        <f t="shared" si="2"/>
        <v>12</v>
      </c>
    </row>
    <row r="23" spans="1:13" s="94" customFormat="1" ht="21" customHeight="1">
      <c r="A23" s="568"/>
      <c r="B23" s="122" t="s">
        <v>18</v>
      </c>
      <c r="C23" s="104" t="s">
        <v>188</v>
      </c>
      <c r="D23" s="96" t="s">
        <v>72</v>
      </c>
      <c r="E23" s="91">
        <v>1.1000000000000001</v>
      </c>
      <c r="F23" s="91">
        <f>F17*E23</f>
        <v>204.05</v>
      </c>
      <c r="G23" s="91"/>
      <c r="H23" s="116"/>
      <c r="I23" s="121">
        <v>2.6</v>
      </c>
      <c r="J23" s="116">
        <f>I23*F23</f>
        <v>530.53000000000009</v>
      </c>
      <c r="K23" s="113"/>
      <c r="L23" s="117"/>
      <c r="M23" s="114">
        <f>L23+J23+H23</f>
        <v>530.53000000000009</v>
      </c>
    </row>
    <row r="24" spans="1:13" s="94" customFormat="1" ht="18" customHeight="1">
      <c r="A24" s="568"/>
      <c r="B24" s="122" t="s">
        <v>20</v>
      </c>
      <c r="C24" s="104" t="s">
        <v>189</v>
      </c>
      <c r="D24" s="96" t="s">
        <v>72</v>
      </c>
      <c r="E24" s="91">
        <v>2</v>
      </c>
      <c r="F24" s="91">
        <f>E24*F17</f>
        <v>371</v>
      </c>
      <c r="G24" s="91"/>
      <c r="H24" s="116"/>
      <c r="I24" s="117">
        <v>0.03</v>
      </c>
      <c r="J24" s="113">
        <f>J23*I24</f>
        <v>15.915900000000002</v>
      </c>
      <c r="K24" s="113"/>
      <c r="L24" s="117"/>
      <c r="M24" s="121">
        <f>L24+J24+H24</f>
        <v>15.915900000000002</v>
      </c>
    </row>
    <row r="25" spans="1:13" s="94" customFormat="1" ht="45" customHeight="1">
      <c r="A25" s="568">
        <v>2</v>
      </c>
      <c r="B25" s="96" t="s">
        <v>177</v>
      </c>
      <c r="C25" s="97" t="s">
        <v>200</v>
      </c>
      <c r="D25" s="98" t="s">
        <v>92</v>
      </c>
      <c r="E25" s="95"/>
      <c r="F25" s="112">
        <v>371</v>
      </c>
      <c r="G25" s="92"/>
      <c r="H25" s="92"/>
      <c r="I25" s="117"/>
      <c r="J25" s="117"/>
      <c r="K25" s="117"/>
      <c r="L25" s="117"/>
      <c r="M25" s="116"/>
    </row>
    <row r="26" spans="1:13" s="94" customFormat="1">
      <c r="A26" s="568"/>
      <c r="B26" s="119"/>
      <c r="C26" s="104" t="s">
        <v>176</v>
      </c>
      <c r="D26" s="96" t="s">
        <v>13</v>
      </c>
      <c r="E26" s="91">
        <v>0.83</v>
      </c>
      <c r="F26" s="116">
        <f>E26*F25</f>
        <v>307.93</v>
      </c>
      <c r="G26" s="92">
        <v>7.8</v>
      </c>
      <c r="H26" s="152">
        <f>G26*F26</f>
        <v>2401.8539999999998</v>
      </c>
      <c r="I26" s="117"/>
      <c r="J26" s="116"/>
      <c r="K26" s="117"/>
      <c r="L26" s="117"/>
      <c r="M26" s="116">
        <f>L26+J26+H26</f>
        <v>2401.8539999999998</v>
      </c>
    </row>
    <row r="27" spans="1:13" s="94" customFormat="1">
      <c r="A27" s="568"/>
      <c r="B27" s="119"/>
      <c r="C27" s="104" t="s">
        <v>111</v>
      </c>
      <c r="D27" s="96" t="s">
        <v>2</v>
      </c>
      <c r="E27" s="91">
        <v>4.1000000000000003E-3</v>
      </c>
      <c r="F27" s="116">
        <f>E27*F25</f>
        <v>1.5211000000000001</v>
      </c>
      <c r="G27" s="92"/>
      <c r="H27" s="152"/>
      <c r="I27" s="113"/>
      <c r="J27" s="116"/>
      <c r="K27" s="117">
        <v>3.2</v>
      </c>
      <c r="L27" s="117">
        <f>K27*F27</f>
        <v>4.8675200000000007</v>
      </c>
      <c r="M27" s="116">
        <f>L27+J27+H27</f>
        <v>4.8675200000000007</v>
      </c>
    </row>
    <row r="28" spans="1:13" s="94" customFormat="1">
      <c r="A28" s="568"/>
      <c r="B28" s="115" t="s">
        <v>18</v>
      </c>
      <c r="C28" s="104" t="s">
        <v>178</v>
      </c>
      <c r="D28" s="96" t="s">
        <v>72</v>
      </c>
      <c r="E28" s="91">
        <v>6</v>
      </c>
      <c r="F28" s="91">
        <f>E28*F25</f>
        <v>2226</v>
      </c>
      <c r="G28" s="92"/>
      <c r="H28" s="152"/>
      <c r="I28" s="117">
        <v>0.13</v>
      </c>
      <c r="J28" s="116">
        <f>I28*F28</f>
        <v>289.38</v>
      </c>
      <c r="K28" s="117"/>
      <c r="L28" s="117"/>
      <c r="M28" s="116">
        <f t="shared" ref="M28:M29" si="3">L28+J28+H28</f>
        <v>289.38</v>
      </c>
    </row>
    <row r="29" spans="1:13" s="94" customFormat="1">
      <c r="A29" s="568"/>
      <c r="B29" s="119"/>
      <c r="C29" s="104" t="s">
        <v>19</v>
      </c>
      <c r="D29" s="96" t="s">
        <v>2</v>
      </c>
      <c r="E29" s="91">
        <v>7.8E-2</v>
      </c>
      <c r="F29" s="116">
        <f>E29*F25</f>
        <v>28.937999999999999</v>
      </c>
      <c r="G29" s="92"/>
      <c r="H29" s="152"/>
      <c r="I29" s="113">
        <v>3.2</v>
      </c>
      <c r="J29" s="116">
        <f>I29*F29</f>
        <v>92.601600000000005</v>
      </c>
      <c r="K29" s="117"/>
      <c r="L29" s="117"/>
      <c r="M29" s="116">
        <f t="shared" si="3"/>
        <v>92.601600000000005</v>
      </c>
    </row>
    <row r="30" spans="1:13" s="94" customFormat="1" ht="20.25" customHeight="1">
      <c r="A30" s="156">
        <v>3</v>
      </c>
      <c r="B30" s="124">
        <v>41124</v>
      </c>
      <c r="C30" s="97" t="s">
        <v>181</v>
      </c>
      <c r="D30" s="98" t="s">
        <v>118</v>
      </c>
      <c r="E30" s="95"/>
      <c r="F30" s="112">
        <v>145</v>
      </c>
      <c r="G30" s="92"/>
      <c r="H30" s="152"/>
      <c r="I30" s="117"/>
      <c r="J30" s="116"/>
      <c r="K30" s="113"/>
      <c r="L30" s="117"/>
      <c r="M30" s="114"/>
    </row>
    <row r="31" spans="1:13" s="94" customFormat="1">
      <c r="A31" s="157"/>
      <c r="B31" s="122"/>
      <c r="C31" s="104" t="s">
        <v>176</v>
      </c>
      <c r="D31" s="96" t="s">
        <v>13</v>
      </c>
      <c r="E31" s="91">
        <v>0.74</v>
      </c>
      <c r="F31" s="91">
        <f>F30*E31</f>
        <v>107.3</v>
      </c>
      <c r="G31" s="92">
        <v>7.8</v>
      </c>
      <c r="H31" s="152">
        <f t="shared" ref="H31" si="4">G31*F31</f>
        <v>836.93999999999994</v>
      </c>
      <c r="I31" s="117"/>
      <c r="J31" s="116"/>
      <c r="K31" s="113"/>
      <c r="L31" s="117"/>
      <c r="M31" s="121">
        <f>L31+J31+H31</f>
        <v>836.93999999999994</v>
      </c>
    </row>
    <row r="32" spans="1:13" s="94" customFormat="1">
      <c r="A32" s="157"/>
      <c r="B32" s="122"/>
      <c r="C32" s="104" t="s">
        <v>111</v>
      </c>
      <c r="D32" s="96" t="s">
        <v>2</v>
      </c>
      <c r="E32" s="91">
        <v>6.6199999999999995E-2</v>
      </c>
      <c r="F32" s="116">
        <f>E32*F30</f>
        <v>9.5989999999999984</v>
      </c>
      <c r="G32" s="92"/>
      <c r="H32" s="92"/>
      <c r="I32" s="113"/>
      <c r="J32" s="116"/>
      <c r="K32" s="113">
        <v>3.2</v>
      </c>
      <c r="L32" s="117">
        <f>K32*F32</f>
        <v>30.716799999999996</v>
      </c>
      <c r="M32" s="121">
        <f>L32+J32+H32</f>
        <v>30.716799999999996</v>
      </c>
    </row>
    <row r="33" spans="1:13" s="94" customFormat="1" ht="30" customHeight="1">
      <c r="A33" s="157"/>
      <c r="B33" s="122" t="s">
        <v>191</v>
      </c>
      <c r="C33" s="104" t="s">
        <v>194</v>
      </c>
      <c r="D33" s="96" t="s">
        <v>118</v>
      </c>
      <c r="E33" s="62">
        <v>1.05</v>
      </c>
      <c r="F33" s="91">
        <f>E33*F30</f>
        <v>152.25</v>
      </c>
      <c r="G33" s="91"/>
      <c r="H33" s="116"/>
      <c r="I33" s="154">
        <v>5.5</v>
      </c>
      <c r="J33" s="116">
        <f t="shared" ref="J33:J38" si="5">I33*F33</f>
        <v>837.375</v>
      </c>
      <c r="K33" s="153"/>
      <c r="L33" s="153"/>
      <c r="M33" s="121">
        <f t="shared" ref="M33:M38" si="6">L33+J33+H33</f>
        <v>837.375</v>
      </c>
    </row>
    <row r="34" spans="1:13" s="94" customFormat="1" ht="15.75" customHeight="1">
      <c r="A34" s="157"/>
      <c r="B34" s="122" t="s">
        <v>192</v>
      </c>
      <c r="C34" s="104" t="s">
        <v>195</v>
      </c>
      <c r="D34" s="96" t="s">
        <v>72</v>
      </c>
      <c r="E34" s="62">
        <v>1.1000000000000001</v>
      </c>
      <c r="F34" s="91">
        <f>E34*F30</f>
        <v>159.5</v>
      </c>
      <c r="G34" s="92"/>
      <c r="H34" s="116"/>
      <c r="I34" s="155">
        <v>0.1</v>
      </c>
      <c r="J34" s="116">
        <f t="shared" si="5"/>
        <v>15.950000000000001</v>
      </c>
      <c r="K34" s="125"/>
      <c r="L34" s="125"/>
      <c r="M34" s="121">
        <f t="shared" si="6"/>
        <v>15.950000000000001</v>
      </c>
    </row>
    <row r="35" spans="1:13" s="94" customFormat="1" ht="15.75" customHeight="1">
      <c r="A35" s="157"/>
      <c r="B35" s="122" t="s">
        <v>20</v>
      </c>
      <c r="C35" s="104" t="s">
        <v>196</v>
      </c>
      <c r="D35" s="96" t="s">
        <v>72</v>
      </c>
      <c r="E35" s="62">
        <v>1.1000000000000001</v>
      </c>
      <c r="F35" s="91">
        <f>F30*E35</f>
        <v>159.5</v>
      </c>
      <c r="G35" s="92"/>
      <c r="H35" s="116"/>
      <c r="I35" s="155">
        <v>0.5</v>
      </c>
      <c r="J35" s="116">
        <f t="shared" si="5"/>
        <v>79.75</v>
      </c>
      <c r="K35" s="125"/>
      <c r="L35" s="125"/>
      <c r="M35" s="121">
        <f t="shared" si="6"/>
        <v>79.75</v>
      </c>
    </row>
    <row r="36" spans="1:13" s="94" customFormat="1" ht="29.25" customHeight="1">
      <c r="A36" s="157"/>
      <c r="B36" s="122" t="s">
        <v>191</v>
      </c>
      <c r="C36" s="104" t="s">
        <v>193</v>
      </c>
      <c r="D36" s="103" t="s">
        <v>182</v>
      </c>
      <c r="E36" s="91"/>
      <c r="F36" s="91">
        <v>12</v>
      </c>
      <c r="G36" s="91"/>
      <c r="H36" s="116"/>
      <c r="I36" s="155">
        <v>3.5</v>
      </c>
      <c r="J36" s="116">
        <f t="shared" si="5"/>
        <v>42</v>
      </c>
      <c r="K36" s="114"/>
      <c r="L36" s="114"/>
      <c r="M36" s="121">
        <f t="shared" si="6"/>
        <v>42</v>
      </c>
    </row>
    <row r="37" spans="1:13" s="94" customFormat="1">
      <c r="A37" s="157"/>
      <c r="B37" s="122" t="s">
        <v>20</v>
      </c>
      <c r="C37" s="109" t="s">
        <v>199</v>
      </c>
      <c r="D37" s="103" t="s">
        <v>182</v>
      </c>
      <c r="E37" s="91"/>
      <c r="F37" s="91">
        <v>33</v>
      </c>
      <c r="G37" s="91"/>
      <c r="H37" s="116"/>
      <c r="I37" s="114">
        <v>6</v>
      </c>
      <c r="J37" s="116">
        <f t="shared" si="5"/>
        <v>198</v>
      </c>
      <c r="K37" s="114"/>
      <c r="L37" s="114"/>
      <c r="M37" s="121">
        <f t="shared" si="6"/>
        <v>198</v>
      </c>
    </row>
    <row r="38" spans="1:13" s="94" customFormat="1">
      <c r="A38" s="158"/>
      <c r="B38" s="122"/>
      <c r="C38" s="104" t="s">
        <v>19</v>
      </c>
      <c r="D38" s="96" t="s">
        <v>2</v>
      </c>
      <c r="E38" s="62">
        <v>3.3000000000000002E-2</v>
      </c>
      <c r="F38" s="116">
        <f>E38*F30</f>
        <v>4.7850000000000001</v>
      </c>
      <c r="G38" s="91"/>
      <c r="H38" s="116"/>
      <c r="I38" s="125">
        <v>3.2</v>
      </c>
      <c r="J38" s="116">
        <f t="shared" si="5"/>
        <v>15.312000000000001</v>
      </c>
      <c r="K38" s="125"/>
      <c r="L38" s="125"/>
      <c r="M38" s="121">
        <f t="shared" si="6"/>
        <v>15.312000000000001</v>
      </c>
    </row>
    <row r="39" spans="1:13" s="94" customFormat="1">
      <c r="A39" s="158"/>
      <c r="B39" s="122"/>
      <c r="C39" s="111" t="s">
        <v>156</v>
      </c>
      <c r="D39" s="96"/>
      <c r="E39" s="62"/>
      <c r="F39" s="129"/>
      <c r="G39" s="95"/>
      <c r="H39" s="129">
        <f t="shared" ref="H39:L39" si="7">SUM(H18:H38)</f>
        <v>3652.6073999999999</v>
      </c>
      <c r="I39" s="129"/>
      <c r="J39" s="129">
        <f t="shared" si="7"/>
        <v>3230.0769999999998</v>
      </c>
      <c r="K39" s="129"/>
      <c r="L39" s="129">
        <f t="shared" si="7"/>
        <v>38.018079999999998</v>
      </c>
      <c r="M39" s="129">
        <f>SUM(M18:M38)</f>
        <v>6920.702479999999</v>
      </c>
    </row>
    <row r="40" spans="1:13" s="94" customFormat="1">
      <c r="A40" s="126"/>
      <c r="B40" s="127"/>
      <c r="C40" s="111" t="s">
        <v>201</v>
      </c>
      <c r="D40" s="111"/>
      <c r="E40" s="128"/>
      <c r="F40" s="128"/>
      <c r="G40" s="128"/>
      <c r="H40" s="129">
        <f>H16+H39</f>
        <v>3792.5486000000001</v>
      </c>
      <c r="I40" s="129"/>
      <c r="J40" s="129">
        <f>J16+J39</f>
        <v>3230.0769999999998</v>
      </c>
      <c r="K40" s="129"/>
      <c r="L40" s="129">
        <f>L16+L39</f>
        <v>45.689079999999997</v>
      </c>
      <c r="M40" s="129">
        <f>M16+M39</f>
        <v>7068.3146799999986</v>
      </c>
    </row>
    <row r="41" spans="1:13" s="94" customFormat="1" ht="27">
      <c r="A41" s="126"/>
      <c r="B41" s="127"/>
      <c r="C41" s="139" t="s">
        <v>202</v>
      </c>
      <c r="D41" s="159">
        <v>0.05</v>
      </c>
      <c r="E41" s="128"/>
      <c r="F41" s="128"/>
      <c r="G41" s="128"/>
      <c r="H41" s="129"/>
      <c r="I41" s="129"/>
      <c r="J41" s="129"/>
      <c r="K41" s="129"/>
      <c r="L41" s="129"/>
      <c r="M41" s="129">
        <f>J40*D41</f>
        <v>161.50385</v>
      </c>
    </row>
    <row r="42" spans="1:13" s="94" customFormat="1">
      <c r="A42" s="126"/>
      <c r="B42" s="127"/>
      <c r="C42" s="111" t="s">
        <v>10</v>
      </c>
      <c r="D42" s="98"/>
      <c r="E42" s="128"/>
      <c r="F42" s="128"/>
      <c r="G42" s="128"/>
      <c r="H42" s="129"/>
      <c r="I42" s="129"/>
      <c r="J42" s="129"/>
      <c r="K42" s="129"/>
      <c r="L42" s="129"/>
      <c r="M42" s="129">
        <f>SUM(M40:M41)</f>
        <v>7229.8185299999986</v>
      </c>
    </row>
    <row r="43" spans="1:13" s="94" customFormat="1">
      <c r="A43" s="126"/>
      <c r="B43" s="127"/>
      <c r="C43" s="138" t="s">
        <v>17</v>
      </c>
      <c r="D43" s="134">
        <v>0.1</v>
      </c>
      <c r="E43" s="131"/>
      <c r="F43" s="132"/>
      <c r="G43" s="132"/>
      <c r="H43" s="132"/>
      <c r="I43" s="132"/>
      <c r="J43" s="129"/>
      <c r="K43" s="132"/>
      <c r="L43" s="132"/>
      <c r="M43" s="129">
        <f>M42*D43</f>
        <v>722.98185299999989</v>
      </c>
    </row>
    <row r="44" spans="1:13" s="94" customFormat="1">
      <c r="A44" s="126"/>
      <c r="B44" s="127"/>
      <c r="C44" s="138" t="s">
        <v>10</v>
      </c>
      <c r="D44" s="133"/>
      <c r="E44" s="131"/>
      <c r="F44" s="132"/>
      <c r="G44" s="132"/>
      <c r="H44" s="132"/>
      <c r="I44" s="132"/>
      <c r="J44" s="129"/>
      <c r="K44" s="132"/>
      <c r="L44" s="132"/>
      <c r="M44" s="129">
        <f>SUM(M42:M43)</f>
        <v>7952.8003829999989</v>
      </c>
    </row>
    <row r="45" spans="1:13" s="94" customFormat="1">
      <c r="A45" s="126"/>
      <c r="B45" s="127"/>
      <c r="C45" s="138" t="s">
        <v>183</v>
      </c>
      <c r="D45" s="134">
        <v>0.08</v>
      </c>
      <c r="E45" s="131"/>
      <c r="F45" s="132"/>
      <c r="G45" s="132"/>
      <c r="H45" s="132"/>
      <c r="I45" s="132"/>
      <c r="J45" s="129"/>
      <c r="K45" s="132"/>
      <c r="L45" s="132"/>
      <c r="M45" s="129">
        <f>M44*D45</f>
        <v>636.22403063999991</v>
      </c>
    </row>
    <row r="46" spans="1:13" s="94" customFormat="1">
      <c r="A46" s="126"/>
      <c r="B46" s="127"/>
      <c r="C46" s="138" t="s">
        <v>10</v>
      </c>
      <c r="D46" s="134"/>
      <c r="E46" s="133"/>
      <c r="F46" s="135"/>
      <c r="G46" s="135"/>
      <c r="H46" s="136"/>
      <c r="I46" s="135"/>
      <c r="J46" s="129"/>
      <c r="K46" s="135"/>
      <c r="L46" s="135"/>
      <c r="M46" s="129">
        <f>SUM(M44:M45)</f>
        <v>8589.0244136399997</v>
      </c>
    </row>
    <row r="47" spans="1:13" s="94" customFormat="1" ht="31.5" customHeight="1">
      <c r="A47" s="126"/>
      <c r="B47" s="127"/>
      <c r="C47" s="139" t="s">
        <v>184</v>
      </c>
      <c r="D47" s="134">
        <v>0.02</v>
      </c>
      <c r="E47" s="139"/>
      <c r="F47" s="140"/>
      <c r="G47" s="137"/>
      <c r="H47" s="137"/>
      <c r="I47" s="140"/>
      <c r="J47" s="129"/>
      <c r="K47" s="137"/>
      <c r="L47" s="137"/>
      <c r="M47" s="129">
        <f>J40*D47</f>
        <v>64.60154</v>
      </c>
    </row>
    <row r="48" spans="1:13" s="94" customFormat="1" ht="24.75" customHeight="1">
      <c r="A48" s="126"/>
      <c r="B48" s="127"/>
      <c r="C48" s="139" t="s">
        <v>10</v>
      </c>
      <c r="D48" s="134"/>
      <c r="E48" s="139"/>
      <c r="F48" s="140"/>
      <c r="G48" s="137"/>
      <c r="H48" s="137"/>
      <c r="I48" s="140"/>
      <c r="J48" s="141"/>
      <c r="K48" s="137"/>
      <c r="L48" s="137"/>
      <c r="M48" s="129">
        <f>SUM(M46:M47)</f>
        <v>8653.6259536399994</v>
      </c>
    </row>
    <row r="49" spans="1:18" s="94" customFormat="1" ht="17.25" customHeight="1">
      <c r="A49" s="126"/>
      <c r="B49" s="127"/>
      <c r="C49" s="139" t="s">
        <v>24</v>
      </c>
      <c r="D49" s="134">
        <v>0.18</v>
      </c>
      <c r="E49" s="139"/>
      <c r="F49" s="140"/>
      <c r="G49" s="137"/>
      <c r="H49" s="137"/>
      <c r="I49" s="140"/>
      <c r="J49" s="141"/>
      <c r="K49" s="137"/>
      <c r="L49" s="137"/>
      <c r="M49" s="129">
        <f>M48*D49</f>
        <v>1557.6526716551998</v>
      </c>
    </row>
    <row r="50" spans="1:18" s="94" customFormat="1" ht="21" customHeight="1">
      <c r="A50" s="126"/>
      <c r="B50" s="127"/>
      <c r="C50" s="139" t="s">
        <v>10</v>
      </c>
      <c r="D50" s="130"/>
      <c r="E50" s="139"/>
      <c r="F50" s="140"/>
      <c r="G50" s="137"/>
      <c r="H50" s="137"/>
      <c r="I50" s="140"/>
      <c r="J50" s="137"/>
      <c r="K50" s="137"/>
      <c r="L50" s="137"/>
      <c r="M50" s="129">
        <f>SUM(M48:M49)</f>
        <v>10211.278625295199</v>
      </c>
      <c r="P50" s="94">
        <f>[1]Sheet1!M92</f>
        <v>56980.424983204983</v>
      </c>
      <c r="Q50" s="142"/>
      <c r="R50" s="143">
        <f>P50-M50</f>
        <v>46769.146357909784</v>
      </c>
    </row>
  </sheetData>
  <mergeCells count="24">
    <mergeCell ref="A17:A24"/>
    <mergeCell ref="A25:A29"/>
    <mergeCell ref="K8:K9"/>
    <mergeCell ref="L8:L9"/>
    <mergeCell ref="E7:E9"/>
    <mergeCell ref="F7:F9"/>
    <mergeCell ref="G7:H7"/>
    <mergeCell ref="I7:J7"/>
    <mergeCell ref="K7:L7"/>
    <mergeCell ref="A1:M1"/>
    <mergeCell ref="A2:M2"/>
    <mergeCell ref="A3:C3"/>
    <mergeCell ref="A4:M4"/>
    <mergeCell ref="A6:A9"/>
    <mergeCell ref="B6:B9"/>
    <mergeCell ref="C6:C9"/>
    <mergeCell ref="D6:D9"/>
    <mergeCell ref="E6:F6"/>
    <mergeCell ref="G6:M6"/>
    <mergeCell ref="M7:M9"/>
    <mergeCell ref="G8:G9"/>
    <mergeCell ref="H8:H9"/>
    <mergeCell ref="I8:I9"/>
    <mergeCell ref="J8:J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U107"/>
  <sheetViews>
    <sheetView topLeftCell="A2" workbookViewId="0">
      <selection activeCell="D100" sqref="D100"/>
    </sheetView>
  </sheetViews>
  <sheetFormatPr defaultRowHeight="15.75"/>
  <cols>
    <col min="1" max="1" width="2.85546875" style="386" customWidth="1"/>
    <col min="2" max="2" width="11.140625" style="386" customWidth="1"/>
    <col min="3" max="3" width="40.85546875" style="386" customWidth="1"/>
    <col min="4" max="4" width="8.140625" style="386" customWidth="1"/>
    <col min="5" max="5" width="7.85546875" style="386" customWidth="1"/>
    <col min="6" max="6" width="9.140625" style="386"/>
    <col min="7" max="7" width="7.85546875" style="386" customWidth="1"/>
    <col min="8" max="9" width="9.140625" style="386"/>
    <col min="10" max="10" width="9.42578125" style="386" bestFit="1" customWidth="1"/>
    <col min="11" max="11" width="8" style="386" customWidth="1"/>
    <col min="12" max="16384" width="9.140625" style="386"/>
  </cols>
  <sheetData>
    <row r="1" spans="1:15" ht="19.5" customHeight="1">
      <c r="A1" s="536" t="s">
        <v>502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</row>
    <row r="2" spans="1:15" ht="20.25" customHeight="1">
      <c r="A2" s="536" t="s">
        <v>503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</row>
    <row r="3" spans="1:15" ht="22.5" customHeight="1">
      <c r="A3" s="536" t="s">
        <v>232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</row>
    <row r="4" spans="1:15" ht="18" customHeight="1">
      <c r="A4" s="221"/>
      <c r="B4" s="351"/>
      <c r="C4" s="221"/>
      <c r="D4" s="221"/>
      <c r="E4" s="221"/>
      <c r="F4" s="536" t="s">
        <v>1</v>
      </c>
      <c r="G4" s="536"/>
      <c r="H4" s="536"/>
      <c r="I4" s="536"/>
      <c r="J4" s="536"/>
      <c r="K4" s="536"/>
      <c r="L4" s="223">
        <f>M102/1000</f>
        <v>0</v>
      </c>
      <c r="M4" s="224" t="s">
        <v>91</v>
      </c>
    </row>
    <row r="5" spans="1:15" ht="21.75" customHeight="1">
      <c r="A5" s="536" t="s">
        <v>523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</row>
    <row r="6" spans="1:15" ht="20.25" customHeight="1">
      <c r="A6" s="538" t="s">
        <v>3</v>
      </c>
      <c r="B6" s="549" t="s">
        <v>36</v>
      </c>
      <c r="C6" s="547" t="s">
        <v>4</v>
      </c>
      <c r="D6" s="538" t="s">
        <v>5</v>
      </c>
      <c r="E6" s="558" t="s">
        <v>6</v>
      </c>
      <c r="F6" s="559"/>
      <c r="G6" s="541" t="s">
        <v>7</v>
      </c>
      <c r="H6" s="542"/>
      <c r="I6" s="542"/>
      <c r="J6" s="542"/>
      <c r="K6" s="542"/>
      <c r="L6" s="542"/>
      <c r="M6" s="543"/>
    </row>
    <row r="7" spans="1:15" ht="33.75" customHeight="1">
      <c r="A7" s="539"/>
      <c r="B7" s="550"/>
      <c r="C7" s="552"/>
      <c r="D7" s="539"/>
      <c r="E7" s="560"/>
      <c r="F7" s="561"/>
      <c r="G7" s="544" t="s">
        <v>8</v>
      </c>
      <c r="H7" s="543"/>
      <c r="I7" s="544" t="s">
        <v>9</v>
      </c>
      <c r="J7" s="543"/>
      <c r="K7" s="545" t="s">
        <v>38</v>
      </c>
      <c r="L7" s="546"/>
      <c r="M7" s="547" t="s">
        <v>10</v>
      </c>
    </row>
    <row r="8" spans="1:15" ht="21" customHeight="1">
      <c r="A8" s="540"/>
      <c r="B8" s="551"/>
      <c r="C8" s="548"/>
      <c r="D8" s="540"/>
      <c r="E8" s="352" t="s">
        <v>37</v>
      </c>
      <c r="F8" s="353" t="s">
        <v>11</v>
      </c>
      <c r="G8" s="352" t="s">
        <v>37</v>
      </c>
      <c r="H8" s="353" t="s">
        <v>11</v>
      </c>
      <c r="I8" s="352" t="s">
        <v>37</v>
      </c>
      <c r="J8" s="353" t="s">
        <v>11</v>
      </c>
      <c r="K8" s="352" t="s">
        <v>37</v>
      </c>
      <c r="L8" s="353" t="s">
        <v>11</v>
      </c>
      <c r="M8" s="548"/>
    </row>
    <row r="9" spans="1:15" s="413" customFormat="1" ht="16.5" customHeight="1">
      <c r="A9" s="429">
        <v>1</v>
      </c>
      <c r="B9" s="429">
        <v>2</v>
      </c>
      <c r="C9" s="429">
        <v>3</v>
      </c>
      <c r="D9" s="429">
        <v>4</v>
      </c>
      <c r="E9" s="429">
        <v>5</v>
      </c>
      <c r="F9" s="429">
        <v>6</v>
      </c>
      <c r="G9" s="429">
        <v>7</v>
      </c>
      <c r="H9" s="429">
        <v>8</v>
      </c>
      <c r="I9" s="429">
        <v>9</v>
      </c>
      <c r="J9" s="429">
        <v>10</v>
      </c>
      <c r="K9" s="429">
        <v>11</v>
      </c>
      <c r="L9" s="429">
        <v>12</v>
      </c>
      <c r="M9" s="430">
        <v>13</v>
      </c>
      <c r="O9" s="431"/>
    </row>
    <row r="10" spans="1:15" s="413" customFormat="1" ht="18.75" customHeight="1">
      <c r="A10" s="432"/>
      <c r="B10" s="433"/>
      <c r="C10" s="427" t="s">
        <v>233</v>
      </c>
      <c r="D10" s="434"/>
      <c r="E10" s="434"/>
      <c r="F10" s="427"/>
      <c r="G10" s="426"/>
      <c r="H10" s="365"/>
      <c r="I10" s="365"/>
      <c r="J10" s="365"/>
      <c r="K10" s="365"/>
      <c r="L10" s="365"/>
      <c r="M10" s="365"/>
    </row>
    <row r="11" spans="1:15" s="413" customFormat="1" ht="28.5" customHeight="1">
      <c r="A11" s="435"/>
      <c r="B11" s="433"/>
      <c r="C11" s="306" t="s">
        <v>269</v>
      </c>
      <c r="D11" s="434"/>
      <c r="E11" s="434"/>
      <c r="F11" s="427"/>
      <c r="G11" s="426"/>
      <c r="H11" s="365"/>
      <c r="I11" s="365"/>
      <c r="J11" s="365"/>
      <c r="K11" s="365"/>
      <c r="L11" s="365"/>
      <c r="M11" s="365"/>
    </row>
    <row r="12" spans="1:15" ht="96" customHeight="1">
      <c r="A12" s="547">
        <v>1</v>
      </c>
      <c r="B12" s="354" t="s">
        <v>343</v>
      </c>
      <c r="C12" s="44" t="s">
        <v>509</v>
      </c>
      <c r="D12" s="307" t="s">
        <v>345</v>
      </c>
      <c r="E12" s="227"/>
      <c r="F12" s="436">
        <f>9.9/100</f>
        <v>9.9000000000000005E-2</v>
      </c>
      <c r="G12" s="227"/>
      <c r="H12" s="307"/>
      <c r="I12" s="227"/>
      <c r="J12" s="307"/>
      <c r="K12" s="227"/>
      <c r="L12" s="307"/>
      <c r="M12" s="227"/>
    </row>
    <row r="13" spans="1:15" ht="16.5" customHeight="1">
      <c r="A13" s="548"/>
      <c r="B13" s="354"/>
      <c r="C13" s="414" t="s">
        <v>119</v>
      </c>
      <c r="D13" s="415" t="s">
        <v>263</v>
      </c>
      <c r="E13" s="437">
        <v>184</v>
      </c>
      <c r="F13" s="368">
        <f>F12*E13</f>
        <v>18.216000000000001</v>
      </c>
      <c r="G13" s="438"/>
      <c r="H13" s="368"/>
      <c r="I13" s="437"/>
      <c r="J13" s="437"/>
      <c r="K13" s="437"/>
      <c r="L13" s="437"/>
      <c r="M13" s="368"/>
    </row>
    <row r="14" spans="1:15" ht="43.5" customHeight="1">
      <c r="A14" s="354">
        <v>2</v>
      </c>
      <c r="B14" s="354" t="s">
        <v>357</v>
      </c>
      <c r="C14" s="44" t="s">
        <v>505</v>
      </c>
      <c r="D14" s="307" t="s">
        <v>350</v>
      </c>
      <c r="E14" s="353"/>
      <c r="F14" s="365">
        <v>5.0999999999999996</v>
      </c>
      <c r="G14" s="227"/>
      <c r="H14" s="307"/>
      <c r="I14" s="227"/>
      <c r="J14" s="307"/>
      <c r="K14" s="227"/>
      <c r="L14" s="307"/>
      <c r="M14" s="227"/>
    </row>
    <row r="15" spans="1:15">
      <c r="A15" s="356"/>
      <c r="B15" s="354"/>
      <c r="C15" s="414" t="s">
        <v>119</v>
      </c>
      <c r="D15" s="415" t="s">
        <v>263</v>
      </c>
      <c r="E15" s="437">
        <v>0.8</v>
      </c>
      <c r="F15" s="368">
        <f>F14*E15</f>
        <v>4.08</v>
      </c>
      <c r="G15" s="368"/>
      <c r="H15" s="368"/>
      <c r="I15" s="437"/>
      <c r="J15" s="437"/>
      <c r="K15" s="437"/>
      <c r="L15" s="437"/>
      <c r="M15" s="368"/>
    </row>
    <row r="16" spans="1:15">
      <c r="A16" s="356"/>
      <c r="B16" s="354"/>
      <c r="C16" s="308" t="s">
        <v>346</v>
      </c>
      <c r="D16" s="354"/>
      <c r="E16" s="437">
        <v>0.32</v>
      </c>
      <c r="F16" s="368">
        <f>F14*E16</f>
        <v>1.6319999999999999</v>
      </c>
      <c r="G16" s="437"/>
      <c r="H16" s="368"/>
      <c r="I16" s="437"/>
      <c r="J16" s="437"/>
      <c r="K16" s="368"/>
      <c r="L16" s="368"/>
      <c r="M16" s="368"/>
    </row>
    <row r="17" spans="1:13">
      <c r="A17" s="356"/>
      <c r="B17" s="354" t="s">
        <v>20</v>
      </c>
      <c r="C17" s="308" t="s">
        <v>347</v>
      </c>
      <c r="D17" s="354"/>
      <c r="E17" s="368">
        <v>1.1000000000000001</v>
      </c>
      <c r="F17" s="368">
        <f>F14*E17</f>
        <v>5.61</v>
      </c>
      <c r="G17" s="437"/>
      <c r="H17" s="368"/>
      <c r="I17" s="369"/>
      <c r="J17" s="437"/>
      <c r="K17" s="437"/>
      <c r="L17" s="368"/>
      <c r="M17" s="368"/>
    </row>
    <row r="18" spans="1:13">
      <c r="A18" s="356"/>
      <c r="B18" s="354"/>
      <c r="C18" s="308" t="s">
        <v>129</v>
      </c>
      <c r="D18" s="354"/>
      <c r="E18" s="437">
        <v>0.02</v>
      </c>
      <c r="F18" s="368">
        <f>F14*E18</f>
        <v>0.10199999999999999</v>
      </c>
      <c r="G18" s="437"/>
      <c r="H18" s="368"/>
      <c r="I18" s="437"/>
      <c r="J18" s="437"/>
      <c r="K18" s="437"/>
      <c r="L18" s="368"/>
      <c r="M18" s="368"/>
    </row>
    <row r="19" spans="1:13">
      <c r="A19" s="355"/>
      <c r="B19" s="354" t="s">
        <v>349</v>
      </c>
      <c r="C19" s="308" t="s">
        <v>348</v>
      </c>
      <c r="D19" s="354" t="s">
        <v>274</v>
      </c>
      <c r="E19" s="437">
        <v>1.5</v>
      </c>
      <c r="F19" s="368">
        <f>F14*E19</f>
        <v>7.6499999999999995</v>
      </c>
      <c r="G19" s="437"/>
      <c r="H19" s="368"/>
      <c r="I19" s="437"/>
      <c r="J19" s="437"/>
      <c r="K19" s="439"/>
      <c r="L19" s="368"/>
      <c r="M19" s="368"/>
    </row>
    <row r="20" spans="1:13" ht="31.5" customHeight="1">
      <c r="A20" s="547">
        <v>3</v>
      </c>
      <c r="B20" s="354" t="s">
        <v>527</v>
      </c>
      <c r="C20" s="309" t="s">
        <v>353</v>
      </c>
      <c r="D20" s="307" t="s">
        <v>345</v>
      </c>
      <c r="E20" s="227"/>
      <c r="F20" s="436">
        <f>(9.9-5.1)/100</f>
        <v>4.8000000000000008E-2</v>
      </c>
      <c r="G20" s="227"/>
      <c r="H20" s="310"/>
      <c r="I20" s="227"/>
      <c r="J20" s="307"/>
      <c r="K20" s="227"/>
      <c r="L20" s="311"/>
      <c r="M20" s="170"/>
    </row>
    <row r="21" spans="1:13">
      <c r="A21" s="552"/>
      <c r="B21" s="354"/>
      <c r="C21" s="414" t="s">
        <v>119</v>
      </c>
      <c r="D21" s="415" t="s">
        <v>263</v>
      </c>
      <c r="E21" s="439">
        <v>0.99299999999999999</v>
      </c>
      <c r="F21" s="437">
        <f>F20*E21</f>
        <v>4.7664000000000005E-2</v>
      </c>
      <c r="G21" s="368"/>
      <c r="H21" s="368"/>
      <c r="I21" s="437"/>
      <c r="J21" s="437"/>
      <c r="K21" s="437"/>
      <c r="L21" s="368"/>
      <c r="M21" s="368"/>
    </row>
    <row r="22" spans="1:13">
      <c r="A22" s="548"/>
      <c r="B22" s="354" t="s">
        <v>352</v>
      </c>
      <c r="C22" s="33" t="s">
        <v>351</v>
      </c>
      <c r="D22" s="357" t="s">
        <v>15</v>
      </c>
      <c r="E22" s="437"/>
      <c r="F22" s="437">
        <f>F14*1.6</f>
        <v>8.16</v>
      </c>
      <c r="G22" s="437"/>
      <c r="H22" s="437"/>
      <c r="I22" s="437"/>
      <c r="J22" s="437"/>
      <c r="K22" s="439"/>
      <c r="L22" s="368"/>
      <c r="M22" s="368"/>
    </row>
    <row r="23" spans="1:13" s="413" customFormat="1" ht="42" customHeight="1">
      <c r="A23" s="440">
        <v>4</v>
      </c>
      <c r="B23" s="441" t="s">
        <v>356</v>
      </c>
      <c r="C23" s="161" t="s">
        <v>262</v>
      </c>
      <c r="D23" s="427" t="s">
        <v>264</v>
      </c>
      <c r="E23" s="434"/>
      <c r="F23" s="436">
        <f>106.7/1000</f>
        <v>0.1067</v>
      </c>
      <c r="G23" s="426"/>
      <c r="H23" s="365"/>
      <c r="I23" s="365"/>
      <c r="J23" s="365"/>
      <c r="K23" s="365"/>
      <c r="L23" s="365"/>
      <c r="M23" s="365"/>
    </row>
    <row r="24" spans="1:13" s="413" customFormat="1" ht="15.75" customHeight="1">
      <c r="A24" s="442"/>
      <c r="B24" s="441"/>
      <c r="C24" s="414" t="s">
        <v>119</v>
      </c>
      <c r="D24" s="415" t="s">
        <v>263</v>
      </c>
      <c r="E24" s="437">
        <v>95.9</v>
      </c>
      <c r="F24" s="368">
        <f>F23*E24</f>
        <v>10.232530000000001</v>
      </c>
      <c r="G24" s="438"/>
      <c r="H24" s="368"/>
      <c r="I24" s="365"/>
      <c r="J24" s="412"/>
      <c r="K24" s="365"/>
      <c r="L24" s="443"/>
      <c r="M24" s="368"/>
    </row>
    <row r="25" spans="1:13" s="413" customFormat="1" ht="15.75" customHeight="1">
      <c r="A25" s="442"/>
      <c r="B25" s="433"/>
      <c r="C25" s="444" t="s">
        <v>267</v>
      </c>
      <c r="D25" s="415" t="s">
        <v>123</v>
      </c>
      <c r="E25" s="415">
        <v>45.2</v>
      </c>
      <c r="F25" s="368">
        <f>F23*E25</f>
        <v>4.8228400000000002</v>
      </c>
      <c r="G25" s="368"/>
      <c r="H25" s="368"/>
      <c r="I25" s="368"/>
      <c r="J25" s="368"/>
      <c r="K25" s="368"/>
      <c r="L25" s="368"/>
      <c r="M25" s="368"/>
    </row>
    <row r="26" spans="1:13" s="413" customFormat="1" ht="15.75" customHeight="1">
      <c r="A26" s="442"/>
      <c r="B26" s="415" t="s">
        <v>266</v>
      </c>
      <c r="C26" s="444" t="s">
        <v>547</v>
      </c>
      <c r="D26" s="415" t="s">
        <v>265</v>
      </c>
      <c r="E26" s="415">
        <v>1010</v>
      </c>
      <c r="F26" s="368">
        <f>F23*E26</f>
        <v>107.76700000000001</v>
      </c>
      <c r="G26" s="368"/>
      <c r="H26" s="368"/>
      <c r="I26" s="438"/>
      <c r="J26" s="368"/>
      <c r="K26" s="368"/>
      <c r="L26" s="368"/>
      <c r="M26" s="368"/>
    </row>
    <row r="27" spans="1:13" s="413" customFormat="1" ht="15.75" customHeight="1">
      <c r="A27" s="442"/>
      <c r="B27" s="415" t="s">
        <v>101</v>
      </c>
      <c r="C27" s="444" t="s">
        <v>300</v>
      </c>
      <c r="D27" s="415" t="s">
        <v>128</v>
      </c>
      <c r="E27" s="415"/>
      <c r="F27" s="369">
        <v>20</v>
      </c>
      <c r="G27" s="368"/>
      <c r="H27" s="368"/>
      <c r="I27" s="368"/>
      <c r="J27" s="368"/>
      <c r="K27" s="368"/>
      <c r="L27" s="368"/>
      <c r="M27" s="368"/>
    </row>
    <row r="28" spans="1:13" s="413" customFormat="1" ht="15.75" customHeight="1">
      <c r="A28" s="442"/>
      <c r="B28" s="415"/>
      <c r="C28" s="444" t="s">
        <v>506</v>
      </c>
      <c r="D28" s="415" t="s">
        <v>128</v>
      </c>
      <c r="E28" s="415"/>
      <c r="F28" s="369">
        <v>12</v>
      </c>
      <c r="G28" s="368"/>
      <c r="H28" s="368"/>
      <c r="I28" s="368"/>
      <c r="J28" s="368"/>
      <c r="K28" s="368"/>
      <c r="L28" s="368"/>
      <c r="M28" s="368"/>
    </row>
    <row r="29" spans="1:13" s="413" customFormat="1" ht="15.75" customHeight="1">
      <c r="A29" s="362"/>
      <c r="B29" s="415"/>
      <c r="C29" s="444" t="s">
        <v>129</v>
      </c>
      <c r="D29" s="415" t="s">
        <v>123</v>
      </c>
      <c r="E29" s="415">
        <v>0.6</v>
      </c>
      <c r="F29" s="368">
        <f>F23*E29</f>
        <v>6.4019999999999994E-2</v>
      </c>
      <c r="G29" s="368"/>
      <c r="H29" s="368"/>
      <c r="I29" s="368"/>
      <c r="J29" s="368"/>
      <c r="K29" s="368"/>
      <c r="L29" s="368"/>
      <c r="M29" s="368"/>
    </row>
    <row r="30" spans="1:13" s="413" customFormat="1" ht="16.5" customHeight="1">
      <c r="A30" s="440">
        <v>5</v>
      </c>
      <c r="B30" s="415" t="s">
        <v>355</v>
      </c>
      <c r="C30" s="161" t="s">
        <v>268</v>
      </c>
      <c r="D30" s="409" t="s">
        <v>264</v>
      </c>
      <c r="E30" s="409"/>
      <c r="F30" s="45">
        <f>25/1000</f>
        <v>2.5000000000000001E-2</v>
      </c>
      <c r="G30" s="409"/>
      <c r="H30" s="409"/>
      <c r="I30" s="409"/>
      <c r="J30" s="368"/>
      <c r="K30" s="409"/>
      <c r="L30" s="409"/>
      <c r="M30" s="409"/>
    </row>
    <row r="31" spans="1:13" s="413" customFormat="1" ht="17.25" customHeight="1">
      <c r="A31" s="442"/>
      <c r="B31" s="415"/>
      <c r="C31" s="414" t="s">
        <v>119</v>
      </c>
      <c r="D31" s="415" t="s">
        <v>263</v>
      </c>
      <c r="E31" s="437">
        <v>381</v>
      </c>
      <c r="F31" s="368">
        <f>F30*E31</f>
        <v>9.5250000000000004</v>
      </c>
      <c r="G31" s="368"/>
      <c r="H31" s="368"/>
      <c r="I31" s="365"/>
      <c r="J31" s="368"/>
      <c r="K31" s="365"/>
      <c r="L31" s="443"/>
      <c r="M31" s="368"/>
    </row>
    <row r="32" spans="1:13" s="413" customFormat="1" ht="30" customHeight="1">
      <c r="A32" s="442"/>
      <c r="B32" s="415" t="s">
        <v>270</v>
      </c>
      <c r="C32" s="65" t="s">
        <v>548</v>
      </c>
      <c r="D32" s="415" t="s">
        <v>265</v>
      </c>
      <c r="E32" s="415">
        <v>995</v>
      </c>
      <c r="F32" s="416">
        <f>F30*E32</f>
        <v>24.875</v>
      </c>
      <c r="G32" s="415"/>
      <c r="H32" s="415"/>
      <c r="I32" s="438"/>
      <c r="J32" s="368"/>
      <c r="K32" s="368"/>
      <c r="L32" s="368"/>
      <c r="M32" s="368"/>
    </row>
    <row r="33" spans="1:125" s="413" customFormat="1" ht="15.75" customHeight="1">
      <c r="A33" s="362"/>
      <c r="B33" s="415"/>
      <c r="C33" s="444" t="s">
        <v>129</v>
      </c>
      <c r="D33" s="415" t="s">
        <v>123</v>
      </c>
      <c r="E33" s="415">
        <v>11.2</v>
      </c>
      <c r="F33" s="416">
        <f>F30*E33</f>
        <v>0.27999999999999997</v>
      </c>
      <c r="G33" s="415"/>
      <c r="H33" s="415"/>
      <c r="I33" s="368"/>
      <c r="J33" s="368"/>
      <c r="K33" s="368"/>
      <c r="L33" s="368"/>
      <c r="M33" s="368"/>
    </row>
    <row r="34" spans="1:125" s="413" customFormat="1" ht="42" customHeight="1">
      <c r="A34" s="440">
        <v>6</v>
      </c>
      <c r="B34" s="415" t="s">
        <v>354</v>
      </c>
      <c r="C34" s="165" t="s">
        <v>508</v>
      </c>
      <c r="D34" s="45" t="s">
        <v>271</v>
      </c>
      <c r="E34" s="45"/>
      <c r="F34" s="445">
        <f>0.64/10</f>
        <v>6.4000000000000001E-2</v>
      </c>
      <c r="G34" s="409"/>
      <c r="H34" s="409"/>
      <c r="I34" s="365"/>
      <c r="J34" s="365"/>
      <c r="K34" s="365"/>
      <c r="L34" s="365"/>
      <c r="M34" s="365"/>
    </row>
    <row r="35" spans="1:125" s="413" customFormat="1" ht="16.5" customHeight="1">
      <c r="A35" s="442"/>
      <c r="B35" s="415"/>
      <c r="C35" s="65" t="s">
        <v>119</v>
      </c>
      <c r="D35" s="54" t="s">
        <v>263</v>
      </c>
      <c r="E35" s="437">
        <v>64.2</v>
      </c>
      <c r="F35" s="368">
        <f>F34*E35</f>
        <v>4.1088000000000005</v>
      </c>
      <c r="G35" s="446"/>
      <c r="H35" s="368"/>
      <c r="I35" s="365"/>
      <c r="J35" s="368"/>
      <c r="K35" s="365"/>
      <c r="L35" s="443"/>
      <c r="M35" s="368"/>
    </row>
    <row r="36" spans="1:125" s="413" customFormat="1" ht="17.25" customHeight="1">
      <c r="A36" s="442"/>
      <c r="B36" s="415"/>
      <c r="C36" s="444" t="s">
        <v>267</v>
      </c>
      <c r="D36" s="54" t="s">
        <v>123</v>
      </c>
      <c r="E36" s="54">
        <v>3.85</v>
      </c>
      <c r="F36" s="55">
        <f>F34*E36</f>
        <v>0.24640000000000001</v>
      </c>
      <c r="G36" s="447"/>
      <c r="H36" s="415"/>
      <c r="I36" s="368"/>
      <c r="J36" s="368"/>
      <c r="K36" s="368"/>
      <c r="L36" s="368"/>
      <c r="M36" s="368"/>
    </row>
    <row r="37" spans="1:125" s="413" customFormat="1" ht="17.25" customHeight="1">
      <c r="A37" s="442"/>
      <c r="B37" s="415" t="s">
        <v>101</v>
      </c>
      <c r="C37" s="444" t="s">
        <v>272</v>
      </c>
      <c r="D37" s="54" t="s">
        <v>273</v>
      </c>
      <c r="E37" s="54">
        <v>10.5</v>
      </c>
      <c r="F37" s="55">
        <f>F34*E37</f>
        <v>0.67200000000000004</v>
      </c>
      <c r="G37" s="447"/>
      <c r="H37" s="415"/>
      <c r="I37" s="369"/>
      <c r="J37" s="368"/>
      <c r="K37" s="368"/>
      <c r="L37" s="368"/>
      <c r="M37" s="368"/>
    </row>
    <row r="38" spans="1:125" s="413" customFormat="1" ht="30" customHeight="1">
      <c r="A38" s="442"/>
      <c r="B38" s="415" t="s">
        <v>366</v>
      </c>
      <c r="C38" s="65" t="s">
        <v>549</v>
      </c>
      <c r="D38" s="54" t="s">
        <v>274</v>
      </c>
      <c r="E38" s="54" t="s">
        <v>365</v>
      </c>
      <c r="F38" s="448">
        <f>0.0313</f>
        <v>3.1300000000000001E-2</v>
      </c>
      <c r="G38" s="447"/>
      <c r="H38" s="415"/>
      <c r="I38" s="366"/>
      <c r="J38" s="368"/>
      <c r="K38" s="368"/>
      <c r="L38" s="368"/>
      <c r="M38" s="368"/>
    </row>
    <row r="39" spans="1:125" s="413" customFormat="1" ht="17.25" customHeight="1">
      <c r="A39" s="442"/>
      <c r="B39" s="415" t="s">
        <v>276</v>
      </c>
      <c r="C39" s="444" t="s">
        <v>275</v>
      </c>
      <c r="D39" s="54" t="s">
        <v>273</v>
      </c>
      <c r="E39" s="54">
        <v>0.75</v>
      </c>
      <c r="F39" s="55">
        <f>F34*E39</f>
        <v>4.8000000000000001E-2</v>
      </c>
      <c r="G39" s="447"/>
      <c r="H39" s="415"/>
      <c r="I39" s="366"/>
      <c r="J39" s="368"/>
      <c r="K39" s="368"/>
      <c r="L39" s="368"/>
      <c r="M39" s="368"/>
    </row>
    <row r="40" spans="1:125" s="413" customFormat="1" ht="17.25" customHeight="1">
      <c r="A40" s="442"/>
      <c r="B40" s="415" t="s">
        <v>526</v>
      </c>
      <c r="C40" s="444" t="s">
        <v>367</v>
      </c>
      <c r="D40" s="54" t="s">
        <v>128</v>
      </c>
      <c r="E40" s="54"/>
      <c r="F40" s="71">
        <v>2</v>
      </c>
      <c r="G40" s="447"/>
      <c r="H40" s="415"/>
      <c r="I40" s="369"/>
      <c r="J40" s="368"/>
      <c r="K40" s="368"/>
      <c r="L40" s="368"/>
      <c r="M40" s="368"/>
    </row>
    <row r="41" spans="1:125" s="413" customFormat="1" ht="17.25" customHeight="1">
      <c r="A41" s="362"/>
      <c r="B41" s="415"/>
      <c r="C41" s="444" t="s">
        <v>129</v>
      </c>
      <c r="D41" s="54" t="s">
        <v>123</v>
      </c>
      <c r="E41" s="54">
        <v>30.8</v>
      </c>
      <c r="F41" s="55">
        <f>F34*E41</f>
        <v>1.9712000000000001</v>
      </c>
      <c r="G41" s="447"/>
      <c r="H41" s="415"/>
      <c r="I41" s="368"/>
      <c r="J41" s="368"/>
      <c r="K41" s="368"/>
      <c r="L41" s="368"/>
      <c r="M41" s="368"/>
    </row>
    <row r="42" spans="1:125" s="413" customFormat="1" ht="17.25" customHeight="1">
      <c r="A42" s="449"/>
      <c r="B42" s="450"/>
      <c r="C42" s="451" t="s">
        <v>277</v>
      </c>
      <c r="D42" s="450"/>
      <c r="E42" s="450"/>
      <c r="F42" s="450"/>
      <c r="G42" s="452"/>
      <c r="H42" s="453"/>
      <c r="I42" s="438"/>
      <c r="J42" s="453"/>
      <c r="K42" s="438"/>
      <c r="L42" s="453"/>
      <c r="M42" s="453"/>
    </row>
    <row r="43" spans="1:125" s="413" customFormat="1" ht="27">
      <c r="A43" s="454"/>
      <c r="B43" s="454"/>
      <c r="C43" s="455" t="s">
        <v>227</v>
      </c>
      <c r="D43" s="456"/>
      <c r="E43" s="454"/>
      <c r="F43" s="451"/>
      <c r="G43" s="456"/>
      <c r="H43" s="457"/>
      <c r="I43" s="457"/>
      <c r="J43" s="457"/>
      <c r="K43" s="457"/>
      <c r="L43" s="457"/>
      <c r="M43" s="457"/>
      <c r="N43" s="386"/>
      <c r="O43" s="386"/>
      <c r="P43" s="386"/>
      <c r="Q43" s="386"/>
      <c r="R43" s="386"/>
      <c r="S43" s="386"/>
      <c r="T43" s="386"/>
      <c r="U43" s="386"/>
      <c r="V43" s="386"/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386"/>
      <c r="AL43" s="386"/>
      <c r="AM43" s="386"/>
      <c r="AN43" s="386"/>
      <c r="AO43" s="386"/>
      <c r="AP43" s="386"/>
      <c r="AQ43" s="386"/>
      <c r="AR43" s="386"/>
      <c r="AS43" s="386"/>
      <c r="AT43" s="386"/>
      <c r="AU43" s="386"/>
      <c r="AV43" s="386"/>
      <c r="AW43" s="386"/>
      <c r="AX43" s="386"/>
      <c r="AY43" s="386"/>
      <c r="AZ43" s="386"/>
      <c r="BA43" s="386"/>
      <c r="BB43" s="386"/>
      <c r="BC43" s="386"/>
      <c r="BD43" s="386"/>
      <c r="BE43" s="386"/>
      <c r="BF43" s="386"/>
      <c r="BG43" s="386"/>
      <c r="BH43" s="386"/>
      <c r="BI43" s="386"/>
      <c r="BJ43" s="386"/>
      <c r="BK43" s="386"/>
      <c r="BL43" s="386"/>
      <c r="BM43" s="386"/>
      <c r="BN43" s="386"/>
      <c r="BO43" s="386"/>
      <c r="BP43" s="386"/>
      <c r="BQ43" s="386"/>
      <c r="BR43" s="386"/>
      <c r="BS43" s="386"/>
      <c r="BT43" s="386"/>
      <c r="BU43" s="386"/>
      <c r="BV43" s="386"/>
      <c r="BW43" s="386"/>
      <c r="BX43" s="386"/>
      <c r="BY43" s="386"/>
      <c r="BZ43" s="386"/>
      <c r="CA43" s="386"/>
      <c r="CB43" s="386"/>
      <c r="CC43" s="386"/>
      <c r="CD43" s="386"/>
      <c r="CE43" s="386"/>
      <c r="CF43" s="386"/>
      <c r="CG43" s="386"/>
      <c r="CH43" s="386"/>
      <c r="CI43" s="386"/>
      <c r="CJ43" s="386"/>
      <c r="CK43" s="386"/>
      <c r="CL43" s="386"/>
      <c r="CM43" s="386"/>
      <c r="CN43" s="386"/>
      <c r="CO43" s="386"/>
      <c r="CP43" s="386"/>
      <c r="CQ43" s="386"/>
      <c r="CR43" s="386"/>
      <c r="CS43" s="386"/>
      <c r="CT43" s="386"/>
      <c r="CU43" s="386"/>
      <c r="CV43" s="386"/>
      <c r="CW43" s="386"/>
      <c r="CX43" s="386"/>
      <c r="CY43" s="386"/>
      <c r="CZ43" s="386"/>
      <c r="DA43" s="386"/>
      <c r="DB43" s="386"/>
      <c r="DC43" s="386"/>
      <c r="DD43" s="386"/>
      <c r="DE43" s="386"/>
      <c r="DF43" s="386"/>
      <c r="DG43" s="386"/>
      <c r="DH43" s="386"/>
      <c r="DI43" s="386"/>
      <c r="DJ43" s="386"/>
      <c r="DK43" s="386"/>
      <c r="DL43" s="386"/>
      <c r="DM43" s="386"/>
      <c r="DN43" s="386"/>
      <c r="DO43" s="386"/>
      <c r="DP43" s="386"/>
      <c r="DQ43" s="386"/>
      <c r="DR43" s="386"/>
      <c r="DS43" s="386"/>
      <c r="DT43" s="386"/>
      <c r="DU43" s="386"/>
    </row>
    <row r="44" spans="1:125" s="413" customFormat="1">
      <c r="A44" s="454"/>
      <c r="B44" s="454"/>
      <c r="C44" s="451" t="s">
        <v>22</v>
      </c>
      <c r="D44" s="451"/>
      <c r="E44" s="454"/>
      <c r="F44" s="451"/>
      <c r="G44" s="456"/>
      <c r="H44" s="457"/>
      <c r="I44" s="457"/>
      <c r="J44" s="457"/>
      <c r="K44" s="457"/>
      <c r="L44" s="457"/>
      <c r="M44" s="457"/>
      <c r="N44" s="386"/>
      <c r="O44" s="386"/>
      <c r="P44" s="386"/>
      <c r="Q44" s="386"/>
      <c r="R44" s="386"/>
      <c r="S44" s="386"/>
      <c r="T44" s="386"/>
      <c r="U44" s="386"/>
      <c r="V44" s="386"/>
      <c r="W44" s="386"/>
      <c r="X44" s="386"/>
      <c r="Y44" s="386"/>
      <c r="Z44" s="386"/>
      <c r="AA44" s="386"/>
      <c r="AB44" s="386"/>
      <c r="AC44" s="386"/>
      <c r="AD44" s="386"/>
      <c r="AE44" s="386"/>
      <c r="AF44" s="386"/>
      <c r="AG44" s="386"/>
      <c r="AH44" s="386"/>
      <c r="AI44" s="386"/>
      <c r="AJ44" s="386"/>
      <c r="AK44" s="386"/>
      <c r="AL44" s="386"/>
      <c r="AM44" s="386"/>
      <c r="AN44" s="386"/>
      <c r="AO44" s="386"/>
      <c r="AP44" s="386"/>
      <c r="AQ44" s="386"/>
      <c r="AR44" s="386"/>
      <c r="AS44" s="386"/>
      <c r="AT44" s="386"/>
      <c r="AU44" s="386"/>
      <c r="AV44" s="386"/>
      <c r="AW44" s="386"/>
      <c r="AX44" s="386"/>
      <c r="AY44" s="386"/>
      <c r="AZ44" s="386"/>
      <c r="BA44" s="386"/>
      <c r="BB44" s="386"/>
      <c r="BC44" s="386"/>
      <c r="BD44" s="386"/>
      <c r="BE44" s="386"/>
      <c r="BF44" s="386"/>
      <c r="BG44" s="386"/>
      <c r="BH44" s="386"/>
      <c r="BI44" s="386"/>
      <c r="BJ44" s="386"/>
      <c r="BK44" s="386"/>
      <c r="BL44" s="386"/>
      <c r="BM44" s="386"/>
      <c r="BN44" s="386"/>
      <c r="BO44" s="386"/>
      <c r="BP44" s="386"/>
      <c r="BQ44" s="386"/>
      <c r="BR44" s="386"/>
      <c r="BS44" s="386"/>
      <c r="BT44" s="386"/>
      <c r="BU44" s="386"/>
      <c r="BV44" s="386"/>
      <c r="BW44" s="386"/>
      <c r="BX44" s="386"/>
      <c r="BY44" s="386"/>
      <c r="BZ44" s="386"/>
      <c r="CA44" s="386"/>
      <c r="CB44" s="386"/>
      <c r="CC44" s="386"/>
      <c r="CD44" s="386"/>
      <c r="CE44" s="386"/>
      <c r="CF44" s="386"/>
      <c r="CG44" s="386"/>
      <c r="CH44" s="386"/>
      <c r="CI44" s="386"/>
      <c r="CJ44" s="386"/>
      <c r="CK44" s="386"/>
      <c r="CL44" s="386"/>
      <c r="CM44" s="386"/>
      <c r="CN44" s="386"/>
      <c r="CO44" s="386"/>
      <c r="CP44" s="386"/>
      <c r="CQ44" s="386"/>
      <c r="CR44" s="386"/>
      <c r="CS44" s="386"/>
      <c r="CT44" s="386"/>
      <c r="CU44" s="386"/>
      <c r="CV44" s="386"/>
      <c r="CW44" s="386"/>
      <c r="CX44" s="386"/>
      <c r="CY44" s="386"/>
      <c r="CZ44" s="386"/>
      <c r="DA44" s="386"/>
      <c r="DB44" s="386"/>
      <c r="DC44" s="386"/>
      <c r="DD44" s="386"/>
      <c r="DE44" s="386"/>
      <c r="DF44" s="386"/>
      <c r="DG44" s="386"/>
      <c r="DH44" s="386"/>
      <c r="DI44" s="386"/>
      <c r="DJ44" s="386"/>
      <c r="DK44" s="386"/>
      <c r="DL44" s="386"/>
      <c r="DM44" s="386"/>
      <c r="DN44" s="386"/>
      <c r="DO44" s="386"/>
      <c r="DP44" s="386"/>
      <c r="DQ44" s="386"/>
      <c r="DR44" s="386"/>
      <c r="DS44" s="386"/>
      <c r="DT44" s="386"/>
      <c r="DU44" s="386"/>
    </row>
    <row r="45" spans="1:125" s="413" customFormat="1">
      <c r="A45" s="454"/>
      <c r="B45" s="454"/>
      <c r="C45" s="451" t="s">
        <v>261</v>
      </c>
      <c r="D45" s="456"/>
      <c r="E45" s="454"/>
      <c r="F45" s="451"/>
      <c r="G45" s="456"/>
      <c r="H45" s="457"/>
      <c r="I45" s="457"/>
      <c r="J45" s="457"/>
      <c r="K45" s="457"/>
      <c r="L45" s="457"/>
      <c r="M45" s="457"/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86"/>
      <c r="Y45" s="386"/>
      <c r="Z45" s="386"/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86"/>
      <c r="AL45" s="386"/>
      <c r="AM45" s="386"/>
      <c r="AN45" s="386"/>
      <c r="AO45" s="386"/>
      <c r="AP45" s="386"/>
      <c r="AQ45" s="386"/>
      <c r="AR45" s="386"/>
      <c r="AS45" s="386"/>
      <c r="AT45" s="386"/>
      <c r="AU45" s="386"/>
      <c r="AV45" s="386"/>
      <c r="AW45" s="386"/>
      <c r="AX45" s="386"/>
      <c r="AY45" s="386"/>
      <c r="AZ45" s="386"/>
      <c r="BA45" s="386"/>
      <c r="BB45" s="386"/>
      <c r="BC45" s="386"/>
      <c r="BD45" s="386"/>
      <c r="BE45" s="386"/>
      <c r="BF45" s="386"/>
      <c r="BG45" s="386"/>
      <c r="BH45" s="386"/>
      <c r="BI45" s="386"/>
      <c r="BJ45" s="386"/>
      <c r="BK45" s="386"/>
      <c r="BL45" s="386"/>
      <c r="BM45" s="386"/>
      <c r="BN45" s="386"/>
      <c r="BO45" s="386"/>
      <c r="BP45" s="386"/>
      <c r="BQ45" s="386"/>
      <c r="BR45" s="386"/>
      <c r="BS45" s="386"/>
      <c r="BT45" s="386"/>
      <c r="BU45" s="386"/>
      <c r="BV45" s="386"/>
      <c r="BW45" s="386"/>
      <c r="BX45" s="386"/>
      <c r="BY45" s="386"/>
      <c r="BZ45" s="386"/>
      <c r="CA45" s="386"/>
      <c r="CB45" s="386"/>
      <c r="CC45" s="386"/>
      <c r="CD45" s="386"/>
      <c r="CE45" s="386"/>
      <c r="CF45" s="386"/>
      <c r="CG45" s="386"/>
      <c r="CH45" s="386"/>
      <c r="CI45" s="386"/>
      <c r="CJ45" s="386"/>
      <c r="CK45" s="386"/>
      <c r="CL45" s="386"/>
      <c r="CM45" s="386"/>
      <c r="CN45" s="386"/>
      <c r="CO45" s="386"/>
      <c r="CP45" s="386"/>
      <c r="CQ45" s="386"/>
      <c r="CR45" s="386"/>
      <c r="CS45" s="386"/>
      <c r="CT45" s="386"/>
      <c r="CU45" s="386"/>
      <c r="CV45" s="386"/>
      <c r="CW45" s="386"/>
      <c r="CX45" s="386"/>
      <c r="CY45" s="386"/>
      <c r="CZ45" s="386"/>
      <c r="DA45" s="386"/>
      <c r="DB45" s="386"/>
      <c r="DC45" s="386"/>
      <c r="DD45" s="386"/>
      <c r="DE45" s="386"/>
      <c r="DF45" s="386"/>
      <c r="DG45" s="386"/>
      <c r="DH45" s="386"/>
      <c r="DI45" s="386"/>
      <c r="DJ45" s="386"/>
      <c r="DK45" s="386"/>
      <c r="DL45" s="386"/>
      <c r="DM45" s="386"/>
      <c r="DN45" s="386"/>
      <c r="DO45" s="386"/>
      <c r="DP45" s="386"/>
      <c r="DQ45" s="386"/>
      <c r="DR45" s="386"/>
      <c r="DS45" s="386"/>
      <c r="DT45" s="386"/>
      <c r="DU45" s="386"/>
    </row>
    <row r="46" spans="1:125" s="413" customFormat="1">
      <c r="A46" s="454"/>
      <c r="B46" s="454"/>
      <c r="C46" s="451" t="s">
        <v>22</v>
      </c>
      <c r="D46" s="451"/>
      <c r="E46" s="454"/>
      <c r="F46" s="451"/>
      <c r="G46" s="458"/>
      <c r="H46" s="457"/>
      <c r="I46" s="457"/>
      <c r="J46" s="457"/>
      <c r="K46" s="457"/>
      <c r="L46" s="457"/>
      <c r="M46" s="457"/>
      <c r="N46" s="386"/>
      <c r="O46" s="386"/>
      <c r="P46" s="386"/>
      <c r="Q46" s="386"/>
      <c r="R46" s="386"/>
      <c r="S46" s="386"/>
      <c r="T46" s="386"/>
      <c r="U46" s="386"/>
      <c r="V46" s="386"/>
      <c r="W46" s="386"/>
      <c r="X46" s="386"/>
      <c r="Y46" s="386"/>
      <c r="Z46" s="386"/>
      <c r="AA46" s="386"/>
      <c r="AB46" s="386"/>
      <c r="AC46" s="386"/>
      <c r="AD46" s="386"/>
      <c r="AE46" s="386"/>
      <c r="AF46" s="386"/>
      <c r="AG46" s="386"/>
      <c r="AH46" s="386"/>
      <c r="AI46" s="386"/>
      <c r="AJ46" s="386"/>
      <c r="AK46" s="386"/>
      <c r="AL46" s="386"/>
      <c r="AM46" s="386"/>
      <c r="AN46" s="386"/>
      <c r="AO46" s="386"/>
      <c r="AP46" s="386"/>
      <c r="AQ46" s="386"/>
      <c r="AR46" s="386"/>
      <c r="AS46" s="386"/>
      <c r="AT46" s="386"/>
      <c r="AU46" s="386"/>
      <c r="AV46" s="386"/>
      <c r="AW46" s="386"/>
      <c r="AX46" s="386"/>
      <c r="AY46" s="386"/>
      <c r="AZ46" s="386"/>
      <c r="BA46" s="386"/>
      <c r="BB46" s="386"/>
      <c r="BC46" s="386"/>
      <c r="BD46" s="386"/>
      <c r="BE46" s="386"/>
      <c r="BF46" s="386"/>
      <c r="BG46" s="386"/>
      <c r="BH46" s="386"/>
      <c r="BI46" s="386"/>
      <c r="BJ46" s="386"/>
      <c r="BK46" s="386"/>
      <c r="BL46" s="386"/>
      <c r="BM46" s="386"/>
      <c r="BN46" s="386"/>
      <c r="BO46" s="386"/>
      <c r="BP46" s="386"/>
      <c r="BQ46" s="386"/>
      <c r="BR46" s="386"/>
      <c r="BS46" s="386"/>
      <c r="BT46" s="386"/>
      <c r="BU46" s="386"/>
      <c r="BV46" s="386"/>
      <c r="BW46" s="386"/>
      <c r="BX46" s="386"/>
      <c r="BY46" s="386"/>
      <c r="BZ46" s="386"/>
      <c r="CA46" s="386"/>
      <c r="CB46" s="386"/>
      <c r="CC46" s="386"/>
      <c r="CD46" s="386"/>
      <c r="CE46" s="386"/>
      <c r="CF46" s="386"/>
      <c r="CG46" s="386"/>
      <c r="CH46" s="386"/>
      <c r="CI46" s="386"/>
      <c r="CJ46" s="386"/>
      <c r="CK46" s="386"/>
      <c r="CL46" s="386"/>
      <c r="CM46" s="386"/>
      <c r="CN46" s="386"/>
      <c r="CO46" s="386"/>
      <c r="CP46" s="386"/>
      <c r="CQ46" s="386"/>
      <c r="CR46" s="386"/>
      <c r="CS46" s="386"/>
      <c r="CT46" s="386"/>
      <c r="CU46" s="386"/>
      <c r="CV46" s="386"/>
      <c r="CW46" s="386"/>
      <c r="CX46" s="386"/>
      <c r="CY46" s="386"/>
      <c r="CZ46" s="386"/>
      <c r="DA46" s="386"/>
      <c r="DB46" s="386"/>
      <c r="DC46" s="386"/>
      <c r="DD46" s="386"/>
      <c r="DE46" s="386"/>
      <c r="DF46" s="386"/>
      <c r="DG46" s="386"/>
      <c r="DH46" s="386"/>
      <c r="DI46" s="386"/>
      <c r="DJ46" s="386"/>
      <c r="DK46" s="386"/>
      <c r="DL46" s="386"/>
      <c r="DM46" s="386"/>
      <c r="DN46" s="386"/>
      <c r="DO46" s="386"/>
      <c r="DP46" s="386"/>
      <c r="DQ46" s="386"/>
      <c r="DR46" s="386"/>
      <c r="DS46" s="386"/>
      <c r="DT46" s="386"/>
      <c r="DU46" s="386"/>
    </row>
    <row r="47" spans="1:125" s="413" customFormat="1">
      <c r="A47" s="454"/>
      <c r="B47" s="454"/>
      <c r="C47" s="451" t="s">
        <v>230</v>
      </c>
      <c r="D47" s="456"/>
      <c r="E47" s="454"/>
      <c r="F47" s="451"/>
      <c r="G47" s="456"/>
      <c r="H47" s="457"/>
      <c r="I47" s="457"/>
      <c r="J47" s="457"/>
      <c r="K47" s="457"/>
      <c r="L47" s="457"/>
      <c r="M47" s="457"/>
      <c r="N47" s="386"/>
      <c r="O47" s="386"/>
      <c r="P47" s="386"/>
      <c r="Q47" s="386"/>
      <c r="R47" s="386"/>
      <c r="S47" s="386"/>
      <c r="T47" s="386"/>
      <c r="U47" s="386"/>
      <c r="V47" s="386"/>
      <c r="W47" s="386"/>
      <c r="X47" s="386"/>
      <c r="Y47" s="386"/>
      <c r="Z47" s="386"/>
      <c r="AA47" s="386"/>
      <c r="AB47" s="386"/>
      <c r="AC47" s="386"/>
      <c r="AD47" s="386"/>
      <c r="AE47" s="386"/>
      <c r="AF47" s="386"/>
      <c r="AG47" s="386"/>
      <c r="AH47" s="386"/>
      <c r="AI47" s="386"/>
      <c r="AJ47" s="386"/>
      <c r="AK47" s="386"/>
      <c r="AL47" s="386"/>
      <c r="AM47" s="386"/>
      <c r="AN47" s="386"/>
      <c r="AO47" s="386"/>
      <c r="AP47" s="386"/>
      <c r="AQ47" s="386"/>
      <c r="AR47" s="386"/>
      <c r="AS47" s="386"/>
      <c r="AT47" s="386"/>
      <c r="AU47" s="386"/>
      <c r="AV47" s="386"/>
      <c r="AW47" s="386"/>
      <c r="AX47" s="386"/>
      <c r="AY47" s="386"/>
      <c r="AZ47" s="386"/>
      <c r="BA47" s="386"/>
      <c r="BB47" s="386"/>
      <c r="BC47" s="386"/>
      <c r="BD47" s="386"/>
      <c r="BE47" s="386"/>
      <c r="BF47" s="386"/>
      <c r="BG47" s="386"/>
      <c r="BH47" s="386"/>
      <c r="BI47" s="386"/>
      <c r="BJ47" s="386"/>
      <c r="BK47" s="386"/>
      <c r="BL47" s="386"/>
      <c r="BM47" s="386"/>
      <c r="BN47" s="386"/>
      <c r="BO47" s="386"/>
      <c r="BP47" s="386"/>
      <c r="BQ47" s="386"/>
      <c r="BR47" s="386"/>
      <c r="BS47" s="386"/>
      <c r="BT47" s="386"/>
      <c r="BU47" s="386"/>
      <c r="BV47" s="386"/>
      <c r="BW47" s="386"/>
      <c r="BX47" s="386"/>
      <c r="BY47" s="386"/>
      <c r="BZ47" s="386"/>
      <c r="CA47" s="386"/>
      <c r="CB47" s="386"/>
      <c r="CC47" s="386"/>
      <c r="CD47" s="386"/>
      <c r="CE47" s="386"/>
      <c r="CF47" s="386"/>
      <c r="CG47" s="386"/>
      <c r="CH47" s="386"/>
      <c r="CI47" s="386"/>
      <c r="CJ47" s="386"/>
      <c r="CK47" s="386"/>
      <c r="CL47" s="386"/>
      <c r="CM47" s="386"/>
      <c r="CN47" s="386"/>
      <c r="CO47" s="386"/>
      <c r="CP47" s="386"/>
      <c r="CQ47" s="386"/>
      <c r="CR47" s="386"/>
      <c r="CS47" s="386"/>
      <c r="CT47" s="386"/>
      <c r="CU47" s="386"/>
      <c r="CV47" s="386"/>
      <c r="CW47" s="386"/>
      <c r="CX47" s="386"/>
      <c r="CY47" s="386"/>
      <c r="CZ47" s="386"/>
      <c r="DA47" s="386"/>
      <c r="DB47" s="386"/>
      <c r="DC47" s="386"/>
      <c r="DD47" s="386"/>
      <c r="DE47" s="386"/>
      <c r="DF47" s="386"/>
      <c r="DG47" s="386"/>
      <c r="DH47" s="386"/>
      <c r="DI47" s="386"/>
      <c r="DJ47" s="386"/>
      <c r="DK47" s="386"/>
      <c r="DL47" s="386"/>
      <c r="DM47" s="386"/>
      <c r="DN47" s="386"/>
      <c r="DO47" s="386"/>
      <c r="DP47" s="386"/>
      <c r="DQ47" s="386"/>
      <c r="DR47" s="386"/>
      <c r="DS47" s="386"/>
      <c r="DT47" s="386"/>
      <c r="DU47" s="386"/>
    </row>
    <row r="48" spans="1:125" s="413" customFormat="1">
      <c r="A48" s="454"/>
      <c r="B48" s="454"/>
      <c r="C48" s="451" t="s">
        <v>525</v>
      </c>
      <c r="D48" s="451"/>
      <c r="E48" s="454"/>
      <c r="F48" s="451"/>
      <c r="G48" s="456"/>
      <c r="H48" s="457"/>
      <c r="I48" s="457"/>
      <c r="J48" s="457"/>
      <c r="K48" s="457"/>
      <c r="L48" s="457"/>
      <c r="M48" s="457"/>
      <c r="N48" s="386"/>
      <c r="O48" s="386"/>
      <c r="P48" s="386"/>
      <c r="Q48" s="386"/>
      <c r="R48" s="386"/>
      <c r="S48" s="386"/>
      <c r="T48" s="386"/>
      <c r="U48" s="386"/>
      <c r="V48" s="386"/>
      <c r="W48" s="386"/>
      <c r="X48" s="386"/>
      <c r="Y48" s="386"/>
      <c r="Z48" s="386"/>
      <c r="AA48" s="386"/>
      <c r="AB48" s="386"/>
      <c r="AC48" s="386"/>
      <c r="AD48" s="386"/>
      <c r="AE48" s="386"/>
      <c r="AF48" s="386"/>
      <c r="AG48" s="386"/>
      <c r="AH48" s="386"/>
      <c r="AI48" s="386"/>
      <c r="AJ48" s="386"/>
      <c r="AK48" s="386"/>
      <c r="AL48" s="386"/>
      <c r="AM48" s="386"/>
      <c r="AN48" s="386"/>
      <c r="AO48" s="386"/>
      <c r="AP48" s="386"/>
      <c r="AQ48" s="386"/>
      <c r="AR48" s="386"/>
      <c r="AS48" s="386"/>
      <c r="AT48" s="386"/>
      <c r="AU48" s="386"/>
      <c r="AV48" s="386"/>
      <c r="AW48" s="386"/>
      <c r="AX48" s="386"/>
      <c r="AY48" s="386"/>
      <c r="AZ48" s="386"/>
      <c r="BA48" s="386"/>
      <c r="BB48" s="386"/>
      <c r="BC48" s="386"/>
      <c r="BD48" s="386"/>
      <c r="BE48" s="386"/>
      <c r="BF48" s="386"/>
      <c r="BG48" s="386"/>
      <c r="BH48" s="386"/>
      <c r="BI48" s="386"/>
      <c r="BJ48" s="386"/>
      <c r="BK48" s="386"/>
      <c r="BL48" s="386"/>
      <c r="BM48" s="386"/>
      <c r="BN48" s="386"/>
      <c r="BO48" s="386"/>
      <c r="BP48" s="386"/>
      <c r="BQ48" s="386"/>
      <c r="BR48" s="386"/>
      <c r="BS48" s="386"/>
      <c r="BT48" s="386"/>
      <c r="BU48" s="386"/>
      <c r="BV48" s="386"/>
      <c r="BW48" s="386"/>
      <c r="BX48" s="386"/>
      <c r="BY48" s="386"/>
      <c r="BZ48" s="386"/>
      <c r="CA48" s="386"/>
      <c r="CB48" s="386"/>
      <c r="CC48" s="386"/>
      <c r="CD48" s="386"/>
      <c r="CE48" s="386"/>
      <c r="CF48" s="386"/>
      <c r="CG48" s="386"/>
      <c r="CH48" s="386"/>
      <c r="CI48" s="386"/>
      <c r="CJ48" s="386"/>
      <c r="CK48" s="386"/>
      <c r="CL48" s="386"/>
      <c r="CM48" s="386"/>
      <c r="CN48" s="386"/>
      <c r="CO48" s="386"/>
      <c r="CP48" s="386"/>
      <c r="CQ48" s="386"/>
      <c r="CR48" s="386"/>
      <c r="CS48" s="386"/>
      <c r="CT48" s="386"/>
      <c r="CU48" s="386"/>
      <c r="CV48" s="386"/>
      <c r="CW48" s="386"/>
      <c r="CX48" s="386"/>
      <c r="CY48" s="386"/>
      <c r="CZ48" s="386"/>
      <c r="DA48" s="386"/>
      <c r="DB48" s="386"/>
      <c r="DC48" s="386"/>
      <c r="DD48" s="386"/>
      <c r="DE48" s="386"/>
      <c r="DF48" s="386"/>
      <c r="DG48" s="386"/>
      <c r="DH48" s="386"/>
      <c r="DI48" s="386"/>
      <c r="DJ48" s="386"/>
      <c r="DK48" s="386"/>
      <c r="DL48" s="386"/>
      <c r="DM48" s="386"/>
      <c r="DN48" s="386"/>
      <c r="DO48" s="386"/>
      <c r="DP48" s="386"/>
      <c r="DQ48" s="386"/>
      <c r="DR48" s="386"/>
      <c r="DS48" s="386"/>
      <c r="DT48" s="386"/>
      <c r="DU48" s="386"/>
    </row>
    <row r="49" spans="1:16" s="413" customFormat="1" ht="27.75" customHeight="1">
      <c r="A49" s="432"/>
      <c r="B49" s="415"/>
      <c r="C49" s="306" t="s">
        <v>364</v>
      </c>
      <c r="D49" s="415"/>
      <c r="E49" s="415"/>
      <c r="F49" s="415"/>
      <c r="G49" s="447"/>
      <c r="H49" s="415"/>
      <c r="I49" s="368"/>
      <c r="J49" s="368"/>
      <c r="K49" s="368"/>
      <c r="L49" s="368"/>
      <c r="M49" s="368"/>
    </row>
    <row r="50" spans="1:16" s="413" customFormat="1" ht="27.75" customHeight="1">
      <c r="A50" s="569">
        <v>1</v>
      </c>
      <c r="B50" s="437" t="s">
        <v>358</v>
      </c>
      <c r="C50" s="161" t="s">
        <v>278</v>
      </c>
      <c r="D50" s="409" t="s">
        <v>122</v>
      </c>
      <c r="E50" s="427"/>
      <c r="F50" s="459">
        <v>0.5</v>
      </c>
      <c r="G50" s="460"/>
      <c r="H50" s="368"/>
      <c r="I50" s="365"/>
      <c r="J50" s="412"/>
      <c r="K50" s="365"/>
      <c r="L50" s="443"/>
      <c r="M50" s="368"/>
    </row>
    <row r="51" spans="1:16" s="413" customFormat="1" ht="13.5">
      <c r="A51" s="569"/>
      <c r="B51" s="437"/>
      <c r="C51" s="414" t="s">
        <v>119</v>
      </c>
      <c r="D51" s="415" t="s">
        <v>263</v>
      </c>
      <c r="E51" s="437">
        <v>60.9</v>
      </c>
      <c r="F51" s="461">
        <f>F50*E51</f>
        <v>30.45</v>
      </c>
      <c r="G51" s="446"/>
      <c r="H51" s="368"/>
      <c r="I51" s="365"/>
      <c r="J51" s="412"/>
      <c r="K51" s="365"/>
      <c r="L51" s="443"/>
      <c r="M51" s="368"/>
    </row>
    <row r="52" spans="1:16" s="413" customFormat="1" ht="13.5">
      <c r="A52" s="569"/>
      <c r="B52" s="415"/>
      <c r="C52" s="414" t="s">
        <v>234</v>
      </c>
      <c r="D52" s="415" t="s">
        <v>123</v>
      </c>
      <c r="E52" s="415">
        <v>0.21</v>
      </c>
      <c r="F52" s="416">
        <f>F50*E52</f>
        <v>0.105</v>
      </c>
      <c r="G52" s="462"/>
      <c r="H52" s="412"/>
      <c r="I52" s="417"/>
      <c r="J52" s="368"/>
      <c r="K52" s="416"/>
      <c r="L52" s="368"/>
      <c r="M52" s="368"/>
      <c r="P52" s="413" t="s">
        <v>528</v>
      </c>
    </row>
    <row r="53" spans="1:16" s="413" customFormat="1" ht="13.5">
      <c r="A53" s="569"/>
      <c r="B53" s="415" t="s">
        <v>279</v>
      </c>
      <c r="C53" s="414" t="s">
        <v>280</v>
      </c>
      <c r="D53" s="415" t="s">
        <v>127</v>
      </c>
      <c r="E53" s="415">
        <v>100</v>
      </c>
      <c r="F53" s="416">
        <f>E53*F50</f>
        <v>50</v>
      </c>
      <c r="G53" s="462"/>
      <c r="H53" s="412"/>
      <c r="I53" s="416"/>
      <c r="J53" s="368"/>
      <c r="K53" s="416"/>
      <c r="L53" s="368"/>
      <c r="M53" s="368"/>
    </row>
    <row r="54" spans="1:16" s="413" customFormat="1" ht="13.5">
      <c r="A54" s="569"/>
      <c r="B54" s="415" t="s">
        <v>235</v>
      </c>
      <c r="C54" s="414" t="s">
        <v>236</v>
      </c>
      <c r="D54" s="415" t="s">
        <v>205</v>
      </c>
      <c r="E54" s="415"/>
      <c r="F54" s="418">
        <v>3</v>
      </c>
      <c r="G54" s="412"/>
      <c r="H54" s="412"/>
      <c r="I54" s="463"/>
      <c r="J54" s="368"/>
      <c r="K54" s="416"/>
      <c r="L54" s="368"/>
      <c r="M54" s="368"/>
    </row>
    <row r="55" spans="1:16" s="413" customFormat="1" ht="13.5">
      <c r="A55" s="569"/>
      <c r="B55" s="415" t="s">
        <v>124</v>
      </c>
      <c r="C55" s="414" t="s">
        <v>237</v>
      </c>
      <c r="D55" s="415" t="s">
        <v>205</v>
      </c>
      <c r="E55" s="415"/>
      <c r="F55" s="418">
        <v>32</v>
      </c>
      <c r="G55" s="412"/>
      <c r="H55" s="412"/>
      <c r="I55" s="417"/>
      <c r="J55" s="368"/>
      <c r="K55" s="416"/>
      <c r="L55" s="368"/>
      <c r="M55" s="368"/>
    </row>
    <row r="56" spans="1:16" s="413" customFormat="1" ht="13.5">
      <c r="A56" s="569"/>
      <c r="B56" s="415"/>
      <c r="C56" s="414" t="s">
        <v>129</v>
      </c>
      <c r="D56" s="415" t="s">
        <v>123</v>
      </c>
      <c r="E56" s="415">
        <v>15.6</v>
      </c>
      <c r="F56" s="416">
        <f>F50*E56</f>
        <v>7.8</v>
      </c>
      <c r="G56" s="412"/>
      <c r="H56" s="412"/>
      <c r="I56" s="417"/>
      <c r="J56" s="368"/>
      <c r="K56" s="416"/>
      <c r="L56" s="368"/>
      <c r="M56" s="368"/>
    </row>
    <row r="57" spans="1:16" s="413" customFormat="1" ht="27.75" customHeight="1">
      <c r="A57" s="569">
        <v>2</v>
      </c>
      <c r="B57" s="437" t="s">
        <v>358</v>
      </c>
      <c r="C57" s="161" t="s">
        <v>238</v>
      </c>
      <c r="D57" s="409" t="s">
        <v>122</v>
      </c>
      <c r="E57" s="427"/>
      <c r="F57" s="427">
        <v>0.28000000000000003</v>
      </c>
      <c r="G57" s="460"/>
      <c r="H57" s="368"/>
      <c r="I57" s="365"/>
      <c r="J57" s="412"/>
      <c r="K57" s="416"/>
      <c r="L57" s="368"/>
      <c r="M57" s="368"/>
    </row>
    <row r="58" spans="1:16" s="413" customFormat="1" ht="13.5">
      <c r="A58" s="569"/>
      <c r="B58" s="437"/>
      <c r="C58" s="414" t="s">
        <v>119</v>
      </c>
      <c r="D58" s="415" t="s">
        <v>263</v>
      </c>
      <c r="E58" s="437">
        <v>60.9</v>
      </c>
      <c r="F58" s="437">
        <f>F57*E58</f>
        <v>17.052</v>
      </c>
      <c r="G58" s="446"/>
      <c r="H58" s="368"/>
      <c r="I58" s="365"/>
      <c r="J58" s="412"/>
      <c r="K58" s="416"/>
      <c r="L58" s="368"/>
      <c r="M58" s="368"/>
    </row>
    <row r="59" spans="1:16" s="413" customFormat="1" ht="13.5">
      <c r="A59" s="569"/>
      <c r="B59" s="415"/>
      <c r="C59" s="414" t="s">
        <v>234</v>
      </c>
      <c r="D59" s="415" t="s">
        <v>123</v>
      </c>
      <c r="E59" s="415">
        <v>0.21</v>
      </c>
      <c r="F59" s="416">
        <f>F57*E59</f>
        <v>5.8800000000000005E-2</v>
      </c>
      <c r="G59" s="462"/>
      <c r="H59" s="412"/>
      <c r="I59" s="417"/>
      <c r="J59" s="368"/>
      <c r="K59" s="416"/>
      <c r="L59" s="368"/>
      <c r="M59" s="368"/>
    </row>
    <row r="60" spans="1:16" s="413" customFormat="1" ht="18" customHeight="1">
      <c r="A60" s="569"/>
      <c r="B60" s="415" t="s">
        <v>239</v>
      </c>
      <c r="C60" s="414" t="s">
        <v>240</v>
      </c>
      <c r="D60" s="415" t="s">
        <v>127</v>
      </c>
      <c r="E60" s="415">
        <v>100</v>
      </c>
      <c r="F60" s="416">
        <f>F57*E60</f>
        <v>28.000000000000004</v>
      </c>
      <c r="G60" s="462"/>
      <c r="H60" s="412"/>
      <c r="I60" s="464"/>
      <c r="J60" s="368"/>
      <c r="K60" s="416"/>
      <c r="L60" s="368"/>
      <c r="M60" s="368"/>
    </row>
    <row r="61" spans="1:16" s="413" customFormat="1" ht="13.5">
      <c r="A61" s="569"/>
      <c r="B61" s="415" t="s">
        <v>124</v>
      </c>
      <c r="C61" s="414" t="s">
        <v>237</v>
      </c>
      <c r="D61" s="415" t="s">
        <v>205</v>
      </c>
      <c r="E61" s="415"/>
      <c r="F61" s="417">
        <v>16</v>
      </c>
      <c r="G61" s="462"/>
      <c r="H61" s="412"/>
      <c r="I61" s="417"/>
      <c r="J61" s="368"/>
      <c r="K61" s="416"/>
      <c r="L61" s="368"/>
      <c r="M61" s="368"/>
    </row>
    <row r="62" spans="1:16" s="413" customFormat="1" ht="13.5">
      <c r="A62" s="569"/>
      <c r="B62" s="415"/>
      <c r="C62" s="414" t="s">
        <v>129</v>
      </c>
      <c r="D62" s="415" t="s">
        <v>123</v>
      </c>
      <c r="E62" s="415">
        <v>15.6</v>
      </c>
      <c r="F62" s="416">
        <f>F57*E62</f>
        <v>4.3680000000000003</v>
      </c>
      <c r="G62" s="462"/>
      <c r="H62" s="412"/>
      <c r="I62" s="417"/>
      <c r="J62" s="368"/>
      <c r="K62" s="416"/>
      <c r="L62" s="368"/>
      <c r="M62" s="368"/>
    </row>
    <row r="63" spans="1:16" s="413" customFormat="1" ht="29.25" customHeight="1">
      <c r="A63" s="440">
        <v>3</v>
      </c>
      <c r="B63" s="437" t="s">
        <v>359</v>
      </c>
      <c r="C63" s="161" t="s">
        <v>281</v>
      </c>
      <c r="D63" s="409" t="s">
        <v>122</v>
      </c>
      <c r="E63" s="427"/>
      <c r="F63" s="365">
        <v>0.22</v>
      </c>
      <c r="G63" s="460"/>
      <c r="H63" s="368"/>
      <c r="I63" s="365"/>
      <c r="J63" s="412"/>
      <c r="K63" s="416"/>
      <c r="L63" s="368"/>
      <c r="M63" s="368"/>
    </row>
    <row r="64" spans="1:16" s="413" customFormat="1" ht="13.5">
      <c r="A64" s="442"/>
      <c r="B64" s="437"/>
      <c r="C64" s="414" t="s">
        <v>119</v>
      </c>
      <c r="D64" s="415" t="s">
        <v>263</v>
      </c>
      <c r="E64" s="437">
        <v>58.3</v>
      </c>
      <c r="F64" s="437">
        <f>F63*E64</f>
        <v>12.825999999999999</v>
      </c>
      <c r="G64" s="446"/>
      <c r="H64" s="368"/>
      <c r="I64" s="365"/>
      <c r="J64" s="412"/>
      <c r="K64" s="416"/>
      <c r="L64" s="368"/>
      <c r="M64" s="368"/>
    </row>
    <row r="65" spans="1:13" s="413" customFormat="1" ht="13.5">
      <c r="A65" s="442"/>
      <c r="B65" s="415"/>
      <c r="C65" s="414" t="s">
        <v>234</v>
      </c>
      <c r="D65" s="415" t="s">
        <v>123</v>
      </c>
      <c r="E65" s="415">
        <v>0.46</v>
      </c>
      <c r="F65" s="416">
        <f>F63*E65</f>
        <v>0.1012</v>
      </c>
      <c r="G65" s="462"/>
      <c r="H65" s="412"/>
      <c r="I65" s="417"/>
      <c r="J65" s="368"/>
      <c r="K65" s="416"/>
      <c r="L65" s="368"/>
      <c r="M65" s="368"/>
    </row>
    <row r="66" spans="1:13" s="413" customFormat="1" ht="18.75" customHeight="1">
      <c r="A66" s="442"/>
      <c r="B66" s="415" t="s">
        <v>241</v>
      </c>
      <c r="C66" s="414" t="s">
        <v>242</v>
      </c>
      <c r="D66" s="415" t="s">
        <v>127</v>
      </c>
      <c r="E66" s="415">
        <v>100</v>
      </c>
      <c r="F66" s="416">
        <f>F63*E66</f>
        <v>22</v>
      </c>
      <c r="G66" s="462"/>
      <c r="H66" s="412"/>
      <c r="I66" s="464"/>
      <c r="J66" s="368"/>
      <c r="K66" s="416"/>
      <c r="L66" s="368"/>
      <c r="M66" s="368"/>
    </row>
    <row r="67" spans="1:13" s="413" customFormat="1" ht="13.5">
      <c r="A67" s="442"/>
      <c r="B67" s="415" t="s">
        <v>124</v>
      </c>
      <c r="C67" s="414" t="s">
        <v>237</v>
      </c>
      <c r="D67" s="415" t="s">
        <v>205</v>
      </c>
      <c r="E67" s="415"/>
      <c r="F67" s="417">
        <v>10</v>
      </c>
      <c r="G67" s="462"/>
      <c r="H67" s="412"/>
      <c r="I67" s="417"/>
      <c r="J67" s="368"/>
      <c r="K67" s="416"/>
      <c r="L67" s="368"/>
      <c r="M67" s="368"/>
    </row>
    <row r="68" spans="1:13" s="413" customFormat="1" ht="13.5">
      <c r="A68" s="362"/>
      <c r="B68" s="415"/>
      <c r="C68" s="414" t="s">
        <v>129</v>
      </c>
      <c r="D68" s="415" t="s">
        <v>123</v>
      </c>
      <c r="E68" s="415">
        <v>20.8</v>
      </c>
      <c r="F68" s="416">
        <f>F63*E68</f>
        <v>4.5760000000000005</v>
      </c>
      <c r="G68" s="462"/>
      <c r="H68" s="412"/>
      <c r="I68" s="417"/>
      <c r="J68" s="368"/>
      <c r="K68" s="416"/>
      <c r="L68" s="368"/>
      <c r="M68" s="368"/>
    </row>
    <row r="69" spans="1:13" s="413" customFormat="1" ht="13.5">
      <c r="A69" s="440">
        <v>4</v>
      </c>
      <c r="B69" s="437" t="s">
        <v>360</v>
      </c>
      <c r="C69" s="161" t="s">
        <v>243</v>
      </c>
      <c r="D69" s="409" t="s">
        <v>205</v>
      </c>
      <c r="E69" s="427"/>
      <c r="F69" s="422">
        <v>5</v>
      </c>
      <c r="G69" s="460"/>
      <c r="H69" s="368"/>
      <c r="I69" s="365"/>
      <c r="J69" s="412"/>
      <c r="K69" s="416"/>
      <c r="L69" s="368"/>
      <c r="M69" s="368"/>
    </row>
    <row r="70" spans="1:13" s="413" customFormat="1" ht="13.5">
      <c r="A70" s="442"/>
      <c r="B70" s="437"/>
      <c r="C70" s="414" t="s">
        <v>119</v>
      </c>
      <c r="D70" s="415" t="s">
        <v>263</v>
      </c>
      <c r="E70" s="437">
        <v>1.85</v>
      </c>
      <c r="F70" s="437">
        <f>F69*E70</f>
        <v>9.25</v>
      </c>
      <c r="G70" s="446"/>
      <c r="H70" s="368"/>
      <c r="I70" s="365"/>
      <c r="J70" s="412"/>
      <c r="K70" s="416"/>
      <c r="L70" s="368"/>
      <c r="M70" s="368"/>
    </row>
    <row r="71" spans="1:13" s="413" customFormat="1" ht="13.5">
      <c r="A71" s="442"/>
      <c r="B71" s="415"/>
      <c r="C71" s="414" t="s">
        <v>234</v>
      </c>
      <c r="D71" s="415" t="s">
        <v>123</v>
      </c>
      <c r="E71" s="415">
        <v>0.03</v>
      </c>
      <c r="F71" s="416">
        <f>F69*E71</f>
        <v>0.15</v>
      </c>
      <c r="G71" s="462"/>
      <c r="H71" s="412"/>
      <c r="I71" s="417"/>
      <c r="J71" s="368"/>
      <c r="K71" s="416"/>
      <c r="L71" s="368"/>
      <c r="M71" s="368"/>
    </row>
    <row r="72" spans="1:13" s="413" customFormat="1" ht="13.5">
      <c r="A72" s="442"/>
      <c r="B72" s="415" t="s">
        <v>244</v>
      </c>
      <c r="C72" s="414" t="s">
        <v>282</v>
      </c>
      <c r="D72" s="415" t="s">
        <v>205</v>
      </c>
      <c r="E72" s="415">
        <v>1</v>
      </c>
      <c r="F72" s="416">
        <f>F69*E72</f>
        <v>5</v>
      </c>
      <c r="G72" s="462"/>
      <c r="H72" s="412"/>
      <c r="I72" s="416"/>
      <c r="J72" s="368"/>
      <c r="K72" s="416"/>
      <c r="L72" s="368"/>
      <c r="M72" s="368"/>
    </row>
    <row r="73" spans="1:13" s="413" customFormat="1" ht="13.5">
      <c r="A73" s="362"/>
      <c r="B73" s="415"/>
      <c r="C73" s="414" t="s">
        <v>129</v>
      </c>
      <c r="D73" s="415" t="s">
        <v>123</v>
      </c>
      <c r="E73" s="415">
        <v>0.18</v>
      </c>
      <c r="F73" s="416">
        <f>F69*E73</f>
        <v>0.89999999999999991</v>
      </c>
      <c r="G73" s="462"/>
      <c r="H73" s="412"/>
      <c r="I73" s="417"/>
      <c r="J73" s="368"/>
      <c r="K73" s="416"/>
      <c r="L73" s="368"/>
      <c r="M73" s="368"/>
    </row>
    <row r="74" spans="1:13" s="413" customFormat="1" ht="13.5">
      <c r="A74" s="440">
        <v>5</v>
      </c>
      <c r="B74" s="437" t="s">
        <v>361</v>
      </c>
      <c r="C74" s="334" t="s">
        <v>291</v>
      </c>
      <c r="D74" s="465" t="s">
        <v>205</v>
      </c>
      <c r="E74" s="466"/>
      <c r="F74" s="467">
        <f>F77+F79</f>
        <v>9</v>
      </c>
      <c r="G74" s="460"/>
      <c r="H74" s="368"/>
      <c r="I74" s="365"/>
      <c r="J74" s="412"/>
      <c r="K74" s="416"/>
      <c r="L74" s="368"/>
      <c r="M74" s="368"/>
    </row>
    <row r="75" spans="1:13" s="413" customFormat="1" ht="13.5">
      <c r="A75" s="442"/>
      <c r="B75" s="437"/>
      <c r="C75" s="414" t="s">
        <v>119</v>
      </c>
      <c r="D75" s="415" t="s">
        <v>263</v>
      </c>
      <c r="E75" s="437">
        <v>3.02</v>
      </c>
      <c r="F75" s="437">
        <f>F74*E75</f>
        <v>27.18</v>
      </c>
      <c r="G75" s="446"/>
      <c r="H75" s="368"/>
      <c r="I75" s="365"/>
      <c r="J75" s="412"/>
      <c r="K75" s="416"/>
      <c r="L75" s="368"/>
      <c r="M75" s="368"/>
    </row>
    <row r="76" spans="1:13" s="413" customFormat="1" ht="13.5">
      <c r="A76" s="442"/>
      <c r="B76" s="415"/>
      <c r="C76" s="414" t="s">
        <v>234</v>
      </c>
      <c r="D76" s="415" t="s">
        <v>123</v>
      </c>
      <c r="E76" s="415">
        <v>1.86</v>
      </c>
      <c r="F76" s="416">
        <f>F74*E76</f>
        <v>16.740000000000002</v>
      </c>
      <c r="G76" s="462"/>
      <c r="H76" s="412"/>
      <c r="I76" s="417"/>
      <c r="J76" s="368"/>
      <c r="K76" s="416"/>
      <c r="L76" s="368"/>
      <c r="M76" s="368"/>
    </row>
    <row r="77" spans="1:13" s="413" customFormat="1" ht="13.5">
      <c r="A77" s="442"/>
      <c r="B77" s="415" t="s">
        <v>245</v>
      </c>
      <c r="C77" s="468" t="s">
        <v>301</v>
      </c>
      <c r="D77" s="469" t="s">
        <v>205</v>
      </c>
      <c r="E77" s="469"/>
      <c r="F77" s="470">
        <v>8</v>
      </c>
      <c r="G77" s="462"/>
      <c r="H77" s="412"/>
      <c r="I77" s="416"/>
      <c r="J77" s="368"/>
      <c r="K77" s="416"/>
      <c r="L77" s="368"/>
      <c r="M77" s="368"/>
    </row>
    <row r="78" spans="1:13" s="413" customFormat="1" ht="13.5">
      <c r="A78" s="442"/>
      <c r="B78" s="415" t="s">
        <v>246</v>
      </c>
      <c r="C78" s="414" t="s">
        <v>247</v>
      </c>
      <c r="D78" s="415" t="s">
        <v>205</v>
      </c>
      <c r="E78" s="415"/>
      <c r="F78" s="418">
        <v>1</v>
      </c>
      <c r="G78" s="462"/>
      <c r="H78" s="412"/>
      <c r="I78" s="464"/>
      <c r="J78" s="368"/>
      <c r="K78" s="416"/>
      <c r="L78" s="368"/>
      <c r="M78" s="368"/>
    </row>
    <row r="79" spans="1:13" s="413" customFormat="1" ht="13.5">
      <c r="A79" s="442"/>
      <c r="B79" s="415" t="s">
        <v>248</v>
      </c>
      <c r="C79" s="414" t="s">
        <v>249</v>
      </c>
      <c r="D79" s="415" t="s">
        <v>205</v>
      </c>
      <c r="E79" s="415"/>
      <c r="F79" s="418">
        <v>1</v>
      </c>
      <c r="G79" s="462"/>
      <c r="H79" s="412"/>
      <c r="I79" s="416"/>
      <c r="J79" s="368"/>
      <c r="K79" s="416"/>
      <c r="L79" s="368"/>
      <c r="M79" s="368"/>
    </row>
    <row r="80" spans="1:13" s="413" customFormat="1" ht="13.5">
      <c r="A80" s="362"/>
      <c r="B80" s="415"/>
      <c r="C80" s="414" t="s">
        <v>129</v>
      </c>
      <c r="D80" s="415" t="s">
        <v>123</v>
      </c>
      <c r="E80" s="415">
        <v>1.32</v>
      </c>
      <c r="F80" s="416">
        <f>F74*E80</f>
        <v>11.88</v>
      </c>
      <c r="G80" s="462"/>
      <c r="H80" s="412"/>
      <c r="I80" s="417"/>
      <c r="J80" s="368"/>
      <c r="K80" s="416"/>
      <c r="L80" s="368"/>
      <c r="M80" s="368"/>
    </row>
    <row r="81" spans="1:125" s="413" customFormat="1" ht="13.5">
      <c r="A81" s="440">
        <v>6</v>
      </c>
      <c r="B81" s="437" t="s">
        <v>362</v>
      </c>
      <c r="C81" s="471" t="s">
        <v>283</v>
      </c>
      <c r="D81" s="409" t="s">
        <v>128</v>
      </c>
      <c r="E81" s="409"/>
      <c r="F81" s="472">
        <v>3</v>
      </c>
      <c r="G81" s="473"/>
      <c r="H81" s="474"/>
      <c r="I81" s="472"/>
      <c r="J81" s="368"/>
      <c r="K81" s="245"/>
      <c r="L81" s="365"/>
      <c r="M81" s="365"/>
    </row>
    <row r="82" spans="1:125" s="413" customFormat="1" ht="13.5">
      <c r="A82" s="442"/>
      <c r="B82" s="415"/>
      <c r="C82" s="414" t="s">
        <v>119</v>
      </c>
      <c r="D82" s="415" t="s">
        <v>263</v>
      </c>
      <c r="E82" s="437">
        <v>1.19</v>
      </c>
      <c r="F82" s="437">
        <f>F81*E82</f>
        <v>3.57</v>
      </c>
      <c r="G82" s="446"/>
      <c r="H82" s="368"/>
      <c r="I82" s="365"/>
      <c r="J82" s="368"/>
      <c r="K82" s="416"/>
      <c r="L82" s="368"/>
      <c r="M82" s="368"/>
    </row>
    <row r="83" spans="1:125" s="413" customFormat="1" ht="13.5">
      <c r="A83" s="442"/>
      <c r="B83" s="415"/>
      <c r="C83" s="414" t="s">
        <v>234</v>
      </c>
      <c r="D83" s="415" t="s">
        <v>123</v>
      </c>
      <c r="E83" s="415">
        <v>0.05</v>
      </c>
      <c r="F83" s="416">
        <f>F81*E83</f>
        <v>0.15000000000000002</v>
      </c>
      <c r="G83" s="462"/>
      <c r="H83" s="412"/>
      <c r="I83" s="417"/>
      <c r="J83" s="368"/>
      <c r="K83" s="416"/>
      <c r="L83" s="368"/>
      <c r="M83" s="368"/>
    </row>
    <row r="84" spans="1:125" s="413" customFormat="1" ht="13.5">
      <c r="A84" s="442"/>
      <c r="B84" s="415" t="s">
        <v>101</v>
      </c>
      <c r="C84" s="414" t="s">
        <v>284</v>
      </c>
      <c r="D84" s="415" t="s">
        <v>205</v>
      </c>
      <c r="E84" s="415">
        <v>1</v>
      </c>
      <c r="F84" s="416">
        <f>F81*E84</f>
        <v>3</v>
      </c>
      <c r="G84" s="412"/>
      <c r="H84" s="412"/>
      <c r="I84" s="417"/>
      <c r="J84" s="368"/>
      <c r="K84" s="416"/>
      <c r="L84" s="368"/>
      <c r="M84" s="368"/>
    </row>
    <row r="85" spans="1:125" s="413" customFormat="1" ht="13.5">
      <c r="A85" s="362"/>
      <c r="B85" s="415"/>
      <c r="C85" s="414" t="s">
        <v>129</v>
      </c>
      <c r="D85" s="415" t="s">
        <v>123</v>
      </c>
      <c r="E85" s="415">
        <v>0.28000000000000003</v>
      </c>
      <c r="F85" s="416">
        <f>F81*E85</f>
        <v>0.84000000000000008</v>
      </c>
      <c r="G85" s="412"/>
      <c r="H85" s="412"/>
      <c r="I85" s="417"/>
      <c r="J85" s="368"/>
      <c r="K85" s="416"/>
      <c r="L85" s="368"/>
      <c r="M85" s="368"/>
    </row>
    <row r="86" spans="1:125" s="413" customFormat="1" ht="13.5">
      <c r="A86" s="569">
        <v>7</v>
      </c>
      <c r="B86" s="437" t="s">
        <v>363</v>
      </c>
      <c r="C86" s="161" t="s">
        <v>250</v>
      </c>
      <c r="D86" s="409" t="s">
        <v>205</v>
      </c>
      <c r="E86" s="427"/>
      <c r="F86" s="422">
        <f>F89+F91</f>
        <v>6</v>
      </c>
      <c r="G86" s="426"/>
      <c r="H86" s="368"/>
      <c r="I86" s="365"/>
      <c r="J86" s="412"/>
      <c r="K86" s="416"/>
      <c r="L86" s="368"/>
      <c r="M86" s="368"/>
    </row>
    <row r="87" spans="1:125" s="413" customFormat="1" ht="13.5">
      <c r="A87" s="569"/>
      <c r="B87" s="437"/>
      <c r="C87" s="414" t="s">
        <v>119</v>
      </c>
      <c r="D87" s="415" t="s">
        <v>263</v>
      </c>
      <c r="E87" s="437">
        <v>1.83</v>
      </c>
      <c r="F87" s="437">
        <f>F86*E87</f>
        <v>10.98</v>
      </c>
      <c r="G87" s="369"/>
      <c r="H87" s="368"/>
      <c r="I87" s="365"/>
      <c r="J87" s="412"/>
      <c r="K87" s="416"/>
      <c r="L87" s="368"/>
      <c r="M87" s="368"/>
    </row>
    <row r="88" spans="1:125" s="413" customFormat="1" ht="13.5">
      <c r="A88" s="569"/>
      <c r="B88" s="415"/>
      <c r="C88" s="414" t="s">
        <v>234</v>
      </c>
      <c r="D88" s="415" t="s">
        <v>123</v>
      </c>
      <c r="E88" s="415">
        <v>0.05</v>
      </c>
      <c r="F88" s="416">
        <f>F86*E88</f>
        <v>0.30000000000000004</v>
      </c>
      <c r="G88" s="412"/>
      <c r="H88" s="412"/>
      <c r="I88" s="417"/>
      <c r="J88" s="368"/>
      <c r="K88" s="416"/>
      <c r="L88" s="368"/>
      <c r="M88" s="368"/>
    </row>
    <row r="89" spans="1:125" s="413" customFormat="1" ht="13.5">
      <c r="A89" s="569"/>
      <c r="B89" s="415" t="s">
        <v>251</v>
      </c>
      <c r="C89" s="414" t="s">
        <v>252</v>
      </c>
      <c r="D89" s="415" t="s">
        <v>205</v>
      </c>
      <c r="E89" s="415"/>
      <c r="F89" s="418">
        <v>5</v>
      </c>
      <c r="G89" s="412"/>
      <c r="H89" s="412"/>
      <c r="I89" s="416"/>
      <c r="J89" s="368"/>
      <c r="K89" s="416"/>
      <c r="L89" s="368"/>
      <c r="M89" s="368"/>
    </row>
    <row r="90" spans="1:125" s="413" customFormat="1" ht="13.5">
      <c r="A90" s="569"/>
      <c r="B90" s="415" t="s">
        <v>253</v>
      </c>
      <c r="C90" s="414" t="s">
        <v>254</v>
      </c>
      <c r="D90" s="415" t="s">
        <v>205</v>
      </c>
      <c r="E90" s="415"/>
      <c r="F90" s="418">
        <v>5</v>
      </c>
      <c r="G90" s="412"/>
      <c r="H90" s="412"/>
      <c r="I90" s="464"/>
      <c r="J90" s="368"/>
      <c r="K90" s="416"/>
      <c r="L90" s="368"/>
      <c r="M90" s="368"/>
    </row>
    <row r="91" spans="1:125" s="413" customFormat="1" ht="13.5">
      <c r="A91" s="569"/>
      <c r="B91" s="415" t="s">
        <v>255</v>
      </c>
      <c r="C91" s="414" t="s">
        <v>256</v>
      </c>
      <c r="D91" s="415" t="s">
        <v>205</v>
      </c>
      <c r="E91" s="415"/>
      <c r="F91" s="418">
        <v>1</v>
      </c>
      <c r="G91" s="412"/>
      <c r="H91" s="412"/>
      <c r="I91" s="416"/>
      <c r="J91" s="368"/>
      <c r="K91" s="416"/>
      <c r="L91" s="368"/>
      <c r="M91" s="368"/>
    </row>
    <row r="92" spans="1:125" s="413" customFormat="1" ht="13.5">
      <c r="A92" s="569"/>
      <c r="B92" s="415" t="s">
        <v>257</v>
      </c>
      <c r="C92" s="414" t="s">
        <v>258</v>
      </c>
      <c r="D92" s="415" t="s">
        <v>205</v>
      </c>
      <c r="E92" s="415"/>
      <c r="F92" s="418">
        <v>6</v>
      </c>
      <c r="G92" s="412"/>
      <c r="H92" s="412"/>
      <c r="I92" s="416"/>
      <c r="J92" s="368"/>
      <c r="K92" s="416"/>
      <c r="L92" s="368"/>
      <c r="M92" s="368"/>
    </row>
    <row r="93" spans="1:125" s="413" customFormat="1" ht="13.5">
      <c r="A93" s="569"/>
      <c r="B93" s="415" t="s">
        <v>259</v>
      </c>
      <c r="C93" s="414" t="s">
        <v>260</v>
      </c>
      <c r="D93" s="415" t="s">
        <v>205</v>
      </c>
      <c r="E93" s="415"/>
      <c r="F93" s="418">
        <v>6</v>
      </c>
      <c r="G93" s="412"/>
      <c r="H93" s="412"/>
      <c r="I93" s="464"/>
      <c r="J93" s="368"/>
      <c r="K93" s="416"/>
      <c r="L93" s="368"/>
      <c r="M93" s="368"/>
    </row>
    <row r="94" spans="1:125" s="413" customFormat="1" ht="13.5">
      <c r="A94" s="569"/>
      <c r="B94" s="415"/>
      <c r="C94" s="414" t="s">
        <v>129</v>
      </c>
      <c r="D94" s="415" t="s">
        <v>123</v>
      </c>
      <c r="E94" s="415">
        <v>0.43</v>
      </c>
      <c r="F94" s="416">
        <f>F86*E94</f>
        <v>2.58</v>
      </c>
      <c r="G94" s="412"/>
      <c r="H94" s="412"/>
      <c r="I94" s="417"/>
      <c r="J94" s="368"/>
      <c r="K94" s="416"/>
      <c r="L94" s="368"/>
      <c r="M94" s="368"/>
    </row>
    <row r="95" spans="1:125" s="413" customFormat="1">
      <c r="A95" s="424"/>
      <c r="B95" s="424"/>
      <c r="C95" s="427" t="s">
        <v>288</v>
      </c>
      <c r="D95" s="424"/>
      <c r="E95" s="424"/>
      <c r="F95" s="427"/>
      <c r="G95" s="422"/>
      <c r="H95" s="365"/>
      <c r="I95" s="365"/>
      <c r="J95" s="365"/>
      <c r="K95" s="365"/>
      <c r="L95" s="365"/>
      <c r="M95" s="365"/>
      <c r="N95" s="386"/>
      <c r="O95" s="386"/>
      <c r="P95" s="386"/>
      <c r="Q95" s="386"/>
      <c r="R95" s="386"/>
      <c r="S95" s="386"/>
      <c r="T95" s="386"/>
      <c r="U95" s="386"/>
      <c r="V95" s="386"/>
      <c r="W95" s="386"/>
      <c r="X95" s="386"/>
      <c r="Y95" s="386"/>
      <c r="Z95" s="386"/>
      <c r="AA95" s="386"/>
      <c r="AB95" s="386"/>
      <c r="AC95" s="386"/>
      <c r="AD95" s="386"/>
      <c r="AE95" s="386"/>
      <c r="AF95" s="386"/>
      <c r="AG95" s="386"/>
      <c r="AH95" s="386"/>
      <c r="AI95" s="386"/>
      <c r="AJ95" s="386"/>
      <c r="AK95" s="386"/>
      <c r="AL95" s="386"/>
      <c r="AM95" s="386"/>
      <c r="AN95" s="386"/>
      <c r="AO95" s="386"/>
      <c r="AP95" s="386"/>
      <c r="AQ95" s="386"/>
      <c r="AR95" s="386"/>
      <c r="AS95" s="386"/>
      <c r="AT95" s="386"/>
      <c r="AU95" s="386"/>
      <c r="AV95" s="386"/>
      <c r="AW95" s="386"/>
      <c r="AX95" s="386"/>
      <c r="AY95" s="386"/>
      <c r="AZ95" s="386"/>
      <c r="BA95" s="386"/>
      <c r="BB95" s="386"/>
      <c r="BC95" s="386"/>
      <c r="BD95" s="386"/>
      <c r="BE95" s="386"/>
      <c r="BF95" s="386"/>
      <c r="BG95" s="386"/>
      <c r="BH95" s="386"/>
      <c r="BI95" s="386"/>
      <c r="BJ95" s="386"/>
      <c r="BK95" s="386"/>
      <c r="BL95" s="386"/>
      <c r="BM95" s="386"/>
      <c r="BN95" s="386"/>
      <c r="BO95" s="386"/>
      <c r="BP95" s="386"/>
      <c r="BQ95" s="386"/>
      <c r="BR95" s="386"/>
      <c r="BS95" s="386"/>
      <c r="BT95" s="386"/>
      <c r="BU95" s="386"/>
      <c r="BV95" s="386"/>
      <c r="BW95" s="386"/>
      <c r="BX95" s="386"/>
      <c r="BY95" s="386"/>
      <c r="BZ95" s="386"/>
      <c r="CA95" s="386"/>
      <c r="CB95" s="386"/>
      <c r="CC95" s="386"/>
      <c r="CD95" s="386"/>
      <c r="CE95" s="386"/>
      <c r="CF95" s="386"/>
      <c r="CG95" s="386"/>
      <c r="CH95" s="386"/>
      <c r="CI95" s="386"/>
      <c r="CJ95" s="386"/>
      <c r="CK95" s="386"/>
      <c r="CL95" s="386"/>
      <c r="CM95" s="386"/>
      <c r="CN95" s="386"/>
      <c r="CO95" s="386"/>
      <c r="CP95" s="386"/>
      <c r="CQ95" s="386"/>
      <c r="CR95" s="386"/>
      <c r="CS95" s="386"/>
      <c r="CT95" s="386"/>
      <c r="CU95" s="386"/>
      <c r="CV95" s="386"/>
      <c r="CW95" s="386"/>
      <c r="CX95" s="386"/>
      <c r="CY95" s="386"/>
      <c r="CZ95" s="386"/>
      <c r="DA95" s="386"/>
      <c r="DB95" s="386"/>
      <c r="DC95" s="386"/>
      <c r="DD95" s="386"/>
      <c r="DE95" s="386"/>
      <c r="DF95" s="386"/>
      <c r="DG95" s="386"/>
      <c r="DH95" s="386"/>
      <c r="DI95" s="386"/>
      <c r="DJ95" s="386"/>
      <c r="DK95" s="386"/>
      <c r="DL95" s="386"/>
      <c r="DM95" s="386"/>
      <c r="DN95" s="386"/>
      <c r="DO95" s="386"/>
      <c r="DP95" s="386"/>
      <c r="DQ95" s="386"/>
      <c r="DR95" s="386"/>
      <c r="DS95" s="386"/>
      <c r="DT95" s="386"/>
      <c r="DU95" s="386"/>
    </row>
    <row r="96" spans="1:125" s="413" customFormat="1" ht="27">
      <c r="A96" s="424"/>
      <c r="B96" s="424"/>
      <c r="C96" s="45" t="s">
        <v>227</v>
      </c>
      <c r="D96" s="425"/>
      <c r="E96" s="424"/>
      <c r="F96" s="427"/>
      <c r="G96" s="425"/>
      <c r="H96" s="365"/>
      <c r="I96" s="365"/>
      <c r="J96" s="365"/>
      <c r="K96" s="365"/>
      <c r="L96" s="365"/>
      <c r="M96" s="365"/>
      <c r="N96" s="386"/>
      <c r="O96" s="386"/>
      <c r="P96" s="386"/>
      <c r="Q96" s="386"/>
      <c r="R96" s="386"/>
      <c r="S96" s="386"/>
      <c r="T96" s="386"/>
      <c r="U96" s="386"/>
      <c r="V96" s="386"/>
      <c r="W96" s="386"/>
      <c r="X96" s="386"/>
      <c r="Y96" s="386"/>
      <c r="Z96" s="386"/>
      <c r="AA96" s="386"/>
      <c r="AB96" s="386"/>
      <c r="AC96" s="386"/>
      <c r="AD96" s="386"/>
      <c r="AE96" s="386"/>
      <c r="AF96" s="386"/>
      <c r="AG96" s="386"/>
      <c r="AH96" s="386"/>
      <c r="AI96" s="386"/>
      <c r="AJ96" s="386"/>
      <c r="AK96" s="386"/>
      <c r="AL96" s="386"/>
      <c r="AM96" s="386"/>
      <c r="AN96" s="386"/>
      <c r="AO96" s="386"/>
      <c r="AP96" s="386"/>
      <c r="AQ96" s="386"/>
      <c r="AR96" s="386"/>
      <c r="AS96" s="386"/>
      <c r="AT96" s="386"/>
      <c r="AU96" s="386"/>
      <c r="AV96" s="386"/>
      <c r="AW96" s="386"/>
      <c r="AX96" s="386"/>
      <c r="AY96" s="386"/>
      <c r="AZ96" s="386"/>
      <c r="BA96" s="386"/>
      <c r="BB96" s="386"/>
      <c r="BC96" s="386"/>
      <c r="BD96" s="386"/>
      <c r="BE96" s="386"/>
      <c r="BF96" s="386"/>
      <c r="BG96" s="386"/>
      <c r="BH96" s="386"/>
      <c r="BI96" s="386"/>
      <c r="BJ96" s="386"/>
      <c r="BK96" s="386"/>
      <c r="BL96" s="386"/>
      <c r="BM96" s="386"/>
      <c r="BN96" s="386"/>
      <c r="BO96" s="386"/>
      <c r="BP96" s="386"/>
      <c r="BQ96" s="386"/>
      <c r="BR96" s="386"/>
      <c r="BS96" s="386"/>
      <c r="BT96" s="386"/>
      <c r="BU96" s="386"/>
      <c r="BV96" s="386"/>
      <c r="BW96" s="386"/>
      <c r="BX96" s="386"/>
      <c r="BY96" s="386"/>
      <c r="BZ96" s="386"/>
      <c r="CA96" s="386"/>
      <c r="CB96" s="386"/>
      <c r="CC96" s="386"/>
      <c r="CD96" s="386"/>
      <c r="CE96" s="386"/>
      <c r="CF96" s="386"/>
      <c r="CG96" s="386"/>
      <c r="CH96" s="386"/>
      <c r="CI96" s="386"/>
      <c r="CJ96" s="386"/>
      <c r="CK96" s="386"/>
      <c r="CL96" s="386"/>
      <c r="CM96" s="386"/>
      <c r="CN96" s="386"/>
      <c r="CO96" s="386"/>
      <c r="CP96" s="386"/>
      <c r="CQ96" s="386"/>
      <c r="CR96" s="386"/>
      <c r="CS96" s="386"/>
      <c r="CT96" s="386"/>
      <c r="CU96" s="386"/>
      <c r="CV96" s="386"/>
      <c r="CW96" s="386"/>
      <c r="CX96" s="386"/>
      <c r="CY96" s="386"/>
      <c r="CZ96" s="386"/>
      <c r="DA96" s="386"/>
      <c r="DB96" s="386"/>
      <c r="DC96" s="386"/>
      <c r="DD96" s="386"/>
      <c r="DE96" s="386"/>
      <c r="DF96" s="386"/>
      <c r="DG96" s="386"/>
      <c r="DH96" s="386"/>
      <c r="DI96" s="386"/>
      <c r="DJ96" s="386"/>
      <c r="DK96" s="386"/>
      <c r="DL96" s="386"/>
      <c r="DM96" s="386"/>
      <c r="DN96" s="386"/>
      <c r="DO96" s="386"/>
      <c r="DP96" s="386"/>
      <c r="DQ96" s="386"/>
      <c r="DR96" s="386"/>
      <c r="DS96" s="386"/>
      <c r="DT96" s="386"/>
      <c r="DU96" s="386"/>
    </row>
    <row r="97" spans="1:125" s="413" customFormat="1">
      <c r="A97" s="424"/>
      <c r="B97" s="424"/>
      <c r="C97" s="427" t="s">
        <v>22</v>
      </c>
      <c r="D97" s="427"/>
      <c r="E97" s="424"/>
      <c r="F97" s="427"/>
      <c r="G97" s="425"/>
      <c r="H97" s="365"/>
      <c r="I97" s="365"/>
      <c r="J97" s="365"/>
      <c r="K97" s="365"/>
      <c r="L97" s="365"/>
      <c r="M97" s="365"/>
      <c r="N97" s="386"/>
      <c r="O97" s="386"/>
      <c r="P97" s="386"/>
      <c r="Q97" s="386"/>
      <c r="R97" s="386"/>
      <c r="S97" s="386"/>
      <c r="T97" s="386"/>
      <c r="U97" s="386"/>
      <c r="V97" s="386"/>
      <c r="W97" s="386"/>
      <c r="X97" s="386"/>
      <c r="Y97" s="386"/>
      <c r="Z97" s="386"/>
      <c r="AA97" s="386"/>
      <c r="AB97" s="386"/>
      <c r="AC97" s="386"/>
      <c r="AD97" s="386"/>
      <c r="AE97" s="386"/>
      <c r="AF97" s="386"/>
      <c r="AG97" s="386"/>
      <c r="AH97" s="386"/>
      <c r="AI97" s="386"/>
      <c r="AJ97" s="386"/>
      <c r="AK97" s="386"/>
      <c r="AL97" s="386"/>
      <c r="AM97" s="386"/>
      <c r="AN97" s="386"/>
      <c r="AO97" s="386"/>
      <c r="AP97" s="386"/>
      <c r="AQ97" s="386"/>
      <c r="AR97" s="386"/>
      <c r="AS97" s="386"/>
      <c r="AT97" s="386"/>
      <c r="AU97" s="386"/>
      <c r="AV97" s="386"/>
      <c r="AW97" s="386"/>
      <c r="AX97" s="386"/>
      <c r="AY97" s="386"/>
      <c r="AZ97" s="386"/>
      <c r="BA97" s="386"/>
      <c r="BB97" s="386"/>
      <c r="BC97" s="386"/>
      <c r="BD97" s="386"/>
      <c r="BE97" s="386"/>
      <c r="BF97" s="386"/>
      <c r="BG97" s="386"/>
      <c r="BH97" s="386"/>
      <c r="BI97" s="386"/>
      <c r="BJ97" s="386"/>
      <c r="BK97" s="386"/>
      <c r="BL97" s="386"/>
      <c r="BM97" s="386"/>
      <c r="BN97" s="386"/>
      <c r="BO97" s="386"/>
      <c r="BP97" s="386"/>
      <c r="BQ97" s="386"/>
      <c r="BR97" s="386"/>
      <c r="BS97" s="386"/>
      <c r="BT97" s="386"/>
      <c r="BU97" s="386"/>
      <c r="BV97" s="386"/>
      <c r="BW97" s="386"/>
      <c r="BX97" s="386"/>
      <c r="BY97" s="386"/>
      <c r="BZ97" s="386"/>
      <c r="CA97" s="386"/>
      <c r="CB97" s="386"/>
      <c r="CC97" s="386"/>
      <c r="CD97" s="386"/>
      <c r="CE97" s="386"/>
      <c r="CF97" s="386"/>
      <c r="CG97" s="386"/>
      <c r="CH97" s="386"/>
      <c r="CI97" s="386"/>
      <c r="CJ97" s="386"/>
      <c r="CK97" s="386"/>
      <c r="CL97" s="386"/>
      <c r="CM97" s="386"/>
      <c r="CN97" s="386"/>
      <c r="CO97" s="386"/>
      <c r="CP97" s="386"/>
      <c r="CQ97" s="386"/>
      <c r="CR97" s="386"/>
      <c r="CS97" s="386"/>
      <c r="CT97" s="386"/>
      <c r="CU97" s="386"/>
      <c r="CV97" s="386"/>
      <c r="CW97" s="386"/>
      <c r="CX97" s="386"/>
      <c r="CY97" s="386"/>
      <c r="CZ97" s="386"/>
      <c r="DA97" s="386"/>
      <c r="DB97" s="386"/>
      <c r="DC97" s="386"/>
      <c r="DD97" s="386"/>
      <c r="DE97" s="386"/>
      <c r="DF97" s="386"/>
      <c r="DG97" s="386"/>
      <c r="DH97" s="386"/>
      <c r="DI97" s="386"/>
      <c r="DJ97" s="386"/>
      <c r="DK97" s="386"/>
      <c r="DL97" s="386"/>
      <c r="DM97" s="386"/>
      <c r="DN97" s="386"/>
      <c r="DO97" s="386"/>
      <c r="DP97" s="386"/>
      <c r="DQ97" s="386"/>
      <c r="DR97" s="386"/>
      <c r="DS97" s="386"/>
      <c r="DT97" s="386"/>
      <c r="DU97" s="386"/>
    </row>
    <row r="98" spans="1:125" s="413" customFormat="1">
      <c r="A98" s="424"/>
      <c r="B98" s="424"/>
      <c r="C98" s="427" t="s">
        <v>261</v>
      </c>
      <c r="D98" s="425"/>
      <c r="E98" s="424"/>
      <c r="F98" s="427"/>
      <c r="G98" s="425"/>
      <c r="H98" s="365"/>
      <c r="I98" s="365"/>
      <c r="J98" s="365"/>
      <c r="K98" s="365"/>
      <c r="L98" s="365"/>
      <c r="M98" s="365"/>
      <c r="N98" s="386"/>
      <c r="O98" s="386"/>
      <c r="P98" s="386"/>
      <c r="Q98" s="386"/>
      <c r="R98" s="386"/>
      <c r="S98" s="386"/>
      <c r="T98" s="386"/>
      <c r="U98" s="386"/>
      <c r="V98" s="386"/>
      <c r="W98" s="386"/>
      <c r="X98" s="386"/>
      <c r="Y98" s="386"/>
      <c r="Z98" s="386"/>
      <c r="AA98" s="386"/>
      <c r="AB98" s="386"/>
      <c r="AC98" s="386"/>
      <c r="AD98" s="386"/>
      <c r="AE98" s="386"/>
      <c r="AF98" s="386"/>
      <c r="AG98" s="386"/>
      <c r="AH98" s="386"/>
      <c r="AI98" s="386"/>
      <c r="AJ98" s="386"/>
      <c r="AK98" s="386"/>
      <c r="AL98" s="386"/>
      <c r="AM98" s="386"/>
      <c r="AN98" s="386"/>
      <c r="AO98" s="386"/>
      <c r="AP98" s="386"/>
      <c r="AQ98" s="386"/>
      <c r="AR98" s="386"/>
      <c r="AS98" s="386"/>
      <c r="AT98" s="386"/>
      <c r="AU98" s="386"/>
      <c r="AV98" s="386"/>
      <c r="AW98" s="386"/>
      <c r="AX98" s="386"/>
      <c r="AY98" s="386"/>
      <c r="AZ98" s="386"/>
      <c r="BA98" s="386"/>
      <c r="BB98" s="386"/>
      <c r="BC98" s="386"/>
      <c r="BD98" s="386"/>
      <c r="BE98" s="386"/>
      <c r="BF98" s="386"/>
      <c r="BG98" s="386"/>
      <c r="BH98" s="386"/>
      <c r="BI98" s="386"/>
      <c r="BJ98" s="386"/>
      <c r="BK98" s="386"/>
      <c r="BL98" s="386"/>
      <c r="BM98" s="386"/>
      <c r="BN98" s="386"/>
      <c r="BO98" s="386"/>
      <c r="BP98" s="386"/>
      <c r="BQ98" s="386"/>
      <c r="BR98" s="386"/>
      <c r="BS98" s="386"/>
      <c r="BT98" s="386"/>
      <c r="BU98" s="386"/>
      <c r="BV98" s="386"/>
      <c r="BW98" s="386"/>
      <c r="BX98" s="386"/>
      <c r="BY98" s="386"/>
      <c r="BZ98" s="386"/>
      <c r="CA98" s="386"/>
      <c r="CB98" s="386"/>
      <c r="CC98" s="386"/>
      <c r="CD98" s="386"/>
      <c r="CE98" s="386"/>
      <c r="CF98" s="386"/>
      <c r="CG98" s="386"/>
      <c r="CH98" s="386"/>
      <c r="CI98" s="386"/>
      <c r="CJ98" s="386"/>
      <c r="CK98" s="386"/>
      <c r="CL98" s="386"/>
      <c r="CM98" s="386"/>
      <c r="CN98" s="386"/>
      <c r="CO98" s="386"/>
      <c r="CP98" s="386"/>
      <c r="CQ98" s="386"/>
      <c r="CR98" s="386"/>
      <c r="CS98" s="386"/>
      <c r="CT98" s="386"/>
      <c r="CU98" s="386"/>
      <c r="CV98" s="386"/>
      <c r="CW98" s="386"/>
      <c r="CX98" s="386"/>
      <c r="CY98" s="386"/>
      <c r="CZ98" s="386"/>
      <c r="DA98" s="386"/>
      <c r="DB98" s="386"/>
      <c r="DC98" s="386"/>
      <c r="DD98" s="386"/>
      <c r="DE98" s="386"/>
      <c r="DF98" s="386"/>
      <c r="DG98" s="386"/>
      <c r="DH98" s="386"/>
      <c r="DI98" s="386"/>
      <c r="DJ98" s="386"/>
      <c r="DK98" s="386"/>
      <c r="DL98" s="386"/>
      <c r="DM98" s="386"/>
      <c r="DN98" s="386"/>
      <c r="DO98" s="386"/>
      <c r="DP98" s="386"/>
      <c r="DQ98" s="386"/>
      <c r="DR98" s="386"/>
      <c r="DS98" s="386"/>
      <c r="DT98" s="386"/>
      <c r="DU98" s="386"/>
    </row>
    <row r="99" spans="1:125" s="413" customFormat="1">
      <c r="A99" s="424"/>
      <c r="B99" s="424"/>
      <c r="C99" s="427" t="s">
        <v>22</v>
      </c>
      <c r="D99" s="427"/>
      <c r="E99" s="424"/>
      <c r="F99" s="427"/>
      <c r="G99" s="475"/>
      <c r="H99" s="365"/>
      <c r="I99" s="365"/>
      <c r="J99" s="365"/>
      <c r="K99" s="365"/>
      <c r="L99" s="365"/>
      <c r="M99" s="365"/>
      <c r="N99" s="386"/>
      <c r="O99" s="386"/>
      <c r="P99" s="386"/>
      <c r="Q99" s="386"/>
      <c r="R99" s="386"/>
      <c r="S99" s="386"/>
      <c r="T99" s="386"/>
      <c r="U99" s="386"/>
      <c r="V99" s="386"/>
      <c r="W99" s="386"/>
      <c r="X99" s="386"/>
      <c r="Y99" s="386"/>
      <c r="Z99" s="386"/>
      <c r="AA99" s="386"/>
      <c r="AB99" s="386"/>
      <c r="AC99" s="386"/>
      <c r="AD99" s="386"/>
      <c r="AE99" s="386"/>
      <c r="AF99" s="386"/>
      <c r="AG99" s="386"/>
      <c r="AH99" s="386"/>
      <c r="AI99" s="386"/>
      <c r="AJ99" s="386"/>
      <c r="AK99" s="386"/>
      <c r="AL99" s="386"/>
      <c r="AM99" s="386"/>
      <c r="AN99" s="386"/>
      <c r="AO99" s="386"/>
      <c r="AP99" s="386"/>
      <c r="AQ99" s="386"/>
      <c r="AR99" s="386"/>
      <c r="AS99" s="386"/>
      <c r="AT99" s="386"/>
      <c r="AU99" s="386"/>
      <c r="AV99" s="386"/>
      <c r="AW99" s="386"/>
      <c r="AX99" s="386"/>
      <c r="AY99" s="386"/>
      <c r="AZ99" s="386"/>
      <c r="BA99" s="386"/>
      <c r="BB99" s="386"/>
      <c r="BC99" s="386"/>
      <c r="BD99" s="386"/>
      <c r="BE99" s="386"/>
      <c r="BF99" s="386"/>
      <c r="BG99" s="386"/>
      <c r="BH99" s="386"/>
      <c r="BI99" s="386"/>
      <c r="BJ99" s="386"/>
      <c r="BK99" s="386"/>
      <c r="BL99" s="386"/>
      <c r="BM99" s="386"/>
      <c r="BN99" s="386"/>
      <c r="BO99" s="386"/>
      <c r="BP99" s="386"/>
      <c r="BQ99" s="386"/>
      <c r="BR99" s="386"/>
      <c r="BS99" s="386"/>
      <c r="BT99" s="386"/>
      <c r="BU99" s="386"/>
      <c r="BV99" s="386"/>
      <c r="BW99" s="386"/>
      <c r="BX99" s="386"/>
      <c r="BY99" s="386"/>
      <c r="BZ99" s="386"/>
      <c r="CA99" s="386"/>
      <c r="CB99" s="386"/>
      <c r="CC99" s="386"/>
      <c r="CD99" s="386"/>
      <c r="CE99" s="386"/>
      <c r="CF99" s="386"/>
      <c r="CG99" s="386"/>
      <c r="CH99" s="386"/>
      <c r="CI99" s="386"/>
      <c r="CJ99" s="386"/>
      <c r="CK99" s="386"/>
      <c r="CL99" s="386"/>
      <c r="CM99" s="386"/>
      <c r="CN99" s="386"/>
      <c r="CO99" s="386"/>
      <c r="CP99" s="386"/>
      <c r="CQ99" s="386"/>
      <c r="CR99" s="386"/>
      <c r="CS99" s="386"/>
      <c r="CT99" s="386"/>
      <c r="CU99" s="386"/>
      <c r="CV99" s="386"/>
      <c r="CW99" s="386"/>
      <c r="CX99" s="386"/>
      <c r="CY99" s="386"/>
      <c r="CZ99" s="386"/>
      <c r="DA99" s="386"/>
      <c r="DB99" s="386"/>
      <c r="DC99" s="386"/>
      <c r="DD99" s="386"/>
      <c r="DE99" s="386"/>
      <c r="DF99" s="386"/>
      <c r="DG99" s="386"/>
      <c r="DH99" s="386"/>
      <c r="DI99" s="386"/>
      <c r="DJ99" s="386"/>
      <c r="DK99" s="386"/>
      <c r="DL99" s="386"/>
      <c r="DM99" s="386"/>
      <c r="DN99" s="386"/>
      <c r="DO99" s="386"/>
      <c r="DP99" s="386"/>
      <c r="DQ99" s="386"/>
      <c r="DR99" s="386"/>
      <c r="DS99" s="386"/>
      <c r="DT99" s="386"/>
      <c r="DU99" s="386"/>
    </row>
    <row r="100" spans="1:125" s="413" customFormat="1">
      <c r="A100" s="424"/>
      <c r="B100" s="424"/>
      <c r="C100" s="427" t="s">
        <v>230</v>
      </c>
      <c r="D100" s="425"/>
      <c r="E100" s="424"/>
      <c r="F100" s="427"/>
      <c r="G100" s="425"/>
      <c r="H100" s="365"/>
      <c r="I100" s="365"/>
      <c r="J100" s="365"/>
      <c r="K100" s="365"/>
      <c r="L100" s="365"/>
      <c r="M100" s="365"/>
      <c r="N100" s="386"/>
      <c r="O100" s="386"/>
      <c r="P100" s="386"/>
      <c r="Q100" s="386"/>
      <c r="R100" s="386"/>
      <c r="S100" s="386"/>
      <c r="T100" s="386"/>
      <c r="U100" s="386"/>
      <c r="V100" s="386"/>
      <c r="W100" s="386"/>
      <c r="X100" s="386"/>
      <c r="Y100" s="386"/>
      <c r="Z100" s="386"/>
      <c r="AA100" s="386"/>
      <c r="AB100" s="386"/>
      <c r="AC100" s="386"/>
      <c r="AD100" s="386"/>
      <c r="AE100" s="386"/>
      <c r="AF100" s="386"/>
      <c r="AG100" s="386"/>
      <c r="AH100" s="386"/>
      <c r="AI100" s="386"/>
      <c r="AJ100" s="386"/>
      <c r="AK100" s="386"/>
      <c r="AL100" s="386"/>
      <c r="AM100" s="386"/>
      <c r="AN100" s="386"/>
      <c r="AO100" s="386"/>
      <c r="AP100" s="386"/>
      <c r="AQ100" s="386"/>
      <c r="AR100" s="386"/>
      <c r="AS100" s="386"/>
      <c r="AT100" s="386"/>
      <c r="AU100" s="386"/>
      <c r="AV100" s="386"/>
      <c r="AW100" s="386"/>
      <c r="AX100" s="386"/>
      <c r="AY100" s="386"/>
      <c r="AZ100" s="386"/>
      <c r="BA100" s="386"/>
      <c r="BB100" s="386"/>
      <c r="BC100" s="386"/>
      <c r="BD100" s="386"/>
      <c r="BE100" s="386"/>
      <c r="BF100" s="386"/>
      <c r="BG100" s="386"/>
      <c r="BH100" s="386"/>
      <c r="BI100" s="386"/>
      <c r="BJ100" s="386"/>
      <c r="BK100" s="386"/>
      <c r="BL100" s="386"/>
      <c r="BM100" s="386"/>
      <c r="BN100" s="386"/>
      <c r="BO100" s="386"/>
      <c r="BP100" s="386"/>
      <c r="BQ100" s="386"/>
      <c r="BR100" s="386"/>
      <c r="BS100" s="386"/>
      <c r="BT100" s="386"/>
      <c r="BU100" s="386"/>
      <c r="BV100" s="386"/>
      <c r="BW100" s="386"/>
      <c r="BX100" s="386"/>
      <c r="BY100" s="386"/>
      <c r="BZ100" s="386"/>
      <c r="CA100" s="386"/>
      <c r="CB100" s="386"/>
      <c r="CC100" s="386"/>
      <c r="CD100" s="386"/>
      <c r="CE100" s="386"/>
      <c r="CF100" s="386"/>
      <c r="CG100" s="386"/>
      <c r="CH100" s="386"/>
      <c r="CI100" s="386"/>
      <c r="CJ100" s="386"/>
      <c r="CK100" s="386"/>
      <c r="CL100" s="386"/>
      <c r="CM100" s="386"/>
      <c r="CN100" s="386"/>
      <c r="CO100" s="386"/>
      <c r="CP100" s="386"/>
      <c r="CQ100" s="386"/>
      <c r="CR100" s="386"/>
      <c r="CS100" s="386"/>
      <c r="CT100" s="386"/>
      <c r="CU100" s="386"/>
      <c r="CV100" s="386"/>
      <c r="CW100" s="386"/>
      <c r="CX100" s="386"/>
      <c r="CY100" s="386"/>
      <c r="CZ100" s="386"/>
      <c r="DA100" s="386"/>
      <c r="DB100" s="386"/>
      <c r="DC100" s="386"/>
      <c r="DD100" s="386"/>
      <c r="DE100" s="386"/>
      <c r="DF100" s="386"/>
      <c r="DG100" s="386"/>
      <c r="DH100" s="386"/>
      <c r="DI100" s="386"/>
      <c r="DJ100" s="386"/>
      <c r="DK100" s="386"/>
      <c r="DL100" s="386"/>
      <c r="DM100" s="386"/>
      <c r="DN100" s="386"/>
      <c r="DO100" s="386"/>
      <c r="DP100" s="386"/>
      <c r="DQ100" s="386"/>
      <c r="DR100" s="386"/>
      <c r="DS100" s="386"/>
      <c r="DT100" s="386"/>
      <c r="DU100" s="386"/>
    </row>
    <row r="101" spans="1:125" s="413" customFormat="1">
      <c r="A101" s="424"/>
      <c r="B101" s="424"/>
      <c r="C101" s="427" t="s">
        <v>169</v>
      </c>
      <c r="D101" s="427"/>
      <c r="E101" s="424"/>
      <c r="F101" s="427"/>
      <c r="G101" s="425"/>
      <c r="H101" s="365"/>
      <c r="I101" s="365"/>
      <c r="J101" s="365"/>
      <c r="K101" s="365"/>
      <c r="L101" s="365"/>
      <c r="M101" s="365"/>
      <c r="N101" s="386"/>
      <c r="O101" s="386"/>
      <c r="P101" s="386"/>
      <c r="Q101" s="386"/>
      <c r="R101" s="386"/>
      <c r="S101" s="386"/>
      <c r="T101" s="386"/>
      <c r="U101" s="386"/>
      <c r="V101" s="386"/>
      <c r="W101" s="386"/>
      <c r="X101" s="386"/>
      <c r="Y101" s="386"/>
      <c r="Z101" s="386"/>
      <c r="AA101" s="386"/>
      <c r="AB101" s="386"/>
      <c r="AC101" s="386"/>
      <c r="AD101" s="386"/>
      <c r="AE101" s="386"/>
      <c r="AF101" s="386"/>
      <c r="AG101" s="386"/>
      <c r="AH101" s="386"/>
      <c r="AI101" s="386"/>
      <c r="AJ101" s="386"/>
      <c r="AK101" s="386"/>
      <c r="AL101" s="386"/>
      <c r="AM101" s="386"/>
      <c r="AN101" s="386"/>
      <c r="AO101" s="386"/>
      <c r="AP101" s="386"/>
      <c r="AQ101" s="386"/>
      <c r="AR101" s="386"/>
      <c r="AS101" s="386"/>
      <c r="AT101" s="386"/>
      <c r="AU101" s="386"/>
      <c r="AV101" s="386"/>
      <c r="AW101" s="386"/>
      <c r="AX101" s="386"/>
      <c r="AY101" s="386"/>
      <c r="AZ101" s="386"/>
      <c r="BA101" s="386"/>
      <c r="BB101" s="386"/>
      <c r="BC101" s="386"/>
      <c r="BD101" s="386"/>
      <c r="BE101" s="386"/>
      <c r="BF101" s="386"/>
      <c r="BG101" s="386"/>
      <c r="BH101" s="386"/>
      <c r="BI101" s="386"/>
      <c r="BJ101" s="386"/>
      <c r="BK101" s="386"/>
      <c r="BL101" s="386"/>
      <c r="BM101" s="386"/>
      <c r="BN101" s="386"/>
      <c r="BO101" s="386"/>
      <c r="BP101" s="386"/>
      <c r="BQ101" s="386"/>
      <c r="BR101" s="386"/>
      <c r="BS101" s="386"/>
      <c r="BT101" s="386"/>
      <c r="BU101" s="386"/>
      <c r="BV101" s="386"/>
      <c r="BW101" s="386"/>
      <c r="BX101" s="386"/>
      <c r="BY101" s="386"/>
      <c r="BZ101" s="386"/>
      <c r="CA101" s="386"/>
      <c r="CB101" s="386"/>
      <c r="CC101" s="386"/>
      <c r="CD101" s="386"/>
      <c r="CE101" s="386"/>
      <c r="CF101" s="386"/>
      <c r="CG101" s="386"/>
      <c r="CH101" s="386"/>
      <c r="CI101" s="386"/>
      <c r="CJ101" s="386"/>
      <c r="CK101" s="386"/>
      <c r="CL101" s="386"/>
      <c r="CM101" s="386"/>
      <c r="CN101" s="386"/>
      <c r="CO101" s="386"/>
      <c r="CP101" s="386"/>
      <c r="CQ101" s="386"/>
      <c r="CR101" s="386"/>
      <c r="CS101" s="386"/>
      <c r="CT101" s="386"/>
      <c r="CU101" s="386"/>
      <c r="CV101" s="386"/>
      <c r="CW101" s="386"/>
      <c r="CX101" s="386"/>
      <c r="CY101" s="386"/>
      <c r="CZ101" s="386"/>
      <c r="DA101" s="386"/>
      <c r="DB101" s="386"/>
      <c r="DC101" s="386"/>
      <c r="DD101" s="386"/>
      <c r="DE101" s="386"/>
      <c r="DF101" s="386"/>
      <c r="DG101" s="386"/>
      <c r="DH101" s="386"/>
      <c r="DI101" s="386"/>
      <c r="DJ101" s="386"/>
      <c r="DK101" s="386"/>
      <c r="DL101" s="386"/>
      <c r="DM101" s="386"/>
      <c r="DN101" s="386"/>
      <c r="DO101" s="386"/>
      <c r="DP101" s="386"/>
      <c r="DQ101" s="386"/>
      <c r="DR101" s="386"/>
      <c r="DS101" s="386"/>
      <c r="DT101" s="386"/>
      <c r="DU101" s="386"/>
    </row>
    <row r="102" spans="1:125" s="413" customFormat="1">
      <c r="A102" s="424"/>
      <c r="B102" s="424"/>
      <c r="C102" s="427" t="s">
        <v>289</v>
      </c>
      <c r="D102" s="424"/>
      <c r="E102" s="424"/>
      <c r="F102" s="427"/>
      <c r="G102" s="422"/>
      <c r="H102" s="365"/>
      <c r="I102" s="365"/>
      <c r="J102" s="365"/>
      <c r="K102" s="365"/>
      <c r="L102" s="365"/>
      <c r="M102" s="365"/>
      <c r="N102" s="386"/>
      <c r="O102" s="386"/>
      <c r="P102" s="386"/>
      <c r="Q102" s="386"/>
      <c r="R102" s="386"/>
      <c r="S102" s="386"/>
      <c r="T102" s="386"/>
      <c r="U102" s="386"/>
      <c r="V102" s="386"/>
      <c r="W102" s="386"/>
      <c r="X102" s="386"/>
      <c r="Y102" s="386"/>
      <c r="Z102" s="386"/>
      <c r="AA102" s="386"/>
      <c r="AB102" s="386"/>
      <c r="AC102" s="386"/>
      <c r="AD102" s="386"/>
      <c r="AE102" s="386"/>
      <c r="AF102" s="386"/>
      <c r="AG102" s="386"/>
      <c r="AH102" s="386"/>
      <c r="AI102" s="386"/>
      <c r="AJ102" s="386"/>
      <c r="AK102" s="386"/>
      <c r="AL102" s="386"/>
      <c r="AM102" s="386"/>
      <c r="AN102" s="386"/>
      <c r="AO102" s="386"/>
      <c r="AP102" s="386"/>
      <c r="AQ102" s="386"/>
      <c r="AR102" s="386"/>
      <c r="AS102" s="386"/>
      <c r="AT102" s="386"/>
      <c r="AU102" s="386"/>
      <c r="AV102" s="386"/>
      <c r="AW102" s="386"/>
      <c r="AX102" s="386"/>
      <c r="AY102" s="386"/>
      <c r="AZ102" s="386"/>
      <c r="BA102" s="386"/>
      <c r="BB102" s="386"/>
      <c r="BC102" s="386"/>
      <c r="BD102" s="386"/>
      <c r="BE102" s="386"/>
      <c r="BF102" s="386"/>
      <c r="BG102" s="386"/>
      <c r="BH102" s="386"/>
      <c r="BI102" s="386"/>
      <c r="BJ102" s="386"/>
      <c r="BK102" s="386"/>
      <c r="BL102" s="386"/>
      <c r="BM102" s="386"/>
      <c r="BN102" s="386"/>
      <c r="BO102" s="386"/>
      <c r="BP102" s="386"/>
      <c r="BQ102" s="386"/>
      <c r="BR102" s="386"/>
      <c r="BS102" s="386"/>
      <c r="BT102" s="386"/>
      <c r="BU102" s="386"/>
      <c r="BV102" s="386"/>
      <c r="BW102" s="386"/>
      <c r="BX102" s="386"/>
      <c r="BY102" s="386"/>
      <c r="BZ102" s="386"/>
      <c r="CA102" s="386"/>
      <c r="CB102" s="386"/>
      <c r="CC102" s="386"/>
      <c r="CD102" s="386"/>
      <c r="CE102" s="386"/>
      <c r="CF102" s="386"/>
      <c r="CG102" s="386"/>
      <c r="CH102" s="386"/>
      <c r="CI102" s="386"/>
      <c r="CJ102" s="386"/>
      <c r="CK102" s="386"/>
      <c r="CL102" s="386"/>
      <c r="CM102" s="386"/>
      <c r="CN102" s="386"/>
      <c r="CO102" s="386"/>
      <c r="CP102" s="386"/>
      <c r="CQ102" s="386"/>
      <c r="CR102" s="386"/>
      <c r="CS102" s="386"/>
      <c r="CT102" s="386"/>
      <c r="CU102" s="386"/>
      <c r="CV102" s="386"/>
      <c r="CW102" s="386"/>
      <c r="CX102" s="386"/>
      <c r="CY102" s="386"/>
      <c r="CZ102" s="386"/>
      <c r="DA102" s="386"/>
      <c r="DB102" s="386"/>
      <c r="DC102" s="386"/>
      <c r="DD102" s="386"/>
      <c r="DE102" s="386"/>
      <c r="DF102" s="386"/>
      <c r="DG102" s="386"/>
      <c r="DH102" s="386"/>
      <c r="DI102" s="386"/>
      <c r="DJ102" s="386"/>
      <c r="DK102" s="386"/>
      <c r="DL102" s="386"/>
      <c r="DM102" s="386"/>
      <c r="DN102" s="386"/>
      <c r="DO102" s="386"/>
      <c r="DP102" s="386"/>
      <c r="DQ102" s="386"/>
      <c r="DR102" s="386"/>
      <c r="DS102" s="386"/>
      <c r="DT102" s="386"/>
      <c r="DU102" s="386"/>
    </row>
    <row r="105" spans="1:125">
      <c r="A105" s="537" t="s">
        <v>294</v>
      </c>
      <c r="B105" s="537"/>
      <c r="C105" s="537"/>
      <c r="D105" s="537"/>
      <c r="E105" s="537"/>
      <c r="F105" s="537"/>
      <c r="G105" s="537"/>
      <c r="H105" s="537"/>
      <c r="I105" s="537"/>
      <c r="J105" s="537"/>
      <c r="K105" s="537"/>
      <c r="L105" s="537"/>
      <c r="M105" s="537"/>
    </row>
    <row r="106" spans="1:125">
      <c r="A106" s="537"/>
      <c r="B106" s="537"/>
      <c r="C106" s="537"/>
      <c r="D106" s="537"/>
      <c r="E106" s="537"/>
      <c r="F106" s="537"/>
      <c r="G106" s="537"/>
      <c r="H106" s="537"/>
      <c r="I106" s="537"/>
      <c r="J106" s="537"/>
      <c r="K106" s="537"/>
      <c r="L106" s="537"/>
      <c r="M106" s="537"/>
    </row>
    <row r="107" spans="1:125">
      <c r="A107" s="537" t="s">
        <v>295</v>
      </c>
      <c r="B107" s="537"/>
      <c r="C107" s="537"/>
      <c r="D107" s="537"/>
      <c r="E107" s="537"/>
      <c r="F107" s="537"/>
      <c r="G107" s="537"/>
      <c r="H107" s="537"/>
      <c r="I107" s="537"/>
      <c r="J107" s="537"/>
      <c r="K107" s="537"/>
      <c r="L107" s="537"/>
      <c r="M107" s="537"/>
    </row>
  </sheetData>
  <mergeCells count="23">
    <mergeCell ref="A105:M105"/>
    <mergeCell ref="A106:M106"/>
    <mergeCell ref="A107:M107"/>
    <mergeCell ref="A57:A62"/>
    <mergeCell ref="A86:A94"/>
    <mergeCell ref="A50:A56"/>
    <mergeCell ref="A6:A8"/>
    <mergeCell ref="B6:B8"/>
    <mergeCell ref="C6:C8"/>
    <mergeCell ref="D6:D8"/>
    <mergeCell ref="A12:A13"/>
    <mergeCell ref="A20:A22"/>
    <mergeCell ref="E6:F7"/>
    <mergeCell ref="A1:M1"/>
    <mergeCell ref="A2:M2"/>
    <mergeCell ref="A3:M3"/>
    <mergeCell ref="F4:K4"/>
    <mergeCell ref="A5:M5"/>
    <mergeCell ref="G6:M6"/>
    <mergeCell ref="G7:H7"/>
    <mergeCell ref="I7:J7"/>
    <mergeCell ref="K7:L7"/>
    <mergeCell ref="M7:M8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U48"/>
  <sheetViews>
    <sheetView topLeftCell="A32" workbookViewId="0">
      <selection activeCell="D41" sqref="D41"/>
    </sheetView>
  </sheetViews>
  <sheetFormatPr defaultRowHeight="15.75"/>
  <cols>
    <col min="1" max="1" width="3" style="386" customWidth="1"/>
    <col min="2" max="2" width="12.42578125" style="386" customWidth="1"/>
    <col min="3" max="3" width="40.42578125" style="386" customWidth="1"/>
    <col min="4" max="4" width="7.42578125" style="386" customWidth="1"/>
    <col min="5" max="5" width="7.5703125" style="386" customWidth="1"/>
    <col min="6" max="6" width="9.140625" style="386"/>
    <col min="7" max="7" width="8.28515625" style="386" customWidth="1"/>
    <col min="8" max="8" width="8.5703125" style="386" customWidth="1"/>
    <col min="9" max="9" width="8.28515625" style="386" customWidth="1"/>
    <col min="10" max="10" width="9.140625" style="386"/>
    <col min="11" max="11" width="8.42578125" style="386" customWidth="1"/>
    <col min="12" max="16384" width="9.140625" style="386"/>
  </cols>
  <sheetData>
    <row r="1" spans="1:13" ht="17.25" customHeight="1">
      <c r="A1" s="534" t="s">
        <v>386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</row>
    <row r="2" spans="1:13" ht="16.5" customHeight="1">
      <c r="A2" s="536" t="s">
        <v>504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</row>
    <row r="3" spans="1:13" ht="18.75" customHeight="1">
      <c r="A3" s="536" t="s">
        <v>204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</row>
    <row r="4" spans="1:13">
      <c r="A4" s="221"/>
      <c r="B4" s="351"/>
      <c r="C4" s="221"/>
      <c r="D4" s="221"/>
      <c r="E4" s="221"/>
      <c r="F4" s="536" t="s">
        <v>1</v>
      </c>
      <c r="G4" s="536"/>
      <c r="H4" s="536"/>
      <c r="I4" s="536"/>
      <c r="J4" s="536"/>
      <c r="K4" s="536"/>
      <c r="L4" s="312">
        <f>M42/1000</f>
        <v>0</v>
      </c>
      <c r="M4" s="224" t="s">
        <v>91</v>
      </c>
    </row>
    <row r="5" spans="1:13" ht="19.5" customHeight="1">
      <c r="A5" s="536" t="s">
        <v>523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</row>
    <row r="6" spans="1:13" ht="20.25" customHeight="1">
      <c r="A6" s="538" t="s">
        <v>3</v>
      </c>
      <c r="B6" s="549" t="s">
        <v>36</v>
      </c>
      <c r="C6" s="573" t="s">
        <v>4</v>
      </c>
      <c r="D6" s="538" t="s">
        <v>5</v>
      </c>
      <c r="E6" s="558" t="s">
        <v>6</v>
      </c>
      <c r="F6" s="559"/>
      <c r="G6" s="541" t="s">
        <v>7</v>
      </c>
      <c r="H6" s="542"/>
      <c r="I6" s="542"/>
      <c r="J6" s="542"/>
      <c r="K6" s="542"/>
      <c r="L6" s="542"/>
      <c r="M6" s="543"/>
    </row>
    <row r="7" spans="1:13" ht="31.5" customHeight="1">
      <c r="A7" s="539"/>
      <c r="B7" s="550"/>
      <c r="C7" s="574"/>
      <c r="D7" s="539"/>
      <c r="E7" s="560"/>
      <c r="F7" s="561"/>
      <c r="G7" s="544" t="s">
        <v>8</v>
      </c>
      <c r="H7" s="543"/>
      <c r="I7" s="544" t="s">
        <v>9</v>
      </c>
      <c r="J7" s="543"/>
      <c r="K7" s="545" t="s">
        <v>38</v>
      </c>
      <c r="L7" s="546"/>
      <c r="M7" s="547" t="s">
        <v>10</v>
      </c>
    </row>
    <row r="8" spans="1:13" ht="19.5" customHeight="1">
      <c r="A8" s="540"/>
      <c r="B8" s="551"/>
      <c r="C8" s="575"/>
      <c r="D8" s="540"/>
      <c r="E8" s="352" t="s">
        <v>37</v>
      </c>
      <c r="F8" s="353" t="s">
        <v>11</v>
      </c>
      <c r="G8" s="352" t="s">
        <v>37</v>
      </c>
      <c r="H8" s="353" t="s">
        <v>11</v>
      </c>
      <c r="I8" s="352" t="s">
        <v>37</v>
      </c>
      <c r="J8" s="353" t="s">
        <v>11</v>
      </c>
      <c r="K8" s="352" t="s">
        <v>37</v>
      </c>
      <c r="L8" s="353" t="s">
        <v>11</v>
      </c>
      <c r="M8" s="548"/>
    </row>
    <row r="9" spans="1:13">
      <c r="A9" s="211">
        <v>1</v>
      </c>
      <c r="B9" s="252">
        <v>2</v>
      </c>
      <c r="C9" s="252">
        <v>3</v>
      </c>
      <c r="D9" s="313">
        <v>4</v>
      </c>
      <c r="E9" s="252">
        <v>5</v>
      </c>
      <c r="F9" s="252">
        <v>6</v>
      </c>
      <c r="G9" s="252">
        <v>7</v>
      </c>
      <c r="H9" s="252">
        <v>8</v>
      </c>
      <c r="I9" s="252">
        <v>9</v>
      </c>
      <c r="J9" s="252">
        <v>10</v>
      </c>
      <c r="K9" s="252">
        <v>11</v>
      </c>
      <c r="L9" s="252">
        <v>12</v>
      </c>
      <c r="M9" s="211">
        <v>13</v>
      </c>
    </row>
    <row r="10" spans="1:13" ht="18" customHeight="1">
      <c r="A10" s="249"/>
      <c r="B10" s="314"/>
      <c r="C10" s="315" t="s">
        <v>225</v>
      </c>
      <c r="D10" s="313"/>
      <c r="E10" s="314"/>
      <c r="F10" s="314"/>
      <c r="G10" s="314"/>
      <c r="H10" s="252"/>
      <c r="I10" s="314"/>
      <c r="J10" s="252"/>
      <c r="K10" s="314"/>
      <c r="L10" s="252"/>
      <c r="M10" s="211"/>
    </row>
    <row r="11" spans="1:13" s="413" customFormat="1" ht="29.25" customHeight="1">
      <c r="A11" s="570">
        <v>1</v>
      </c>
      <c r="B11" s="362" t="s">
        <v>370</v>
      </c>
      <c r="C11" s="160" t="s">
        <v>226</v>
      </c>
      <c r="D11" s="409" t="s">
        <v>205</v>
      </c>
      <c r="E11" s="364"/>
      <c r="F11" s="364">
        <v>1</v>
      </c>
      <c r="G11" s="410"/>
      <c r="H11" s="368"/>
      <c r="I11" s="411"/>
      <c r="J11" s="412"/>
      <c r="K11" s="411"/>
      <c r="L11" s="412"/>
      <c r="M11" s="368"/>
    </row>
    <row r="12" spans="1:13" s="413" customFormat="1" ht="15.75" customHeight="1">
      <c r="A12" s="571"/>
      <c r="B12" s="362"/>
      <c r="C12" s="414" t="s">
        <v>119</v>
      </c>
      <c r="D12" s="415" t="s">
        <v>120</v>
      </c>
      <c r="E12" s="362">
        <v>7.24</v>
      </c>
      <c r="F12" s="362">
        <f>F11*E12</f>
        <v>7.24</v>
      </c>
      <c r="G12" s="375"/>
      <c r="H12" s="368"/>
      <c r="I12" s="411"/>
      <c r="J12" s="412"/>
      <c r="K12" s="411"/>
      <c r="L12" s="412"/>
      <c r="M12" s="368"/>
    </row>
    <row r="13" spans="1:13" s="413" customFormat="1" ht="16.5" customHeight="1">
      <c r="A13" s="571"/>
      <c r="B13" s="415" t="s">
        <v>206</v>
      </c>
      <c r="C13" s="414" t="s">
        <v>207</v>
      </c>
      <c r="D13" s="415" t="s">
        <v>205</v>
      </c>
      <c r="E13" s="415"/>
      <c r="F13" s="416">
        <v>1</v>
      </c>
      <c r="G13" s="412"/>
      <c r="H13" s="412"/>
      <c r="I13" s="416"/>
      <c r="J13" s="368"/>
      <c r="K13" s="416"/>
      <c r="L13" s="412"/>
      <c r="M13" s="368"/>
    </row>
    <row r="14" spans="1:13" s="413" customFormat="1" ht="16.5" customHeight="1">
      <c r="A14" s="571"/>
      <c r="B14" s="415" t="s">
        <v>124</v>
      </c>
      <c r="C14" s="414" t="s">
        <v>208</v>
      </c>
      <c r="D14" s="415" t="s">
        <v>205</v>
      </c>
      <c r="E14" s="415"/>
      <c r="F14" s="417">
        <v>2</v>
      </c>
      <c r="G14" s="412"/>
      <c r="H14" s="412"/>
      <c r="I14" s="417"/>
      <c r="J14" s="368"/>
      <c r="K14" s="416"/>
      <c r="L14" s="416"/>
      <c r="M14" s="416"/>
    </row>
    <row r="15" spans="1:13" s="413" customFormat="1" ht="15.75" customHeight="1">
      <c r="A15" s="572"/>
      <c r="B15" s="415"/>
      <c r="C15" s="414" t="s">
        <v>129</v>
      </c>
      <c r="D15" s="415" t="s">
        <v>123</v>
      </c>
      <c r="E15" s="415">
        <v>3.84</v>
      </c>
      <c r="F15" s="416">
        <f>F11*E15</f>
        <v>3.84</v>
      </c>
      <c r="G15" s="412"/>
      <c r="H15" s="412"/>
      <c r="I15" s="417"/>
      <c r="J15" s="368"/>
      <c r="K15" s="416"/>
      <c r="L15" s="416"/>
      <c r="M15" s="416"/>
    </row>
    <row r="16" spans="1:13" s="413" customFormat="1" ht="29.25" customHeight="1">
      <c r="A16" s="570">
        <v>2</v>
      </c>
      <c r="B16" s="362" t="s">
        <v>369</v>
      </c>
      <c r="C16" s="160" t="s">
        <v>299</v>
      </c>
      <c r="D16" s="409" t="s">
        <v>209</v>
      </c>
      <c r="E16" s="364"/>
      <c r="F16" s="411">
        <f>(F18+F19)/100</f>
        <v>0.09</v>
      </c>
      <c r="G16" s="410"/>
      <c r="H16" s="368"/>
      <c r="I16" s="411"/>
      <c r="J16" s="412"/>
      <c r="K16" s="416"/>
      <c r="L16" s="416"/>
      <c r="M16" s="416"/>
    </row>
    <row r="17" spans="1:13" s="413" customFormat="1" ht="17.25" customHeight="1">
      <c r="A17" s="571"/>
      <c r="B17" s="362"/>
      <c r="C17" s="414" t="s">
        <v>119</v>
      </c>
      <c r="D17" s="415" t="s">
        <v>120</v>
      </c>
      <c r="E17" s="362">
        <v>19.2</v>
      </c>
      <c r="F17" s="362">
        <f>F16*E17</f>
        <v>1.728</v>
      </c>
      <c r="G17" s="375"/>
      <c r="H17" s="368"/>
      <c r="I17" s="411"/>
      <c r="J17" s="412"/>
      <c r="K17" s="416"/>
      <c r="L17" s="416"/>
      <c r="M17" s="416"/>
    </row>
    <row r="18" spans="1:13" s="413" customFormat="1" ht="21.75" customHeight="1">
      <c r="A18" s="571"/>
      <c r="B18" s="415" t="s">
        <v>210</v>
      </c>
      <c r="C18" s="414" t="s">
        <v>507</v>
      </c>
      <c r="D18" s="415" t="s">
        <v>205</v>
      </c>
      <c r="E18" s="415"/>
      <c r="F18" s="418">
        <v>3</v>
      </c>
      <c r="G18" s="412"/>
      <c r="H18" s="412"/>
      <c r="I18" s="416"/>
      <c r="J18" s="368"/>
      <c r="K18" s="416"/>
      <c r="L18" s="416"/>
      <c r="M18" s="416"/>
    </row>
    <row r="19" spans="1:13" s="413" customFormat="1" ht="18.75" customHeight="1">
      <c r="A19" s="571"/>
      <c r="B19" s="415" t="s">
        <v>211</v>
      </c>
      <c r="C19" s="414" t="s">
        <v>212</v>
      </c>
      <c r="D19" s="415" t="s">
        <v>205</v>
      </c>
      <c r="E19" s="415"/>
      <c r="F19" s="418">
        <v>6</v>
      </c>
      <c r="G19" s="412"/>
      <c r="H19" s="412"/>
      <c r="I19" s="416"/>
      <c r="J19" s="368"/>
      <c r="K19" s="416"/>
      <c r="L19" s="416"/>
      <c r="M19" s="416"/>
    </row>
    <row r="20" spans="1:13" s="413" customFormat="1" ht="16.5" customHeight="1">
      <c r="A20" s="572"/>
      <c r="B20" s="415"/>
      <c r="C20" s="414" t="s">
        <v>129</v>
      </c>
      <c r="D20" s="415" t="s">
        <v>123</v>
      </c>
      <c r="E20" s="415">
        <v>2.34</v>
      </c>
      <c r="F20" s="416">
        <f>F16*E20</f>
        <v>0.21059999999999998</v>
      </c>
      <c r="G20" s="412"/>
      <c r="H20" s="412"/>
      <c r="I20" s="416"/>
      <c r="J20" s="368"/>
      <c r="K20" s="416"/>
      <c r="L20" s="416"/>
      <c r="M20" s="416"/>
    </row>
    <row r="21" spans="1:13" s="413" customFormat="1" ht="16.5" customHeight="1">
      <c r="A21" s="570">
        <v>3</v>
      </c>
      <c r="B21" s="362" t="s">
        <v>368</v>
      </c>
      <c r="C21" s="160" t="s">
        <v>213</v>
      </c>
      <c r="D21" s="409" t="s">
        <v>209</v>
      </c>
      <c r="E21" s="364"/>
      <c r="F21" s="411">
        <v>0.1</v>
      </c>
      <c r="G21" s="410"/>
      <c r="H21" s="368"/>
      <c r="I21" s="411"/>
      <c r="J21" s="412"/>
      <c r="K21" s="416"/>
      <c r="L21" s="416"/>
      <c r="M21" s="416"/>
    </row>
    <row r="22" spans="1:13" s="413" customFormat="1" ht="16.5" customHeight="1">
      <c r="A22" s="571"/>
      <c r="B22" s="362"/>
      <c r="C22" s="414" t="s">
        <v>119</v>
      </c>
      <c r="D22" s="415" t="s">
        <v>120</v>
      </c>
      <c r="E22" s="362">
        <v>132</v>
      </c>
      <c r="F22" s="362">
        <f>F21*E22</f>
        <v>13.200000000000001</v>
      </c>
      <c r="G22" s="375"/>
      <c r="H22" s="368"/>
      <c r="I22" s="411"/>
      <c r="J22" s="412"/>
      <c r="K22" s="416"/>
      <c r="L22" s="416"/>
      <c r="M22" s="416"/>
    </row>
    <row r="23" spans="1:13" s="413" customFormat="1" ht="16.5" customHeight="1">
      <c r="A23" s="571"/>
      <c r="B23" s="415"/>
      <c r="C23" s="414" t="s">
        <v>214</v>
      </c>
      <c r="D23" s="415" t="s">
        <v>123</v>
      </c>
      <c r="E23" s="415">
        <v>14.7</v>
      </c>
      <c r="F23" s="416">
        <f>F21*E23</f>
        <v>1.47</v>
      </c>
      <c r="G23" s="412"/>
      <c r="H23" s="412"/>
      <c r="I23" s="416"/>
      <c r="J23" s="368"/>
      <c r="K23" s="416"/>
      <c r="L23" s="416"/>
      <c r="M23" s="416"/>
    </row>
    <row r="24" spans="1:13" s="413" customFormat="1" ht="16.5" customHeight="1">
      <c r="A24" s="571"/>
      <c r="B24" s="415" t="s">
        <v>215</v>
      </c>
      <c r="C24" s="414" t="s">
        <v>216</v>
      </c>
      <c r="D24" s="415" t="s">
        <v>205</v>
      </c>
      <c r="E24" s="415">
        <v>100</v>
      </c>
      <c r="F24" s="416">
        <f>F21*E24</f>
        <v>10</v>
      </c>
      <c r="G24" s="412"/>
      <c r="H24" s="412"/>
      <c r="I24" s="416"/>
      <c r="J24" s="368"/>
      <c r="K24" s="416"/>
      <c r="L24" s="416"/>
      <c r="M24" s="416"/>
    </row>
    <row r="25" spans="1:13" s="413" customFormat="1" ht="16.5" customHeight="1">
      <c r="A25" s="572"/>
      <c r="B25" s="415"/>
      <c r="C25" s="414" t="s">
        <v>129</v>
      </c>
      <c r="D25" s="415" t="s">
        <v>123</v>
      </c>
      <c r="E25" s="415">
        <v>12.6</v>
      </c>
      <c r="F25" s="416">
        <f>F21*E25</f>
        <v>1.26</v>
      </c>
      <c r="G25" s="412"/>
      <c r="H25" s="412"/>
      <c r="I25" s="417"/>
      <c r="J25" s="368"/>
      <c r="K25" s="416"/>
      <c r="L25" s="416"/>
      <c r="M25" s="416"/>
    </row>
    <row r="26" spans="1:13" s="413" customFormat="1" ht="28.5" customHeight="1">
      <c r="A26" s="570">
        <v>4</v>
      </c>
      <c r="B26" s="362" t="s">
        <v>372</v>
      </c>
      <c r="C26" s="160" t="s">
        <v>217</v>
      </c>
      <c r="D26" s="409" t="s">
        <v>122</v>
      </c>
      <c r="E26" s="364"/>
      <c r="F26" s="411">
        <v>0.52</v>
      </c>
      <c r="G26" s="410"/>
      <c r="H26" s="368"/>
      <c r="I26" s="411"/>
      <c r="J26" s="412"/>
      <c r="K26" s="416"/>
      <c r="L26" s="416"/>
      <c r="M26" s="416"/>
    </row>
    <row r="27" spans="1:13" s="413" customFormat="1" ht="17.25" customHeight="1">
      <c r="A27" s="571"/>
      <c r="B27" s="362"/>
      <c r="C27" s="414" t="s">
        <v>119</v>
      </c>
      <c r="D27" s="415" t="s">
        <v>120</v>
      </c>
      <c r="E27" s="362">
        <v>13.9</v>
      </c>
      <c r="F27" s="362">
        <f>F26*E27</f>
        <v>7.2280000000000006</v>
      </c>
      <c r="G27" s="375"/>
      <c r="H27" s="368"/>
      <c r="I27" s="411"/>
      <c r="J27" s="412"/>
      <c r="K27" s="416"/>
      <c r="L27" s="416"/>
      <c r="M27" s="416"/>
    </row>
    <row r="28" spans="1:13" s="413" customFormat="1" ht="17.25" customHeight="1">
      <c r="A28" s="571"/>
      <c r="B28" s="415" t="s">
        <v>218</v>
      </c>
      <c r="C28" s="414" t="s">
        <v>219</v>
      </c>
      <c r="D28" s="415" t="s">
        <v>127</v>
      </c>
      <c r="E28" s="415">
        <v>100</v>
      </c>
      <c r="F28" s="416">
        <f>F26*E28</f>
        <v>52</v>
      </c>
      <c r="G28" s="412"/>
      <c r="H28" s="412"/>
      <c r="I28" s="416"/>
      <c r="J28" s="368"/>
      <c r="K28" s="416"/>
      <c r="L28" s="416"/>
      <c r="M28" s="416"/>
    </row>
    <row r="29" spans="1:13" s="413" customFormat="1" ht="17.25" customHeight="1">
      <c r="A29" s="571"/>
      <c r="B29" s="415" t="s">
        <v>220</v>
      </c>
      <c r="C29" s="414" t="s">
        <v>221</v>
      </c>
      <c r="D29" s="415" t="s">
        <v>205</v>
      </c>
      <c r="E29" s="415"/>
      <c r="F29" s="418">
        <v>5</v>
      </c>
      <c r="G29" s="412"/>
      <c r="H29" s="412"/>
      <c r="I29" s="416"/>
      <c r="J29" s="368"/>
      <c r="K29" s="416"/>
      <c r="L29" s="416"/>
      <c r="M29" s="416"/>
    </row>
    <row r="30" spans="1:13" s="413" customFormat="1" ht="17.25" customHeight="1">
      <c r="A30" s="572"/>
      <c r="B30" s="415"/>
      <c r="C30" s="414" t="s">
        <v>129</v>
      </c>
      <c r="D30" s="415" t="s">
        <v>123</v>
      </c>
      <c r="E30" s="415">
        <v>0.97</v>
      </c>
      <c r="F30" s="416">
        <f>F26*E30</f>
        <v>0.50439999999999996</v>
      </c>
      <c r="G30" s="412"/>
      <c r="I30" s="417"/>
      <c r="J30" s="368"/>
      <c r="K30" s="416"/>
      <c r="L30" s="416"/>
      <c r="M30" s="416"/>
    </row>
    <row r="31" spans="1:13" s="413" customFormat="1" ht="27">
      <c r="A31" s="570">
        <v>5</v>
      </c>
      <c r="B31" s="362" t="s">
        <v>371</v>
      </c>
      <c r="C31" s="160" t="s">
        <v>222</v>
      </c>
      <c r="D31" s="409" t="s">
        <v>122</v>
      </c>
      <c r="E31" s="364"/>
      <c r="F31" s="411">
        <v>0.22</v>
      </c>
      <c r="G31" s="410"/>
      <c r="H31" s="412"/>
      <c r="I31" s="411"/>
      <c r="J31" s="412"/>
      <c r="K31" s="416"/>
      <c r="L31" s="416"/>
      <c r="M31" s="416"/>
    </row>
    <row r="32" spans="1:13" s="413" customFormat="1" ht="13.5">
      <c r="A32" s="571"/>
      <c r="B32" s="362"/>
      <c r="C32" s="414" t="s">
        <v>119</v>
      </c>
      <c r="D32" s="415" t="s">
        <v>120</v>
      </c>
      <c r="E32" s="362">
        <v>42.5</v>
      </c>
      <c r="F32" s="362">
        <f>F31*E32</f>
        <v>9.35</v>
      </c>
      <c r="G32" s="375"/>
      <c r="H32" s="368"/>
      <c r="I32" s="411"/>
      <c r="J32" s="412"/>
      <c r="K32" s="416"/>
      <c r="L32" s="416"/>
      <c r="M32" s="416"/>
    </row>
    <row r="33" spans="1:125" s="413" customFormat="1" ht="13.5">
      <c r="A33" s="571"/>
      <c r="B33" s="415"/>
      <c r="C33" s="414" t="s">
        <v>231</v>
      </c>
      <c r="D33" s="415" t="s">
        <v>123</v>
      </c>
      <c r="E33" s="415">
        <v>2</v>
      </c>
      <c r="F33" s="416">
        <f>F31*E33</f>
        <v>0.44</v>
      </c>
      <c r="G33" s="412"/>
      <c r="H33" s="412"/>
      <c r="I33" s="417"/>
      <c r="J33" s="368"/>
      <c r="K33" s="416"/>
      <c r="L33" s="416"/>
      <c r="M33" s="416"/>
    </row>
    <row r="34" spans="1:125" s="413" customFormat="1" ht="31.5" customHeight="1">
      <c r="A34" s="571"/>
      <c r="B34" s="415" t="s">
        <v>223</v>
      </c>
      <c r="C34" s="414" t="s">
        <v>224</v>
      </c>
      <c r="D34" s="415" t="s">
        <v>127</v>
      </c>
      <c r="E34" s="415">
        <v>101</v>
      </c>
      <c r="F34" s="416">
        <f>F31*E34</f>
        <v>22.22</v>
      </c>
      <c r="G34" s="412"/>
      <c r="H34" s="412"/>
      <c r="I34" s="416"/>
      <c r="J34" s="368"/>
      <c r="K34" s="416"/>
      <c r="L34" s="416"/>
      <c r="M34" s="416"/>
    </row>
    <row r="35" spans="1:125" s="413" customFormat="1" ht="18" customHeight="1">
      <c r="A35" s="571"/>
      <c r="B35" s="419"/>
      <c r="C35" s="420" t="s">
        <v>129</v>
      </c>
      <c r="D35" s="419" t="s">
        <v>123</v>
      </c>
      <c r="E35" s="419">
        <v>0.97</v>
      </c>
      <c r="F35" s="421">
        <f>F31*E35</f>
        <v>0.21340000000000001</v>
      </c>
      <c r="G35" s="412"/>
      <c r="H35" s="412"/>
      <c r="I35" s="417"/>
      <c r="J35" s="368"/>
      <c r="K35" s="416"/>
      <c r="L35" s="416"/>
      <c r="M35" s="416"/>
    </row>
    <row r="36" spans="1:125" s="413" customFormat="1" ht="17.25" customHeight="1">
      <c r="A36" s="44"/>
      <c r="B36" s="44"/>
      <c r="C36" s="45" t="s">
        <v>169</v>
      </c>
      <c r="D36" s="44"/>
      <c r="E36" s="44"/>
      <c r="F36" s="44"/>
      <c r="G36" s="422"/>
      <c r="H36" s="365"/>
      <c r="I36" s="365"/>
      <c r="J36" s="365"/>
      <c r="K36" s="416"/>
      <c r="L36" s="365"/>
      <c r="M36" s="423"/>
      <c r="N36" s="386"/>
      <c r="O36" s="386"/>
      <c r="P36" s="386"/>
      <c r="Q36" s="386"/>
      <c r="R36" s="386"/>
      <c r="S36" s="386"/>
      <c r="T36" s="386"/>
      <c r="U36" s="386"/>
      <c r="V36" s="386"/>
      <c r="W36" s="386"/>
      <c r="X36" s="386"/>
      <c r="Y36" s="386"/>
      <c r="Z36" s="386"/>
      <c r="AA36" s="386"/>
      <c r="AB36" s="386"/>
      <c r="AC36" s="386"/>
      <c r="AD36" s="386"/>
      <c r="AE36" s="386"/>
      <c r="AF36" s="386"/>
      <c r="AG36" s="386"/>
      <c r="AH36" s="386"/>
      <c r="AI36" s="386"/>
      <c r="AJ36" s="386"/>
      <c r="AK36" s="386"/>
      <c r="AL36" s="386"/>
      <c r="AM36" s="386"/>
      <c r="AN36" s="386"/>
      <c r="AO36" s="386"/>
      <c r="AP36" s="386"/>
      <c r="AQ36" s="386"/>
      <c r="AR36" s="386"/>
      <c r="AS36" s="386"/>
      <c r="AT36" s="386"/>
      <c r="AU36" s="386"/>
      <c r="AV36" s="386"/>
      <c r="AW36" s="386"/>
      <c r="AX36" s="386"/>
      <c r="AY36" s="386"/>
      <c r="AZ36" s="386"/>
      <c r="BA36" s="386"/>
      <c r="BB36" s="386"/>
      <c r="BC36" s="386"/>
      <c r="BD36" s="386"/>
      <c r="BE36" s="386"/>
      <c r="BF36" s="386"/>
      <c r="BG36" s="386"/>
      <c r="BH36" s="386"/>
      <c r="BI36" s="386"/>
      <c r="BJ36" s="386"/>
      <c r="BK36" s="386"/>
      <c r="BL36" s="386"/>
      <c r="BM36" s="386"/>
      <c r="BN36" s="386"/>
      <c r="BO36" s="386"/>
      <c r="BP36" s="386"/>
      <c r="BQ36" s="386"/>
      <c r="BR36" s="386"/>
      <c r="BS36" s="386"/>
      <c r="BT36" s="386"/>
      <c r="BU36" s="386"/>
      <c r="BV36" s="386"/>
      <c r="BW36" s="386"/>
      <c r="BX36" s="386"/>
      <c r="BY36" s="386"/>
      <c r="BZ36" s="386"/>
      <c r="CA36" s="386"/>
      <c r="CB36" s="386"/>
      <c r="CC36" s="386"/>
      <c r="CD36" s="386"/>
      <c r="CE36" s="386"/>
      <c r="CF36" s="386"/>
      <c r="CG36" s="386"/>
      <c r="CH36" s="386"/>
      <c r="CI36" s="386"/>
      <c r="CJ36" s="386"/>
      <c r="CK36" s="386"/>
      <c r="CL36" s="386"/>
      <c r="CM36" s="386"/>
      <c r="CN36" s="386"/>
      <c r="CO36" s="386"/>
      <c r="CP36" s="386"/>
      <c r="CQ36" s="386"/>
      <c r="CR36" s="386"/>
      <c r="CS36" s="386"/>
      <c r="CT36" s="386"/>
      <c r="CU36" s="386"/>
      <c r="CV36" s="386"/>
      <c r="CW36" s="386"/>
      <c r="CX36" s="386"/>
      <c r="CY36" s="386"/>
      <c r="CZ36" s="386"/>
      <c r="DA36" s="386"/>
      <c r="DB36" s="386"/>
      <c r="DC36" s="386"/>
      <c r="DD36" s="386"/>
      <c r="DE36" s="386"/>
      <c r="DF36" s="386"/>
      <c r="DG36" s="386"/>
      <c r="DH36" s="386"/>
      <c r="DI36" s="386"/>
      <c r="DJ36" s="386"/>
      <c r="DK36" s="386"/>
      <c r="DL36" s="386"/>
      <c r="DM36" s="386"/>
      <c r="DN36" s="386"/>
      <c r="DO36" s="386"/>
      <c r="DP36" s="386"/>
      <c r="DQ36" s="386"/>
      <c r="DR36" s="386"/>
      <c r="DS36" s="386"/>
      <c r="DT36" s="386"/>
      <c r="DU36" s="386"/>
    </row>
    <row r="37" spans="1:125" s="413" customFormat="1" ht="27">
      <c r="A37" s="44"/>
      <c r="B37" s="424"/>
      <c r="C37" s="45" t="s">
        <v>228</v>
      </c>
      <c r="D37" s="425"/>
      <c r="E37" s="424"/>
      <c r="F37" s="424"/>
      <c r="G37" s="426"/>
      <c r="H37" s="365"/>
      <c r="I37" s="365"/>
      <c r="J37" s="365"/>
      <c r="K37" s="365"/>
      <c r="L37" s="365"/>
      <c r="M37" s="423"/>
      <c r="N37" s="386"/>
      <c r="O37" s="386"/>
      <c r="P37" s="386"/>
      <c r="Q37" s="386"/>
      <c r="R37" s="386"/>
      <c r="S37" s="386"/>
      <c r="T37" s="386"/>
      <c r="U37" s="386"/>
      <c r="V37" s="386"/>
      <c r="W37" s="386"/>
      <c r="X37" s="386"/>
      <c r="Y37" s="386"/>
      <c r="Z37" s="386"/>
      <c r="AA37" s="386"/>
      <c r="AB37" s="386"/>
      <c r="AC37" s="386"/>
      <c r="AD37" s="386"/>
      <c r="AE37" s="386"/>
      <c r="AF37" s="386"/>
      <c r="AG37" s="386"/>
      <c r="AH37" s="386"/>
      <c r="AI37" s="386"/>
      <c r="AJ37" s="386"/>
      <c r="AK37" s="386"/>
      <c r="AL37" s="386"/>
      <c r="AM37" s="386"/>
      <c r="AN37" s="386"/>
      <c r="AO37" s="386"/>
      <c r="AP37" s="386"/>
      <c r="AQ37" s="386"/>
      <c r="AR37" s="386"/>
      <c r="AS37" s="386"/>
      <c r="AT37" s="386"/>
      <c r="AU37" s="386"/>
      <c r="AV37" s="386"/>
      <c r="AW37" s="386"/>
      <c r="AX37" s="386"/>
      <c r="AY37" s="386"/>
      <c r="AZ37" s="386"/>
      <c r="BA37" s="386"/>
      <c r="BB37" s="386"/>
      <c r="BC37" s="386"/>
      <c r="BD37" s="386"/>
      <c r="BE37" s="386"/>
      <c r="BF37" s="386"/>
      <c r="BG37" s="386"/>
      <c r="BH37" s="386"/>
      <c r="BI37" s="386"/>
      <c r="BJ37" s="386"/>
      <c r="BK37" s="386"/>
      <c r="BL37" s="386"/>
      <c r="BM37" s="386"/>
      <c r="BN37" s="386"/>
      <c r="BO37" s="386"/>
      <c r="BP37" s="386"/>
      <c r="BQ37" s="386"/>
      <c r="BR37" s="386"/>
      <c r="BS37" s="386"/>
      <c r="BT37" s="386"/>
      <c r="BU37" s="386"/>
      <c r="BV37" s="386"/>
      <c r="BW37" s="386"/>
      <c r="BX37" s="386"/>
      <c r="BY37" s="386"/>
      <c r="BZ37" s="386"/>
      <c r="CA37" s="386"/>
      <c r="CB37" s="386"/>
      <c r="CC37" s="386"/>
      <c r="CD37" s="386"/>
      <c r="CE37" s="386"/>
      <c r="CF37" s="386"/>
      <c r="CG37" s="386"/>
      <c r="CH37" s="386"/>
      <c r="CI37" s="386"/>
      <c r="CJ37" s="386"/>
      <c r="CK37" s="386"/>
      <c r="CL37" s="386"/>
      <c r="CM37" s="386"/>
      <c r="CN37" s="386"/>
      <c r="CO37" s="386"/>
      <c r="CP37" s="386"/>
      <c r="CQ37" s="386"/>
      <c r="CR37" s="386"/>
      <c r="CS37" s="386"/>
      <c r="CT37" s="386"/>
      <c r="CU37" s="386"/>
      <c r="CV37" s="386"/>
      <c r="CW37" s="386"/>
      <c r="CX37" s="386"/>
      <c r="CY37" s="386"/>
      <c r="CZ37" s="386"/>
      <c r="DA37" s="386"/>
      <c r="DB37" s="386"/>
      <c r="DC37" s="386"/>
      <c r="DD37" s="386"/>
      <c r="DE37" s="386"/>
      <c r="DF37" s="386"/>
      <c r="DG37" s="386"/>
      <c r="DH37" s="386"/>
      <c r="DI37" s="386"/>
      <c r="DJ37" s="386"/>
      <c r="DK37" s="386"/>
      <c r="DL37" s="386"/>
      <c r="DM37" s="386"/>
      <c r="DN37" s="386"/>
      <c r="DO37" s="386"/>
      <c r="DP37" s="386"/>
      <c r="DQ37" s="386"/>
      <c r="DR37" s="386"/>
      <c r="DS37" s="386"/>
      <c r="DT37" s="386"/>
      <c r="DU37" s="386"/>
    </row>
    <row r="38" spans="1:125" s="413" customFormat="1" ht="19.5" customHeight="1">
      <c r="A38" s="424"/>
      <c r="B38" s="424"/>
      <c r="C38" s="427" t="s">
        <v>22</v>
      </c>
      <c r="D38" s="427"/>
      <c r="E38" s="424"/>
      <c r="F38" s="424"/>
      <c r="G38" s="425"/>
      <c r="H38" s="365"/>
      <c r="I38" s="365"/>
      <c r="J38" s="365"/>
      <c r="K38" s="365"/>
      <c r="L38" s="365"/>
      <c r="M38" s="423"/>
      <c r="N38" s="386"/>
      <c r="O38" s="386"/>
      <c r="P38" s="386"/>
      <c r="Q38" s="386"/>
      <c r="R38" s="386"/>
      <c r="S38" s="386"/>
      <c r="T38" s="386"/>
      <c r="U38" s="386"/>
      <c r="V38" s="386"/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6"/>
      <c r="AK38" s="386"/>
      <c r="AL38" s="386"/>
      <c r="AM38" s="386"/>
      <c r="AN38" s="386"/>
      <c r="AO38" s="386"/>
      <c r="AP38" s="386"/>
      <c r="AQ38" s="386"/>
      <c r="AR38" s="386"/>
      <c r="AS38" s="386"/>
      <c r="AT38" s="386"/>
      <c r="AU38" s="386"/>
      <c r="AV38" s="386"/>
      <c r="AW38" s="386"/>
      <c r="AX38" s="386"/>
      <c r="AY38" s="386"/>
      <c r="AZ38" s="386"/>
      <c r="BA38" s="386"/>
      <c r="BB38" s="386"/>
      <c r="BC38" s="386"/>
      <c r="BD38" s="386"/>
      <c r="BE38" s="386"/>
      <c r="BF38" s="386"/>
      <c r="BG38" s="386"/>
      <c r="BH38" s="386"/>
      <c r="BI38" s="386"/>
      <c r="BJ38" s="386"/>
      <c r="BK38" s="386"/>
      <c r="BL38" s="386"/>
      <c r="BM38" s="386"/>
      <c r="BN38" s="386"/>
      <c r="BO38" s="386"/>
      <c r="BP38" s="386"/>
      <c r="BQ38" s="386"/>
      <c r="BR38" s="386"/>
      <c r="BS38" s="386"/>
      <c r="BT38" s="386"/>
      <c r="BU38" s="386"/>
      <c r="BV38" s="386"/>
      <c r="BW38" s="386"/>
      <c r="BX38" s="386"/>
      <c r="BY38" s="386"/>
      <c r="BZ38" s="386"/>
      <c r="CA38" s="386"/>
      <c r="CB38" s="386"/>
      <c r="CC38" s="386"/>
      <c r="CD38" s="386"/>
      <c r="CE38" s="386"/>
      <c r="CF38" s="386"/>
      <c r="CG38" s="386"/>
      <c r="CH38" s="386"/>
      <c r="CI38" s="386"/>
      <c r="CJ38" s="386"/>
      <c r="CK38" s="386"/>
      <c r="CL38" s="386"/>
      <c r="CM38" s="386"/>
      <c r="CN38" s="386"/>
      <c r="CO38" s="386"/>
      <c r="CP38" s="386"/>
      <c r="CQ38" s="386"/>
      <c r="CR38" s="386"/>
      <c r="CS38" s="386"/>
      <c r="CT38" s="386"/>
      <c r="CU38" s="386"/>
      <c r="CV38" s="386"/>
      <c r="CW38" s="386"/>
      <c r="CX38" s="386"/>
      <c r="CY38" s="386"/>
      <c r="CZ38" s="386"/>
      <c r="DA38" s="386"/>
      <c r="DB38" s="386"/>
      <c r="DC38" s="386"/>
      <c r="DD38" s="386"/>
      <c r="DE38" s="386"/>
      <c r="DF38" s="386"/>
      <c r="DG38" s="386"/>
      <c r="DH38" s="386"/>
      <c r="DI38" s="386"/>
      <c r="DJ38" s="386"/>
      <c r="DK38" s="386"/>
      <c r="DL38" s="386"/>
      <c r="DM38" s="386"/>
      <c r="DN38" s="386"/>
      <c r="DO38" s="386"/>
      <c r="DP38" s="386"/>
      <c r="DQ38" s="386"/>
      <c r="DR38" s="386"/>
      <c r="DS38" s="386"/>
      <c r="DT38" s="386"/>
      <c r="DU38" s="386"/>
    </row>
    <row r="39" spans="1:125" s="413" customFormat="1" ht="19.5" customHeight="1">
      <c r="A39" s="44"/>
      <c r="B39" s="424"/>
      <c r="C39" s="45" t="s">
        <v>229</v>
      </c>
      <c r="D39" s="425"/>
      <c r="E39" s="424"/>
      <c r="F39" s="424"/>
      <c r="G39" s="426"/>
      <c r="H39" s="365"/>
      <c r="I39" s="365"/>
      <c r="J39" s="365"/>
      <c r="K39" s="365"/>
      <c r="L39" s="365"/>
      <c r="M39" s="423"/>
      <c r="N39" s="386"/>
      <c r="O39" s="386"/>
      <c r="P39" s="386"/>
      <c r="Q39" s="386"/>
      <c r="R39" s="386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  <c r="AI39" s="386"/>
      <c r="AJ39" s="386"/>
      <c r="AK39" s="386"/>
      <c r="AL39" s="386"/>
      <c r="AM39" s="386"/>
      <c r="AN39" s="386"/>
      <c r="AO39" s="386"/>
      <c r="AP39" s="386"/>
      <c r="AQ39" s="386"/>
      <c r="AR39" s="386"/>
      <c r="AS39" s="386"/>
      <c r="AT39" s="386"/>
      <c r="AU39" s="386"/>
      <c r="AV39" s="386"/>
      <c r="AW39" s="386"/>
      <c r="AX39" s="386"/>
      <c r="AY39" s="386"/>
      <c r="AZ39" s="386"/>
      <c r="BA39" s="386"/>
      <c r="BB39" s="386"/>
      <c r="BC39" s="386"/>
      <c r="BD39" s="386"/>
      <c r="BE39" s="386"/>
      <c r="BF39" s="386"/>
      <c r="BG39" s="386"/>
      <c r="BH39" s="386"/>
      <c r="BI39" s="386"/>
      <c r="BJ39" s="386"/>
      <c r="BK39" s="386"/>
      <c r="BL39" s="386"/>
      <c r="BM39" s="386"/>
      <c r="BN39" s="386"/>
      <c r="BO39" s="386"/>
      <c r="BP39" s="386"/>
      <c r="BQ39" s="386"/>
      <c r="BR39" s="386"/>
      <c r="BS39" s="386"/>
      <c r="BT39" s="386"/>
      <c r="BU39" s="386"/>
      <c r="BV39" s="386"/>
      <c r="BW39" s="386"/>
      <c r="BX39" s="386"/>
      <c r="BY39" s="386"/>
      <c r="BZ39" s="386"/>
      <c r="CA39" s="386"/>
      <c r="CB39" s="386"/>
      <c r="CC39" s="386"/>
      <c r="CD39" s="386"/>
      <c r="CE39" s="386"/>
      <c r="CF39" s="386"/>
      <c r="CG39" s="386"/>
      <c r="CH39" s="386"/>
      <c r="CI39" s="386"/>
      <c r="CJ39" s="386"/>
      <c r="CK39" s="386"/>
      <c r="CL39" s="386"/>
      <c r="CM39" s="386"/>
      <c r="CN39" s="386"/>
      <c r="CO39" s="386"/>
      <c r="CP39" s="386"/>
      <c r="CQ39" s="386"/>
      <c r="CR39" s="386"/>
      <c r="CS39" s="386"/>
      <c r="CT39" s="386"/>
      <c r="CU39" s="386"/>
      <c r="CV39" s="386"/>
      <c r="CW39" s="386"/>
      <c r="CX39" s="386"/>
      <c r="CY39" s="386"/>
      <c r="CZ39" s="386"/>
      <c r="DA39" s="386"/>
      <c r="DB39" s="386"/>
      <c r="DC39" s="386"/>
      <c r="DD39" s="386"/>
      <c r="DE39" s="386"/>
      <c r="DF39" s="386"/>
      <c r="DG39" s="386"/>
      <c r="DH39" s="386"/>
      <c r="DI39" s="386"/>
      <c r="DJ39" s="386"/>
      <c r="DK39" s="386"/>
      <c r="DL39" s="386"/>
      <c r="DM39" s="386"/>
      <c r="DN39" s="386"/>
      <c r="DO39" s="386"/>
      <c r="DP39" s="386"/>
      <c r="DQ39" s="386"/>
      <c r="DR39" s="386"/>
      <c r="DS39" s="386"/>
      <c r="DT39" s="386"/>
      <c r="DU39" s="386"/>
    </row>
    <row r="40" spans="1:125" s="413" customFormat="1" ht="19.5" customHeight="1">
      <c r="A40" s="424"/>
      <c r="B40" s="424"/>
      <c r="C40" s="427" t="s">
        <v>22</v>
      </c>
      <c r="D40" s="427"/>
      <c r="E40" s="424"/>
      <c r="F40" s="424"/>
      <c r="G40" s="428"/>
      <c r="H40" s="365"/>
      <c r="I40" s="365"/>
      <c r="J40" s="365"/>
      <c r="K40" s="365"/>
      <c r="L40" s="365"/>
      <c r="M40" s="423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  <c r="AI40" s="386"/>
      <c r="AJ40" s="386"/>
      <c r="AK40" s="386"/>
      <c r="AL40" s="386"/>
      <c r="AM40" s="386"/>
      <c r="AN40" s="386"/>
      <c r="AO40" s="386"/>
      <c r="AP40" s="386"/>
      <c r="AQ40" s="386"/>
      <c r="AR40" s="386"/>
      <c r="AS40" s="386"/>
      <c r="AT40" s="386"/>
      <c r="AU40" s="386"/>
      <c r="AV40" s="386"/>
      <c r="AW40" s="386"/>
      <c r="AX40" s="386"/>
      <c r="AY40" s="386"/>
      <c r="AZ40" s="386"/>
      <c r="BA40" s="386"/>
      <c r="BB40" s="386"/>
      <c r="BC40" s="386"/>
      <c r="BD40" s="386"/>
      <c r="BE40" s="386"/>
      <c r="BF40" s="386"/>
      <c r="BG40" s="386"/>
      <c r="BH40" s="386"/>
      <c r="BI40" s="386"/>
      <c r="BJ40" s="386"/>
      <c r="BK40" s="386"/>
      <c r="BL40" s="386"/>
      <c r="BM40" s="386"/>
      <c r="BN40" s="386"/>
      <c r="BO40" s="386"/>
      <c r="BP40" s="386"/>
      <c r="BQ40" s="386"/>
      <c r="BR40" s="386"/>
      <c r="BS40" s="386"/>
      <c r="BT40" s="386"/>
      <c r="BU40" s="386"/>
      <c r="BV40" s="386"/>
      <c r="BW40" s="386"/>
      <c r="BX40" s="386"/>
      <c r="BY40" s="386"/>
      <c r="BZ40" s="386"/>
      <c r="CA40" s="386"/>
      <c r="CB40" s="386"/>
      <c r="CC40" s="386"/>
      <c r="CD40" s="386"/>
      <c r="CE40" s="386"/>
      <c r="CF40" s="386"/>
      <c r="CG40" s="386"/>
      <c r="CH40" s="386"/>
      <c r="CI40" s="386"/>
      <c r="CJ40" s="386"/>
      <c r="CK40" s="386"/>
      <c r="CL40" s="386"/>
      <c r="CM40" s="386"/>
      <c r="CN40" s="386"/>
      <c r="CO40" s="386"/>
      <c r="CP40" s="386"/>
      <c r="CQ40" s="386"/>
      <c r="CR40" s="386"/>
      <c r="CS40" s="386"/>
      <c r="CT40" s="386"/>
      <c r="CU40" s="386"/>
      <c r="CV40" s="386"/>
      <c r="CW40" s="386"/>
      <c r="CX40" s="386"/>
      <c r="CY40" s="386"/>
      <c r="CZ40" s="386"/>
      <c r="DA40" s="386"/>
      <c r="DB40" s="386"/>
      <c r="DC40" s="386"/>
      <c r="DD40" s="386"/>
      <c r="DE40" s="386"/>
      <c r="DF40" s="386"/>
      <c r="DG40" s="386"/>
      <c r="DH40" s="386"/>
      <c r="DI40" s="386"/>
      <c r="DJ40" s="386"/>
      <c r="DK40" s="386"/>
      <c r="DL40" s="386"/>
      <c r="DM40" s="386"/>
      <c r="DN40" s="386"/>
      <c r="DO40" s="386"/>
      <c r="DP40" s="386"/>
      <c r="DQ40" s="386"/>
      <c r="DR40" s="386"/>
      <c r="DS40" s="386"/>
      <c r="DT40" s="386"/>
      <c r="DU40" s="386"/>
    </row>
    <row r="41" spans="1:125" s="413" customFormat="1" ht="19.5" customHeight="1">
      <c r="A41" s="44"/>
      <c r="B41" s="424"/>
      <c r="C41" s="45" t="s">
        <v>230</v>
      </c>
      <c r="D41" s="425"/>
      <c r="E41" s="424"/>
      <c r="F41" s="424"/>
      <c r="G41" s="426"/>
      <c r="H41" s="365"/>
      <c r="I41" s="365"/>
      <c r="J41" s="365"/>
      <c r="K41" s="365"/>
      <c r="L41" s="365"/>
      <c r="M41" s="423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  <c r="AI41" s="386"/>
      <c r="AJ41" s="386"/>
      <c r="AK41" s="386"/>
      <c r="AL41" s="386"/>
      <c r="AM41" s="386"/>
      <c r="AN41" s="386"/>
      <c r="AO41" s="386"/>
      <c r="AP41" s="386"/>
      <c r="AQ41" s="386"/>
      <c r="AR41" s="386"/>
      <c r="AS41" s="386"/>
      <c r="AT41" s="386"/>
      <c r="AU41" s="386"/>
      <c r="AV41" s="386"/>
      <c r="AW41" s="386"/>
      <c r="AX41" s="386"/>
      <c r="AY41" s="386"/>
      <c r="AZ41" s="386"/>
      <c r="BA41" s="386"/>
      <c r="BB41" s="386"/>
      <c r="BC41" s="386"/>
      <c r="BD41" s="386"/>
      <c r="BE41" s="386"/>
      <c r="BF41" s="386"/>
      <c r="BG41" s="386"/>
      <c r="BH41" s="386"/>
      <c r="BI41" s="386"/>
      <c r="BJ41" s="386"/>
      <c r="BK41" s="386"/>
      <c r="BL41" s="386"/>
      <c r="BM41" s="386"/>
      <c r="BN41" s="386"/>
      <c r="BO41" s="386"/>
      <c r="BP41" s="386"/>
      <c r="BQ41" s="386"/>
      <c r="BR41" s="386"/>
      <c r="BS41" s="386"/>
      <c r="BT41" s="386"/>
      <c r="BU41" s="386"/>
      <c r="BV41" s="386"/>
      <c r="BW41" s="386"/>
      <c r="BX41" s="386"/>
      <c r="BY41" s="386"/>
      <c r="BZ41" s="386"/>
      <c r="CA41" s="386"/>
      <c r="CB41" s="386"/>
      <c r="CC41" s="386"/>
      <c r="CD41" s="386"/>
      <c r="CE41" s="386"/>
      <c r="CF41" s="386"/>
      <c r="CG41" s="386"/>
      <c r="CH41" s="386"/>
      <c r="CI41" s="386"/>
      <c r="CJ41" s="386"/>
      <c r="CK41" s="386"/>
      <c r="CL41" s="386"/>
      <c r="CM41" s="386"/>
      <c r="CN41" s="386"/>
      <c r="CO41" s="386"/>
      <c r="CP41" s="386"/>
      <c r="CQ41" s="386"/>
      <c r="CR41" s="386"/>
      <c r="CS41" s="386"/>
      <c r="CT41" s="386"/>
      <c r="CU41" s="386"/>
      <c r="CV41" s="386"/>
      <c r="CW41" s="386"/>
      <c r="CX41" s="386"/>
      <c r="CY41" s="386"/>
      <c r="CZ41" s="386"/>
      <c r="DA41" s="386"/>
      <c r="DB41" s="386"/>
      <c r="DC41" s="386"/>
      <c r="DD41" s="386"/>
      <c r="DE41" s="386"/>
      <c r="DF41" s="386"/>
      <c r="DG41" s="386"/>
      <c r="DH41" s="386"/>
      <c r="DI41" s="386"/>
      <c r="DJ41" s="386"/>
      <c r="DK41" s="386"/>
      <c r="DL41" s="386"/>
      <c r="DM41" s="386"/>
      <c r="DN41" s="386"/>
      <c r="DO41" s="386"/>
      <c r="DP41" s="386"/>
      <c r="DQ41" s="386"/>
      <c r="DR41" s="386"/>
      <c r="DS41" s="386"/>
      <c r="DT41" s="386"/>
      <c r="DU41" s="386"/>
    </row>
    <row r="42" spans="1:125" s="413" customFormat="1" ht="19.5" customHeight="1">
      <c r="A42" s="424"/>
      <c r="B42" s="424"/>
      <c r="C42" s="427" t="s">
        <v>169</v>
      </c>
      <c r="D42" s="427"/>
      <c r="E42" s="424"/>
      <c r="F42" s="424"/>
      <c r="G42" s="426"/>
      <c r="H42" s="365"/>
      <c r="I42" s="365"/>
      <c r="J42" s="365"/>
      <c r="K42" s="365"/>
      <c r="L42" s="365"/>
      <c r="M42" s="423"/>
      <c r="N42" s="386"/>
      <c r="O42" s="386"/>
      <c r="P42" s="386"/>
      <c r="Q42" s="386"/>
      <c r="R42" s="386"/>
      <c r="S42" s="386"/>
      <c r="T42" s="386"/>
      <c r="U42" s="386"/>
      <c r="V42" s="386"/>
      <c r="W42" s="386"/>
      <c r="X42" s="386"/>
      <c r="Y42" s="386"/>
      <c r="Z42" s="386"/>
      <c r="AA42" s="386"/>
      <c r="AB42" s="386"/>
      <c r="AC42" s="386"/>
      <c r="AD42" s="386"/>
      <c r="AE42" s="386"/>
      <c r="AF42" s="386"/>
      <c r="AG42" s="386"/>
      <c r="AH42" s="386"/>
      <c r="AI42" s="386"/>
      <c r="AJ42" s="386"/>
      <c r="AK42" s="386"/>
      <c r="AL42" s="386"/>
      <c r="AM42" s="386"/>
      <c r="AN42" s="386"/>
      <c r="AO42" s="386"/>
      <c r="AP42" s="386"/>
      <c r="AQ42" s="386"/>
      <c r="AR42" s="386"/>
      <c r="AS42" s="386"/>
      <c r="AT42" s="386"/>
      <c r="AU42" s="386"/>
      <c r="AV42" s="386"/>
      <c r="AW42" s="386"/>
      <c r="AX42" s="386"/>
      <c r="AY42" s="386"/>
      <c r="AZ42" s="386"/>
      <c r="BA42" s="386"/>
      <c r="BB42" s="386"/>
      <c r="BC42" s="386"/>
      <c r="BD42" s="386"/>
      <c r="BE42" s="386"/>
      <c r="BF42" s="386"/>
      <c r="BG42" s="386"/>
      <c r="BH42" s="386"/>
      <c r="BI42" s="386"/>
      <c r="BJ42" s="386"/>
      <c r="BK42" s="386"/>
      <c r="BL42" s="386"/>
      <c r="BM42" s="386"/>
      <c r="BN42" s="386"/>
      <c r="BO42" s="386"/>
      <c r="BP42" s="386"/>
      <c r="BQ42" s="386"/>
      <c r="BR42" s="386"/>
      <c r="BS42" s="386"/>
      <c r="BT42" s="386"/>
      <c r="BU42" s="386"/>
      <c r="BV42" s="386"/>
      <c r="BW42" s="386"/>
      <c r="BX42" s="386"/>
      <c r="BY42" s="386"/>
      <c r="BZ42" s="386"/>
      <c r="CA42" s="386"/>
      <c r="CB42" s="386"/>
      <c r="CC42" s="386"/>
      <c r="CD42" s="386"/>
      <c r="CE42" s="386"/>
      <c r="CF42" s="386"/>
      <c r="CG42" s="386"/>
      <c r="CH42" s="386"/>
      <c r="CI42" s="386"/>
      <c r="CJ42" s="386"/>
      <c r="CK42" s="386"/>
      <c r="CL42" s="386"/>
      <c r="CM42" s="386"/>
      <c r="CN42" s="386"/>
      <c r="CO42" s="386"/>
      <c r="CP42" s="386"/>
      <c r="CQ42" s="386"/>
      <c r="CR42" s="386"/>
      <c r="CS42" s="386"/>
      <c r="CT42" s="386"/>
      <c r="CU42" s="386"/>
      <c r="CV42" s="386"/>
      <c r="CW42" s="386"/>
      <c r="CX42" s="386"/>
      <c r="CY42" s="386"/>
      <c r="CZ42" s="386"/>
      <c r="DA42" s="386"/>
      <c r="DB42" s="386"/>
      <c r="DC42" s="386"/>
      <c r="DD42" s="386"/>
      <c r="DE42" s="386"/>
      <c r="DF42" s="386"/>
      <c r="DG42" s="386"/>
      <c r="DH42" s="386"/>
      <c r="DI42" s="386"/>
      <c r="DJ42" s="386"/>
      <c r="DK42" s="386"/>
      <c r="DL42" s="386"/>
      <c r="DM42" s="386"/>
      <c r="DN42" s="386"/>
      <c r="DO42" s="386"/>
      <c r="DP42" s="386"/>
      <c r="DQ42" s="386"/>
      <c r="DR42" s="386"/>
      <c r="DS42" s="386"/>
      <c r="DT42" s="386"/>
      <c r="DU42" s="386"/>
    </row>
    <row r="46" spans="1:125">
      <c r="A46" s="537" t="s">
        <v>294</v>
      </c>
      <c r="B46" s="537"/>
      <c r="C46" s="537"/>
      <c r="D46" s="537"/>
      <c r="E46" s="537"/>
      <c r="F46" s="537"/>
      <c r="G46" s="537"/>
      <c r="H46" s="537"/>
      <c r="I46" s="537"/>
      <c r="J46" s="537"/>
      <c r="K46" s="537"/>
      <c r="L46" s="537"/>
      <c r="M46" s="537"/>
    </row>
    <row r="47" spans="1:125">
      <c r="A47" s="537"/>
      <c r="B47" s="537"/>
      <c r="C47" s="537"/>
      <c r="D47" s="537"/>
      <c r="E47" s="537"/>
      <c r="F47" s="537"/>
      <c r="G47" s="537"/>
      <c r="H47" s="537"/>
      <c r="I47" s="537"/>
      <c r="J47" s="537"/>
      <c r="K47" s="537"/>
      <c r="L47" s="537"/>
      <c r="M47" s="537"/>
    </row>
    <row r="48" spans="1:125">
      <c r="A48" s="537" t="s">
        <v>295</v>
      </c>
      <c r="B48" s="537"/>
      <c r="C48" s="537"/>
      <c r="D48" s="537"/>
      <c r="E48" s="537"/>
      <c r="F48" s="537"/>
      <c r="G48" s="537"/>
      <c r="H48" s="537"/>
      <c r="I48" s="537"/>
      <c r="J48" s="537"/>
      <c r="K48" s="537"/>
      <c r="L48" s="537"/>
      <c r="M48" s="537"/>
    </row>
  </sheetData>
  <mergeCells count="23">
    <mergeCell ref="A46:M46"/>
    <mergeCell ref="A47:M47"/>
    <mergeCell ref="A48:M48"/>
    <mergeCell ref="A16:A20"/>
    <mergeCell ref="A21:A25"/>
    <mergeCell ref="A26:A30"/>
    <mergeCell ref="A31:A35"/>
    <mergeCell ref="A11:A15"/>
    <mergeCell ref="A6:A8"/>
    <mergeCell ref="B6:B8"/>
    <mergeCell ref="C6:C8"/>
    <mergeCell ref="D6:D8"/>
    <mergeCell ref="E6:F7"/>
    <mergeCell ref="A1:M1"/>
    <mergeCell ref="A2:M2"/>
    <mergeCell ref="A3:M3"/>
    <mergeCell ref="F4:K4"/>
    <mergeCell ref="A5:M5"/>
    <mergeCell ref="G6:M6"/>
    <mergeCell ref="G7:H7"/>
    <mergeCell ref="I7:J7"/>
    <mergeCell ref="K7:L7"/>
    <mergeCell ref="M7:M8"/>
  </mergeCells>
  <pageMargins left="0.25" right="0.25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57"/>
  <sheetViews>
    <sheetView tabSelected="1" topLeftCell="A41" workbookViewId="0">
      <selection activeCell="D50" sqref="D50"/>
    </sheetView>
  </sheetViews>
  <sheetFormatPr defaultRowHeight="15"/>
  <cols>
    <col min="1" max="1" width="3.140625" style="220" customWidth="1"/>
    <col min="2" max="2" width="10.7109375" style="220" customWidth="1"/>
    <col min="3" max="3" width="38.7109375" style="220" customWidth="1"/>
    <col min="4" max="4" width="8.140625" style="220" customWidth="1"/>
    <col min="5" max="6" width="9.140625" style="220"/>
    <col min="7" max="7" width="7.5703125" style="220" customWidth="1"/>
    <col min="8" max="11" width="9.140625" style="220"/>
    <col min="12" max="12" width="9.28515625" style="220" customWidth="1"/>
    <col min="13" max="13" width="9.7109375" style="220" customWidth="1"/>
    <col min="14" max="16384" width="9.140625" style="220"/>
  </cols>
  <sheetData>
    <row r="1" spans="1:13" ht="18" customHeight="1">
      <c r="A1" s="536" t="s">
        <v>385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</row>
    <row r="2" spans="1:13" ht="17.25" customHeight="1">
      <c r="A2" s="536" t="s">
        <v>510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</row>
    <row r="3" spans="1:13">
      <c r="A3" s="536" t="s">
        <v>0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</row>
    <row r="4" spans="1:13">
      <c r="A4" s="221"/>
      <c r="B4" s="222"/>
      <c r="C4" s="221"/>
      <c r="D4" s="221"/>
      <c r="E4" s="221"/>
      <c r="F4" s="536" t="s">
        <v>1</v>
      </c>
      <c r="G4" s="536"/>
      <c r="H4" s="536"/>
      <c r="I4" s="536"/>
      <c r="J4" s="536"/>
      <c r="K4" s="536"/>
      <c r="L4" s="223">
        <f>M51/1000</f>
        <v>0</v>
      </c>
      <c r="M4" s="224" t="s">
        <v>384</v>
      </c>
    </row>
    <row r="5" spans="1:13" ht="23.25" customHeight="1">
      <c r="A5" s="536" t="s">
        <v>523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</row>
    <row r="6" spans="1:13">
      <c r="A6" s="538" t="s">
        <v>3</v>
      </c>
      <c r="B6" s="549" t="s">
        <v>36</v>
      </c>
      <c r="C6" s="547" t="s">
        <v>4</v>
      </c>
      <c r="D6" s="538" t="s">
        <v>5</v>
      </c>
      <c r="E6" s="558" t="s">
        <v>6</v>
      </c>
      <c r="F6" s="559"/>
      <c r="G6" s="541" t="s">
        <v>440</v>
      </c>
      <c r="H6" s="542"/>
      <c r="I6" s="542"/>
      <c r="J6" s="542"/>
      <c r="K6" s="542"/>
      <c r="L6" s="542"/>
      <c r="M6" s="543"/>
    </row>
    <row r="7" spans="1:13" ht="41.25" customHeight="1">
      <c r="A7" s="539"/>
      <c r="B7" s="550"/>
      <c r="C7" s="552"/>
      <c r="D7" s="539"/>
      <c r="E7" s="560"/>
      <c r="F7" s="561"/>
      <c r="G7" s="544" t="s">
        <v>8</v>
      </c>
      <c r="H7" s="543"/>
      <c r="I7" s="544" t="s">
        <v>9</v>
      </c>
      <c r="J7" s="543"/>
      <c r="K7" s="545" t="s">
        <v>38</v>
      </c>
      <c r="L7" s="546"/>
      <c r="M7" s="547" t="s">
        <v>10</v>
      </c>
    </row>
    <row r="8" spans="1:13" ht="21" customHeight="1">
      <c r="A8" s="540"/>
      <c r="B8" s="551"/>
      <c r="C8" s="548"/>
      <c r="D8" s="540"/>
      <c r="E8" s="352" t="s">
        <v>37</v>
      </c>
      <c r="F8" s="353" t="s">
        <v>11</v>
      </c>
      <c r="G8" s="352" t="s">
        <v>37</v>
      </c>
      <c r="H8" s="353" t="s">
        <v>11</v>
      </c>
      <c r="I8" s="352" t="s">
        <v>37</v>
      </c>
      <c r="J8" s="353" t="s">
        <v>11</v>
      </c>
      <c r="K8" s="352" t="s">
        <v>37</v>
      </c>
      <c r="L8" s="353" t="s">
        <v>11</v>
      </c>
      <c r="M8" s="548"/>
    </row>
    <row r="9" spans="1:13">
      <c r="A9" s="225">
        <v>1</v>
      </c>
      <c r="B9" s="354">
        <v>2</v>
      </c>
      <c r="C9" s="353">
        <v>3</v>
      </c>
      <c r="D9" s="354">
        <v>4</v>
      </c>
      <c r="E9" s="353">
        <v>5</v>
      </c>
      <c r="F9" s="354">
        <v>6</v>
      </c>
      <c r="G9" s="353">
        <v>7</v>
      </c>
      <c r="H9" s="354">
        <v>8</v>
      </c>
      <c r="I9" s="353">
        <v>9</v>
      </c>
      <c r="J9" s="354">
        <v>10</v>
      </c>
      <c r="K9" s="353">
        <v>11</v>
      </c>
      <c r="L9" s="354">
        <v>12</v>
      </c>
      <c r="M9" s="353">
        <v>13</v>
      </c>
    </row>
    <row r="10" spans="1:13" s="320" customFormat="1">
      <c r="A10" s="316"/>
      <c r="B10" s="360"/>
      <c r="C10" s="317" t="s">
        <v>374</v>
      </c>
      <c r="D10" s="318"/>
      <c r="E10" s="319"/>
      <c r="F10" s="319"/>
      <c r="G10" s="319"/>
      <c r="H10" s="319"/>
      <c r="I10" s="319"/>
      <c r="J10" s="319"/>
      <c r="K10" s="319"/>
      <c r="L10" s="319"/>
      <c r="M10" s="319"/>
    </row>
    <row r="11" spans="1:13" ht="31.5" customHeight="1">
      <c r="A11" s="41">
        <v>1</v>
      </c>
      <c r="B11" s="271" t="s">
        <v>49</v>
      </c>
      <c r="C11" s="229" t="s">
        <v>302</v>
      </c>
      <c r="D11" s="230" t="s">
        <v>47</v>
      </c>
      <c r="E11" s="235"/>
      <c r="F11" s="180">
        <f>1*1*0.8*4/100</f>
        <v>3.2000000000000001E-2</v>
      </c>
      <c r="G11" s="182"/>
      <c r="H11" s="182"/>
      <c r="I11" s="182"/>
      <c r="J11" s="182"/>
      <c r="K11" s="182"/>
      <c r="L11" s="182"/>
      <c r="M11" s="182"/>
    </row>
    <row r="12" spans="1:13" ht="17.25" customHeight="1">
      <c r="A12" s="43"/>
      <c r="B12" s="361"/>
      <c r="C12" s="232" t="s">
        <v>12</v>
      </c>
      <c r="D12" s="233" t="s">
        <v>13</v>
      </c>
      <c r="E12" s="236">
        <v>206</v>
      </c>
      <c r="F12" s="171">
        <f>F11*E12</f>
        <v>6.5920000000000005</v>
      </c>
      <c r="G12" s="171"/>
      <c r="H12" s="171"/>
      <c r="I12" s="171"/>
      <c r="J12" s="171"/>
      <c r="K12" s="171"/>
      <c r="L12" s="171"/>
      <c r="M12" s="171"/>
    </row>
    <row r="13" spans="1:13" ht="17.25" customHeight="1">
      <c r="A13" s="42">
        <v>2</v>
      </c>
      <c r="B13" s="271" t="s">
        <v>376</v>
      </c>
      <c r="C13" s="229" t="s">
        <v>375</v>
      </c>
      <c r="D13" s="230" t="s">
        <v>15</v>
      </c>
      <c r="E13" s="236">
        <v>160</v>
      </c>
      <c r="F13" s="173">
        <f>F11*E13</f>
        <v>5.12</v>
      </c>
      <c r="G13" s="171"/>
      <c r="H13" s="171"/>
      <c r="I13" s="171"/>
      <c r="J13" s="171"/>
      <c r="K13" s="187"/>
      <c r="L13" s="171"/>
      <c r="M13" s="171"/>
    </row>
    <row r="14" spans="1:13" s="32" customFormat="1" ht="18" customHeight="1">
      <c r="A14" s="214">
        <v>3</v>
      </c>
      <c r="B14" s="271" t="s">
        <v>51</v>
      </c>
      <c r="C14" s="29" t="s">
        <v>329</v>
      </c>
      <c r="D14" s="230" t="s">
        <v>47</v>
      </c>
      <c r="E14" s="30"/>
      <c r="F14" s="180">
        <f>F11</f>
        <v>3.2000000000000001E-2</v>
      </c>
      <c r="G14" s="171"/>
      <c r="H14" s="171"/>
      <c r="I14" s="171"/>
      <c r="J14" s="171"/>
      <c r="K14" s="171"/>
      <c r="L14" s="171"/>
      <c r="M14" s="171"/>
    </row>
    <row r="15" spans="1:13" s="32" customFormat="1" ht="17.25" customHeight="1">
      <c r="A15" s="215"/>
      <c r="B15" s="271"/>
      <c r="C15" s="33" t="s">
        <v>16</v>
      </c>
      <c r="D15" s="30" t="s">
        <v>13</v>
      </c>
      <c r="E15" s="30">
        <v>187</v>
      </c>
      <c r="F15" s="171">
        <f>F14*E15</f>
        <v>5.984</v>
      </c>
      <c r="G15" s="171"/>
      <c r="H15" s="171"/>
      <c r="I15" s="171"/>
      <c r="J15" s="171"/>
      <c r="K15" s="171"/>
      <c r="L15" s="171"/>
      <c r="M15" s="171"/>
    </row>
    <row r="16" spans="1:13" s="32" customFormat="1" ht="15.75" customHeight="1">
      <c r="A16" s="215"/>
      <c r="B16" s="271"/>
      <c r="C16" s="33" t="s">
        <v>14</v>
      </c>
      <c r="D16" s="30" t="s">
        <v>2</v>
      </c>
      <c r="E16" s="30">
        <v>77</v>
      </c>
      <c r="F16" s="171">
        <f>F14*E16</f>
        <v>2.464</v>
      </c>
      <c r="G16" s="171"/>
      <c r="H16" s="171"/>
      <c r="I16" s="171"/>
      <c r="J16" s="171"/>
      <c r="K16" s="171"/>
      <c r="L16" s="171"/>
      <c r="M16" s="171"/>
    </row>
    <row r="17" spans="1:13" s="32" customFormat="1" ht="17.25" customHeight="1">
      <c r="A17" s="215"/>
      <c r="B17" s="271" t="s">
        <v>53</v>
      </c>
      <c r="C17" s="33" t="s">
        <v>531</v>
      </c>
      <c r="D17" s="30" t="s">
        <v>31</v>
      </c>
      <c r="E17" s="30"/>
      <c r="F17" s="181">
        <v>100</v>
      </c>
      <c r="G17" s="171"/>
      <c r="H17" s="171"/>
      <c r="I17" s="187"/>
      <c r="J17" s="171"/>
      <c r="K17" s="171"/>
      <c r="L17" s="171"/>
      <c r="M17" s="171"/>
    </row>
    <row r="18" spans="1:13" s="32" customFormat="1" ht="17.25" customHeight="1">
      <c r="A18" s="215"/>
      <c r="B18" s="271" t="s">
        <v>18</v>
      </c>
      <c r="C18" s="33" t="s">
        <v>59</v>
      </c>
      <c r="D18" s="30" t="s">
        <v>21</v>
      </c>
      <c r="E18" s="30"/>
      <c r="F18" s="181">
        <v>1</v>
      </c>
      <c r="G18" s="171"/>
      <c r="H18" s="171"/>
      <c r="I18" s="336"/>
      <c r="J18" s="171"/>
      <c r="K18" s="171"/>
      <c r="L18" s="171"/>
      <c r="M18" s="171"/>
    </row>
    <row r="19" spans="1:13" s="32" customFormat="1" ht="31.5" customHeight="1">
      <c r="A19" s="215"/>
      <c r="B19" s="271" t="s">
        <v>303</v>
      </c>
      <c r="C19" s="33" t="s">
        <v>532</v>
      </c>
      <c r="D19" s="36" t="s">
        <v>29</v>
      </c>
      <c r="E19" s="36">
        <v>101.5</v>
      </c>
      <c r="F19" s="171">
        <f>F14*E19</f>
        <v>3.2480000000000002</v>
      </c>
      <c r="G19" s="171"/>
      <c r="H19" s="171"/>
      <c r="I19" s="181"/>
      <c r="J19" s="171"/>
      <c r="K19" s="171"/>
      <c r="L19" s="171"/>
      <c r="M19" s="171"/>
    </row>
    <row r="20" spans="1:13" s="32" customFormat="1" ht="17.25" customHeight="1">
      <c r="A20" s="215"/>
      <c r="B20" s="271" t="s">
        <v>56</v>
      </c>
      <c r="C20" s="33" t="s">
        <v>55</v>
      </c>
      <c r="D20" s="30" t="s">
        <v>27</v>
      </c>
      <c r="E20" s="30"/>
      <c r="F20" s="171">
        <v>1.6</v>
      </c>
      <c r="G20" s="171"/>
      <c r="H20" s="171"/>
      <c r="I20" s="187"/>
      <c r="J20" s="171"/>
      <c r="K20" s="171"/>
      <c r="L20" s="171"/>
      <c r="M20" s="171"/>
    </row>
    <row r="21" spans="1:13" s="32" customFormat="1" ht="17.25" customHeight="1">
      <c r="A21" s="215"/>
      <c r="B21" s="271" t="s">
        <v>145</v>
      </c>
      <c r="C21" s="33" t="s">
        <v>57</v>
      </c>
      <c r="D21" s="30" t="s">
        <v>30</v>
      </c>
      <c r="E21" s="30">
        <v>0.08</v>
      </c>
      <c r="F21" s="171">
        <f>F14*E21</f>
        <v>2.5600000000000002E-3</v>
      </c>
      <c r="G21" s="171"/>
      <c r="H21" s="171"/>
      <c r="I21" s="336"/>
      <c r="J21" s="171"/>
      <c r="K21" s="171"/>
      <c r="L21" s="171"/>
      <c r="M21" s="171"/>
    </row>
    <row r="22" spans="1:13" s="32" customFormat="1" ht="17.25" customHeight="1">
      <c r="A22" s="215"/>
      <c r="B22" s="271" t="s">
        <v>60</v>
      </c>
      <c r="C22" s="33" t="s">
        <v>59</v>
      </c>
      <c r="D22" s="30" t="s">
        <v>21</v>
      </c>
      <c r="E22" s="30"/>
      <c r="F22" s="171">
        <v>3</v>
      </c>
      <c r="G22" s="171"/>
      <c r="H22" s="171"/>
      <c r="I22" s="187"/>
      <c r="J22" s="171"/>
      <c r="K22" s="171"/>
      <c r="L22" s="171"/>
      <c r="M22" s="171"/>
    </row>
    <row r="23" spans="1:13" s="32" customFormat="1" ht="15" customHeight="1">
      <c r="A23" s="216"/>
      <c r="B23" s="271"/>
      <c r="C23" s="33" t="s">
        <v>19</v>
      </c>
      <c r="D23" s="30" t="s">
        <v>2</v>
      </c>
      <c r="E23" s="30">
        <v>7</v>
      </c>
      <c r="F23" s="171">
        <f>F14*E23</f>
        <v>0.224</v>
      </c>
      <c r="G23" s="171"/>
      <c r="H23" s="171"/>
      <c r="I23" s="171"/>
      <c r="J23" s="171"/>
      <c r="K23" s="171"/>
      <c r="L23" s="171"/>
      <c r="M23" s="171"/>
    </row>
    <row r="24" spans="1:13" s="32" customFormat="1" ht="60" customHeight="1">
      <c r="A24" s="214">
        <v>4</v>
      </c>
      <c r="B24" s="362" t="s">
        <v>305</v>
      </c>
      <c r="C24" s="363" t="s">
        <v>533</v>
      </c>
      <c r="D24" s="364" t="s">
        <v>304</v>
      </c>
      <c r="E24" s="364"/>
      <c r="F24" s="365">
        <v>1.02</v>
      </c>
      <c r="G24" s="171"/>
      <c r="H24" s="171"/>
      <c r="I24" s="171"/>
      <c r="J24" s="171"/>
      <c r="K24" s="171"/>
      <c r="L24" s="171"/>
      <c r="M24" s="171"/>
    </row>
    <row r="25" spans="1:13" s="32" customFormat="1" ht="17.25" customHeight="1">
      <c r="A25" s="215"/>
      <c r="B25" s="362"/>
      <c r="C25" s="65" t="s">
        <v>321</v>
      </c>
      <c r="D25" s="30" t="s">
        <v>13</v>
      </c>
      <c r="E25" s="366">
        <v>21.8</v>
      </c>
      <c r="F25" s="55">
        <f>F24*E25</f>
        <v>22.236000000000001</v>
      </c>
      <c r="G25" s="171"/>
      <c r="H25" s="171"/>
      <c r="I25" s="171"/>
      <c r="J25" s="171"/>
      <c r="K25" s="171"/>
      <c r="L25" s="171"/>
      <c r="M25" s="171"/>
    </row>
    <row r="26" spans="1:13" s="32" customFormat="1" ht="17.25" customHeight="1">
      <c r="A26" s="215"/>
      <c r="B26" s="362" t="s">
        <v>317</v>
      </c>
      <c r="C26" s="367" t="s">
        <v>306</v>
      </c>
      <c r="D26" s="362" t="s">
        <v>33</v>
      </c>
      <c r="E26" s="362">
        <v>0.28999999999999998</v>
      </c>
      <c r="F26" s="368">
        <f>F24*E26</f>
        <v>0.29580000000000001</v>
      </c>
      <c r="G26" s="171"/>
      <c r="H26" s="171"/>
      <c r="I26" s="171"/>
      <c r="J26" s="171"/>
      <c r="K26" s="171"/>
      <c r="L26" s="171"/>
      <c r="M26" s="171"/>
    </row>
    <row r="27" spans="1:13" s="32" customFormat="1" ht="17.25" customHeight="1">
      <c r="A27" s="215"/>
      <c r="B27" s="362"/>
      <c r="C27" s="367" t="s">
        <v>34</v>
      </c>
      <c r="D27" s="362" t="s">
        <v>2</v>
      </c>
      <c r="E27" s="362">
        <v>1.76</v>
      </c>
      <c r="F27" s="369">
        <f>F24*E27</f>
        <v>1.7952000000000001</v>
      </c>
      <c r="G27" s="171"/>
      <c r="H27" s="171"/>
      <c r="I27" s="171"/>
      <c r="J27" s="171"/>
      <c r="K27" s="171"/>
      <c r="L27" s="171"/>
      <c r="M27" s="171"/>
    </row>
    <row r="28" spans="1:13" s="32" customFormat="1" ht="29.25" customHeight="1">
      <c r="A28" s="215"/>
      <c r="B28" s="271" t="s">
        <v>310</v>
      </c>
      <c r="C28" s="33" t="s">
        <v>314</v>
      </c>
      <c r="D28" s="36" t="s">
        <v>31</v>
      </c>
      <c r="E28" s="30"/>
      <c r="F28" s="171">
        <f>43.8*1.02</f>
        <v>44.675999999999995</v>
      </c>
      <c r="G28" s="171"/>
      <c r="H28" s="171"/>
      <c r="I28" s="171"/>
      <c r="J28" s="171"/>
      <c r="K28" s="171"/>
      <c r="L28" s="171"/>
      <c r="M28" s="171"/>
    </row>
    <row r="29" spans="1:13" s="32" customFormat="1" ht="28.5" customHeight="1">
      <c r="A29" s="215"/>
      <c r="B29" s="271" t="s">
        <v>311</v>
      </c>
      <c r="C29" s="33" t="s">
        <v>315</v>
      </c>
      <c r="D29" s="36" t="s">
        <v>31</v>
      </c>
      <c r="E29" s="30"/>
      <c r="F29" s="171">
        <f>84.4*1.02</f>
        <v>86.088000000000008</v>
      </c>
      <c r="G29" s="171"/>
      <c r="H29" s="171"/>
      <c r="I29" s="187"/>
      <c r="J29" s="171"/>
      <c r="K29" s="171"/>
      <c r="L29" s="171"/>
      <c r="M29" s="171"/>
    </row>
    <row r="30" spans="1:13" s="32" customFormat="1" ht="28.5" customHeight="1">
      <c r="A30" s="215"/>
      <c r="B30" s="271" t="s">
        <v>312</v>
      </c>
      <c r="C30" s="33" t="s">
        <v>316</v>
      </c>
      <c r="D30" s="36" t="s">
        <v>31</v>
      </c>
      <c r="E30" s="30"/>
      <c r="F30" s="171">
        <f>30*1.02</f>
        <v>30.6</v>
      </c>
      <c r="G30" s="171"/>
      <c r="H30" s="171"/>
      <c r="I30" s="187"/>
      <c r="J30" s="171"/>
      <c r="K30" s="171"/>
      <c r="L30" s="171"/>
      <c r="M30" s="171"/>
    </row>
    <row r="31" spans="1:13" s="32" customFormat="1" ht="31.5" customHeight="1">
      <c r="A31" s="215"/>
      <c r="B31" s="271" t="s">
        <v>313</v>
      </c>
      <c r="C31" s="33" t="s">
        <v>318</v>
      </c>
      <c r="D31" s="36" t="s">
        <v>31</v>
      </c>
      <c r="E31" s="30"/>
      <c r="F31" s="171">
        <f>24.6*1.02</f>
        <v>25.092000000000002</v>
      </c>
      <c r="G31" s="171"/>
      <c r="H31" s="171"/>
      <c r="I31" s="171"/>
      <c r="J31" s="171"/>
      <c r="K31" s="171"/>
      <c r="L31" s="171"/>
      <c r="M31" s="171"/>
    </row>
    <row r="32" spans="1:13" s="32" customFormat="1" ht="30" customHeight="1">
      <c r="A32" s="215"/>
      <c r="B32" s="271" t="s">
        <v>309</v>
      </c>
      <c r="C32" s="33" t="s">
        <v>319</v>
      </c>
      <c r="D32" s="36" t="s">
        <v>27</v>
      </c>
      <c r="E32" s="30"/>
      <c r="F32" s="171">
        <v>4.2</v>
      </c>
      <c r="G32" s="171"/>
      <c r="H32" s="171"/>
      <c r="I32" s="187"/>
      <c r="J32" s="171"/>
      <c r="K32" s="171"/>
      <c r="L32" s="171"/>
      <c r="M32" s="171"/>
    </row>
    <row r="33" spans="1:13" s="32" customFormat="1" ht="17.25" customHeight="1">
      <c r="A33" s="215"/>
      <c r="B33" s="362" t="s">
        <v>307</v>
      </c>
      <c r="C33" s="370" t="s">
        <v>66</v>
      </c>
      <c r="D33" s="362" t="s">
        <v>21</v>
      </c>
      <c r="E33" s="371">
        <v>2.2999999999999998</v>
      </c>
      <c r="F33" s="368">
        <f>E33*F24</f>
        <v>2.3459999999999996</v>
      </c>
      <c r="G33" s="372"/>
      <c r="H33" s="372"/>
      <c r="I33" s="187"/>
      <c r="J33" s="171"/>
      <c r="K33" s="171"/>
      <c r="L33" s="171"/>
      <c r="M33" s="171"/>
    </row>
    <row r="34" spans="1:13" s="32" customFormat="1" ht="17.25" customHeight="1">
      <c r="A34" s="216"/>
      <c r="B34" s="362"/>
      <c r="C34" s="367" t="s">
        <v>308</v>
      </c>
      <c r="D34" s="362" t="s">
        <v>2</v>
      </c>
      <c r="E34" s="362">
        <v>2.78</v>
      </c>
      <c r="F34" s="369">
        <f>F28*E34</f>
        <v>124.19927999999997</v>
      </c>
      <c r="G34" s="372"/>
      <c r="H34" s="372"/>
      <c r="I34" s="171"/>
      <c r="J34" s="171"/>
      <c r="K34" s="171"/>
      <c r="L34" s="171"/>
      <c r="M34" s="171"/>
    </row>
    <row r="35" spans="1:13" s="32" customFormat="1" ht="42" customHeight="1">
      <c r="A35" s="214">
        <v>5</v>
      </c>
      <c r="B35" s="362" t="s">
        <v>320</v>
      </c>
      <c r="C35" s="363" t="s">
        <v>326</v>
      </c>
      <c r="D35" s="364" t="s">
        <v>121</v>
      </c>
      <c r="E35" s="364"/>
      <c r="F35" s="365">
        <v>0.28000000000000003</v>
      </c>
      <c r="G35" s="171"/>
      <c r="H35" s="171"/>
      <c r="I35" s="171"/>
      <c r="J35" s="171"/>
      <c r="K35" s="171"/>
      <c r="L35" s="171"/>
      <c r="M35" s="171"/>
    </row>
    <row r="36" spans="1:13" s="32" customFormat="1" ht="17.25" customHeight="1">
      <c r="A36" s="215"/>
      <c r="B36" s="373"/>
      <c r="C36" s="374" t="s">
        <v>321</v>
      </c>
      <c r="D36" s="30" t="s">
        <v>13</v>
      </c>
      <c r="E36" s="375">
        <v>68</v>
      </c>
      <c r="F36" s="372">
        <f>F35*E36</f>
        <v>19.040000000000003</v>
      </c>
      <c r="G36" s="171"/>
      <c r="H36" s="171"/>
      <c r="I36" s="171"/>
      <c r="J36" s="171"/>
      <c r="K36" s="171"/>
      <c r="L36" s="171"/>
      <c r="M36" s="171"/>
    </row>
    <row r="37" spans="1:13" s="32" customFormat="1" ht="17.25" customHeight="1">
      <c r="A37" s="215"/>
      <c r="B37" s="376"/>
      <c r="C37" s="374" t="s">
        <v>111</v>
      </c>
      <c r="D37" s="362" t="s">
        <v>2</v>
      </c>
      <c r="E37" s="377">
        <v>0.03</v>
      </c>
      <c r="F37" s="378">
        <f>F35*E37</f>
        <v>8.4000000000000012E-3</v>
      </c>
      <c r="G37" s="171"/>
      <c r="H37" s="171"/>
      <c r="I37" s="173"/>
      <c r="J37" s="171"/>
      <c r="K37" s="171"/>
      <c r="L37" s="171"/>
      <c r="M37" s="171"/>
    </row>
    <row r="38" spans="1:13" s="32" customFormat="1" ht="17.25" customHeight="1">
      <c r="A38" s="215"/>
      <c r="B38" s="379" t="s">
        <v>328</v>
      </c>
      <c r="C38" s="374" t="s">
        <v>322</v>
      </c>
      <c r="D38" s="362" t="s">
        <v>21</v>
      </c>
      <c r="E38" s="362">
        <v>28</v>
      </c>
      <c r="F38" s="372">
        <f>F35*E38</f>
        <v>7.8400000000000007</v>
      </c>
      <c r="G38" s="171"/>
      <c r="H38" s="171"/>
      <c r="I38" s="171"/>
      <c r="J38" s="171"/>
      <c r="K38" s="171"/>
      <c r="L38" s="171"/>
      <c r="M38" s="171"/>
    </row>
    <row r="39" spans="1:13" s="32" customFormat="1" ht="17.25" customHeight="1">
      <c r="A39" s="216"/>
      <c r="B39" s="379"/>
      <c r="C39" s="374" t="s">
        <v>308</v>
      </c>
      <c r="D39" s="362" t="s">
        <v>2</v>
      </c>
      <c r="E39" s="377">
        <v>0.19</v>
      </c>
      <c r="F39" s="380">
        <f>F35*E39</f>
        <v>5.3200000000000004E-2</v>
      </c>
      <c r="G39" s="171"/>
      <c r="H39" s="171"/>
      <c r="I39" s="171"/>
      <c r="J39" s="171"/>
      <c r="K39" s="171"/>
      <c r="L39" s="171"/>
      <c r="M39" s="171"/>
    </row>
    <row r="40" spans="1:13" s="32" customFormat="1" ht="31.5" customHeight="1">
      <c r="A40" s="214">
        <v>6</v>
      </c>
      <c r="B40" s="362" t="s">
        <v>383</v>
      </c>
      <c r="C40" s="363" t="s">
        <v>534</v>
      </c>
      <c r="D40" s="364" t="s">
        <v>323</v>
      </c>
      <c r="E40" s="364"/>
      <c r="F40" s="381">
        <v>1</v>
      </c>
      <c r="G40" s="171"/>
      <c r="H40" s="171"/>
      <c r="I40" s="171"/>
      <c r="J40" s="171"/>
      <c r="K40" s="171"/>
      <c r="L40" s="171"/>
      <c r="M40" s="171"/>
    </row>
    <row r="41" spans="1:13" s="32" customFormat="1" ht="17.25" customHeight="1">
      <c r="A41" s="215"/>
      <c r="B41" s="362" t="s">
        <v>20</v>
      </c>
      <c r="C41" s="374" t="s">
        <v>321</v>
      </c>
      <c r="D41" s="362" t="s">
        <v>323</v>
      </c>
      <c r="E41" s="362">
        <v>14.2</v>
      </c>
      <c r="F41" s="372">
        <f>F40*E41</f>
        <v>14.2</v>
      </c>
      <c r="G41" s="171"/>
      <c r="H41" s="171"/>
      <c r="I41" s="171"/>
      <c r="J41" s="171"/>
      <c r="K41" s="171"/>
      <c r="L41" s="171"/>
      <c r="M41" s="171"/>
    </row>
    <row r="42" spans="1:13" s="32" customFormat="1" ht="29.25" customHeight="1">
      <c r="A42" s="215"/>
      <c r="B42" s="362" t="s">
        <v>331</v>
      </c>
      <c r="C42" s="370" t="s">
        <v>524</v>
      </c>
      <c r="D42" s="362" t="s">
        <v>323</v>
      </c>
      <c r="E42" s="362">
        <v>1</v>
      </c>
      <c r="F42" s="369">
        <f>F40*E42</f>
        <v>1</v>
      </c>
      <c r="G42" s="171"/>
      <c r="H42" s="171"/>
      <c r="I42" s="171"/>
      <c r="J42" s="171"/>
      <c r="K42" s="171"/>
      <c r="L42" s="171"/>
      <c r="M42" s="171"/>
    </row>
    <row r="43" spans="1:13" s="32" customFormat="1" ht="17.25" customHeight="1">
      <c r="A43" s="215"/>
      <c r="B43" s="362" t="s">
        <v>327</v>
      </c>
      <c r="C43" s="367" t="s">
        <v>324</v>
      </c>
      <c r="D43" s="362" t="s">
        <v>31</v>
      </c>
      <c r="E43" s="362"/>
      <c r="F43" s="369">
        <v>6</v>
      </c>
      <c r="G43" s="171"/>
      <c r="H43" s="171"/>
      <c r="I43" s="171"/>
      <c r="J43" s="171"/>
      <c r="K43" s="171"/>
      <c r="L43" s="171"/>
      <c r="M43" s="171"/>
    </row>
    <row r="44" spans="1:13" s="32" customFormat="1" ht="17.25" customHeight="1">
      <c r="A44" s="216"/>
      <c r="B44" s="362" t="s">
        <v>20</v>
      </c>
      <c r="C44" s="367" t="s">
        <v>325</v>
      </c>
      <c r="D44" s="362" t="s">
        <v>323</v>
      </c>
      <c r="E44" s="362"/>
      <c r="F44" s="369">
        <v>4</v>
      </c>
      <c r="G44" s="171"/>
      <c r="H44" s="171"/>
      <c r="I44" s="171"/>
      <c r="J44" s="171"/>
      <c r="K44" s="171"/>
      <c r="L44" s="171"/>
      <c r="M44" s="171"/>
    </row>
    <row r="45" spans="1:13">
      <c r="A45" s="26"/>
      <c r="B45" s="382"/>
      <c r="C45" s="177" t="s">
        <v>10</v>
      </c>
      <c r="D45" s="177"/>
      <c r="E45" s="235"/>
      <c r="F45" s="182"/>
      <c r="G45" s="182"/>
      <c r="H45" s="182"/>
      <c r="I45" s="182"/>
      <c r="J45" s="182"/>
      <c r="K45" s="182"/>
      <c r="L45" s="182"/>
      <c r="M45" s="182"/>
    </row>
    <row r="46" spans="1:13" ht="31.5" customHeight="1">
      <c r="A46" s="26"/>
      <c r="B46" s="382"/>
      <c r="C46" s="177" t="s">
        <v>87</v>
      </c>
      <c r="D46" s="296"/>
      <c r="E46" s="235"/>
      <c r="F46" s="182"/>
      <c r="G46" s="182"/>
      <c r="H46" s="182"/>
      <c r="I46" s="182"/>
      <c r="J46" s="171"/>
      <c r="K46" s="182"/>
      <c r="L46" s="171"/>
      <c r="M46" s="182"/>
    </row>
    <row r="47" spans="1:13" ht="18.75" customHeight="1">
      <c r="A47" s="26"/>
      <c r="B47" s="382"/>
      <c r="C47" s="177" t="s">
        <v>10</v>
      </c>
      <c r="D47" s="177"/>
      <c r="E47" s="235"/>
      <c r="F47" s="182"/>
      <c r="G47" s="182"/>
      <c r="H47" s="182"/>
      <c r="I47" s="182"/>
      <c r="J47" s="182"/>
      <c r="K47" s="182"/>
      <c r="L47" s="182"/>
      <c r="M47" s="182"/>
    </row>
    <row r="48" spans="1:13" ht="19.5" customHeight="1">
      <c r="A48" s="26"/>
      <c r="B48" s="382"/>
      <c r="C48" s="177" t="s">
        <v>17</v>
      </c>
      <c r="D48" s="383"/>
      <c r="E48" s="297"/>
      <c r="F48" s="178"/>
      <c r="G48" s="178"/>
      <c r="H48" s="178"/>
      <c r="I48" s="178"/>
      <c r="J48" s="178"/>
      <c r="K48" s="178"/>
      <c r="L48" s="178"/>
      <c r="M48" s="178"/>
    </row>
    <row r="49" spans="1:13" ht="16.5" customHeight="1">
      <c r="A49" s="26"/>
      <c r="B49" s="382"/>
      <c r="C49" s="177" t="s">
        <v>10</v>
      </c>
      <c r="D49" s="384"/>
      <c r="E49" s="297"/>
      <c r="F49" s="178"/>
      <c r="G49" s="178"/>
      <c r="H49" s="178"/>
      <c r="I49" s="178"/>
      <c r="J49" s="178"/>
      <c r="K49" s="178"/>
      <c r="L49" s="178"/>
      <c r="M49" s="178"/>
    </row>
    <row r="50" spans="1:13" ht="19.5" customHeight="1">
      <c r="A50" s="26"/>
      <c r="B50" s="382"/>
      <c r="C50" s="177" t="s">
        <v>157</v>
      </c>
      <c r="D50" s="383"/>
      <c r="E50" s="297"/>
      <c r="F50" s="178"/>
      <c r="G50" s="178"/>
      <c r="H50" s="178"/>
      <c r="I50" s="178"/>
      <c r="J50" s="178"/>
      <c r="K50" s="178"/>
      <c r="L50" s="178"/>
      <c r="M50" s="178"/>
    </row>
    <row r="51" spans="1:13" ht="18" customHeight="1">
      <c r="A51" s="26"/>
      <c r="B51" s="382"/>
      <c r="C51" s="177" t="s">
        <v>10</v>
      </c>
      <c r="D51" s="384"/>
      <c r="E51" s="297"/>
      <c r="F51" s="178"/>
      <c r="G51" s="178"/>
      <c r="H51" s="178"/>
      <c r="I51" s="178"/>
      <c r="J51" s="178"/>
      <c r="K51" s="178"/>
      <c r="L51" s="178"/>
      <c r="M51" s="178"/>
    </row>
    <row r="52" spans="1:13">
      <c r="A52" s="300"/>
      <c r="B52" s="385"/>
      <c r="C52" s="301"/>
      <c r="D52" s="302"/>
      <c r="E52" s="303"/>
      <c r="F52" s="303"/>
      <c r="G52" s="303"/>
      <c r="H52" s="304"/>
      <c r="I52" s="304"/>
      <c r="J52" s="304"/>
      <c r="K52" s="304"/>
      <c r="L52" s="304"/>
      <c r="M52" s="304"/>
    </row>
    <row r="53" spans="1:13">
      <c r="A53" s="321"/>
      <c r="B53" s="385"/>
      <c r="C53" s="301"/>
      <c r="D53" s="302"/>
      <c r="E53" s="303"/>
      <c r="F53" s="303"/>
      <c r="G53" s="303"/>
      <c r="H53" s="304"/>
      <c r="I53" s="304"/>
      <c r="J53" s="304"/>
      <c r="K53" s="304"/>
      <c r="L53" s="304"/>
      <c r="M53" s="304"/>
    </row>
    <row r="54" spans="1:13" ht="15.75"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</row>
    <row r="55" spans="1:13" s="305" customFormat="1">
      <c r="A55" s="537" t="s">
        <v>294</v>
      </c>
      <c r="B55" s="537"/>
      <c r="C55" s="537"/>
      <c r="D55" s="537"/>
      <c r="E55" s="537"/>
      <c r="F55" s="537"/>
      <c r="G55" s="537"/>
      <c r="H55" s="537"/>
      <c r="I55" s="537"/>
      <c r="J55" s="537"/>
      <c r="K55" s="537"/>
      <c r="L55" s="537"/>
      <c r="M55" s="537"/>
    </row>
    <row r="56" spans="1:13" s="305" customFormat="1">
      <c r="A56" s="537"/>
      <c r="B56" s="537"/>
      <c r="C56" s="537"/>
      <c r="D56" s="537"/>
      <c r="E56" s="537"/>
      <c r="F56" s="537"/>
      <c r="G56" s="537"/>
      <c r="H56" s="537"/>
      <c r="I56" s="537"/>
      <c r="J56" s="537"/>
      <c r="K56" s="537"/>
      <c r="L56" s="537"/>
      <c r="M56" s="537"/>
    </row>
    <row r="57" spans="1:13" s="305" customFormat="1">
      <c r="A57" s="537" t="s">
        <v>295</v>
      </c>
      <c r="B57" s="537"/>
      <c r="C57" s="537"/>
      <c r="D57" s="537"/>
      <c r="E57" s="537"/>
      <c r="F57" s="537"/>
      <c r="G57" s="537"/>
      <c r="H57" s="537"/>
      <c r="I57" s="537"/>
      <c r="J57" s="537"/>
      <c r="K57" s="537"/>
      <c r="L57" s="537"/>
      <c r="M57" s="537"/>
    </row>
  </sheetData>
  <mergeCells count="18">
    <mergeCell ref="A1:M1"/>
    <mergeCell ref="A2:M2"/>
    <mergeCell ref="A3:M3"/>
    <mergeCell ref="F4:K4"/>
    <mergeCell ref="A5:M5"/>
    <mergeCell ref="A56:M56"/>
    <mergeCell ref="A57:M57"/>
    <mergeCell ref="G6:M6"/>
    <mergeCell ref="G7:H7"/>
    <mergeCell ref="I7:J7"/>
    <mergeCell ref="K7:L7"/>
    <mergeCell ref="M7:M8"/>
    <mergeCell ref="A55:M55"/>
    <mergeCell ref="A6:A8"/>
    <mergeCell ref="B6:B8"/>
    <mergeCell ref="C6:C8"/>
    <mergeCell ref="D6:D8"/>
    <mergeCell ref="E6:F7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ნაკრები</vt:lpstr>
      <vt:lpstr>სეპტიკი</vt:lpstr>
      <vt:lpstr>მიშენება</vt:lpstr>
      <vt:lpstr>Лист2</vt:lpstr>
      <vt:lpstr>სან-ტექნიკა</vt:lpstr>
      <vt:lpstr>ელ-სამონტაჟო</vt:lpstr>
      <vt:lpstr>სადაწნეო კოშკი</vt:lpstr>
      <vt:lpstr>შრომითი_დანახარჯი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Kulishkari</cp:lastModifiedBy>
  <cp:lastPrinted>2019-09-12T11:32:06Z</cp:lastPrinted>
  <dcterms:created xsi:type="dcterms:W3CDTF">2019-06-09T08:27:11Z</dcterms:created>
  <dcterms:modified xsi:type="dcterms:W3CDTF">2019-10-31T14:34:03Z</dcterms:modified>
</cp:coreProperties>
</file>