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nakrebi" sheetId="1" r:id="rId1"/>
    <sheet name="x.a.1" sheetId="2" r:id="rId2"/>
    <sheet name="x.a.2" sheetId="3" r:id="rId3"/>
  </sheets>
  <definedNames>
    <definedName name="_xlnm.Print_Area" localSheetId="0">'nakrebi'!$A$1:$N$42</definedName>
    <definedName name="_xlnm.Print_Area" localSheetId="1">'x.a.1'!$A$1:$M$69</definedName>
    <definedName name="_xlnm.Print_Titles" localSheetId="0">'nakrebi'!$23:$23</definedName>
    <definedName name="_xlnm.Print_Titles" localSheetId="1">'x.a.1'!$14:$14</definedName>
    <definedName name="_xlnm.Print_Titles" localSheetId="2">'x.a.2'!$14:$14</definedName>
  </definedNames>
  <calcPr fullCalcOnLoad="1"/>
</workbook>
</file>

<file path=xl/sharedStrings.xml><?xml version="1.0" encoding="utf-8"?>
<sst xmlns="http://schemas.openxmlformats.org/spreadsheetml/2006/main" count="300" uniqueCount="135">
  <si>
    <t>#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</si>
  <si>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</si>
  <si>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</si>
  <si>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</si>
  <si>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</si>
  <si>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</si>
  <si>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</si>
  <si>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</si>
  <si>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</si>
  <si>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</si>
  <si>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</si>
  <si>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</si>
  <si>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</si>
  <si>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</si>
  <si>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##</t>
  </si>
  <si>
    <t>1-22-15</t>
  </si>
  <si>
    <t>1-25-2</t>
  </si>
  <si>
    <t>5</t>
  </si>
  <si>
    <t>1-80-3  r1-3</t>
  </si>
  <si>
    <t>23-1-1</t>
  </si>
  <si>
    <t>6-11-3</t>
  </si>
  <si>
    <t>7</t>
  </si>
  <si>
    <t>1-11-15</t>
  </si>
  <si>
    <t>1-118-5,6</t>
  </si>
  <si>
    <t>6-16-13</t>
  </si>
  <si>
    <t>1-22-9</t>
  </si>
  <si>
    <t>1-102-12 t.n.p.           3.118</t>
  </si>
  <si>
    <t>14 p.4</t>
  </si>
  <si>
    <t>3</t>
  </si>
  <si>
    <t>1-25-4</t>
  </si>
  <si>
    <r>
      <t>m</t>
    </r>
    <r>
      <rPr>
        <vertAlign val="superscript"/>
        <sz val="11"/>
        <rFont val="AcadNusx"/>
        <family val="0"/>
      </rPr>
      <t>3</t>
    </r>
  </si>
  <si>
    <t>4</t>
  </si>
  <si>
    <t>8</t>
  </si>
  <si>
    <t>%</t>
  </si>
  <si>
    <t>სამუშაოების, რესურსების დასახელება</t>
  </si>
  <si>
    <t>საფუძველი</t>
  </si>
  <si>
    <t>საფუძველი: სამუშაოთა მოცულობების უწყისი</t>
  </si>
  <si>
    <t>სახარჯთაღრიცხვო ღირებულება</t>
  </si>
  <si>
    <t>ათ.ლარი</t>
  </si>
  <si>
    <t>ნორმატიული რესურსი</t>
  </si>
  <si>
    <t>ხელფასი</t>
  </si>
  <si>
    <t>მასალა</t>
  </si>
  <si>
    <t>სამშენებლო</t>
  </si>
  <si>
    <t>მექანიზმები</t>
  </si>
  <si>
    <t>ჯამი</t>
  </si>
  <si>
    <t>განზ.</t>
  </si>
  <si>
    <t>ერთ.</t>
  </si>
  <si>
    <t>სულ</t>
  </si>
  <si>
    <t>ფასი</t>
  </si>
  <si>
    <t>II. რკინა-ბეტონის კიუვეტის მოწყობა</t>
  </si>
  <si>
    <t>გ.მ</t>
  </si>
  <si>
    <t xml:space="preserve">III კატეგორიის გრუნტის და არსებული ხრეშოვანი  საფარის მოხსნა მექანიზმებზე და დატვირთვა ა/თვითმცლელებზე (ფართის 90%-ზე) </t>
  </si>
  <si>
    <t>ნორმატიული შრომატევადობა</t>
  </si>
  <si>
    <t>კაც/სთ</t>
  </si>
  <si>
    <t>ლარი</t>
  </si>
  <si>
    <t>ტ</t>
  </si>
  <si>
    <t>მანქ/სთ</t>
  </si>
  <si>
    <t>ექსკავატორი</t>
  </si>
  <si>
    <t>მექანიზმებზე მომსახურე პერსონალის ხელფასი</t>
  </si>
  <si>
    <t>სხვა მანქანები</t>
  </si>
  <si>
    <t xml:space="preserve"> ტრანსპორტირება 1 კმ მანძილზე ნაყარში</t>
  </si>
  <si>
    <t xml:space="preserve">III კატეგორიის გრუნტის და არსებული ხრეშოვანი  საფარის დამუშავება ხელით  ა/თვითმცლელებზე და დატვირთვა (ფართის 10%-ზე) </t>
  </si>
  <si>
    <t>მ3</t>
  </si>
  <si>
    <t>ნაყარში მუშაობა</t>
  </si>
  <si>
    <t>ბულდოზერი 79 კვტ</t>
  </si>
  <si>
    <t>ქვიშა-ხრეშოვანი ბალიშირს მოწყობა სისქით 10 სმ, დატკეპნით</t>
  </si>
  <si>
    <t>ქვიშა-ხრეშოვანი ნარევი</t>
  </si>
  <si>
    <r>
      <t xml:space="preserve">მონოლითური რკინა-ბეტონის კიუვეტის მოწყობა                         </t>
    </r>
    <r>
      <rPr>
        <b/>
        <sz val="11"/>
        <color indexed="8"/>
        <rFont val="Calibri"/>
        <family val="2"/>
      </rPr>
      <t>B30 F200 W6</t>
    </r>
  </si>
  <si>
    <t>მანქანები</t>
  </si>
  <si>
    <t>ბეტონი</t>
  </si>
  <si>
    <r>
      <t xml:space="preserve">არმატურა </t>
    </r>
    <r>
      <rPr>
        <sz val="11"/>
        <color indexed="8"/>
        <rFont val="Calibri"/>
        <family val="2"/>
      </rPr>
      <t>AI Ǿ8</t>
    </r>
  </si>
  <si>
    <t>ფარი ფიცრის, ყალიბის</t>
  </si>
  <si>
    <t>ძელი</t>
  </si>
  <si>
    <t xml:space="preserve">ფიცარი ჩამოგანული III ხარისხის, 40-60 მმ </t>
  </si>
  <si>
    <t>ჭანჭიკი</t>
  </si>
  <si>
    <t>ელექტროდი</t>
  </si>
  <si>
    <t>სხვა მასალები</t>
  </si>
  <si>
    <t>არმატურა</t>
  </si>
  <si>
    <t>ადგილობრივი გრუნტის უკუჩაყრა მექანიზმით</t>
  </si>
  <si>
    <t xml:space="preserve">გრუნტის  დატკეპნა ვიბრაციული სატკეპნით ფენებად    </t>
  </si>
  <si>
    <t>ვიბრაციული სატკეპნი</t>
  </si>
  <si>
    <t>ბულდოზერი 79კვტ</t>
  </si>
  <si>
    <t>ტრაქტორი 79 კვტ</t>
  </si>
  <si>
    <t>III. კიუვეტის რკინა-ბეტონის ფილით გადახურვა</t>
  </si>
  <si>
    <r>
      <t>მონოლითური რკინა-ბეტონის კიუვეტის გადახურვის მოწყობა</t>
    </r>
    <r>
      <rPr>
        <b/>
        <sz val="11"/>
        <color indexed="8"/>
        <rFont val="Cambria"/>
        <family val="1"/>
      </rPr>
      <t xml:space="preserve"> B22,5 F200 W6</t>
    </r>
  </si>
  <si>
    <r>
      <t>არმირება A</t>
    </r>
    <r>
      <rPr>
        <sz val="11"/>
        <color indexed="8"/>
        <rFont val="Cambria"/>
        <family val="1"/>
      </rPr>
      <t xml:space="preserve"> A-III  A</t>
    </r>
    <r>
      <rPr>
        <sz val="11"/>
        <color indexed="8"/>
        <rFont val="AcadNusx"/>
        <family val="0"/>
      </rPr>
      <t>AǾ-12mm არმატურით</t>
    </r>
  </si>
  <si>
    <t>პროექტით</t>
  </si>
  <si>
    <t>ფიცარი ჩამოგანული 25-32 მმ,        II xarisxis</t>
  </si>
  <si>
    <t>ფიცარი ჩამოგანული 40 მმ,                  II ხარისხის</t>
  </si>
  <si>
    <t>სხვა მასალა</t>
  </si>
  <si>
    <t>კგ</t>
  </si>
  <si>
    <t>ზედნადები ხარჯი</t>
  </si>
  <si>
    <t>გეგმიური მოგება</t>
  </si>
  <si>
    <t>რკინა-ბეტონის კიუვეტის მოწყობა</t>
  </si>
  <si>
    <t xml:space="preserve"> ლოკალური ხარჯთაღრიცხვა #1</t>
  </si>
  <si>
    <t xml:space="preserve"> დაბა გუდაურში, შინოს საბაგიროს მიმდებარედ, სასრიალო ტრასების და ინფრასტრუქტურის მოწყობა</t>
  </si>
  <si>
    <t xml:space="preserve"> ლოკალური ხარჯთაღრიცხვა #2</t>
  </si>
  <si>
    <t>სასრიალო ტრასების #1 და #2 მოწყობა</t>
  </si>
  <si>
    <t xml:space="preserve">III კატეგორიის გრუნტის დამუშავება მექანიზმებით და დატვირთვა ა/თვითმცლელებზე </t>
  </si>
  <si>
    <r>
      <t>m</t>
    </r>
    <r>
      <rPr>
        <b/>
        <vertAlign val="superscript"/>
        <sz val="11"/>
        <rFont val="AcadNusx"/>
        <family val="0"/>
      </rPr>
      <t>3</t>
    </r>
  </si>
  <si>
    <t>თხრილის დამუშავება კლდოვან ყამირში ექსკავატორზე დამონტაჟებული ჰიდროჩაქუჩით ("კოდალა") ავტოთვითმცლელებზე დატვირთვით</t>
  </si>
  <si>
    <t>ექსკავატორი ტევადობით             0,65 მ3</t>
  </si>
  <si>
    <t xml:space="preserve">შედგენილია: 2019 წლის I, კვარტლის მიხედვით </t>
  </si>
  <si>
    <t>მშენებლობის ღირებულების</t>
  </si>
  <si>
    <t>ნაკრები სახარჯთაღრიცხვო ანგარიში</t>
  </si>
  <si>
    <t>ხარჯთაღრიცხვების ანგარიშების ##</t>
  </si>
  <si>
    <t>თავების, ობიექტების, სამუშაოების და დანახარჯების დასახელება</t>
  </si>
  <si>
    <t>სახარჯთაღრიცხვო ღირებულება  ათ.ლარი</t>
  </si>
  <si>
    <t>სამშენებლო სამუშაოების</t>
  </si>
  <si>
    <t>სამონტაჟო სამუშაოების</t>
  </si>
  <si>
    <t>მოწყობილობების, ინვენტარის</t>
  </si>
  <si>
    <t>სხვა დანახარჯების</t>
  </si>
  <si>
    <t>საერთო სახარჯთაღრიცხვო   ღირებულება ათ.ლარი</t>
  </si>
  <si>
    <t>მშენებლობის ტერიტორიის მომზადება</t>
  </si>
  <si>
    <t>თავი I</t>
  </si>
  <si>
    <t>კრებ. საძიებო სამ. გვ.557 ცხ.17</t>
  </si>
  <si>
    <t>ხ.ა.#1</t>
  </si>
  <si>
    <t>ტრასის აღდგენა და დამაგრება</t>
  </si>
  <si>
    <t>სულ თავი I</t>
  </si>
  <si>
    <t>თავი II</t>
  </si>
  <si>
    <t>საგზაო სამოსი</t>
  </si>
  <si>
    <t>სულ თავი II</t>
  </si>
  <si>
    <t>სულ თავი I_II</t>
  </si>
  <si>
    <t>გაუთვალისწინებელი ხარჯი 3%</t>
  </si>
  <si>
    <t>დღგ 18%</t>
  </si>
  <si>
    <t>სულ მშენებლობის ღირებულების ნაკრები სახარჯთაღრიცხვო ანგარიშით</t>
  </si>
  <si>
    <t xml:space="preserve">1.ვინაიდან  საპროექტო ობიექტი მდებარეობს  ზღვის დონიდან 1500 მ-ზე მეტი სიმაღლეზე, მიღებულია შემდეგი დამატებითი კოეფიციენტები: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</si>
  <si>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</si>
  <si>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1"/>
        <rFont val="AcadNusx"/>
        <family val="0"/>
      </rPr>
      <t>2</t>
    </r>
  </si>
  <si>
    <t>ხ.ა.#2</t>
  </si>
  <si>
    <t xml:space="preserve">ა) კ=1,15  მუშების ხელფასზე (მათ შორის მექანიზმებზე მომსახურე პერსონალის ხელფასზე)  _ თანახმად ზონალური ერთეულის განფასებების მითითებებისა 1984 წ. დანართი 8
</t>
  </si>
  <si>
    <t>ბ) კ=1,15  მექანიზმებზე (მათ შორის მექანიზმებზე მომსახურე პერსონალის ხელფასზე ) _ თანახმად СНИП - IV- 2-82, საერთო მითითება პ.6.9</t>
  </si>
  <si>
    <t>გ) კ=1,05 მექანიზმების ღირებულებაზე (მათ შორის მექანიზმებზე მომსახურე პერსონალის ხელფასზე ) _ თანახმად СНИП - IV- 3-82, ტეკნიკური ნაწილისა პ.12</t>
  </si>
  <si>
    <t>დ) კ=1,35 მასალების გადაზიდვაზე _ თანახმად СНИП - IV- 4-82, გვერდი 24</t>
  </si>
  <si>
    <t>განმარტებით ბარათი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</si>
</sst>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₸_-;\-* #,##0\ _₸_-;_-* &quot;-&quot;\ _₸_-;_-@_-"/>
    <numFmt numFmtId="183" formatCode="_-* #,##0.00\ _₸_-;\-* #,##0.00\ _₸_-;_-* &quot;-&quot;??\ _₸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sz val="10"/>
      <name val="AcadNusx"/>
      <family val="0"/>
    </font>
    <font>
      <b/>
      <sz val="14"/>
      <name val="AcadNusx"/>
      <family val="0"/>
    </font>
    <font>
      <sz val="9"/>
      <name val="AcadNusx"/>
      <family val="0"/>
    </font>
    <font>
      <b/>
      <sz val="11"/>
      <name val="AcadNusx"/>
      <family val="0"/>
    </font>
    <font>
      <sz val="14"/>
      <name val="AcadNusx"/>
      <family val="0"/>
    </font>
    <font>
      <sz val="11"/>
      <color indexed="8"/>
      <name val="AcadNusx"/>
      <family val="0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b/>
      <i/>
      <sz val="11"/>
      <color indexed="8"/>
      <name val="AcadNusx"/>
      <family val="0"/>
    </font>
    <font>
      <u val="single"/>
      <sz val="11"/>
      <color indexed="8"/>
      <name val="AcadNusx"/>
      <family val="0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b/>
      <u val="single"/>
      <sz val="11"/>
      <color indexed="8"/>
      <name val="AcadNusx"/>
      <family val="0"/>
    </font>
    <font>
      <b/>
      <sz val="11"/>
      <color indexed="8"/>
      <name val="Cambria"/>
      <family val="1"/>
    </font>
    <font>
      <b/>
      <vertAlign val="superscript"/>
      <sz val="11"/>
      <name val="AcadNusx"/>
      <family val="0"/>
    </font>
    <font>
      <b/>
      <u val="single"/>
      <sz val="11"/>
      <name val="AcadNusx"/>
      <family val="0"/>
    </font>
    <font>
      <vertAlign val="superscript"/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i/>
      <sz val="11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Cambria"/>
      <family val="1"/>
    </font>
    <font>
      <b/>
      <u val="single"/>
      <sz val="11"/>
      <color theme="1"/>
      <name val="AcadNusx"/>
      <family val="0"/>
    </font>
    <font>
      <u val="single"/>
      <sz val="11"/>
      <color theme="1"/>
      <name val="AcadNusx"/>
      <family val="0"/>
    </font>
    <font>
      <sz val="9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279">
    <xf numFmtId="0" fontId="0" fillId="0" borderId="0" xfId="0" applyAlignment="1">
      <alignment/>
    </xf>
    <xf numFmtId="0" fontId="3" fillId="0" borderId="10" xfId="63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4" xfId="63" applyFont="1" applyBorder="1" applyAlignment="1">
      <alignment horizontal="center" vertical="center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2" fontId="3" fillId="0" borderId="14" xfId="63" applyNumberFormat="1" applyFont="1" applyBorder="1" applyAlignment="1">
      <alignment horizontal="center" vertical="center"/>
      <protection/>
    </xf>
    <xf numFmtId="2" fontId="3" fillId="0" borderId="15" xfId="63" applyNumberFormat="1" applyFont="1" applyBorder="1" applyAlignment="1">
      <alignment horizontal="center" vertical="center"/>
      <protection/>
    </xf>
    <xf numFmtId="2" fontId="3" fillId="0" borderId="17" xfId="63" applyNumberFormat="1" applyFont="1" applyBorder="1" applyAlignment="1">
      <alignment horizontal="center" vertical="center"/>
      <protection/>
    </xf>
    <xf numFmtId="2" fontId="3" fillId="0" borderId="16" xfId="63" applyNumberFormat="1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1" xfId="55" applyFont="1" applyBorder="1" applyAlignment="1">
      <alignment horizontal="center" wrapText="1"/>
      <protection/>
    </xf>
    <xf numFmtId="0" fontId="3" fillId="0" borderId="0" xfId="0" applyFont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2" fontId="56" fillId="0" borderId="11" xfId="63" applyNumberFormat="1" applyFont="1" applyBorder="1" applyAlignment="1">
      <alignment horizontal="center" vertical="center"/>
      <protection/>
    </xf>
    <xf numFmtId="2" fontId="56" fillId="0" borderId="18" xfId="63" applyNumberFormat="1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49" fontId="56" fillId="0" borderId="15" xfId="63" applyNumberFormat="1" applyFont="1" applyBorder="1" applyAlignment="1">
      <alignment horizontal="center" vertical="center" wrapText="1"/>
      <protection/>
    </xf>
    <xf numFmtId="0" fontId="56" fillId="0" borderId="17" xfId="63" applyFont="1" applyBorder="1" applyAlignment="1">
      <alignment horizontal="center" vertical="center" wrapText="1"/>
      <protection/>
    </xf>
    <xf numFmtId="2" fontId="56" fillId="0" borderId="14" xfId="63" applyNumberFormat="1" applyFont="1" applyBorder="1" applyAlignment="1">
      <alignment horizontal="center" vertical="center"/>
      <protection/>
    </xf>
    <xf numFmtId="2" fontId="56" fillId="0" borderId="15" xfId="63" applyNumberFormat="1" applyFont="1" applyBorder="1" applyAlignment="1">
      <alignment horizontal="center" vertical="center"/>
      <protection/>
    </xf>
    <xf numFmtId="2" fontId="56" fillId="0" borderId="17" xfId="63" applyNumberFormat="1" applyFont="1" applyBorder="1" applyAlignment="1">
      <alignment horizontal="center" vertical="center"/>
      <protection/>
    </xf>
    <xf numFmtId="2" fontId="56" fillId="0" borderId="16" xfId="63" applyNumberFormat="1" applyFont="1" applyBorder="1" applyAlignment="1">
      <alignment horizontal="center" vertical="center"/>
      <protection/>
    </xf>
    <xf numFmtId="0" fontId="56" fillId="0" borderId="15" xfId="55" applyFont="1" applyBorder="1" applyAlignment="1">
      <alignment horizontal="center" vertical="center"/>
      <protection/>
    </xf>
    <xf numFmtId="49" fontId="56" fillId="0" borderId="15" xfId="55" applyNumberFormat="1" applyFont="1" applyBorder="1" applyAlignment="1">
      <alignment horizontal="center" vertical="center"/>
      <protection/>
    </xf>
    <xf numFmtId="49" fontId="58" fillId="0" borderId="15" xfId="0" applyNumberFormat="1" applyFont="1" applyBorder="1" applyAlignment="1">
      <alignment horizontal="center" vertical="center" wrapText="1"/>
    </xf>
    <xf numFmtId="2" fontId="58" fillId="0" borderId="15" xfId="0" applyNumberFormat="1" applyFont="1" applyBorder="1" applyAlignment="1">
      <alignment horizontal="center" vertical="center"/>
    </xf>
    <xf numFmtId="199" fontId="58" fillId="0" borderId="15" xfId="0" applyNumberFormat="1" applyFont="1" applyBorder="1" applyAlignment="1">
      <alignment horizontal="center" vertical="center"/>
    </xf>
    <xf numFmtId="2" fontId="56" fillId="0" borderId="15" xfId="0" applyNumberFormat="1" applyFont="1" applyBorder="1" applyAlignment="1">
      <alignment horizontal="center" vertical="center"/>
    </xf>
    <xf numFmtId="2" fontId="56" fillId="0" borderId="15" xfId="55" applyNumberFormat="1" applyFont="1" applyBorder="1" applyAlignment="1">
      <alignment horizontal="center" vertical="center"/>
      <protection/>
    </xf>
    <xf numFmtId="0" fontId="56" fillId="0" borderId="10" xfId="63" applyFont="1" applyBorder="1" applyAlignment="1">
      <alignment horizontal="center" vertical="center"/>
      <protection/>
    </xf>
    <xf numFmtId="49" fontId="56" fillId="0" borderId="11" xfId="63" applyNumberFormat="1" applyFont="1" applyBorder="1" applyAlignment="1">
      <alignment horizontal="center" vertical="center" wrapText="1"/>
      <protection/>
    </xf>
    <xf numFmtId="49" fontId="56" fillId="0" borderId="11" xfId="0" applyNumberFormat="1" applyFont="1" applyBorder="1" applyAlignment="1">
      <alignment horizontal="center" vertical="center"/>
    </xf>
    <xf numFmtId="0" fontId="56" fillId="0" borderId="12" xfId="63" applyFont="1" applyBorder="1" applyAlignment="1">
      <alignment horizontal="center" vertical="center"/>
      <protection/>
    </xf>
    <xf numFmtId="49" fontId="56" fillId="0" borderId="18" xfId="63" applyNumberFormat="1" applyFont="1" applyBorder="1" applyAlignment="1">
      <alignment horizontal="center" vertical="center" wrapText="1"/>
      <protection/>
    </xf>
    <xf numFmtId="49" fontId="56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49" fontId="56" fillId="0" borderId="18" xfId="0" applyNumberFormat="1" applyFont="1" applyBorder="1" applyAlignment="1">
      <alignment horizontal="center" vertical="center"/>
    </xf>
    <xf numFmtId="49" fontId="56" fillId="0" borderId="11" xfId="63" applyNumberFormat="1" applyFont="1" applyBorder="1" applyAlignment="1">
      <alignment horizontal="center" vertical="center"/>
      <protection/>
    </xf>
    <xf numFmtId="49" fontId="56" fillId="0" borderId="11" xfId="63" applyNumberFormat="1" applyFont="1" applyFill="1" applyBorder="1" applyAlignment="1">
      <alignment horizontal="center" vertical="center"/>
      <protection/>
    </xf>
    <xf numFmtId="49" fontId="56" fillId="0" borderId="11" xfId="0" applyNumberFormat="1" applyFont="1" applyFill="1" applyBorder="1" applyAlignment="1">
      <alignment horizontal="center" vertical="center"/>
    </xf>
    <xf numFmtId="0" fontId="56" fillId="0" borderId="11" xfId="63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56" fillId="0" borderId="12" xfId="63" applyFont="1" applyFill="1" applyBorder="1" applyAlignment="1">
      <alignment horizontal="center" vertical="center"/>
      <protection/>
    </xf>
    <xf numFmtId="49" fontId="56" fillId="0" borderId="18" xfId="63" applyNumberFormat="1" applyFont="1" applyFill="1" applyBorder="1" applyAlignment="1">
      <alignment horizontal="center" vertical="center"/>
      <protection/>
    </xf>
    <xf numFmtId="2" fontId="56" fillId="0" borderId="0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/>
    </xf>
    <xf numFmtId="0" fontId="56" fillId="0" borderId="11" xfId="55" applyFont="1" applyBorder="1" applyAlignment="1">
      <alignment horizontal="center"/>
      <protection/>
    </xf>
    <xf numFmtId="0" fontId="56" fillId="0" borderId="11" xfId="55" applyFont="1" applyBorder="1" applyAlignment="1">
      <alignment horizontal="center" wrapText="1"/>
      <protection/>
    </xf>
    <xf numFmtId="0" fontId="56" fillId="0" borderId="18" xfId="55" applyFont="1" applyBorder="1" applyAlignment="1">
      <alignment horizontal="center"/>
      <protection/>
    </xf>
    <xf numFmtId="0" fontId="56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99" fontId="10" fillId="0" borderId="0" xfId="0" applyNumberFormat="1" applyFont="1" applyAlignment="1">
      <alignment/>
    </xf>
    <xf numFmtId="2" fontId="56" fillId="0" borderId="18" xfId="63" applyNumberFormat="1" applyFont="1" applyBorder="1" applyAlignment="1">
      <alignment horizontal="center" vertical="center"/>
      <protection/>
    </xf>
    <xf numFmtId="2" fontId="56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56" fillId="0" borderId="13" xfId="63" applyFont="1" applyBorder="1" applyAlignment="1">
      <alignment horizontal="center" vertical="center"/>
      <protection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9" fontId="56" fillId="0" borderId="13" xfId="63" applyNumberFormat="1" applyFont="1" applyBorder="1" applyAlignment="1">
      <alignment horizontal="center" vertical="center" textRotation="90" wrapText="1"/>
      <protection/>
    </xf>
    <xf numFmtId="49" fontId="56" fillId="0" borderId="11" xfId="63" applyNumberFormat="1" applyFont="1" applyBorder="1" applyAlignment="1">
      <alignment horizontal="center" vertical="center" textRotation="90" wrapText="1"/>
      <protection/>
    </xf>
    <xf numFmtId="49" fontId="56" fillId="0" borderId="18" xfId="63" applyNumberFormat="1" applyFont="1" applyBorder="1" applyAlignment="1">
      <alignment horizontal="center" vertical="center" textRotation="90" wrapText="1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2" fontId="56" fillId="0" borderId="19" xfId="63" applyNumberFormat="1" applyFont="1" applyBorder="1" applyAlignment="1">
      <alignment horizontal="center" vertical="center"/>
      <protection/>
    </xf>
    <xf numFmtId="2" fontId="56" fillId="0" borderId="21" xfId="63" applyNumberFormat="1" applyFont="1" applyBorder="1" applyAlignment="1">
      <alignment horizontal="center" vertical="center"/>
      <protection/>
    </xf>
    <xf numFmtId="2" fontId="56" fillId="0" borderId="12" xfId="63" applyNumberFormat="1" applyFont="1" applyBorder="1" applyAlignment="1">
      <alignment horizontal="center" vertical="center"/>
      <protection/>
    </xf>
    <xf numFmtId="2" fontId="56" fillId="0" borderId="13" xfId="63" applyNumberFormat="1" applyFont="1" applyBorder="1" applyAlignment="1">
      <alignment horizontal="center" vertical="center"/>
      <protection/>
    </xf>
    <xf numFmtId="2" fontId="56" fillId="0" borderId="18" xfId="63" applyNumberFormat="1" applyFont="1" applyBorder="1" applyAlignment="1">
      <alignment horizontal="center" vertical="center"/>
      <protection/>
    </xf>
    <xf numFmtId="2" fontId="56" fillId="0" borderId="21" xfId="0" applyNumberFormat="1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2" fontId="56" fillId="0" borderId="23" xfId="0" applyNumberFormat="1" applyFont="1" applyBorder="1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 vertical="center"/>
    </xf>
    <xf numFmtId="2" fontId="56" fillId="0" borderId="24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6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2" fontId="60" fillId="0" borderId="19" xfId="63" applyNumberFormat="1" applyFont="1" applyBorder="1" applyAlignment="1">
      <alignment horizontal="center" vertical="center"/>
      <protection/>
    </xf>
    <xf numFmtId="2" fontId="60" fillId="0" borderId="20" xfId="63" applyNumberFormat="1" applyFont="1" applyBorder="1" applyAlignment="1">
      <alignment horizontal="center" vertical="center"/>
      <protection/>
    </xf>
    <xf numFmtId="2" fontId="60" fillId="0" borderId="21" xfId="63" applyNumberFormat="1" applyFont="1" applyBorder="1" applyAlignment="1">
      <alignment horizontal="center" vertical="center"/>
      <protection/>
    </xf>
    <xf numFmtId="2" fontId="60" fillId="0" borderId="12" xfId="63" applyNumberFormat="1" applyFont="1" applyBorder="1" applyAlignment="1">
      <alignment horizontal="center" vertical="center"/>
      <protection/>
    </xf>
    <xf numFmtId="2" fontId="60" fillId="0" borderId="22" xfId="63" applyNumberFormat="1" applyFont="1" applyBorder="1" applyAlignment="1">
      <alignment horizontal="center" vertical="center"/>
      <protection/>
    </xf>
    <xf numFmtId="2" fontId="60" fillId="0" borderId="23" xfId="63" applyNumberFormat="1" applyFont="1" applyBorder="1" applyAlignment="1">
      <alignment horizontal="center" vertical="center"/>
      <protection/>
    </xf>
    <xf numFmtId="2" fontId="57" fillId="0" borderId="15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15" xfId="63" applyFont="1" applyBorder="1" applyAlignment="1">
      <alignment horizontal="center" vertical="center"/>
      <protection/>
    </xf>
    <xf numFmtId="2" fontId="56" fillId="0" borderId="15" xfId="0" applyNumberFormat="1" applyFont="1" applyFill="1" applyBorder="1" applyAlignment="1">
      <alignment horizontal="center" vertical="center"/>
    </xf>
    <xf numFmtId="2" fontId="56" fillId="0" borderId="15" xfId="0" applyNumberFormat="1" applyFont="1" applyBorder="1" applyAlignment="1">
      <alignment horizontal="center" vertical="center" wrapText="1"/>
    </xf>
    <xf numFmtId="0" fontId="56" fillId="0" borderId="15" xfId="63" applyFont="1" applyBorder="1" applyAlignment="1">
      <alignment horizontal="center" vertical="center" wrapText="1"/>
      <protection/>
    </xf>
    <xf numFmtId="2" fontId="57" fillId="0" borderId="15" xfId="63" applyNumberFormat="1" applyFont="1" applyBorder="1" applyAlignment="1">
      <alignment horizontal="center" vertical="center"/>
      <protection/>
    </xf>
    <xf numFmtId="2" fontId="61" fillId="0" borderId="15" xfId="63" applyNumberFormat="1" applyFont="1" applyBorder="1" applyAlignment="1">
      <alignment horizontal="center" vertical="center"/>
      <protection/>
    </xf>
    <xf numFmtId="199" fontId="56" fillId="0" borderId="15" xfId="0" applyNumberFormat="1" applyFont="1" applyBorder="1" applyAlignment="1">
      <alignment horizontal="center" vertical="center"/>
    </xf>
    <xf numFmtId="2" fontId="56" fillId="0" borderId="15" xfId="63" applyNumberFormat="1" applyFont="1" applyFill="1" applyBorder="1" applyAlignment="1">
      <alignment horizontal="center" vertical="center"/>
      <protection/>
    </xf>
    <xf numFmtId="0" fontId="57" fillId="0" borderId="15" xfId="63" applyFont="1" applyBorder="1" applyAlignment="1">
      <alignment horizontal="center" vertical="center" wrapText="1"/>
      <protection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/>
    </xf>
    <xf numFmtId="2" fontId="61" fillId="0" borderId="15" xfId="0" applyNumberFormat="1" applyFont="1" applyBorder="1" applyAlignment="1">
      <alignment horizontal="center" vertical="center"/>
    </xf>
    <xf numFmtId="2" fontId="56" fillId="0" borderId="15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200" fontId="56" fillId="0" borderId="15" xfId="0" applyNumberFormat="1" applyFont="1" applyBorder="1" applyAlignment="1">
      <alignment horizontal="center" vertical="center"/>
    </xf>
    <xf numFmtId="201" fontId="56" fillId="0" borderId="15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 wrapText="1"/>
    </xf>
    <xf numFmtId="199" fontId="57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/>
    </xf>
    <xf numFmtId="2" fontId="56" fillId="0" borderId="15" xfId="63" applyNumberFormat="1" applyFont="1" applyBorder="1" applyAlignment="1">
      <alignment horizontal="center"/>
      <protection/>
    </xf>
    <xf numFmtId="2" fontId="57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/>
    </xf>
    <xf numFmtId="0" fontId="56" fillId="0" borderId="15" xfId="63" applyFont="1" applyBorder="1" applyAlignment="1">
      <alignment horizontal="center" wrapText="1"/>
      <protection/>
    </xf>
    <xf numFmtId="199" fontId="56" fillId="0" borderId="15" xfId="0" applyNumberFormat="1" applyFont="1" applyBorder="1" applyAlignment="1">
      <alignment horizontal="center"/>
    </xf>
    <xf numFmtId="0" fontId="57" fillId="0" borderId="15" xfId="63" applyFont="1" applyBorder="1" applyAlignment="1">
      <alignment horizontal="center" wrapText="1"/>
      <protection/>
    </xf>
    <xf numFmtId="0" fontId="57" fillId="0" borderId="15" xfId="0" applyFont="1" applyBorder="1" applyAlignment="1">
      <alignment horizontal="center"/>
    </xf>
    <xf numFmtId="2" fontId="56" fillId="0" borderId="15" xfId="0" applyNumberFormat="1" applyFont="1" applyFill="1" applyBorder="1" applyAlignment="1">
      <alignment horizontal="center" vertical="center" wrapText="1"/>
    </xf>
    <xf numFmtId="199" fontId="56" fillId="0" borderId="15" xfId="0" applyNumberFormat="1" applyFont="1" applyFill="1" applyBorder="1" applyAlignment="1">
      <alignment horizontal="center" vertical="center"/>
    </xf>
    <xf numFmtId="2" fontId="63" fillId="0" borderId="15" xfId="63" applyNumberFormat="1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 wrapText="1"/>
      <protection/>
    </xf>
    <xf numFmtId="2" fontId="9" fillId="0" borderId="15" xfId="63" applyNumberFormat="1" applyFont="1" applyBorder="1" applyAlignment="1">
      <alignment horizontal="center" vertical="center"/>
      <protection/>
    </xf>
    <xf numFmtId="2" fontId="37" fillId="0" borderId="15" xfId="63" applyNumberFormat="1" applyFont="1" applyBorder="1" applyAlignment="1">
      <alignment horizontal="center" vertical="center"/>
      <protection/>
    </xf>
    <xf numFmtId="2" fontId="3" fillId="0" borderId="15" xfId="0" applyNumberFormat="1" applyFont="1" applyBorder="1" applyAlignment="1">
      <alignment horizontal="center" vertical="center" wrapText="1"/>
    </xf>
    <xf numFmtId="199" fontId="3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2" fontId="37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200" fontId="3" fillId="0" borderId="15" xfId="0" applyNumberFormat="1" applyFont="1" applyBorder="1" applyAlignment="1">
      <alignment horizontal="center" vertical="center"/>
    </xf>
    <xf numFmtId="201" fontId="3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wrapText="1"/>
    </xf>
    <xf numFmtId="0" fontId="56" fillId="0" borderId="15" xfId="55" applyFont="1" applyBorder="1" applyAlignment="1">
      <alignment horizontal="center"/>
      <protection/>
    </xf>
    <xf numFmtId="0" fontId="56" fillId="0" borderId="15" xfId="55" applyFont="1" applyBorder="1" applyAlignment="1">
      <alignment horizontal="center" wrapText="1"/>
      <protection/>
    </xf>
    <xf numFmtId="2" fontId="3" fillId="0" borderId="15" xfId="55" applyNumberFormat="1" applyFont="1" applyBorder="1" applyAlignment="1">
      <alignment horizontal="center" vertical="center" wrapText="1"/>
      <protection/>
    </xf>
    <xf numFmtId="199" fontId="3" fillId="0" borderId="15" xfId="55" applyNumberFormat="1" applyFont="1" applyBorder="1" applyAlignment="1">
      <alignment horizontal="center" wrapText="1"/>
      <protection/>
    </xf>
    <xf numFmtId="2" fontId="3" fillId="0" borderId="15" xfId="55" applyNumberFormat="1" applyFont="1" applyBorder="1" applyAlignment="1">
      <alignment horizontal="center" wrapText="1"/>
      <protection/>
    </xf>
    <xf numFmtId="2" fontId="3" fillId="0" borderId="15" xfId="55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/>
      <protection/>
    </xf>
    <xf numFmtId="0" fontId="56" fillId="0" borderId="15" xfId="55" applyFont="1" applyBorder="1" applyAlignment="1">
      <alignment horizontal="center" vertical="center" wrapText="1"/>
      <protection/>
    </xf>
    <xf numFmtId="199" fontId="3" fillId="0" borderId="15" xfId="55" applyNumberFormat="1" applyFont="1" applyBorder="1" applyAlignment="1">
      <alignment horizontal="center" vertical="center" wrapText="1"/>
      <protection/>
    </xf>
    <xf numFmtId="2" fontId="3" fillId="0" borderId="15" xfId="55" applyNumberFormat="1" applyFont="1" applyBorder="1" applyAlignment="1">
      <alignment horizontal="center"/>
      <protection/>
    </xf>
    <xf numFmtId="0" fontId="57" fillId="0" borderId="0" xfId="0" applyFont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 vertical="top"/>
    </xf>
    <xf numFmtId="0" fontId="3" fillId="32" borderId="15" xfId="0" applyFont="1" applyFill="1" applyBorder="1" applyAlignment="1">
      <alignment horizontal="center" vertical="top"/>
    </xf>
    <xf numFmtId="49" fontId="56" fillId="0" borderId="15" xfId="0" applyNumberFormat="1" applyFont="1" applyBorder="1" applyAlignment="1">
      <alignment horizontal="center" vertical="center"/>
    </xf>
    <xf numFmtId="9" fontId="56" fillId="0" borderId="15" xfId="67" applyFont="1" applyBorder="1" applyAlignment="1">
      <alignment horizontal="center" vertical="center"/>
    </xf>
    <xf numFmtId="49" fontId="56" fillId="0" borderId="15" xfId="55" applyNumberFormat="1" applyFont="1" applyBorder="1" applyAlignment="1">
      <alignment horizontal="center" vertical="center" wrapText="1"/>
      <protection/>
    </xf>
    <xf numFmtId="2" fontId="56" fillId="0" borderId="15" xfId="55" applyNumberFormat="1" applyFont="1" applyBorder="1" applyAlignment="1">
      <alignment horizontal="center" vertical="center" wrapText="1"/>
      <protection/>
    </xf>
    <xf numFmtId="199" fontId="56" fillId="0" borderId="15" xfId="55" applyNumberFormat="1" applyFont="1" applyBorder="1" applyAlignment="1">
      <alignment horizontal="center" wrapText="1"/>
      <protection/>
    </xf>
    <xf numFmtId="2" fontId="56" fillId="0" borderId="15" xfId="55" applyNumberFormat="1" applyFont="1" applyBorder="1" applyAlignment="1">
      <alignment horizontal="center" wrapText="1"/>
      <protection/>
    </xf>
    <xf numFmtId="199" fontId="56" fillId="0" borderId="15" xfId="55" applyNumberFormat="1" applyFont="1" applyBorder="1" applyAlignment="1">
      <alignment horizontal="center" vertical="center" wrapText="1"/>
      <protection/>
    </xf>
    <xf numFmtId="2" fontId="56" fillId="0" borderId="15" xfId="55" applyNumberFormat="1" applyFont="1" applyBorder="1" applyAlignment="1">
      <alignment horizontal="center"/>
      <protection/>
    </xf>
    <xf numFmtId="0" fontId="6" fillId="32" borderId="24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47625</xdr:rowOff>
    </xdr:from>
    <xdr:ext cx="66675" cy="171450"/>
    <xdr:sp fLocksText="0">
      <xdr:nvSpPr>
        <xdr:cNvPr id="1" name="Text Box 9"/>
        <xdr:cNvSpPr txBox="1">
          <a:spLocks noChangeArrowheads="1"/>
        </xdr:cNvSpPr>
      </xdr:nvSpPr>
      <xdr:spPr>
        <a:xfrm>
          <a:off x="2952750" y="5486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47625</xdr:rowOff>
    </xdr:from>
    <xdr:ext cx="66675" cy="171450"/>
    <xdr:sp fLocksText="0">
      <xdr:nvSpPr>
        <xdr:cNvPr id="2" name="Text Box 10"/>
        <xdr:cNvSpPr txBox="1">
          <a:spLocks noChangeArrowheads="1"/>
        </xdr:cNvSpPr>
      </xdr:nvSpPr>
      <xdr:spPr>
        <a:xfrm>
          <a:off x="2952750" y="5486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">
      <selection activeCell="A6" sqref="A6:N6"/>
    </sheetView>
  </sheetViews>
  <sheetFormatPr defaultColWidth="9.140625" defaultRowHeight="12.75"/>
  <cols>
    <col min="1" max="1" width="5.28125" style="5" customWidth="1"/>
    <col min="2" max="2" width="12.7109375" style="5" customWidth="1"/>
    <col min="3" max="3" width="51.140625" style="50" customWidth="1"/>
    <col min="4" max="4" width="8.57421875" style="5" hidden="1" customWidth="1"/>
    <col min="5" max="5" width="8.7109375" style="5" hidden="1" customWidth="1"/>
    <col min="6" max="6" width="8.57421875" style="5" hidden="1" customWidth="1"/>
    <col min="7" max="7" width="9.57421875" style="5" hidden="1" customWidth="1"/>
    <col min="8" max="8" width="3.28125" style="5" hidden="1" customWidth="1"/>
    <col min="9" max="9" width="0.13671875" style="5" hidden="1" customWidth="1"/>
    <col min="10" max="10" width="13.421875" style="5" customWidth="1"/>
    <col min="11" max="11" width="12.00390625" style="5" customWidth="1"/>
    <col min="12" max="12" width="12.7109375" style="45" customWidth="1"/>
    <col min="13" max="13" width="13.8515625" style="5" customWidth="1"/>
    <col min="14" max="14" width="13.7109375" style="5" customWidth="1"/>
    <col min="15" max="15" width="16.7109375" style="5" customWidth="1"/>
    <col min="16" max="16" width="12.28125" style="5" bestFit="1" customWidth="1"/>
    <col min="17" max="16384" width="9.140625" style="5" customWidth="1"/>
  </cols>
  <sheetData>
    <row r="1" spans="1:14" ht="34.5" customHeight="1">
      <c r="A1" s="126" t="s">
        <v>134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9.75" customHeight="1">
      <c r="A2" s="166" t="s">
        <v>126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39.75" customHeight="1">
      <c r="A3" s="166" t="s">
        <v>130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39.75" customHeight="1">
      <c r="A4" s="163" t="s">
        <v>131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39.75" customHeight="1">
      <c r="A5" s="166" t="s">
        <v>132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39.75" customHeight="1">
      <c r="A6" s="166" t="s">
        <v>133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5" ht="48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4"/>
    </row>
    <row r="8" spans="1:15" ht="2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4"/>
    </row>
    <row r="9" spans="1:15" ht="21">
      <c r="A9" s="165" t="s">
        <v>103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4"/>
    </row>
    <row r="10" spans="1:15" ht="21">
      <c r="A10" s="165" t="s">
        <v>104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4"/>
    </row>
    <row r="11" spans="1:15" ht="2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6"/>
    </row>
    <row r="12" spans="1:15" ht="30.75" customHeight="1">
      <c r="A12" s="168" t="s">
        <v>95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4"/>
    </row>
    <row r="13" spans="1:15" ht="17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4"/>
    </row>
    <row r="14" spans="1:14" ht="18" customHeight="1">
      <c r="A14" s="7"/>
      <c r="B14" s="265" t="s">
        <v>102</v>
      </c>
      <c r="C14" s="26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10"/>
      <c r="M15" s="8"/>
      <c r="N15" s="8"/>
    </row>
    <row r="16" spans="1:14" ht="21">
      <c r="A16" s="130" t="s">
        <v>14</v>
      </c>
      <c r="B16" s="127" t="s">
        <v>105</v>
      </c>
      <c r="C16" s="143" t="s">
        <v>106</v>
      </c>
      <c r="D16" s="144"/>
      <c r="E16" s="144"/>
      <c r="F16" s="144"/>
      <c r="G16" s="144"/>
      <c r="H16" s="144"/>
      <c r="I16" s="145"/>
      <c r="J16" s="143" t="s">
        <v>107</v>
      </c>
      <c r="K16" s="144"/>
      <c r="L16" s="144"/>
      <c r="M16" s="145"/>
      <c r="N16" s="127" t="s">
        <v>112</v>
      </c>
    </row>
    <row r="17" spans="1:14" ht="21">
      <c r="A17" s="131"/>
      <c r="B17" s="128"/>
      <c r="C17" s="146"/>
      <c r="D17" s="147"/>
      <c r="E17" s="147"/>
      <c r="F17" s="147"/>
      <c r="G17" s="147"/>
      <c r="H17" s="147"/>
      <c r="I17" s="148"/>
      <c r="J17" s="149"/>
      <c r="K17" s="150"/>
      <c r="L17" s="150"/>
      <c r="M17" s="151"/>
      <c r="N17" s="128"/>
    </row>
    <row r="18" spans="1:14" ht="21">
      <c r="A18" s="131"/>
      <c r="B18" s="128"/>
      <c r="C18" s="146"/>
      <c r="D18" s="147"/>
      <c r="E18" s="147"/>
      <c r="F18" s="147"/>
      <c r="G18" s="147"/>
      <c r="H18" s="147"/>
      <c r="I18" s="148"/>
      <c r="J18" s="127" t="s">
        <v>108</v>
      </c>
      <c r="K18" s="127" t="s">
        <v>109</v>
      </c>
      <c r="L18" s="152" t="s">
        <v>110</v>
      </c>
      <c r="M18" s="127" t="s">
        <v>111</v>
      </c>
      <c r="N18" s="128"/>
    </row>
    <row r="19" spans="1:14" ht="21">
      <c r="A19" s="131"/>
      <c r="B19" s="128"/>
      <c r="C19" s="146"/>
      <c r="D19" s="147"/>
      <c r="E19" s="147"/>
      <c r="F19" s="147"/>
      <c r="G19" s="147"/>
      <c r="H19" s="147"/>
      <c r="I19" s="148"/>
      <c r="J19" s="128"/>
      <c r="K19" s="128"/>
      <c r="L19" s="153"/>
      <c r="M19" s="128"/>
      <c r="N19" s="128"/>
    </row>
    <row r="20" spans="1:14" ht="21">
      <c r="A20" s="131"/>
      <c r="B20" s="128"/>
      <c r="C20" s="146"/>
      <c r="D20" s="147"/>
      <c r="E20" s="147"/>
      <c r="F20" s="147"/>
      <c r="G20" s="147"/>
      <c r="H20" s="147"/>
      <c r="I20" s="148"/>
      <c r="J20" s="128"/>
      <c r="K20" s="128"/>
      <c r="L20" s="153"/>
      <c r="M20" s="128"/>
      <c r="N20" s="128"/>
    </row>
    <row r="21" spans="1:14" ht="21">
      <c r="A21" s="131"/>
      <c r="B21" s="128"/>
      <c r="C21" s="146"/>
      <c r="D21" s="147"/>
      <c r="E21" s="147"/>
      <c r="F21" s="147"/>
      <c r="G21" s="147"/>
      <c r="H21" s="147"/>
      <c r="I21" s="148"/>
      <c r="J21" s="128"/>
      <c r="K21" s="128"/>
      <c r="L21" s="153"/>
      <c r="M21" s="128"/>
      <c r="N21" s="128"/>
    </row>
    <row r="22" spans="1:14" ht="21">
      <c r="A22" s="132"/>
      <c r="B22" s="129"/>
      <c r="C22" s="149"/>
      <c r="D22" s="150"/>
      <c r="E22" s="150"/>
      <c r="F22" s="150"/>
      <c r="G22" s="150"/>
      <c r="H22" s="150"/>
      <c r="I22" s="151"/>
      <c r="J22" s="129"/>
      <c r="K22" s="129"/>
      <c r="L22" s="154"/>
      <c r="M22" s="129"/>
      <c r="N22" s="129"/>
    </row>
    <row r="23" spans="1:14" ht="12.75" customHeight="1">
      <c r="A23" s="12">
        <v>1</v>
      </c>
      <c r="B23" s="13">
        <v>2</v>
      </c>
      <c r="C23" s="155">
        <v>3</v>
      </c>
      <c r="D23" s="156"/>
      <c r="E23" s="156"/>
      <c r="F23" s="156"/>
      <c r="G23" s="156"/>
      <c r="H23" s="156"/>
      <c r="I23" s="157"/>
      <c r="J23" s="13">
        <v>4</v>
      </c>
      <c r="K23" s="16">
        <v>5</v>
      </c>
      <c r="L23" s="17">
        <v>6</v>
      </c>
      <c r="M23" s="16">
        <v>7</v>
      </c>
      <c r="N23" s="13">
        <v>8</v>
      </c>
    </row>
    <row r="24" spans="1:14" ht="21">
      <c r="A24" s="18"/>
      <c r="B24" s="19"/>
      <c r="C24" s="20" t="s">
        <v>114</v>
      </c>
      <c r="D24" s="21"/>
      <c r="E24" s="21"/>
      <c r="F24" s="21"/>
      <c r="G24" s="21"/>
      <c r="H24" s="21"/>
      <c r="I24" s="22"/>
      <c r="J24" s="19"/>
      <c r="K24" s="23"/>
      <c r="L24" s="24"/>
      <c r="M24" s="23"/>
      <c r="N24" s="19"/>
    </row>
    <row r="25" spans="1:14" ht="21">
      <c r="A25" s="18"/>
      <c r="B25" s="19"/>
      <c r="C25" s="20" t="s">
        <v>113</v>
      </c>
      <c r="D25" s="21"/>
      <c r="E25" s="21"/>
      <c r="F25" s="21"/>
      <c r="G25" s="21"/>
      <c r="H25" s="21"/>
      <c r="I25" s="22"/>
      <c r="J25" s="19"/>
      <c r="K25" s="23"/>
      <c r="L25" s="24"/>
      <c r="M25" s="23"/>
      <c r="N25" s="19"/>
    </row>
    <row r="26" spans="1:14" ht="38.25">
      <c r="A26" s="12">
        <v>1</v>
      </c>
      <c r="B26" s="25" t="s">
        <v>115</v>
      </c>
      <c r="C26" s="12" t="s">
        <v>117</v>
      </c>
      <c r="D26" s="14"/>
      <c r="E26" s="14"/>
      <c r="F26" s="14"/>
      <c r="G26" s="14"/>
      <c r="H26" s="14"/>
      <c r="I26" s="15"/>
      <c r="J26" s="13"/>
      <c r="K26" s="16"/>
      <c r="L26" s="17"/>
      <c r="M26" s="26"/>
      <c r="N26" s="27">
        <f>M26</f>
        <v>0</v>
      </c>
    </row>
    <row r="27" spans="1:14" ht="21">
      <c r="A27" s="18">
        <v>1</v>
      </c>
      <c r="B27" s="19" t="s">
        <v>116</v>
      </c>
      <c r="C27" s="18" t="s">
        <v>93</v>
      </c>
      <c r="D27" s="21"/>
      <c r="E27" s="21"/>
      <c r="F27" s="21"/>
      <c r="G27" s="21"/>
      <c r="H27" s="21"/>
      <c r="I27" s="22"/>
      <c r="J27" s="27">
        <f>'x.a.1'!J7</f>
        <v>0</v>
      </c>
      <c r="K27" s="23"/>
      <c r="L27" s="24"/>
      <c r="M27" s="28"/>
      <c r="N27" s="29">
        <f>J27</f>
        <v>0</v>
      </c>
    </row>
    <row r="28" spans="1:14" ht="21">
      <c r="A28" s="18"/>
      <c r="B28" s="19"/>
      <c r="C28" s="20" t="s">
        <v>118</v>
      </c>
      <c r="D28" s="21"/>
      <c r="E28" s="21"/>
      <c r="F28" s="21"/>
      <c r="G28" s="21"/>
      <c r="H28" s="21"/>
      <c r="I28" s="22"/>
      <c r="J28" s="30">
        <f>J27</f>
        <v>0</v>
      </c>
      <c r="K28" s="31"/>
      <c r="L28" s="32"/>
      <c r="M28" s="33">
        <f>M26</f>
        <v>0</v>
      </c>
      <c r="N28" s="30">
        <f>J28+M28</f>
        <v>0</v>
      </c>
    </row>
    <row r="29" spans="1:14" ht="21">
      <c r="A29" s="18"/>
      <c r="B29" s="19"/>
      <c r="C29" s="20"/>
      <c r="D29" s="21"/>
      <c r="E29" s="21"/>
      <c r="F29" s="21"/>
      <c r="G29" s="21"/>
      <c r="H29" s="21"/>
      <c r="I29" s="22"/>
      <c r="J29" s="29"/>
      <c r="K29" s="23"/>
      <c r="L29" s="24"/>
      <c r="M29" s="28"/>
      <c r="N29" s="29"/>
    </row>
    <row r="30" spans="1:14" ht="21">
      <c r="A30" s="18"/>
      <c r="B30" s="19"/>
      <c r="C30" s="20" t="s">
        <v>119</v>
      </c>
      <c r="D30" s="21"/>
      <c r="E30" s="21"/>
      <c r="F30" s="21"/>
      <c r="G30" s="21"/>
      <c r="H30" s="21"/>
      <c r="I30" s="22"/>
      <c r="J30" s="29"/>
      <c r="K30" s="23"/>
      <c r="L30" s="24"/>
      <c r="M30" s="28"/>
      <c r="N30" s="29"/>
    </row>
    <row r="31" spans="1:14" ht="21">
      <c r="A31" s="18"/>
      <c r="B31" s="19"/>
      <c r="C31" s="20" t="s">
        <v>120</v>
      </c>
      <c r="D31" s="21"/>
      <c r="E31" s="21"/>
      <c r="F31" s="21"/>
      <c r="G31" s="21"/>
      <c r="H31" s="21"/>
      <c r="I31" s="22"/>
      <c r="J31" s="29"/>
      <c r="K31" s="23"/>
      <c r="L31" s="24"/>
      <c r="M31" s="28"/>
      <c r="N31" s="29"/>
    </row>
    <row r="32" spans="1:14" ht="21">
      <c r="A32" s="18">
        <v>2</v>
      </c>
      <c r="B32" s="19" t="s">
        <v>129</v>
      </c>
      <c r="C32" s="18" t="s">
        <v>97</v>
      </c>
      <c r="D32" s="21"/>
      <c r="E32" s="21"/>
      <c r="F32" s="21"/>
      <c r="G32" s="21"/>
      <c r="H32" s="21"/>
      <c r="I32" s="22"/>
      <c r="J32" s="29">
        <f>'x.a.2'!J7</f>
        <v>0</v>
      </c>
      <c r="K32" s="23"/>
      <c r="L32" s="24"/>
      <c r="M32" s="28"/>
      <c r="N32" s="29">
        <f>J32</f>
        <v>0</v>
      </c>
    </row>
    <row r="33" spans="1:14" ht="21">
      <c r="A33" s="18"/>
      <c r="B33" s="19"/>
      <c r="C33" s="20" t="s">
        <v>121</v>
      </c>
      <c r="D33" s="21"/>
      <c r="E33" s="21"/>
      <c r="F33" s="21"/>
      <c r="G33" s="21"/>
      <c r="H33" s="21"/>
      <c r="I33" s="22"/>
      <c r="J33" s="30">
        <f>SUM(J32:J32)</f>
        <v>0</v>
      </c>
      <c r="K33" s="31"/>
      <c r="L33" s="32"/>
      <c r="M33" s="33"/>
      <c r="N33" s="30">
        <f>SUM(N32:N32)</f>
        <v>0</v>
      </c>
    </row>
    <row r="34" spans="1:14" ht="21">
      <c r="A34" s="18"/>
      <c r="B34" s="19"/>
      <c r="C34" s="20"/>
      <c r="D34" s="21"/>
      <c r="E34" s="21"/>
      <c r="F34" s="21"/>
      <c r="G34" s="21"/>
      <c r="H34" s="21"/>
      <c r="I34" s="22"/>
      <c r="J34" s="29"/>
      <c r="K34" s="23"/>
      <c r="L34" s="24"/>
      <c r="M34" s="28"/>
      <c r="N34" s="29"/>
    </row>
    <row r="35" spans="1:14" ht="21">
      <c r="A35" s="13"/>
      <c r="B35" s="13"/>
      <c r="C35" s="34" t="s">
        <v>122</v>
      </c>
      <c r="D35" s="16"/>
      <c r="E35" s="16"/>
      <c r="F35" s="16"/>
      <c r="G35" s="16"/>
      <c r="H35" s="16"/>
      <c r="I35" s="35"/>
      <c r="J35" s="36">
        <f>J28+J33</f>
        <v>0</v>
      </c>
      <c r="K35" s="36"/>
      <c r="L35" s="36"/>
      <c r="M35" s="36">
        <f>M28</f>
        <v>0</v>
      </c>
      <c r="N35" s="36">
        <f>N28+N33</f>
        <v>0</v>
      </c>
    </row>
    <row r="36" spans="1:14" ht="21">
      <c r="A36" s="18"/>
      <c r="B36" s="19"/>
      <c r="C36" s="20"/>
      <c r="D36" s="21"/>
      <c r="E36" s="21"/>
      <c r="F36" s="21"/>
      <c r="G36" s="21"/>
      <c r="H36" s="21"/>
      <c r="I36" s="22"/>
      <c r="J36" s="30"/>
      <c r="K36" s="31"/>
      <c r="L36" s="32"/>
      <c r="M36" s="33"/>
      <c r="N36" s="30"/>
    </row>
    <row r="37" spans="1:14" ht="21">
      <c r="A37" s="13">
        <v>3</v>
      </c>
      <c r="B37" s="37"/>
      <c r="C37" s="38" t="s">
        <v>123</v>
      </c>
      <c r="D37" s="13"/>
      <c r="E37" s="13"/>
      <c r="F37" s="13"/>
      <c r="G37" s="13"/>
      <c r="H37" s="13"/>
      <c r="I37" s="13"/>
      <c r="J37" s="27"/>
      <c r="K37" s="27"/>
      <c r="L37" s="27"/>
      <c r="M37" s="27">
        <f>N35*3%</f>
        <v>0</v>
      </c>
      <c r="N37" s="27">
        <f>M37</f>
        <v>0</v>
      </c>
    </row>
    <row r="38" spans="1:14" ht="21">
      <c r="A38" s="13"/>
      <c r="B38" s="37"/>
      <c r="C38" s="158" t="s">
        <v>47</v>
      </c>
      <c r="D38" s="158"/>
      <c r="E38" s="158"/>
      <c r="F38" s="158"/>
      <c r="G38" s="158"/>
      <c r="H38" s="158"/>
      <c r="I38" s="158"/>
      <c r="J38" s="36">
        <f>J35</f>
        <v>0</v>
      </c>
      <c r="K38" s="36"/>
      <c r="L38" s="36"/>
      <c r="M38" s="36">
        <f>M35+M37</f>
        <v>0</v>
      </c>
      <c r="N38" s="36">
        <f>N35+N37</f>
        <v>0</v>
      </c>
    </row>
    <row r="39" spans="1:14" ht="21">
      <c r="A39" s="13"/>
      <c r="B39" s="37"/>
      <c r="C39" s="39"/>
      <c r="D39" s="39"/>
      <c r="E39" s="39"/>
      <c r="F39" s="39"/>
      <c r="G39" s="39"/>
      <c r="H39" s="39"/>
      <c r="I39" s="39"/>
      <c r="J39" s="36"/>
      <c r="K39" s="36"/>
      <c r="L39" s="36"/>
      <c r="M39" s="36"/>
      <c r="N39" s="36"/>
    </row>
    <row r="40" spans="1:14" ht="21">
      <c r="A40" s="13">
        <v>4</v>
      </c>
      <c r="B40" s="37"/>
      <c r="C40" s="38" t="s">
        <v>124</v>
      </c>
      <c r="D40" s="13"/>
      <c r="E40" s="13"/>
      <c r="F40" s="13"/>
      <c r="G40" s="13"/>
      <c r="H40" s="13"/>
      <c r="I40" s="13"/>
      <c r="J40" s="27"/>
      <c r="K40" s="27"/>
      <c r="L40" s="27"/>
      <c r="M40" s="27">
        <f>N38*18%</f>
        <v>0</v>
      </c>
      <c r="N40" s="27">
        <f>M40</f>
        <v>0</v>
      </c>
    </row>
    <row r="41" spans="1:15" ht="21">
      <c r="A41" s="124"/>
      <c r="B41" s="124"/>
      <c r="C41" s="133" t="s">
        <v>125</v>
      </c>
      <c r="D41" s="134"/>
      <c r="E41" s="134"/>
      <c r="F41" s="134"/>
      <c r="G41" s="134"/>
      <c r="H41" s="134"/>
      <c r="I41" s="135"/>
      <c r="J41" s="139">
        <f>J38</f>
        <v>0</v>
      </c>
      <c r="K41" s="141"/>
      <c r="L41" s="141"/>
      <c r="M41" s="141">
        <f>M38+M40</f>
        <v>0</v>
      </c>
      <c r="N41" s="160">
        <f>N38+N40</f>
        <v>0</v>
      </c>
      <c r="O41" s="121">
        <f>N41*1000</f>
        <v>0</v>
      </c>
    </row>
    <row r="42" spans="1:14" ht="20.25" customHeight="1">
      <c r="A42" s="125"/>
      <c r="B42" s="125"/>
      <c r="C42" s="136"/>
      <c r="D42" s="137"/>
      <c r="E42" s="137"/>
      <c r="F42" s="137"/>
      <c r="G42" s="137"/>
      <c r="H42" s="137"/>
      <c r="I42" s="138"/>
      <c r="J42" s="140"/>
      <c r="K42" s="142"/>
      <c r="L42" s="142"/>
      <c r="M42" s="142"/>
      <c r="N42" s="161"/>
    </row>
    <row r="43" spans="1:14" ht="21">
      <c r="A43" s="40"/>
      <c r="B43" s="41"/>
      <c r="C43" s="42"/>
      <c r="D43" s="43"/>
      <c r="E43" s="43"/>
      <c r="F43" s="43"/>
      <c r="G43" s="43"/>
      <c r="H43" s="43"/>
      <c r="I43" s="43"/>
      <c r="J43" s="44"/>
      <c r="K43" s="43"/>
      <c r="L43" s="43"/>
      <c r="M43" s="44"/>
      <c r="N43" s="44"/>
    </row>
    <row r="44" spans="1:14" ht="18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1:14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21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1:14" ht="16.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5" ht="2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45"/>
    </row>
    <row r="49" spans="1:14" ht="21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46"/>
      <c r="N49" s="10"/>
    </row>
    <row r="50" spans="1:14" ht="21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21">
      <c r="A51" s="47"/>
      <c r="B51" s="47"/>
      <c r="C51" s="4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9"/>
    </row>
    <row r="52" spans="1:14" ht="21">
      <c r="A52" s="47"/>
      <c r="B52" s="47"/>
      <c r="C52" s="48"/>
      <c r="D52" s="47"/>
      <c r="E52" s="47"/>
      <c r="F52" s="47"/>
      <c r="G52" s="47"/>
      <c r="H52" s="47"/>
      <c r="I52" s="47"/>
      <c r="J52" s="47"/>
      <c r="K52" s="47"/>
      <c r="L52" s="49"/>
      <c r="M52" s="47"/>
      <c r="N52" s="49"/>
    </row>
    <row r="53" spans="1:14" ht="21">
      <c r="A53" s="47"/>
      <c r="B53" s="47"/>
      <c r="C53" s="48"/>
      <c r="D53" s="47"/>
      <c r="E53" s="47"/>
      <c r="F53" s="47"/>
      <c r="G53" s="47"/>
      <c r="H53" s="47"/>
      <c r="I53" s="47"/>
      <c r="J53" s="47"/>
      <c r="K53" s="47"/>
      <c r="L53" s="49"/>
      <c r="M53" s="47"/>
      <c r="N53" s="47"/>
    </row>
    <row r="54" spans="1:14" ht="21">
      <c r="A54" s="47"/>
      <c r="B54" s="47"/>
      <c r="C54" s="48"/>
      <c r="D54" s="47"/>
      <c r="E54" s="47"/>
      <c r="F54" s="47"/>
      <c r="G54" s="47"/>
      <c r="H54" s="47"/>
      <c r="I54" s="47"/>
      <c r="J54" s="47"/>
      <c r="K54" s="47"/>
      <c r="L54" s="49"/>
      <c r="M54" s="49"/>
      <c r="N54" s="47"/>
    </row>
    <row r="55" spans="1:14" ht="21">
      <c r="A55" s="47"/>
      <c r="B55" s="47"/>
      <c r="C55" s="48"/>
      <c r="D55" s="47"/>
      <c r="E55" s="47"/>
      <c r="F55" s="47"/>
      <c r="G55" s="47"/>
      <c r="H55" s="47"/>
      <c r="I55" s="47"/>
      <c r="J55" s="47"/>
      <c r="K55" s="47"/>
      <c r="L55" s="49"/>
      <c r="M55" s="47"/>
      <c r="N55" s="47"/>
    </row>
  </sheetData>
  <sheetProtection/>
  <mergeCells count="39">
    <mergeCell ref="A5:N5"/>
    <mergeCell ref="A6:N6"/>
    <mergeCell ref="B14:C14"/>
    <mergeCell ref="A13:N13"/>
    <mergeCell ref="A12:N12"/>
    <mergeCell ref="A11:N11"/>
    <mergeCell ref="A7:N7"/>
    <mergeCell ref="A8:N8"/>
    <mergeCell ref="A9:N9"/>
    <mergeCell ref="A10:N10"/>
    <mergeCell ref="A2:N2"/>
    <mergeCell ref="A3:N3"/>
    <mergeCell ref="A4:N4"/>
    <mergeCell ref="A48:N48"/>
    <mergeCell ref="A50:N50"/>
    <mergeCell ref="A45:N45"/>
    <mergeCell ref="A46:N46"/>
    <mergeCell ref="A47:N47"/>
    <mergeCell ref="M41:M42"/>
    <mergeCell ref="N41:N42"/>
    <mergeCell ref="A44:N44"/>
    <mergeCell ref="C41:I42"/>
    <mergeCell ref="J41:J42"/>
    <mergeCell ref="K41:K42"/>
    <mergeCell ref="L41:L42"/>
    <mergeCell ref="C16:I22"/>
    <mergeCell ref="J16:M17"/>
    <mergeCell ref="L18:L22"/>
    <mergeCell ref="M18:M22"/>
    <mergeCell ref="C23:I23"/>
    <mergeCell ref="C38:I38"/>
    <mergeCell ref="A41:A42"/>
    <mergeCell ref="B41:B42"/>
    <mergeCell ref="A1:N1"/>
    <mergeCell ref="N16:N22"/>
    <mergeCell ref="J18:J22"/>
    <mergeCell ref="K18:K22"/>
    <mergeCell ref="A16:A22"/>
    <mergeCell ref="B16:B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5" r:id="rId1"/>
  <rowBreaks count="2" manualBreakCount="2">
    <brk id="8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9"/>
  <sheetViews>
    <sheetView zoomScaleSheetLayoutView="100" zoomScalePageLayoutView="0" workbookViewId="0" topLeftCell="A58">
      <selection activeCell="D61" sqref="D61"/>
    </sheetView>
  </sheetViews>
  <sheetFormatPr defaultColWidth="9.00390625" defaultRowHeight="12.75"/>
  <cols>
    <col min="1" max="1" width="3.8515625" style="119" customWidth="1"/>
    <col min="2" max="2" width="9.7109375" style="77" customWidth="1"/>
    <col min="3" max="3" width="33.140625" style="77" customWidth="1"/>
    <col min="4" max="4" width="8.28125" style="114" customWidth="1"/>
    <col min="5" max="5" width="9.00390625" style="114" customWidth="1"/>
    <col min="6" max="6" width="12.57421875" style="114" customWidth="1"/>
    <col min="7" max="7" width="9.7109375" style="114" customWidth="1"/>
    <col min="8" max="8" width="10.28125" style="114" customWidth="1"/>
    <col min="9" max="9" width="8.8515625" style="114" customWidth="1"/>
    <col min="10" max="10" width="11.28125" style="114" customWidth="1"/>
    <col min="11" max="11" width="8.8515625" style="114" customWidth="1"/>
    <col min="12" max="12" width="10.421875" style="114" customWidth="1"/>
    <col min="13" max="13" width="13.28125" style="114" customWidth="1"/>
    <col min="14" max="16384" width="9.00390625" style="75" customWidth="1"/>
  </cols>
  <sheetData>
    <row r="1" spans="1:14" ht="22.5" customHeight="1">
      <c r="A1" s="168" t="s">
        <v>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3" ht="16.5" customHeight="1">
      <c r="A3" s="173" t="s">
        <v>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.75">
      <c r="A5" s="174" t="s">
        <v>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5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15" customHeight="1">
      <c r="A7" s="77"/>
      <c r="B7" s="170" t="s">
        <v>36</v>
      </c>
      <c r="C7" s="170"/>
      <c r="D7" s="171"/>
      <c r="E7" s="78"/>
      <c r="F7" s="172" t="s">
        <v>37</v>
      </c>
      <c r="G7" s="172"/>
      <c r="H7" s="172"/>
      <c r="I7" s="172"/>
      <c r="J7" s="78">
        <f>M69/1000</f>
        <v>0</v>
      </c>
      <c r="K7" s="78" t="s">
        <v>38</v>
      </c>
      <c r="L7" s="78"/>
      <c r="M7" s="78"/>
    </row>
    <row r="8" spans="1:13" ht="38.25" customHeight="1">
      <c r="A8" s="77"/>
      <c r="B8" s="170" t="s">
        <v>102</v>
      </c>
      <c r="C8" s="170"/>
      <c r="D8" s="78"/>
      <c r="E8" s="78"/>
      <c r="F8" s="172"/>
      <c r="G8" s="172"/>
      <c r="H8" s="172"/>
      <c r="I8" s="172"/>
      <c r="J8" s="78"/>
      <c r="K8" s="78"/>
      <c r="L8" s="78"/>
      <c r="M8" s="78"/>
    </row>
    <row r="9" spans="1:13" ht="15.75">
      <c r="A9" s="77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5" customHeight="1">
      <c r="A10" s="175" t="s">
        <v>0</v>
      </c>
      <c r="B10" s="178" t="s">
        <v>35</v>
      </c>
      <c r="C10" s="181" t="s">
        <v>34</v>
      </c>
      <c r="D10" s="203" t="s">
        <v>39</v>
      </c>
      <c r="E10" s="204"/>
      <c r="F10" s="205"/>
      <c r="G10" s="184" t="s">
        <v>40</v>
      </c>
      <c r="H10" s="189"/>
      <c r="I10" s="184" t="s">
        <v>41</v>
      </c>
      <c r="J10" s="192"/>
      <c r="K10" s="184" t="s">
        <v>42</v>
      </c>
      <c r="L10" s="189"/>
      <c r="M10" s="185" t="s">
        <v>44</v>
      </c>
    </row>
    <row r="11" spans="1:13" ht="22.5" customHeight="1">
      <c r="A11" s="176"/>
      <c r="B11" s="179"/>
      <c r="C11" s="182"/>
      <c r="D11" s="206"/>
      <c r="E11" s="207"/>
      <c r="F11" s="208"/>
      <c r="G11" s="190"/>
      <c r="H11" s="191"/>
      <c r="I11" s="190"/>
      <c r="J11" s="193"/>
      <c r="K11" s="186" t="s">
        <v>43</v>
      </c>
      <c r="L11" s="191"/>
      <c r="M11" s="194"/>
    </row>
    <row r="12" spans="1:13" ht="15.75">
      <c r="A12" s="176"/>
      <c r="B12" s="179"/>
      <c r="C12" s="182"/>
      <c r="D12" s="187" t="s">
        <v>45</v>
      </c>
      <c r="E12" s="187" t="s">
        <v>46</v>
      </c>
      <c r="F12" s="187" t="s">
        <v>47</v>
      </c>
      <c r="G12" s="79" t="s">
        <v>46</v>
      </c>
      <c r="H12" s="187" t="s">
        <v>47</v>
      </c>
      <c r="I12" s="79" t="s">
        <v>46</v>
      </c>
      <c r="J12" s="187" t="s">
        <v>47</v>
      </c>
      <c r="K12" s="79" t="s">
        <v>46</v>
      </c>
      <c r="L12" s="187" t="s">
        <v>47</v>
      </c>
      <c r="M12" s="195"/>
    </row>
    <row r="13" spans="1:13" ht="15.75">
      <c r="A13" s="177"/>
      <c r="B13" s="180"/>
      <c r="C13" s="183"/>
      <c r="D13" s="188"/>
      <c r="E13" s="188"/>
      <c r="F13" s="188"/>
      <c r="G13" s="80" t="s">
        <v>48</v>
      </c>
      <c r="H13" s="188"/>
      <c r="I13" s="80" t="s">
        <v>48</v>
      </c>
      <c r="J13" s="188"/>
      <c r="K13" s="80" t="s">
        <v>48</v>
      </c>
      <c r="L13" s="188"/>
      <c r="M13" s="196"/>
    </row>
    <row r="14" spans="1:13" ht="15.75">
      <c r="A14" s="81" t="s">
        <v>1</v>
      </c>
      <c r="B14" s="82" t="s">
        <v>2</v>
      </c>
      <c r="C14" s="83" t="s">
        <v>3</v>
      </c>
      <c r="D14" s="84" t="s">
        <v>4</v>
      </c>
      <c r="E14" s="85" t="s">
        <v>5</v>
      </c>
      <c r="F14" s="86" t="s">
        <v>6</v>
      </c>
      <c r="G14" s="87" t="s">
        <v>7</v>
      </c>
      <c r="H14" s="84" t="s">
        <v>8</v>
      </c>
      <c r="I14" s="85" t="s">
        <v>9</v>
      </c>
      <c r="J14" s="87" t="s">
        <v>10</v>
      </c>
      <c r="K14" s="85" t="s">
        <v>11</v>
      </c>
      <c r="L14" s="84" t="s">
        <v>12</v>
      </c>
      <c r="M14" s="85" t="s">
        <v>13</v>
      </c>
    </row>
    <row r="15" spans="1:13" ht="31.5">
      <c r="A15" s="88"/>
      <c r="B15" s="89"/>
      <c r="C15" s="90" t="s">
        <v>49</v>
      </c>
      <c r="D15" s="91" t="s">
        <v>50</v>
      </c>
      <c r="E15" s="92"/>
      <c r="F15" s="91">
        <v>223</v>
      </c>
      <c r="G15" s="93"/>
      <c r="H15" s="94"/>
      <c r="I15" s="94"/>
      <c r="J15" s="94"/>
      <c r="K15" s="94"/>
      <c r="L15" s="94"/>
      <c r="M15" s="94"/>
    </row>
    <row r="16" spans="1:13" ht="110.25">
      <c r="A16" s="95">
        <v>1</v>
      </c>
      <c r="B16" s="96" t="s">
        <v>15</v>
      </c>
      <c r="C16" s="220" t="s">
        <v>51</v>
      </c>
      <c r="D16" s="266" t="s">
        <v>99</v>
      </c>
      <c r="E16" s="216"/>
      <c r="F16" s="217">
        <v>96</v>
      </c>
      <c r="G16" s="85"/>
      <c r="H16" s="85"/>
      <c r="I16" s="85"/>
      <c r="J16" s="85"/>
      <c r="K16" s="85"/>
      <c r="L16" s="85"/>
      <c r="M16" s="85"/>
    </row>
    <row r="17" spans="1:13" ht="31.5">
      <c r="A17" s="97"/>
      <c r="B17" s="97"/>
      <c r="C17" s="214" t="s">
        <v>52</v>
      </c>
      <c r="D17" s="93" t="s">
        <v>53</v>
      </c>
      <c r="E17" s="93">
        <f>20/1000*1.15</f>
        <v>0.023</v>
      </c>
      <c r="F17" s="93">
        <f>E17*F16</f>
        <v>2.208</v>
      </c>
      <c r="G17" s="213"/>
      <c r="H17" s="213"/>
      <c r="I17" s="219"/>
      <c r="J17" s="219"/>
      <c r="K17" s="219"/>
      <c r="L17" s="219"/>
      <c r="M17" s="219"/>
    </row>
    <row r="18" spans="1:13" ht="15.75">
      <c r="A18" s="97"/>
      <c r="B18" s="97"/>
      <c r="C18" s="214" t="s">
        <v>57</v>
      </c>
      <c r="D18" s="93" t="s">
        <v>56</v>
      </c>
      <c r="E18" s="93">
        <f>44.8/1000*1.15</f>
        <v>0.051519999999999996</v>
      </c>
      <c r="F18" s="93">
        <f>E18*F16</f>
        <v>4.945919999999999</v>
      </c>
      <c r="G18" s="213"/>
      <c r="H18" s="213"/>
      <c r="I18" s="219"/>
      <c r="J18" s="219"/>
      <c r="K18" s="93"/>
      <c r="L18" s="219"/>
      <c r="M18" s="219"/>
    </row>
    <row r="19" spans="1:13" ht="31.5">
      <c r="A19" s="97"/>
      <c r="B19" s="97"/>
      <c r="C19" s="214" t="s">
        <v>58</v>
      </c>
      <c r="D19" s="93" t="s">
        <v>53</v>
      </c>
      <c r="E19" s="93"/>
      <c r="F19" s="93">
        <f>F18</f>
        <v>4.945919999999999</v>
      </c>
      <c r="G19" s="213"/>
      <c r="H19" s="213"/>
      <c r="I19" s="219"/>
      <c r="J19" s="219"/>
      <c r="K19" s="219"/>
      <c r="L19" s="219"/>
      <c r="M19" s="219"/>
    </row>
    <row r="20" spans="1:13" ht="15.75">
      <c r="A20" s="97"/>
      <c r="B20" s="97"/>
      <c r="C20" s="214" t="s">
        <v>59</v>
      </c>
      <c r="D20" s="93" t="s">
        <v>54</v>
      </c>
      <c r="E20" s="218">
        <f>2.1/1000</f>
        <v>0.0021000000000000003</v>
      </c>
      <c r="F20" s="93">
        <f>E20*F16</f>
        <v>0.20160000000000003</v>
      </c>
      <c r="G20" s="93"/>
      <c r="H20" s="93"/>
      <c r="I20" s="93"/>
      <c r="J20" s="93"/>
      <c r="K20" s="93"/>
      <c r="L20" s="93"/>
      <c r="M20" s="93"/>
    </row>
    <row r="21" spans="1:13" ht="31.5">
      <c r="A21" s="98"/>
      <c r="B21" s="99"/>
      <c r="C21" s="215" t="s">
        <v>60</v>
      </c>
      <c r="D21" s="85" t="s">
        <v>55</v>
      </c>
      <c r="E21" s="85"/>
      <c r="F21" s="85">
        <f>F16*1.8</f>
        <v>172.8</v>
      </c>
      <c r="G21" s="85"/>
      <c r="H21" s="85"/>
      <c r="I21" s="85"/>
      <c r="J21" s="85"/>
      <c r="K21" s="85"/>
      <c r="L21" s="85"/>
      <c r="M21" s="85"/>
    </row>
    <row r="22" spans="1:13" ht="110.25">
      <c r="A22" s="95">
        <v>2</v>
      </c>
      <c r="B22" s="100" t="s">
        <v>18</v>
      </c>
      <c r="C22" s="220" t="s">
        <v>61</v>
      </c>
      <c r="D22" s="266" t="s">
        <v>99</v>
      </c>
      <c r="E22" s="85"/>
      <c r="F22" s="217">
        <v>10</v>
      </c>
      <c r="G22" s="85"/>
      <c r="H22" s="85"/>
      <c r="I22" s="85"/>
      <c r="J22" s="85"/>
      <c r="K22" s="85"/>
      <c r="L22" s="85"/>
      <c r="M22" s="85"/>
    </row>
    <row r="23" spans="1:13" ht="31.5">
      <c r="A23" s="97"/>
      <c r="B23" s="97"/>
      <c r="C23" s="214" t="s">
        <v>52</v>
      </c>
      <c r="D23" s="93" t="s">
        <v>53</v>
      </c>
      <c r="E23" s="93">
        <f>(2.06+0.87)*1.15</f>
        <v>3.3695</v>
      </c>
      <c r="F23" s="93">
        <f>E23*F22</f>
        <v>33.695</v>
      </c>
      <c r="G23" s="213"/>
      <c r="H23" s="213"/>
      <c r="I23" s="219"/>
      <c r="J23" s="219"/>
      <c r="K23" s="219"/>
      <c r="L23" s="219"/>
      <c r="M23" s="219"/>
    </row>
    <row r="24" spans="1:13" ht="31.5">
      <c r="A24" s="98"/>
      <c r="B24" s="99"/>
      <c r="C24" s="215" t="s">
        <v>60</v>
      </c>
      <c r="D24" s="85" t="s">
        <v>55</v>
      </c>
      <c r="E24" s="85"/>
      <c r="F24" s="85">
        <f>F22*1.8</f>
        <v>18</v>
      </c>
      <c r="G24" s="85"/>
      <c r="H24" s="85"/>
      <c r="I24" s="85"/>
      <c r="J24" s="85"/>
      <c r="K24" s="85"/>
      <c r="L24" s="85"/>
      <c r="M24" s="85"/>
    </row>
    <row r="25" spans="1:13" ht="18">
      <c r="A25" s="101">
        <v>3</v>
      </c>
      <c r="B25" s="102" t="s">
        <v>16</v>
      </c>
      <c r="C25" s="221" t="s">
        <v>63</v>
      </c>
      <c r="D25" s="266" t="s">
        <v>99</v>
      </c>
      <c r="E25" s="222"/>
      <c r="F25" s="223">
        <f>F16+F22</f>
        <v>106</v>
      </c>
      <c r="G25" s="210"/>
      <c r="H25" s="210"/>
      <c r="I25" s="210"/>
      <c r="J25" s="210"/>
      <c r="K25" s="210"/>
      <c r="L25" s="210"/>
      <c r="M25" s="210"/>
    </row>
    <row r="26" spans="1:13" ht="31.5">
      <c r="A26" s="103"/>
      <c r="B26" s="103"/>
      <c r="C26" s="214" t="s">
        <v>52</v>
      </c>
      <c r="D26" s="93" t="s">
        <v>53</v>
      </c>
      <c r="E26" s="218">
        <f>3.23/1000*1.15</f>
        <v>0.0037144999999999995</v>
      </c>
      <c r="F26" s="93">
        <f>E26*F25</f>
        <v>0.39373699999999995</v>
      </c>
      <c r="G26" s="224"/>
      <c r="H26" s="224"/>
      <c r="I26" s="225"/>
      <c r="J26" s="225"/>
      <c r="K26" s="225"/>
      <c r="L26" s="225"/>
      <c r="M26" s="224"/>
    </row>
    <row r="27" spans="1:13" ht="15.75">
      <c r="A27" s="97"/>
      <c r="B27" s="97"/>
      <c r="C27" s="214" t="s">
        <v>64</v>
      </c>
      <c r="D27" s="93" t="s">
        <v>56</v>
      </c>
      <c r="E27" s="226">
        <f>3.62/1000*1.15</f>
        <v>0.004163</v>
      </c>
      <c r="F27" s="93">
        <f>E27*F25</f>
        <v>0.441278</v>
      </c>
      <c r="G27" s="93"/>
      <c r="H27" s="93"/>
      <c r="I27" s="93"/>
      <c r="J27" s="93"/>
      <c r="K27" s="93"/>
      <c r="L27" s="93"/>
      <c r="M27" s="93"/>
    </row>
    <row r="28" spans="1:13" ht="31.5">
      <c r="A28" s="97"/>
      <c r="B28" s="97"/>
      <c r="C28" s="214" t="s">
        <v>58</v>
      </c>
      <c r="D28" s="93" t="s">
        <v>53</v>
      </c>
      <c r="E28" s="93"/>
      <c r="F28" s="93">
        <f>F27</f>
        <v>0.441278</v>
      </c>
      <c r="G28" s="93"/>
      <c r="H28" s="93"/>
      <c r="I28" s="93"/>
      <c r="J28" s="93"/>
      <c r="K28" s="211"/>
      <c r="L28" s="211"/>
      <c r="M28" s="93"/>
    </row>
    <row r="29" spans="1:13" ht="15.75">
      <c r="A29" s="105"/>
      <c r="B29" s="105"/>
      <c r="C29" s="225" t="s">
        <v>59</v>
      </c>
      <c r="D29" s="210" t="s">
        <v>54</v>
      </c>
      <c r="E29" s="227">
        <f>0.18/1000</f>
        <v>0.00017999999999999998</v>
      </c>
      <c r="F29" s="93">
        <f>E29*F25</f>
        <v>0.01908</v>
      </c>
      <c r="G29" s="210"/>
      <c r="H29" s="210"/>
      <c r="I29" s="210"/>
      <c r="J29" s="210"/>
      <c r="K29" s="224"/>
      <c r="L29" s="93"/>
      <c r="M29" s="93"/>
    </row>
    <row r="30" spans="1:13" ht="47.25">
      <c r="A30" s="97" t="s">
        <v>31</v>
      </c>
      <c r="B30" s="97" t="s">
        <v>19</v>
      </c>
      <c r="C30" s="228" t="s">
        <v>65</v>
      </c>
      <c r="D30" s="266" t="s">
        <v>99</v>
      </c>
      <c r="E30" s="229"/>
      <c r="F30" s="223">
        <v>13</v>
      </c>
      <c r="G30" s="230"/>
      <c r="H30" s="230"/>
      <c r="I30" s="230"/>
      <c r="J30" s="231"/>
      <c r="K30" s="231"/>
      <c r="L30" s="231"/>
      <c r="M30" s="231"/>
    </row>
    <row r="31" spans="1:13" ht="15.75">
      <c r="A31" s="97"/>
      <c r="B31" s="97"/>
      <c r="C31" s="211" t="s">
        <v>52</v>
      </c>
      <c r="D31" s="93" t="s">
        <v>53</v>
      </c>
      <c r="E31" s="93">
        <f>1.8*1.15</f>
        <v>2.07</v>
      </c>
      <c r="F31" s="93">
        <f>E31*F30</f>
        <v>26.909999999999997</v>
      </c>
      <c r="G31" s="224"/>
      <c r="H31" s="224"/>
      <c r="I31" s="224"/>
      <c r="J31" s="231"/>
      <c r="K31" s="231"/>
      <c r="L31" s="231"/>
      <c r="M31" s="231"/>
    </row>
    <row r="32" spans="1:13" ht="15.75">
      <c r="A32" s="106"/>
      <c r="B32" s="106"/>
      <c r="C32" s="211" t="s">
        <v>66</v>
      </c>
      <c r="D32" s="93" t="s">
        <v>62</v>
      </c>
      <c r="E32" s="93">
        <v>1.1</v>
      </c>
      <c r="F32" s="93">
        <f>E32*F30</f>
        <v>14.3</v>
      </c>
      <c r="G32" s="224"/>
      <c r="H32" s="224"/>
      <c r="I32" s="224"/>
      <c r="J32" s="231"/>
      <c r="K32" s="231"/>
      <c r="L32" s="231"/>
      <c r="M32" s="231"/>
    </row>
    <row r="33" spans="1:13" ht="62.25">
      <c r="A33" s="97" t="s">
        <v>17</v>
      </c>
      <c r="B33" s="97" t="s">
        <v>20</v>
      </c>
      <c r="C33" s="232" t="s">
        <v>67</v>
      </c>
      <c r="D33" s="266" t="s">
        <v>99</v>
      </c>
      <c r="E33" s="229"/>
      <c r="F33" s="223">
        <v>31.22</v>
      </c>
      <c r="G33" s="224"/>
      <c r="H33" s="224"/>
      <c r="I33" s="224"/>
      <c r="J33" s="224"/>
      <c r="K33" s="224"/>
      <c r="L33" s="224"/>
      <c r="M33" s="224"/>
    </row>
    <row r="34" spans="1:13" ht="15.75">
      <c r="A34" s="103"/>
      <c r="B34" s="97"/>
      <c r="C34" s="233" t="s">
        <v>52</v>
      </c>
      <c r="D34" s="93" t="s">
        <v>53</v>
      </c>
      <c r="E34" s="231">
        <f>8.44*1.15</f>
        <v>9.706</v>
      </c>
      <c r="F34" s="85">
        <f>E34*F33</f>
        <v>303.02131999999995</v>
      </c>
      <c r="G34" s="231"/>
      <c r="H34" s="231"/>
      <c r="I34" s="231"/>
      <c r="J34" s="231"/>
      <c r="K34" s="231"/>
      <c r="L34" s="231"/>
      <c r="M34" s="231"/>
    </row>
    <row r="35" spans="1:13" ht="15.75">
      <c r="A35" s="103"/>
      <c r="B35" s="97"/>
      <c r="C35" s="225" t="s">
        <v>68</v>
      </c>
      <c r="D35" s="211" t="s">
        <v>54</v>
      </c>
      <c r="E35" s="225">
        <v>1.1</v>
      </c>
      <c r="F35" s="93">
        <f>E35*F33</f>
        <v>34.342</v>
      </c>
      <c r="G35" s="224"/>
      <c r="H35" s="224"/>
      <c r="I35" s="224"/>
      <c r="J35" s="224"/>
      <c r="K35" s="224"/>
      <c r="L35" s="224"/>
      <c r="M35" s="224"/>
    </row>
    <row r="36" spans="1:13" ht="18">
      <c r="A36" s="103"/>
      <c r="B36" s="107"/>
      <c r="C36" s="225" t="s">
        <v>69</v>
      </c>
      <c r="D36" s="267" t="s">
        <v>30</v>
      </c>
      <c r="E36" s="225">
        <v>1.015</v>
      </c>
      <c r="F36" s="93">
        <f>E36*F33</f>
        <v>31.688299999999995</v>
      </c>
      <c r="G36" s="224"/>
      <c r="H36" s="224"/>
      <c r="I36" s="231"/>
      <c r="J36" s="224"/>
      <c r="K36" s="224"/>
      <c r="L36" s="224"/>
      <c r="M36" s="224"/>
    </row>
    <row r="37" spans="1:13" ht="15.75">
      <c r="A37" s="103"/>
      <c r="B37" s="97"/>
      <c r="C37" s="225" t="s">
        <v>70</v>
      </c>
      <c r="D37" s="212" t="s">
        <v>55</v>
      </c>
      <c r="E37" s="234" t="s">
        <v>77</v>
      </c>
      <c r="F37" s="218">
        <v>1.41</v>
      </c>
      <c r="G37" s="224"/>
      <c r="H37" s="224"/>
      <c r="I37" s="231"/>
      <c r="J37" s="224"/>
      <c r="K37" s="224"/>
      <c r="L37" s="224"/>
      <c r="M37" s="224"/>
    </row>
    <row r="38" spans="1:13" ht="16.5">
      <c r="A38" s="103"/>
      <c r="B38" s="107"/>
      <c r="C38" s="215" t="s">
        <v>71</v>
      </c>
      <c r="D38" s="277" t="s">
        <v>127</v>
      </c>
      <c r="E38" s="225">
        <v>1.84</v>
      </c>
      <c r="F38" s="93">
        <f>E38*F33</f>
        <v>57.4448</v>
      </c>
      <c r="G38" s="224"/>
      <c r="H38" s="224"/>
      <c r="I38" s="85"/>
      <c r="J38" s="224"/>
      <c r="K38" s="224"/>
      <c r="L38" s="224"/>
      <c r="M38" s="224"/>
    </row>
    <row r="39" spans="1:13" ht="18">
      <c r="A39" s="103"/>
      <c r="B39" s="107"/>
      <c r="C39" s="235" t="s">
        <v>72</v>
      </c>
      <c r="D39" s="268" t="s">
        <v>30</v>
      </c>
      <c r="E39" s="225">
        <f>0.34/100</f>
        <v>0.0034000000000000002</v>
      </c>
      <c r="F39" s="93">
        <f>E39*F33</f>
        <v>0.106148</v>
      </c>
      <c r="G39" s="224"/>
      <c r="H39" s="224"/>
      <c r="I39" s="85"/>
      <c r="J39" s="224"/>
      <c r="K39" s="224"/>
      <c r="L39" s="224"/>
      <c r="M39" s="224"/>
    </row>
    <row r="40" spans="1:13" ht="31.5">
      <c r="A40" s="103"/>
      <c r="B40" s="107"/>
      <c r="C40" s="215" t="s">
        <v>73</v>
      </c>
      <c r="D40" s="268" t="s">
        <v>30</v>
      </c>
      <c r="E40" s="226">
        <f>3.91/100</f>
        <v>0.0391</v>
      </c>
      <c r="F40" s="93">
        <f>E40*F33</f>
        <v>1.220702</v>
      </c>
      <c r="G40" s="224"/>
      <c r="H40" s="224"/>
      <c r="I40" s="85"/>
      <c r="J40" s="93"/>
      <c r="K40" s="93"/>
      <c r="L40" s="93"/>
      <c r="M40" s="93"/>
    </row>
    <row r="41" spans="1:13" ht="15.75">
      <c r="A41" s="103"/>
      <c r="B41" s="108"/>
      <c r="C41" s="235" t="s">
        <v>74</v>
      </c>
      <c r="D41" s="212" t="s">
        <v>55</v>
      </c>
      <c r="E41" s="225">
        <f>0.22/100</f>
        <v>0.0022</v>
      </c>
      <c r="F41" s="93">
        <f>E41*F33</f>
        <v>0.068684</v>
      </c>
      <c r="G41" s="224"/>
      <c r="H41" s="224"/>
      <c r="I41" s="224"/>
      <c r="J41" s="224"/>
      <c r="K41" s="224"/>
      <c r="L41" s="224"/>
      <c r="M41" s="224"/>
    </row>
    <row r="42" spans="1:13" ht="15.75">
      <c r="A42" s="103"/>
      <c r="B42" s="108"/>
      <c r="C42" s="235" t="s">
        <v>75</v>
      </c>
      <c r="D42" s="212" t="s">
        <v>55</v>
      </c>
      <c r="E42" s="236">
        <f>0.1/100</f>
        <v>0.001</v>
      </c>
      <c r="F42" s="93">
        <f>E42*F33</f>
        <v>0.03122</v>
      </c>
      <c r="G42" s="224"/>
      <c r="H42" s="224"/>
      <c r="I42" s="224"/>
      <c r="J42" s="224"/>
      <c r="K42" s="224"/>
      <c r="L42" s="224"/>
      <c r="M42" s="224"/>
    </row>
    <row r="43" spans="1:13" ht="15.75">
      <c r="A43" s="105"/>
      <c r="B43" s="106"/>
      <c r="C43" s="235" t="s">
        <v>76</v>
      </c>
      <c r="D43" s="212" t="s">
        <v>54</v>
      </c>
      <c r="E43" s="225">
        <v>0.46</v>
      </c>
      <c r="F43" s="93">
        <f>E43*F33</f>
        <v>14.3612</v>
      </c>
      <c r="G43" s="224"/>
      <c r="H43" s="224"/>
      <c r="I43" s="224"/>
      <c r="J43" s="224"/>
      <c r="K43" s="224"/>
      <c r="L43" s="224"/>
      <c r="M43" s="224"/>
    </row>
    <row r="44" spans="1:13" ht="31.5">
      <c r="A44" s="104">
        <v>6</v>
      </c>
      <c r="B44" s="109" t="s">
        <v>22</v>
      </c>
      <c r="C44" s="237" t="s">
        <v>78</v>
      </c>
      <c r="D44" s="266" t="s">
        <v>99</v>
      </c>
      <c r="E44" s="238"/>
      <c r="F44" s="223">
        <v>10</v>
      </c>
      <c r="G44" s="224"/>
      <c r="H44" s="224"/>
      <c r="I44" s="224"/>
      <c r="J44" s="224"/>
      <c r="K44" s="224"/>
      <c r="L44" s="224"/>
      <c r="M44" s="224"/>
    </row>
    <row r="45" spans="1:13" ht="15.75">
      <c r="A45" s="110"/>
      <c r="B45" s="108"/>
      <c r="C45" s="239" t="s">
        <v>52</v>
      </c>
      <c r="D45" s="93" t="s">
        <v>53</v>
      </c>
      <c r="E45" s="240">
        <f>16.5/1000*1.51</f>
        <v>0.024915</v>
      </c>
      <c r="F45" s="213">
        <f>E45*F44</f>
        <v>0.24914999999999998</v>
      </c>
      <c r="G45" s="213"/>
      <c r="H45" s="213"/>
      <c r="I45" s="219"/>
      <c r="J45" s="219"/>
      <c r="K45" s="219"/>
      <c r="L45" s="219"/>
      <c r="M45" s="219"/>
    </row>
    <row r="46" spans="1:13" ht="15.75">
      <c r="A46" s="111"/>
      <c r="B46" s="97"/>
      <c r="C46" s="239" t="s">
        <v>57</v>
      </c>
      <c r="D46" s="93" t="s">
        <v>56</v>
      </c>
      <c r="E46" s="240">
        <f>37/1000*1.15</f>
        <v>0.04255</v>
      </c>
      <c r="F46" s="213">
        <f>E46*F44</f>
        <v>0.4255</v>
      </c>
      <c r="G46" s="213"/>
      <c r="H46" s="213"/>
      <c r="I46" s="219"/>
      <c r="J46" s="219"/>
      <c r="K46" s="93"/>
      <c r="L46" s="219"/>
      <c r="M46" s="219"/>
    </row>
    <row r="47" spans="1:13" ht="31.5">
      <c r="A47" s="112"/>
      <c r="B47" s="113"/>
      <c r="C47" s="239" t="s">
        <v>58</v>
      </c>
      <c r="D47" s="93" t="s">
        <v>53</v>
      </c>
      <c r="E47" s="213"/>
      <c r="F47" s="213">
        <f>F46</f>
        <v>0.4255</v>
      </c>
      <c r="G47" s="213"/>
      <c r="H47" s="213"/>
      <c r="I47" s="219"/>
      <c r="J47" s="219"/>
      <c r="K47" s="219"/>
      <c r="L47" s="219"/>
      <c r="M47" s="219"/>
    </row>
    <row r="48" spans="1:13" ht="47.25">
      <c r="A48" s="97" t="s">
        <v>21</v>
      </c>
      <c r="B48" s="97" t="s">
        <v>23</v>
      </c>
      <c r="C48" s="232" t="s">
        <v>79</v>
      </c>
      <c r="D48" s="266" t="s">
        <v>99</v>
      </c>
      <c r="E48" s="209"/>
      <c r="F48" s="223">
        <f>F44</f>
        <v>10</v>
      </c>
      <c r="G48" s="93"/>
      <c r="H48" s="93"/>
      <c r="I48" s="93"/>
      <c r="J48" s="93"/>
      <c r="K48" s="211"/>
      <c r="L48" s="93"/>
      <c r="M48" s="93"/>
    </row>
    <row r="49" spans="1:13" ht="15.75">
      <c r="A49" s="97"/>
      <c r="B49" s="97"/>
      <c r="C49" s="214" t="s">
        <v>80</v>
      </c>
      <c r="D49" s="93" t="s">
        <v>56</v>
      </c>
      <c r="E49" s="226">
        <f>(1.85-0.21*2)/1000*1.15</f>
        <v>0.0016445</v>
      </c>
      <c r="F49" s="93">
        <f>E49*F48</f>
        <v>0.016444999999999998</v>
      </c>
      <c r="G49" s="93"/>
      <c r="H49" s="93"/>
      <c r="I49" s="93"/>
      <c r="J49" s="93"/>
      <c r="K49" s="93"/>
      <c r="L49" s="93"/>
      <c r="M49" s="93"/>
    </row>
    <row r="50" spans="1:13" ht="31.5">
      <c r="A50" s="97"/>
      <c r="B50" s="97"/>
      <c r="C50" s="214" t="s">
        <v>58</v>
      </c>
      <c r="D50" s="93" t="s">
        <v>53</v>
      </c>
      <c r="E50" s="93"/>
      <c r="F50" s="93">
        <f>F49</f>
        <v>0.016444999999999998</v>
      </c>
      <c r="G50" s="93"/>
      <c r="H50" s="93"/>
      <c r="I50" s="93"/>
      <c r="J50" s="93"/>
      <c r="K50" s="211"/>
      <c r="L50" s="93"/>
      <c r="M50" s="93"/>
    </row>
    <row r="51" spans="1:13" ht="15.75">
      <c r="A51" s="97"/>
      <c r="B51" s="97"/>
      <c r="C51" s="214" t="s">
        <v>81</v>
      </c>
      <c r="D51" s="93" t="s">
        <v>56</v>
      </c>
      <c r="E51" s="218">
        <f>(10.5-1.02*2)/1000*1.15</f>
        <v>0.009729</v>
      </c>
      <c r="F51" s="93">
        <f>E51*F48</f>
        <v>0.09729</v>
      </c>
      <c r="G51" s="93"/>
      <c r="H51" s="93"/>
      <c r="I51" s="93"/>
      <c r="J51" s="93"/>
      <c r="K51" s="93"/>
      <c r="L51" s="93"/>
      <c r="M51" s="93"/>
    </row>
    <row r="52" spans="1:13" ht="31.5">
      <c r="A52" s="97"/>
      <c r="B52" s="97"/>
      <c r="C52" s="239" t="s">
        <v>58</v>
      </c>
      <c r="D52" s="93" t="s">
        <v>53</v>
      </c>
      <c r="E52" s="93"/>
      <c r="F52" s="93">
        <f>F51</f>
        <v>0.09729</v>
      </c>
      <c r="G52" s="93"/>
      <c r="H52" s="93"/>
      <c r="I52" s="93"/>
      <c r="J52" s="93"/>
      <c r="K52" s="211"/>
      <c r="L52" s="93"/>
      <c r="M52" s="93"/>
    </row>
    <row r="53" spans="1:13" ht="15.75">
      <c r="A53" s="97"/>
      <c r="B53" s="97"/>
      <c r="C53" s="214" t="s">
        <v>82</v>
      </c>
      <c r="D53" s="93" t="s">
        <v>56</v>
      </c>
      <c r="E53" s="226">
        <f>(1.85-0.21*2)/1000*1.15</f>
        <v>0.0016445</v>
      </c>
      <c r="F53" s="93">
        <f>E53*F48</f>
        <v>0.016444999999999998</v>
      </c>
      <c r="G53" s="93"/>
      <c r="H53" s="93"/>
      <c r="I53" s="93"/>
      <c r="J53" s="93"/>
      <c r="K53" s="93"/>
      <c r="L53" s="93"/>
      <c r="M53" s="93"/>
    </row>
    <row r="54" spans="1:13" ht="31.5">
      <c r="A54" s="106"/>
      <c r="B54" s="106"/>
      <c r="C54" s="239" t="s">
        <v>58</v>
      </c>
      <c r="D54" s="93" t="s">
        <v>53</v>
      </c>
      <c r="E54" s="93"/>
      <c r="F54" s="93">
        <f>F53</f>
        <v>0.016444999999999998</v>
      </c>
      <c r="G54" s="93"/>
      <c r="H54" s="93"/>
      <c r="I54" s="93"/>
      <c r="J54" s="93"/>
      <c r="K54" s="211"/>
      <c r="L54" s="93"/>
      <c r="M54" s="93"/>
    </row>
    <row r="55" spans="1:13" ht="47.25">
      <c r="A55" s="88"/>
      <c r="B55" s="89"/>
      <c r="C55" s="90" t="s">
        <v>83</v>
      </c>
      <c r="D55" s="91" t="s">
        <v>50</v>
      </c>
      <c r="E55" s="92"/>
      <c r="F55" s="91">
        <v>48</v>
      </c>
      <c r="G55" s="93"/>
      <c r="H55" s="94"/>
      <c r="I55" s="94"/>
      <c r="J55" s="94"/>
      <c r="K55" s="94"/>
      <c r="L55" s="94"/>
      <c r="M55" s="94"/>
    </row>
    <row r="56" spans="1:13" ht="61.5">
      <c r="A56" s="97" t="s">
        <v>32</v>
      </c>
      <c r="B56" s="97" t="s">
        <v>24</v>
      </c>
      <c r="C56" s="232" t="s">
        <v>84</v>
      </c>
      <c r="D56" s="266" t="s">
        <v>99</v>
      </c>
      <c r="E56" s="209"/>
      <c r="F56" s="223">
        <v>2.9</v>
      </c>
      <c r="G56" s="93"/>
      <c r="H56" s="93"/>
      <c r="I56" s="93"/>
      <c r="J56" s="93"/>
      <c r="K56" s="211"/>
      <c r="L56" s="93"/>
      <c r="M56" s="93"/>
    </row>
    <row r="57" spans="1:13" ht="15.75">
      <c r="A57" s="97"/>
      <c r="B57" s="97"/>
      <c r="C57" s="214" t="s">
        <v>52</v>
      </c>
      <c r="D57" s="93" t="s">
        <v>53</v>
      </c>
      <c r="E57" s="93">
        <f>8.46*1.15</f>
        <v>9.729000000000001</v>
      </c>
      <c r="F57" s="93">
        <f>E57*F56</f>
        <v>28.214100000000002</v>
      </c>
      <c r="G57" s="93"/>
      <c r="H57" s="93"/>
      <c r="I57" s="93"/>
      <c r="J57" s="93"/>
      <c r="K57" s="211"/>
      <c r="L57" s="93"/>
      <c r="M57" s="93"/>
    </row>
    <row r="58" spans="1:13" ht="15.75">
      <c r="A58" s="97"/>
      <c r="B58" s="97"/>
      <c r="C58" s="214" t="s">
        <v>68</v>
      </c>
      <c r="D58" s="93" t="s">
        <v>54</v>
      </c>
      <c r="E58" s="93">
        <v>0.82</v>
      </c>
      <c r="F58" s="93">
        <f>E58*F56</f>
        <v>2.3779999999999997</v>
      </c>
      <c r="G58" s="93"/>
      <c r="H58" s="93"/>
      <c r="I58" s="93"/>
      <c r="J58" s="93"/>
      <c r="K58" s="93"/>
      <c r="L58" s="93"/>
      <c r="M58" s="93"/>
    </row>
    <row r="59" spans="1:13" ht="18">
      <c r="A59" s="97"/>
      <c r="B59" s="107"/>
      <c r="C59" s="214" t="s">
        <v>69</v>
      </c>
      <c r="D59" s="267" t="s">
        <v>30</v>
      </c>
      <c r="E59" s="218">
        <v>1.015</v>
      </c>
      <c r="F59" s="93">
        <f>E59*F56</f>
        <v>2.9435</v>
      </c>
      <c r="G59" s="93"/>
      <c r="H59" s="93"/>
      <c r="I59" s="85"/>
      <c r="J59" s="93"/>
      <c r="K59" s="211"/>
      <c r="L59" s="93"/>
      <c r="M59" s="93"/>
    </row>
    <row r="60" spans="1:13" ht="31.5">
      <c r="A60" s="97"/>
      <c r="B60" s="97"/>
      <c r="C60" s="214" t="s">
        <v>85</v>
      </c>
      <c r="D60" s="93" t="s">
        <v>90</v>
      </c>
      <c r="E60" s="241" t="s">
        <v>86</v>
      </c>
      <c r="F60" s="93">
        <v>280</v>
      </c>
      <c r="G60" s="93"/>
      <c r="H60" s="93"/>
      <c r="I60" s="85"/>
      <c r="J60" s="93"/>
      <c r="K60" s="211"/>
      <c r="L60" s="93"/>
      <c r="M60" s="93"/>
    </row>
    <row r="61" spans="1:13" ht="18">
      <c r="A61" s="97"/>
      <c r="B61" s="97"/>
      <c r="C61" s="214" t="s">
        <v>71</v>
      </c>
      <c r="D61" s="278" t="s">
        <v>128</v>
      </c>
      <c r="E61" s="93">
        <v>1.93</v>
      </c>
      <c r="F61" s="93">
        <f>E61*F56</f>
        <v>5.5969999999999995</v>
      </c>
      <c r="G61" s="93"/>
      <c r="H61" s="93"/>
      <c r="I61" s="93"/>
      <c r="J61" s="93"/>
      <c r="K61" s="211"/>
      <c r="L61" s="93"/>
      <c r="M61" s="93"/>
    </row>
    <row r="62" spans="1:13" ht="31.5">
      <c r="A62" s="97"/>
      <c r="B62" s="97"/>
      <c r="C62" s="214" t="s">
        <v>87</v>
      </c>
      <c r="D62" s="268" t="s">
        <v>30</v>
      </c>
      <c r="E62" s="93">
        <f>1.84/100</f>
        <v>0.0184</v>
      </c>
      <c r="F62" s="93">
        <f>E62*F56</f>
        <v>0.05336</v>
      </c>
      <c r="G62" s="93"/>
      <c r="H62" s="93"/>
      <c r="I62" s="93"/>
      <c r="J62" s="93"/>
      <c r="K62" s="211"/>
      <c r="L62" s="93"/>
      <c r="M62" s="93"/>
    </row>
    <row r="63" spans="1:13" ht="31.5">
      <c r="A63" s="97"/>
      <c r="B63" s="97"/>
      <c r="C63" s="214" t="s">
        <v>88</v>
      </c>
      <c r="D63" s="267" t="s">
        <v>30</v>
      </c>
      <c r="E63" s="93">
        <f>3.61/100</f>
        <v>0.0361</v>
      </c>
      <c r="F63" s="93">
        <f>E63*F56</f>
        <v>0.10468999999999999</v>
      </c>
      <c r="G63" s="93"/>
      <c r="H63" s="93"/>
      <c r="I63" s="93"/>
      <c r="J63" s="93"/>
      <c r="K63" s="211"/>
      <c r="L63" s="93"/>
      <c r="M63" s="93"/>
    </row>
    <row r="64" spans="1:13" ht="15.75">
      <c r="A64" s="106"/>
      <c r="B64" s="106"/>
      <c r="C64" s="214" t="s">
        <v>89</v>
      </c>
      <c r="D64" s="93" t="s">
        <v>54</v>
      </c>
      <c r="E64" s="93">
        <v>1.04</v>
      </c>
      <c r="F64" s="93">
        <f>E64*F56</f>
        <v>3.016</v>
      </c>
      <c r="G64" s="93"/>
      <c r="H64" s="93"/>
      <c r="I64" s="93"/>
      <c r="J64" s="93"/>
      <c r="K64" s="211"/>
      <c r="L64" s="93"/>
      <c r="M64" s="93"/>
    </row>
    <row r="65" spans="1:13" ht="15.75">
      <c r="A65" s="115"/>
      <c r="B65" s="269"/>
      <c r="C65" s="255" t="s">
        <v>47</v>
      </c>
      <c r="D65" s="270" t="s">
        <v>54</v>
      </c>
      <c r="E65" s="93"/>
      <c r="F65" s="93"/>
      <c r="G65" s="93"/>
      <c r="H65" s="93"/>
      <c r="I65" s="93"/>
      <c r="J65" s="93"/>
      <c r="K65" s="211"/>
      <c r="L65" s="93"/>
      <c r="M65" s="93"/>
    </row>
    <row r="66" spans="1:13" ht="15.75">
      <c r="A66" s="117"/>
      <c r="B66" s="271"/>
      <c r="C66" s="256" t="s">
        <v>91</v>
      </c>
      <c r="D66" s="270" t="s">
        <v>54</v>
      </c>
      <c r="E66" s="272" t="s">
        <v>33</v>
      </c>
      <c r="F66" s="273"/>
      <c r="G66" s="274"/>
      <c r="H66" s="272"/>
      <c r="I66" s="272"/>
      <c r="J66" s="272"/>
      <c r="K66" s="272"/>
      <c r="L66" s="272"/>
      <c r="M66" s="272"/>
    </row>
    <row r="67" spans="1:13" ht="15.75">
      <c r="A67" s="116"/>
      <c r="B67" s="271"/>
      <c r="C67" s="255" t="s">
        <v>47</v>
      </c>
      <c r="D67" s="270" t="s">
        <v>54</v>
      </c>
      <c r="E67" s="94"/>
      <c r="F67" s="255"/>
      <c r="G67" s="255"/>
      <c r="H67" s="94"/>
      <c r="I67" s="94"/>
      <c r="J67" s="94"/>
      <c r="K67" s="94"/>
      <c r="L67" s="94"/>
      <c r="M67" s="94"/>
    </row>
    <row r="68" spans="1:13" ht="15.75">
      <c r="A68" s="117"/>
      <c r="B68" s="271"/>
      <c r="C68" s="262" t="s">
        <v>92</v>
      </c>
      <c r="D68" s="270" t="s">
        <v>54</v>
      </c>
      <c r="E68" s="272" t="s">
        <v>33</v>
      </c>
      <c r="F68" s="275"/>
      <c r="G68" s="272"/>
      <c r="H68" s="272"/>
      <c r="I68" s="272"/>
      <c r="J68" s="272"/>
      <c r="K68" s="272"/>
      <c r="L68" s="272"/>
      <c r="M68" s="272"/>
    </row>
    <row r="69" spans="1:13" ht="15.75">
      <c r="A69" s="118"/>
      <c r="B69" s="271"/>
      <c r="C69" s="255" t="s">
        <v>47</v>
      </c>
      <c r="D69" s="270" t="s">
        <v>54</v>
      </c>
      <c r="E69" s="255"/>
      <c r="F69" s="255"/>
      <c r="G69" s="255"/>
      <c r="H69" s="276"/>
      <c r="I69" s="276"/>
      <c r="J69" s="276"/>
      <c r="K69" s="276"/>
      <c r="L69" s="276"/>
      <c r="M69" s="276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1:N1"/>
    <mergeCell ref="A6:M6"/>
    <mergeCell ref="B7:D7"/>
    <mergeCell ref="F7:I7"/>
    <mergeCell ref="B8:C8"/>
    <mergeCell ref="F8:I8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38"/>
  <sheetViews>
    <sheetView tabSelected="1"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3.8515625" style="40" customWidth="1"/>
    <col min="2" max="2" width="9.7109375" style="54" customWidth="1"/>
    <col min="3" max="3" width="30.7109375" style="54" customWidth="1"/>
    <col min="4" max="4" width="8.28125" style="46" customWidth="1"/>
    <col min="5" max="5" width="9.00390625" style="46" customWidth="1"/>
    <col min="6" max="6" width="11.8515625" style="46" customWidth="1"/>
    <col min="7" max="7" width="9.7109375" style="46" customWidth="1"/>
    <col min="8" max="8" width="10.7109375" style="46" bestFit="1" customWidth="1"/>
    <col min="9" max="9" width="10.00390625" style="46" customWidth="1"/>
    <col min="10" max="11" width="10.28125" style="46" customWidth="1"/>
    <col min="12" max="12" width="10.421875" style="46" customWidth="1"/>
    <col min="13" max="13" width="12.28125" style="46" customWidth="1"/>
    <col min="14" max="15" width="9.00390625" style="53" customWidth="1"/>
    <col min="16" max="17" width="10.7109375" style="53" bestFit="1" customWidth="1"/>
    <col min="18" max="16384" width="9.00390625" style="53" customWidth="1"/>
  </cols>
  <sheetData>
    <row r="1" spans="1:14" ht="24" customHeight="1">
      <c r="A1" s="168" t="s">
        <v>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3" ht="15.75">
      <c r="A3" s="173" t="s">
        <v>96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.75">
      <c r="A5" s="201" t="s">
        <v>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5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5" customHeight="1">
      <c r="A7" s="54"/>
      <c r="B7" s="197"/>
      <c r="C7" s="197"/>
      <c r="D7" s="197"/>
      <c r="E7" s="55"/>
      <c r="F7" s="172" t="s">
        <v>37</v>
      </c>
      <c r="G7" s="172"/>
      <c r="H7" s="172"/>
      <c r="I7" s="172"/>
      <c r="J7" s="55">
        <f>M38/1000</f>
        <v>0</v>
      </c>
      <c r="K7" s="55" t="s">
        <v>38</v>
      </c>
      <c r="L7" s="55"/>
      <c r="M7" s="55"/>
    </row>
    <row r="8" spans="1:13" ht="15.75" customHeight="1">
      <c r="A8" s="54"/>
      <c r="B8" s="170" t="s">
        <v>36</v>
      </c>
      <c r="C8" s="170"/>
      <c r="D8" s="171"/>
      <c r="E8" s="55"/>
      <c r="F8" s="198"/>
      <c r="G8" s="198"/>
      <c r="H8" s="198"/>
      <c r="I8" s="198"/>
      <c r="J8" s="55"/>
      <c r="K8" s="55"/>
      <c r="L8" s="55"/>
      <c r="M8" s="55"/>
    </row>
    <row r="9" spans="1:13" ht="37.5" customHeight="1">
      <c r="A9" s="54"/>
      <c r="B9" s="170" t="s">
        <v>102</v>
      </c>
      <c r="C9" s="170"/>
      <c r="D9" s="123"/>
      <c r="E9" s="55"/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A10" s="199" t="s">
        <v>0</v>
      </c>
      <c r="B10" s="178" t="s">
        <v>35</v>
      </c>
      <c r="C10" s="181" t="s">
        <v>34</v>
      </c>
      <c r="D10" s="203" t="s">
        <v>39</v>
      </c>
      <c r="E10" s="204"/>
      <c r="F10" s="205"/>
      <c r="G10" s="184" t="s">
        <v>40</v>
      </c>
      <c r="H10" s="189"/>
      <c r="I10" s="184" t="s">
        <v>41</v>
      </c>
      <c r="J10" s="192"/>
      <c r="K10" s="184" t="s">
        <v>42</v>
      </c>
      <c r="L10" s="189"/>
      <c r="M10" s="185" t="s">
        <v>44</v>
      </c>
    </row>
    <row r="11" spans="1:13" ht="22.5" customHeight="1">
      <c r="A11" s="131"/>
      <c r="B11" s="179"/>
      <c r="C11" s="182"/>
      <c r="D11" s="206"/>
      <c r="E11" s="207"/>
      <c r="F11" s="208"/>
      <c r="G11" s="190"/>
      <c r="H11" s="191"/>
      <c r="I11" s="190"/>
      <c r="J11" s="193"/>
      <c r="K11" s="186" t="s">
        <v>43</v>
      </c>
      <c r="L11" s="191"/>
      <c r="M11" s="194"/>
    </row>
    <row r="12" spans="1:13" ht="15.75">
      <c r="A12" s="131"/>
      <c r="B12" s="179"/>
      <c r="C12" s="182"/>
      <c r="D12" s="187" t="s">
        <v>45</v>
      </c>
      <c r="E12" s="187" t="s">
        <v>46</v>
      </c>
      <c r="F12" s="187" t="s">
        <v>47</v>
      </c>
      <c r="G12" s="79" t="s">
        <v>46</v>
      </c>
      <c r="H12" s="187" t="s">
        <v>47</v>
      </c>
      <c r="I12" s="79" t="s">
        <v>46</v>
      </c>
      <c r="J12" s="187" t="s">
        <v>47</v>
      </c>
      <c r="K12" s="79" t="s">
        <v>46</v>
      </c>
      <c r="L12" s="187" t="s">
        <v>47</v>
      </c>
      <c r="M12" s="195"/>
    </row>
    <row r="13" spans="1:13" ht="15.75">
      <c r="A13" s="132"/>
      <c r="B13" s="180"/>
      <c r="C13" s="183"/>
      <c r="D13" s="188"/>
      <c r="E13" s="188"/>
      <c r="F13" s="188"/>
      <c r="G13" s="122" t="s">
        <v>48</v>
      </c>
      <c r="H13" s="188"/>
      <c r="I13" s="122" t="s">
        <v>48</v>
      </c>
      <c r="J13" s="188"/>
      <c r="K13" s="122" t="s">
        <v>48</v>
      </c>
      <c r="L13" s="188"/>
      <c r="M13" s="196"/>
    </row>
    <row r="14" spans="1:13" ht="15.75">
      <c r="A14" s="56" t="s">
        <v>1</v>
      </c>
      <c r="B14" s="57" t="s">
        <v>2</v>
      </c>
      <c r="C14" s="58" t="s">
        <v>3</v>
      </c>
      <c r="D14" s="60" t="s">
        <v>4</v>
      </c>
      <c r="E14" s="60" t="s">
        <v>5</v>
      </c>
      <c r="F14" s="61" t="s">
        <v>6</v>
      </c>
      <c r="G14" s="62" t="s">
        <v>7</v>
      </c>
      <c r="H14" s="59" t="s">
        <v>8</v>
      </c>
      <c r="I14" s="60" t="s">
        <v>9</v>
      </c>
      <c r="J14" s="62" t="s">
        <v>10</v>
      </c>
      <c r="K14" s="60" t="s">
        <v>11</v>
      </c>
      <c r="L14" s="59" t="s">
        <v>12</v>
      </c>
      <c r="M14" s="60" t="s">
        <v>13</v>
      </c>
    </row>
    <row r="15" spans="1:13" ht="78.75">
      <c r="A15" s="1">
        <v>1</v>
      </c>
      <c r="B15" s="63" t="s">
        <v>25</v>
      </c>
      <c r="C15" s="242" t="s">
        <v>98</v>
      </c>
      <c r="D15" s="266" t="s">
        <v>99</v>
      </c>
      <c r="E15" s="243"/>
      <c r="F15" s="244">
        <v>8630</v>
      </c>
      <c r="G15" s="60"/>
      <c r="H15" s="60"/>
      <c r="I15" s="60"/>
      <c r="J15" s="60"/>
      <c r="K15" s="60"/>
      <c r="L15" s="60"/>
      <c r="M15" s="60"/>
    </row>
    <row r="16" spans="1:13" ht="31.5">
      <c r="A16" s="63"/>
      <c r="B16" s="63"/>
      <c r="C16" s="245" t="s">
        <v>52</v>
      </c>
      <c r="D16" s="93" t="s">
        <v>53</v>
      </c>
      <c r="E16" s="27">
        <f>13.2/1000*1.15</f>
        <v>0.015179999999999999</v>
      </c>
      <c r="F16" s="27">
        <f>E16*F15</f>
        <v>131.0034</v>
      </c>
      <c r="G16" s="27"/>
      <c r="H16" s="27"/>
      <c r="I16" s="27"/>
      <c r="J16" s="27"/>
      <c r="K16" s="13"/>
      <c r="L16" s="13"/>
      <c r="M16" s="27"/>
    </row>
    <row r="17" spans="1:13" ht="15.75">
      <c r="A17" s="63"/>
      <c r="B17" s="63"/>
      <c r="C17" s="245" t="s">
        <v>57</v>
      </c>
      <c r="D17" s="93" t="s">
        <v>56</v>
      </c>
      <c r="E17" s="27">
        <f>29.5/1000*1.15</f>
        <v>0.033925</v>
      </c>
      <c r="F17" s="27">
        <f>E17*F15</f>
        <v>292.77275</v>
      </c>
      <c r="G17" s="27"/>
      <c r="H17" s="27"/>
      <c r="I17" s="27"/>
      <c r="J17" s="27"/>
      <c r="K17" s="27"/>
      <c r="L17" s="27"/>
      <c r="M17" s="27"/>
    </row>
    <row r="18" spans="1:13" ht="31.5">
      <c r="A18" s="63"/>
      <c r="B18" s="63"/>
      <c r="C18" s="214" t="s">
        <v>58</v>
      </c>
      <c r="D18" s="93" t="s">
        <v>53</v>
      </c>
      <c r="E18" s="27"/>
      <c r="F18" s="27">
        <f>F17</f>
        <v>292.77275</v>
      </c>
      <c r="G18" s="27"/>
      <c r="H18" s="27"/>
      <c r="I18" s="27"/>
      <c r="J18" s="27"/>
      <c r="K18" s="13"/>
      <c r="L18" s="13"/>
      <c r="M18" s="27"/>
    </row>
    <row r="19" spans="1:13" ht="15.75">
      <c r="A19" s="63"/>
      <c r="B19" s="63"/>
      <c r="C19" s="245" t="s">
        <v>59</v>
      </c>
      <c r="D19" s="27" t="s">
        <v>54</v>
      </c>
      <c r="E19" s="246">
        <f>2.1/1000</f>
        <v>0.0021000000000000003</v>
      </c>
      <c r="F19" s="27">
        <f>E19*F15</f>
        <v>18.123</v>
      </c>
      <c r="G19" s="27"/>
      <c r="H19" s="27"/>
      <c r="I19" s="27"/>
      <c r="J19" s="27"/>
      <c r="K19" s="27"/>
      <c r="L19" s="27"/>
      <c r="M19" s="27"/>
    </row>
    <row r="20" spans="1:13" ht="28.5">
      <c r="A20" s="3"/>
      <c r="B20" s="64"/>
      <c r="C20" s="215" t="s">
        <v>60</v>
      </c>
      <c r="D20" s="60" t="s">
        <v>55</v>
      </c>
      <c r="E20" s="60"/>
      <c r="F20" s="60">
        <f>F15*1.8</f>
        <v>15534</v>
      </c>
      <c r="G20" s="60"/>
      <c r="H20" s="60"/>
      <c r="I20" s="60"/>
      <c r="J20" s="60"/>
      <c r="K20" s="60"/>
      <c r="L20" s="60"/>
      <c r="M20" s="60"/>
    </row>
    <row r="21" spans="1:13" ht="18">
      <c r="A21" s="65">
        <v>2</v>
      </c>
      <c r="B21" s="11" t="s">
        <v>16</v>
      </c>
      <c r="C21" s="34" t="s">
        <v>63</v>
      </c>
      <c r="D21" s="266" t="s">
        <v>99</v>
      </c>
      <c r="E21" s="247"/>
      <c r="F21" s="248">
        <f>F15</f>
        <v>8630</v>
      </c>
      <c r="G21" s="249"/>
      <c r="H21" s="249"/>
      <c r="I21" s="249"/>
      <c r="J21" s="249"/>
      <c r="K21" s="249"/>
      <c r="L21" s="249"/>
      <c r="M21" s="249"/>
    </row>
    <row r="22" spans="1:13" ht="31.5">
      <c r="A22" s="66"/>
      <c r="B22" s="66"/>
      <c r="C22" s="245" t="s">
        <v>52</v>
      </c>
      <c r="D22" s="93" t="s">
        <v>53</v>
      </c>
      <c r="E22" s="246">
        <f>3.23/1000*1.15</f>
        <v>0.0037144999999999995</v>
      </c>
      <c r="F22" s="27">
        <f>E22*F21</f>
        <v>32.056135</v>
      </c>
      <c r="G22" s="29"/>
      <c r="H22" s="29"/>
      <c r="I22" s="19"/>
      <c r="J22" s="19"/>
      <c r="K22" s="19"/>
      <c r="L22" s="19"/>
      <c r="M22" s="29"/>
    </row>
    <row r="23" spans="1:13" ht="15.75">
      <c r="A23" s="63"/>
      <c r="B23" s="63"/>
      <c r="C23" s="245" t="s">
        <v>64</v>
      </c>
      <c r="D23" s="93" t="s">
        <v>56</v>
      </c>
      <c r="E23" s="250">
        <f>3.62/1000*1.15</f>
        <v>0.004163</v>
      </c>
      <c r="F23" s="27">
        <f>E23*F21</f>
        <v>35.92669</v>
      </c>
      <c r="G23" s="27"/>
      <c r="H23" s="27"/>
      <c r="I23" s="27"/>
      <c r="J23" s="27"/>
      <c r="K23" s="27"/>
      <c r="L23" s="27"/>
      <c r="M23" s="27"/>
    </row>
    <row r="24" spans="1:13" ht="31.5">
      <c r="A24" s="63"/>
      <c r="B24" s="63"/>
      <c r="C24" s="214" t="s">
        <v>58</v>
      </c>
      <c r="D24" s="93" t="s">
        <v>53</v>
      </c>
      <c r="E24" s="27"/>
      <c r="F24" s="27">
        <f>F23</f>
        <v>35.92669</v>
      </c>
      <c r="G24" s="27"/>
      <c r="H24" s="27"/>
      <c r="I24" s="27"/>
      <c r="J24" s="27"/>
      <c r="K24" s="13"/>
      <c r="L24" s="13"/>
      <c r="M24" s="27"/>
    </row>
    <row r="25" spans="1:13" ht="15.75">
      <c r="A25" s="67"/>
      <c r="B25" s="67"/>
      <c r="C25" s="19" t="s">
        <v>59</v>
      </c>
      <c r="D25" s="93" t="s">
        <v>54</v>
      </c>
      <c r="E25" s="251">
        <f>0.18/1000</f>
        <v>0.00017999999999999998</v>
      </c>
      <c r="F25" s="27">
        <f>E25*F21</f>
        <v>1.5534</v>
      </c>
      <c r="G25" s="249"/>
      <c r="H25" s="249"/>
      <c r="I25" s="249"/>
      <c r="J25" s="249"/>
      <c r="K25" s="29"/>
      <c r="L25" s="27"/>
      <c r="M25" s="27"/>
    </row>
    <row r="26" spans="1:13" ht="126">
      <c r="A26" s="63" t="s">
        <v>28</v>
      </c>
      <c r="B26" s="2" t="s">
        <v>26</v>
      </c>
      <c r="C26" s="252" t="s">
        <v>100</v>
      </c>
      <c r="D26" s="266" t="s">
        <v>99</v>
      </c>
      <c r="E26" s="36"/>
      <c r="F26" s="248">
        <v>1500</v>
      </c>
      <c r="G26" s="253"/>
      <c r="H26" s="27"/>
      <c r="I26" s="27"/>
      <c r="J26" s="27"/>
      <c r="K26" s="13"/>
      <c r="L26" s="13"/>
      <c r="M26" s="13"/>
    </row>
    <row r="27" spans="1:17" ht="31.5">
      <c r="A27" s="63"/>
      <c r="B27" s="63" t="s">
        <v>27</v>
      </c>
      <c r="C27" s="254" t="s">
        <v>101</v>
      </c>
      <c r="D27" s="93" t="s">
        <v>56</v>
      </c>
      <c r="E27" s="27">
        <f>151*1.2/1000*1.15</f>
        <v>0.20837999999999998</v>
      </c>
      <c r="F27" s="27">
        <f>E27*F26</f>
        <v>312.57</v>
      </c>
      <c r="G27" s="27"/>
      <c r="H27" s="29"/>
      <c r="I27" s="29"/>
      <c r="J27" s="29"/>
      <c r="K27" s="27"/>
      <c r="L27" s="27"/>
      <c r="M27" s="27"/>
      <c r="P27" s="120"/>
      <c r="Q27" s="120"/>
    </row>
    <row r="28" spans="1:13" ht="31.5">
      <c r="A28" s="63"/>
      <c r="B28" s="63"/>
      <c r="C28" s="214" t="s">
        <v>58</v>
      </c>
      <c r="D28" s="93" t="s">
        <v>53</v>
      </c>
      <c r="E28" s="27"/>
      <c r="F28" s="27">
        <f>F27</f>
        <v>312.57</v>
      </c>
      <c r="G28" s="27"/>
      <c r="H28" s="27"/>
      <c r="I28" s="27"/>
      <c r="J28" s="27"/>
      <c r="K28" s="13"/>
      <c r="L28" s="13"/>
      <c r="M28" s="27"/>
    </row>
    <row r="29" spans="1:13" ht="31.5">
      <c r="A29" s="3"/>
      <c r="B29" s="64"/>
      <c r="C29" s="215" t="s">
        <v>60</v>
      </c>
      <c r="D29" s="60" t="s">
        <v>55</v>
      </c>
      <c r="E29" s="60"/>
      <c r="F29" s="60">
        <f>F26*2.2</f>
        <v>3300.0000000000005</v>
      </c>
      <c r="G29" s="60"/>
      <c r="H29" s="60"/>
      <c r="I29" s="60"/>
      <c r="J29" s="60"/>
      <c r="K29" s="60"/>
      <c r="L29" s="60"/>
      <c r="M29" s="60"/>
    </row>
    <row r="30" spans="1:13" ht="18">
      <c r="A30" s="74">
        <v>4</v>
      </c>
      <c r="B30" s="11" t="s">
        <v>29</v>
      </c>
      <c r="C30" s="34" t="s">
        <v>63</v>
      </c>
      <c r="D30" s="266" t="s">
        <v>99</v>
      </c>
      <c r="E30" s="249"/>
      <c r="F30" s="253">
        <f>F26</f>
        <v>1500</v>
      </c>
      <c r="G30" s="249"/>
      <c r="H30" s="249"/>
      <c r="I30" s="249"/>
      <c r="J30" s="249"/>
      <c r="K30" s="249"/>
      <c r="L30" s="249"/>
      <c r="M30" s="249"/>
    </row>
    <row r="31" spans="1:13" ht="15.75">
      <c r="A31" s="63"/>
      <c r="B31" s="63"/>
      <c r="C31" s="245" t="s">
        <v>64</v>
      </c>
      <c r="D31" s="93" t="s">
        <v>56</v>
      </c>
      <c r="E31" s="250">
        <f>10.4/1000*1.15</f>
        <v>0.011959999999999998</v>
      </c>
      <c r="F31" s="27">
        <f>E31*F30</f>
        <v>17.939999999999998</v>
      </c>
      <c r="G31" s="27"/>
      <c r="H31" s="27"/>
      <c r="I31" s="27"/>
      <c r="J31" s="27"/>
      <c r="K31" s="27"/>
      <c r="L31" s="27"/>
      <c r="M31" s="27"/>
    </row>
    <row r="32" spans="1:13" ht="31.5">
      <c r="A32" s="63"/>
      <c r="B32" s="63"/>
      <c r="C32" s="214" t="s">
        <v>58</v>
      </c>
      <c r="D32" s="93" t="s">
        <v>53</v>
      </c>
      <c r="E32" s="27"/>
      <c r="F32" s="27">
        <f>F31</f>
        <v>17.939999999999998</v>
      </c>
      <c r="G32" s="27"/>
      <c r="H32" s="27"/>
      <c r="I32" s="27"/>
      <c r="J32" s="27"/>
      <c r="K32" s="13"/>
      <c r="L32" s="13"/>
      <c r="M32" s="27"/>
    </row>
    <row r="33" spans="1:13" ht="15.75">
      <c r="A33" s="67"/>
      <c r="B33" s="67"/>
      <c r="C33" s="19" t="s">
        <v>59</v>
      </c>
      <c r="D33" s="249" t="s">
        <v>54</v>
      </c>
      <c r="E33" s="251">
        <f>0.24/1000</f>
        <v>0.00023999999999999998</v>
      </c>
      <c r="F33" s="27">
        <f>E33*F30</f>
        <v>0.36</v>
      </c>
      <c r="G33" s="249"/>
      <c r="H33" s="249"/>
      <c r="I33" s="249"/>
      <c r="J33" s="249"/>
      <c r="K33" s="29"/>
      <c r="L33" s="27"/>
      <c r="M33" s="29"/>
    </row>
    <row r="34" spans="1:13" ht="15.75">
      <c r="A34" s="72"/>
      <c r="B34" s="63"/>
      <c r="C34" s="255" t="s">
        <v>47</v>
      </c>
      <c r="D34" s="249" t="s">
        <v>54</v>
      </c>
      <c r="E34" s="27"/>
      <c r="F34" s="27"/>
      <c r="G34" s="27"/>
      <c r="H34" s="27"/>
      <c r="I34" s="27"/>
      <c r="J34" s="27"/>
      <c r="K34" s="13"/>
      <c r="L34" s="27"/>
      <c r="M34" s="27"/>
    </row>
    <row r="35" spans="1:13" ht="15.75">
      <c r="A35" s="73"/>
      <c r="B35" s="68"/>
      <c r="C35" s="256" t="s">
        <v>91</v>
      </c>
      <c r="D35" s="249" t="s">
        <v>54</v>
      </c>
      <c r="E35" s="257" t="s">
        <v>33</v>
      </c>
      <c r="F35" s="258"/>
      <c r="G35" s="259"/>
      <c r="H35" s="257"/>
      <c r="I35" s="257"/>
      <c r="J35" s="257"/>
      <c r="K35" s="257"/>
      <c r="L35" s="257"/>
      <c r="M35" s="257"/>
    </row>
    <row r="36" spans="1:13" ht="15.75">
      <c r="A36" s="69"/>
      <c r="B36" s="68"/>
      <c r="C36" s="255" t="s">
        <v>47</v>
      </c>
      <c r="D36" s="249" t="s">
        <v>54</v>
      </c>
      <c r="E36" s="260"/>
      <c r="F36" s="261"/>
      <c r="G36" s="261"/>
      <c r="H36" s="260"/>
      <c r="I36" s="260"/>
      <c r="J36" s="260"/>
      <c r="K36" s="260"/>
      <c r="L36" s="260"/>
      <c r="M36" s="260"/>
    </row>
    <row r="37" spans="1:13" ht="15.75">
      <c r="A37" s="73"/>
      <c r="B37" s="68"/>
      <c r="C37" s="262" t="s">
        <v>92</v>
      </c>
      <c r="D37" s="249" t="s">
        <v>54</v>
      </c>
      <c r="E37" s="257" t="s">
        <v>33</v>
      </c>
      <c r="F37" s="263"/>
      <c r="G37" s="257"/>
      <c r="H37" s="257"/>
      <c r="I37" s="257"/>
      <c r="J37" s="257"/>
      <c r="K37" s="257"/>
      <c r="L37" s="257"/>
      <c r="M37" s="257"/>
    </row>
    <row r="38" spans="1:13" ht="15.75">
      <c r="A38" s="71"/>
      <c r="B38" s="70"/>
      <c r="C38" s="255" t="s">
        <v>47</v>
      </c>
      <c r="D38" s="249" t="s">
        <v>54</v>
      </c>
      <c r="E38" s="261"/>
      <c r="F38" s="261"/>
      <c r="G38" s="261"/>
      <c r="H38" s="264"/>
      <c r="I38" s="264"/>
      <c r="J38" s="264"/>
      <c r="K38" s="264"/>
      <c r="L38" s="264"/>
      <c r="M38" s="264"/>
    </row>
  </sheetData>
  <sheetProtection/>
  <mergeCells count="25">
    <mergeCell ref="B8:D8"/>
    <mergeCell ref="B9:C9"/>
    <mergeCell ref="A3:M3"/>
    <mergeCell ref="A4:M4"/>
    <mergeCell ref="A5:M5"/>
    <mergeCell ref="A6:M6"/>
    <mergeCell ref="B7:D7"/>
    <mergeCell ref="F7:I7"/>
    <mergeCell ref="A1:N1"/>
    <mergeCell ref="F8:I8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 horizontalCentered="1"/>
  <pageMargins left="0.5905511811023623" right="0" top="0.5905511811023623" bottom="0.5905511811023623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nika chomakhidze</cp:lastModifiedBy>
  <cp:lastPrinted>2018-10-29T11:35:54Z</cp:lastPrinted>
  <dcterms:created xsi:type="dcterms:W3CDTF">1996-10-08T23:32:33Z</dcterms:created>
  <dcterms:modified xsi:type="dcterms:W3CDTF">2019-08-29T08:51:17Z</dcterms:modified>
  <cp:category/>
  <cp:version/>
  <cp:contentType/>
  <cp:contentStatus/>
</cp:coreProperties>
</file>