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6" activeTab="6"/>
  </bookViews>
  <sheets>
    <sheet name="კრებსითი" sheetId="1" r:id="rId1"/>
    <sheet name="საობიექტო2-1" sheetId="2" r:id="rId2"/>
    <sheet name="დარბაზი სამშენებლო" sheetId="3" r:id="rId3"/>
    <sheet name="დარბაზი სანტექნიკა" sheetId="4" r:id="rId4"/>
    <sheet name="დარბაზი ვენტილაცია" sheetId="5" r:id="rId5"/>
    <sheet name="დარბაზი ელექტროობა" sheetId="6" r:id="rId6"/>
    <sheet name="მოკრივეთა სანტექნიკა 2-2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<sst xmlns="http://schemas.openxmlformats.org/spreadsheetml/2006/main" count="1446" uniqueCount="423">
  <si>
    <t>#</t>
  </si>
  <si>
    <t>Tavebis, obieqtebis da samuSaoebis dasaxeleba</t>
  </si>
  <si>
    <t xml:space="preserve">saxarjTaRricxvo Rirebuleba </t>
  </si>
  <si>
    <t>mowyobiloba, aveji, invent.</t>
  </si>
  <si>
    <t>sxvadasxva xarjebi</t>
  </si>
  <si>
    <t>me-2 Tavis jami</t>
  </si>
  <si>
    <t>jami</t>
  </si>
  <si>
    <t>sul</t>
  </si>
  <si>
    <t>Seadgina:</t>
  </si>
  <si>
    <t>xarjTaRricxva da angariSis #</t>
  </si>
  <si>
    <t>samSenebl. samuSao-ebi</t>
  </si>
  <si>
    <t>samontaJo samuSao-ebi</t>
  </si>
  <si>
    <t>saerTo saxarjTaRricxvo Rireb.</t>
  </si>
  <si>
    <t>krebsiTi saxarjTaRricxvo angariSi</t>
  </si>
  <si>
    <t>dRg 18%</t>
  </si>
  <si>
    <t>lari</t>
  </si>
  <si>
    <t xml:space="preserve">                 saxarjTaRricxvo Rirebuleba                                                         </t>
  </si>
  <si>
    <t>qalaq foTSi nino Jvanias quCaze</t>
  </si>
  <si>
    <t>mdebare sportuli darbazis kap. SekeTeba</t>
  </si>
  <si>
    <t>qalaq foTSi nino Jvanias quCaze mdebare sportuli darbazis kap. SekeTeba</t>
  </si>
  <si>
    <t>samSeneblo samuSaoebi</t>
  </si>
  <si>
    <t>wyalmomarageba-kanalizacia</t>
  </si>
  <si>
    <t>eleqtro-samontaJo samuSaoebi</t>
  </si>
  <si>
    <t>ventilacia</t>
  </si>
  <si>
    <t xml:space="preserve">                   /mSeneblobis dasaxeleba/</t>
  </si>
  <si>
    <t xml:space="preserve">saxarjTaRicxvo Rirebuleba: </t>
  </si>
  <si>
    <t>aTasi lari</t>
  </si>
  <si>
    <t xml:space="preserve">saxarjTaRricxvo xelfasi:  </t>
  </si>
  <si>
    <t>saxarjT-aRricxvo gaangariSebis #</t>
  </si>
  <si>
    <t>samuSaoebis da danaxarjebis                                         dasaxeleba</t>
  </si>
  <si>
    <t>saxarjTaRricxvo Rirebuleba</t>
  </si>
  <si>
    <t>xelfasis Tanxebi</t>
  </si>
  <si>
    <t>erTeulis Rirebulebis maCveneblebi</t>
  </si>
  <si>
    <t>samSeneblo samuSaoebis</t>
  </si>
  <si>
    <t>samontaJo samuSaoebis</t>
  </si>
  <si>
    <t>mowyob-ilob-s, avejis inventa-ris</t>
  </si>
  <si>
    <t>sxva samuSaoebis</t>
  </si>
  <si>
    <t>Sida el. momarageba</t>
  </si>
  <si>
    <t>Sedgenilia 2019w. Ikv.fasebiT</t>
  </si>
  <si>
    <t>lok.x.#2-1</t>
  </si>
  <si>
    <t>lok.x.#2-2</t>
  </si>
  <si>
    <t>lok.x.#2-3</t>
  </si>
  <si>
    <t>lok.x.#2-4</t>
  </si>
  <si>
    <t xml:space="preserve">           saobieqto xarjTaRricxva #2-1</t>
  </si>
  <si>
    <t>(koreqtirebuli)</t>
  </si>
  <si>
    <t>lokaluri xarjTaRricxva #2-1</t>
  </si>
  <si>
    <t>saxarjTaRricxvo xelfasi</t>
  </si>
  <si>
    <t>normatiuli Sromatevadoba</t>
  </si>
  <si>
    <t>k/dRe</t>
  </si>
  <si>
    <t>Sifri</t>
  </si>
  <si>
    <t>samuSaos dasaxeleba</t>
  </si>
  <si>
    <t>gan. erT.</t>
  </si>
  <si>
    <t>raodenoba</t>
  </si>
  <si>
    <t>erT. Rireb.</t>
  </si>
  <si>
    <t>mTliani Rireb.</t>
  </si>
  <si>
    <t>a) tribuna da mimdebare teritoria</t>
  </si>
  <si>
    <t>9_17  თ.1.4.#14</t>
  </si>
  <si>
    <t>fundamentze Sveleri #14 montaJi</t>
  </si>
  <si>
    <t>tn</t>
  </si>
  <si>
    <t>Sromis danaxarji</t>
  </si>
  <si>
    <t>X</t>
  </si>
  <si>
    <t>k/sT</t>
  </si>
  <si>
    <t>Sveleri #14</t>
  </si>
  <si>
    <t>eleqtrodi</t>
  </si>
  <si>
    <t>kg</t>
  </si>
  <si>
    <t>15_168</t>
  </si>
  <si>
    <t>liTonis Sveleris SeRebva antikoroziuli saRebaviT</t>
  </si>
  <si>
    <t>m2</t>
  </si>
  <si>
    <t>anikoroziuli saRebavi</t>
  </si>
  <si>
    <t>sxva masalebi</t>
  </si>
  <si>
    <t>23-1             s.r.f.      T.4.1#204       T.14.#26</t>
  </si>
  <si>
    <t>teritoriis mozvinva qviSa-xreSovani balastiT</t>
  </si>
  <si>
    <t>m3</t>
  </si>
  <si>
    <t>qviSa-xreSovani balasti</t>
  </si>
  <si>
    <t>RorRis transportireba</t>
  </si>
  <si>
    <t>11-11             s.r.f.      T.4.1#322</t>
  </si>
  <si>
    <t>betonis iatakis mowyoba sisqiT 10sm</t>
  </si>
  <si>
    <t>betoni m200</t>
  </si>
  <si>
    <t xml:space="preserve">9-12             s.r.f.     T.1.4#16    T.2.2#1 T.1.9#15       </t>
  </si>
  <si>
    <t>tribunis liTonis konstruqciebis montaJi</t>
  </si>
  <si>
    <t>Sveleri (proeqtis mixedviT)</t>
  </si>
  <si>
    <t>milkvarati (proeqtis mixedviT)</t>
  </si>
  <si>
    <t>manqanebi</t>
  </si>
  <si>
    <t>15-164          s.r.f.     T.4.2#28</t>
  </si>
  <si>
    <t>liTonis konstruqciebis SeRebva antikoroziuli saRebaviT</t>
  </si>
  <si>
    <t>antikoroziuli saRebavi</t>
  </si>
  <si>
    <t>6-12             s.r.f.      T.5.1.#144,1 T.4.1#344       T.1.1.#27</t>
  </si>
  <si>
    <t xml:space="preserve">saSxapeebSi rkinabetonis dasxmis mowyoba (sisqiT 12sm) </t>
  </si>
  <si>
    <r>
      <t xml:space="preserve">betoni </t>
    </r>
    <r>
      <rPr>
        <sz val="12"/>
        <rFont val="Arial"/>
        <family val="2"/>
      </rPr>
      <t>B22,5</t>
    </r>
  </si>
  <si>
    <t>sayalibe fari</t>
  </si>
  <si>
    <t>xemasala daxerxili</t>
  </si>
  <si>
    <r>
      <t xml:space="preserve">armatura </t>
    </r>
    <r>
      <rPr>
        <sz val="12"/>
        <rFont val="Arial"/>
        <family val="2"/>
      </rPr>
      <t>AIII</t>
    </r>
    <r>
      <rPr>
        <sz val="12"/>
        <rFont val="AcadNusx"/>
        <family val="0"/>
      </rPr>
      <t xml:space="preserve"> 12mmm (proeqtis mixedviT)</t>
    </r>
  </si>
  <si>
    <t>11-37          s.r.f.     T.5.1#118           T.1.9#31</t>
  </si>
  <si>
    <t>liTonis konstruqciebze xis safaris mowyoba mSrali uSipo iatakis ficariT</t>
  </si>
  <si>
    <t>ficari iatakis uSipo mSrali 4sm sisqiT</t>
  </si>
  <si>
    <t>sWvali 8mm TviTmWreli</t>
  </si>
  <si>
    <t>10-38             s.r.f.     T.4.2.#12</t>
  </si>
  <si>
    <t>xis safaris antiseptireba</t>
  </si>
  <si>
    <t>antiseptiki</t>
  </si>
  <si>
    <t xml:space="preserve">15-160             s.r.f.     T.4.1#23,16       </t>
  </si>
  <si>
    <t>tribunis xis safaris SeRebva zeTovani saRebaviT</t>
  </si>
  <si>
    <t>zeTovani saRebavi</t>
  </si>
  <si>
    <t>cali</t>
  </si>
  <si>
    <t>olifa</t>
  </si>
  <si>
    <t xml:space="preserve">8-15             s.r.f.     T.4.1#26, 351       </t>
  </si>
  <si>
    <t>tribunis qveviT kedlebis wyoba mcire samSeneblo blokiT sisqiT 15sm</t>
  </si>
  <si>
    <t>betonis bloki 39X19X15</t>
  </si>
  <si>
    <t>kir-cementis xsnari</t>
  </si>
  <si>
    <t xml:space="preserve">9-14           s.r.f.     T.9.3#8 </t>
  </si>
  <si>
    <t>xis faqturis metaloplastmasis karis blokis mowyoba (kr-2 13 cali)</t>
  </si>
  <si>
    <t>metaloplastmasis karis bloki</t>
  </si>
  <si>
    <t>TeTri feris metaloplastmasis karis blokis mowyoba (kr-3  5cali)</t>
  </si>
  <si>
    <t>xis faqturis metaloplastmasis karis blokis mowyoba (kr-4 4 cali)</t>
  </si>
  <si>
    <t xml:space="preserve">15-56       s.r.f.     T.4.1#356  </t>
  </si>
  <si>
    <t xml:space="preserve">karebis da framugebis ferdoebis mobaTqaSeba </t>
  </si>
  <si>
    <t xml:space="preserve">15-52       s.r.f.     T.4.1#356    T.14.#184  </t>
  </si>
  <si>
    <t xml:space="preserve">kedlebis mobaTqaSeba  </t>
  </si>
  <si>
    <t>qviSa-cementis xsnari</t>
  </si>
  <si>
    <t>xsnaris tumbo</t>
  </si>
  <si>
    <t>m/sT</t>
  </si>
  <si>
    <t xml:space="preserve">15-14       s.r.f.     T.4.3.#12 T.4.1#355  </t>
  </si>
  <si>
    <t>svel wertilebSi kedlebze moWiquli filebis mowyoba (Weramde)</t>
  </si>
  <si>
    <t>keramikuli filebi</t>
  </si>
  <si>
    <t>cementis xsnari</t>
  </si>
  <si>
    <t xml:space="preserve">10-10          s.r.f.     T.9.1#47    </t>
  </si>
  <si>
    <t xml:space="preserve">kedlebze nestgamZle TabaSirmuyaos filebis mowyoba </t>
  </si>
  <si>
    <t>TabaSirmuyaos filebi liT. konstruqciebiT</t>
  </si>
  <si>
    <t>Werze nestgamZle TabaSirmuyaos filebis mowyoba (administracia, sportsmenTa gasaxdeli, koridori)</t>
  </si>
  <si>
    <t>15-168          s.r.f.     T.4.2#80,96,38</t>
  </si>
  <si>
    <t>Weris SeRebva emulsiuri saRebaviT</t>
  </si>
  <si>
    <t xml:space="preserve">safinTxi </t>
  </si>
  <si>
    <t>grunti</t>
  </si>
  <si>
    <t>emulsia</t>
  </si>
  <si>
    <t>10-10         s.r.f.     T.8.3#18    T1.10#3   T.8.1.#44</t>
  </si>
  <si>
    <t>svel wertilebSi Werze plastikatis mowyoba liT. karkasze</t>
  </si>
  <si>
    <t>plastikati</t>
  </si>
  <si>
    <t>liT. profilebi</t>
  </si>
  <si>
    <t>lursmani</t>
  </si>
  <si>
    <t>kuTxovana plastmasis</t>
  </si>
  <si>
    <t>grZ.m</t>
  </si>
  <si>
    <t>kedlebis SeRebva emulsiuri saRebaviT</t>
  </si>
  <si>
    <t xml:space="preserve">11-20       s.r.f.     T.4.1#349,317  </t>
  </si>
  <si>
    <t>metlaxis iatakis mowyoba</t>
  </si>
  <si>
    <t xml:space="preserve">metlaxi </t>
  </si>
  <si>
    <t xml:space="preserve">11-20       s.r.f.     T.4.1#310,349  </t>
  </si>
  <si>
    <t>koridorSi keramogranitis iatakis mowyoba</t>
  </si>
  <si>
    <t xml:space="preserve">keramograniti  </t>
  </si>
  <si>
    <t xml:space="preserve">9-5             s.r.f.    T.1.9.#55        </t>
  </si>
  <si>
    <t>liTonis moajiris mowyoba</t>
  </si>
  <si>
    <t xml:space="preserve">liTonis moajiri </t>
  </si>
  <si>
    <t>15-165          s.r.f.     T.4.2#16,24</t>
  </si>
  <si>
    <t>liTonis moajiris SeRebva zeTovani saRebaviT</t>
  </si>
  <si>
    <t>saRebavi zeTovani</t>
  </si>
  <si>
    <t>a Tavis jami</t>
  </si>
  <si>
    <t>ბ) ხის საფარი და კედლები</t>
  </si>
  <si>
    <t>6-9             s.r.f.        T.1.4.#31          T.1.10#14</t>
  </si>
  <si>
    <t>liTonis kuTxovanas montaJi xis koWebis dasamagreblad</t>
  </si>
  <si>
    <t>kuTxovana 75X75X4</t>
  </si>
  <si>
    <t>11-9             s.r.f.      T.5.1#10        T.1.10#2</t>
  </si>
  <si>
    <t>iatakis xis koWebis mowyoba</t>
  </si>
  <si>
    <t>xemasala daxerxili mSrali (proeqtis mixedviT)</t>
  </si>
  <si>
    <t>lursmani samSeneblo</t>
  </si>
  <si>
    <t>man</t>
  </si>
  <si>
    <t xml:space="preserve">10_38             </t>
  </si>
  <si>
    <t>xis koWebis antiseptireba</t>
  </si>
  <si>
    <t>gembanuris xis iatakis mowyoba</t>
  </si>
  <si>
    <t>xis iatakis antiseptireba</t>
  </si>
  <si>
    <t>xis iatakis SeRebva zeTovani saRebaviT</t>
  </si>
  <si>
    <t xml:space="preserve">15-160             s.r.f.     T.4.2#2 </t>
  </si>
  <si>
    <t xml:space="preserve">xis iatakis galaqva </t>
  </si>
  <si>
    <t>laqi</t>
  </si>
  <si>
    <t xml:space="preserve">9-5             s.r.f.    T.1.8.#38        </t>
  </si>
  <si>
    <t>moednis mTel sigrZeze xis saventilacio cxauris montaJi</t>
  </si>
  <si>
    <t xml:space="preserve">xis cxuri </t>
  </si>
  <si>
    <t>10-8             s.r.f.      T.5.1#10,126        T.1.9#2</t>
  </si>
  <si>
    <t>kedelze xis lartyebze safaris mowyoba ficrebiT sisqiT 2,5sm</t>
  </si>
  <si>
    <t>xemasala daxerxili mSrali xis laryebisavis (proeqtis mixedviT)</t>
  </si>
  <si>
    <t>ficari mSrali SipebiT 2,5sm sisqiT</t>
  </si>
  <si>
    <t>plintusi fiWvis</t>
  </si>
  <si>
    <t xml:space="preserve">kedlis xis safaris galaqva </t>
  </si>
  <si>
    <t>10_28</t>
  </si>
  <si>
    <t>xis moajiris mowyoba magari jiSis xis masalisagan</t>
  </si>
  <si>
    <t>magari jiSis xis moajiri</t>
  </si>
  <si>
    <t xml:space="preserve">xis moajiris galaqva </t>
  </si>
  <si>
    <t>15-165          s.r.f.     T.4.2#24</t>
  </si>
  <si>
    <t>arsebuli liT. milebis da fermebis SeRebva zeTovani saRebaviT</t>
  </si>
  <si>
    <r>
      <t xml:space="preserve">9-5             s.r.f.    T.1.8.#37    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</t>
    </r>
  </si>
  <si>
    <t>fasadis mxridan fanjrebze liT. gisosebis mowyoba</t>
  </si>
  <si>
    <t xml:space="preserve">liTonis gisosi </t>
  </si>
  <si>
    <r>
      <t xml:space="preserve">16-9-6             s.r.f.    T.1.8.#37    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</t>
    </r>
  </si>
  <si>
    <t>arsebuli liT. milebis, rkinabetonis kolonebis da liTonis moajiris SefuTva</t>
  </si>
  <si>
    <t>SesafuTi masala</t>
  </si>
  <si>
    <t>9-14           s.r.f.     T.5.1#91,173</t>
  </si>
  <si>
    <t>ofisSi SesasvelSi da meore sarTlze xis karis blokis mowyoba</t>
  </si>
  <si>
    <t>xis karis bloki</t>
  </si>
  <si>
    <t>saketi karebis SeWrili</t>
  </si>
  <si>
    <t>15-165          s.r.f.     T.4.2#16,30</t>
  </si>
  <si>
    <t>xis karis blokis SeRebva zeTovani saRebaviT</t>
  </si>
  <si>
    <t>9-14           s.r.f.     T.10.3#7</t>
  </si>
  <si>
    <t xml:space="preserve">ofisis pirvel sarTulze TeTri feris metaloplastmasiT tixris mowyoba karis blokiT </t>
  </si>
  <si>
    <t>metaloplastmasis vitraJi karis blokiT</t>
  </si>
  <si>
    <t>12-7-3    s.r.f.     T.4.3#8    T.2.2.#20</t>
  </si>
  <si>
    <t>SesasvlelebSi qolgis mowyoba liT. konstrqciebze</t>
  </si>
  <si>
    <t>karboleqsi 10mm</t>
  </si>
  <si>
    <t>liTonis milkvadrati 20X40X2,5</t>
  </si>
  <si>
    <t xml:space="preserve">68-25-1    </t>
  </si>
  <si>
    <t>darbazis kedlebze burTisagan damcavi badis mowyoba</t>
  </si>
  <si>
    <t>bade</t>
  </si>
  <si>
    <t xml:space="preserve">saTadarigo moTamaSeebisaTvis (TiTo 10 personaze) skamebis mowyoba </t>
  </si>
  <si>
    <t>08_03_67</t>
  </si>
  <si>
    <t>eleqtro tablos montaJi 1500mmX700mmX75mm</t>
  </si>
  <si>
    <t>eleqtro tabloi 1500mmX700mmX75mm</t>
  </si>
  <si>
    <t>1 da 2 Tavis jami</t>
  </si>
  <si>
    <t>zednadebi xarjebi 10%</t>
  </si>
  <si>
    <t>gegmiuri dagroveba 8%</t>
  </si>
  <si>
    <t>sul xarjTaRricxviT</t>
  </si>
  <si>
    <t>lokaluri xarjTaRricxva #2-2</t>
  </si>
  <si>
    <t xml:space="preserve">27_28        s.r.f.                T.14.#290 </t>
  </si>
  <si>
    <t>arsebuli asfaltis safaris CaWra sakanalizacio da wylis milebis mosawyobad</t>
  </si>
  <si>
    <t>nakerebis CamWreli</t>
  </si>
  <si>
    <t xml:space="preserve">1-961  </t>
  </si>
  <si>
    <t>gruntis damuSaveba xeliT kanalizaiis da wylis milebis mosawyobad</t>
  </si>
  <si>
    <t>r-23-89</t>
  </si>
  <si>
    <t>samSeneblo nagavis da zedmeti gruntis datvirTva avtoTviTmclelze xeliT</t>
  </si>
  <si>
    <t>s.r.f.  T14#7</t>
  </si>
  <si>
    <t>samSeneblo nagavis da zedmeti gruntis transportireba 7km manZilze</t>
  </si>
  <si>
    <t>18-1             s.r.f.          T.7.1.#180</t>
  </si>
  <si>
    <t>kedelze dasakidi gaTbobis qvabis montaJi simZlavriT 24kvt daxuruli wvis kameriT</t>
  </si>
  <si>
    <t>gaTbobis qvabi 24 kvt</t>
  </si>
  <si>
    <t>18-4             s.r.f.          T.7.1.#115</t>
  </si>
  <si>
    <t xml:space="preserve">150lt Cqarosnuli boileris  montaJi </t>
  </si>
  <si>
    <t>boileri 150lt</t>
  </si>
  <si>
    <t>18-6             s.r.f.          T.7.1.#425</t>
  </si>
  <si>
    <t xml:space="preserve">19l gamafarTovebeli avzis montaJi </t>
  </si>
  <si>
    <t>19l gamafarTovebeli avzi</t>
  </si>
  <si>
    <t xml:space="preserve">17-1    s.r.f.     T.6#32  </t>
  </si>
  <si>
    <t>50mm trapis mowyoba</t>
  </si>
  <si>
    <t>komp</t>
  </si>
  <si>
    <t>50mm trapi nikelis</t>
  </si>
  <si>
    <t xml:space="preserve">22-8    s.r.f.     T.2.1#35   T.2.5.#38     </t>
  </si>
  <si>
    <t>40mm wylis plastmasis mkvebavi milis montaJi</t>
  </si>
  <si>
    <t>40mm wylis plastmasis mili</t>
  </si>
  <si>
    <t>75mm wylis plastmasis mili (garsacmi)</t>
  </si>
  <si>
    <t>muxli 40mm  90*</t>
  </si>
  <si>
    <t xml:space="preserve">quro 40mm </t>
  </si>
  <si>
    <t xml:space="preserve">22-27    s.r.f.         T.2.5.#4 </t>
  </si>
  <si>
    <t>arsebul qselTan mierTeba</t>
  </si>
  <si>
    <t>17-7    s.r.f.            T.2.5#18,17,16 T.6.#1166,115,1164,</t>
  </si>
  <si>
    <t>SenobaSi cxeli wylis gayvnilobis plastmasis 32mm, 25mm da 20mm TeTri milebis mowyoba</t>
  </si>
  <si>
    <t>32mm plst. mili cxeli wylis TeTri</t>
  </si>
  <si>
    <t>25mm plast. mili cxeli wylis TeTri</t>
  </si>
  <si>
    <t>20mm plast. mili cxeli wylis TeTri</t>
  </si>
  <si>
    <t>polieTilenis Tboizolacia 35/10mm</t>
  </si>
  <si>
    <t>polieTilenis Tboizolacia 28/10mm</t>
  </si>
  <si>
    <t>polieTilenis Tboizolacia 22/10mm</t>
  </si>
  <si>
    <t>17-7    s.r.f.            T.2.5#1,2,3</t>
  </si>
  <si>
    <t>SenobaSi civi wylis plastmasis 32mm, 25mm da 20mm milebis mowyoba</t>
  </si>
  <si>
    <t>32mm plastmasis mili</t>
  </si>
  <si>
    <t>25mm plastmasis mili</t>
  </si>
  <si>
    <t>20mm plastmasis mili</t>
  </si>
  <si>
    <t>22-23           s.r.f.     T.6.1 #585,833,832,583,458,566</t>
  </si>
  <si>
    <t>civi da cxeli wylis gayvanilobis fasonuri nawilebis mowyoba</t>
  </si>
  <si>
    <t>kuTxe 32mm</t>
  </si>
  <si>
    <t>samkapi 32X20X32</t>
  </si>
  <si>
    <t>samkapi 25X20X25</t>
  </si>
  <si>
    <t>kuTxe 20mm 90*</t>
  </si>
  <si>
    <t xml:space="preserve">gadamyvani plastmasis 50/32mm </t>
  </si>
  <si>
    <t>uReli wylis Semrevis</t>
  </si>
  <si>
    <t>muxli 20mm 1/2 Sida xraxniT</t>
  </si>
  <si>
    <t>16-12           s.r.f.     T.6#67,65</t>
  </si>
  <si>
    <t>50mm da 32mm wylis Sarnirze ventilebis montaJi</t>
  </si>
  <si>
    <t>ventili wylis Sarnirze 50mm</t>
  </si>
  <si>
    <t>ventili wylis Sarnirze 32mm</t>
  </si>
  <si>
    <t>16-12           s.r.f.     T.6#116</t>
  </si>
  <si>
    <t>sanitaruli wylis ventilebis montaJi</t>
  </si>
  <si>
    <t>ventili 20mm</t>
  </si>
  <si>
    <t>16-6           s.r.f.     T.2.5.#100    T.6.1.#577,587,716,826 T.1.9.#51</t>
  </si>
  <si>
    <t>50mm plastmasis sakanalizacio sqelkedliani milebis mowyoba</t>
  </si>
  <si>
    <t>muxli 50mm 45*</t>
  </si>
  <si>
    <t>muxli 50mm 90*</t>
  </si>
  <si>
    <t>quro 50mm</t>
  </si>
  <si>
    <t>samkapi 50mm</t>
  </si>
  <si>
    <t>50mm plastmasis sakanalizacio mili</t>
  </si>
  <si>
    <t>samagri</t>
  </si>
  <si>
    <t>16-6           s.r.f.     T.6.1.#580,848,861,464,719 T.2.4.#108    T.1.9.#51</t>
  </si>
  <si>
    <t>100mm plastmasis sakanalizacio sqelkedliani milebis mowyoba</t>
  </si>
  <si>
    <t>muxli 100 45*</t>
  </si>
  <si>
    <t>samkapi 100/50/100 90*</t>
  </si>
  <si>
    <t>samkapi 100/100/100 90*</t>
  </si>
  <si>
    <t>gadamyvani 100/50</t>
  </si>
  <si>
    <t>quro 100mm</t>
  </si>
  <si>
    <t>100mm plastmasis sakanalizacio mili</t>
  </si>
  <si>
    <t>23-1             s.r.f.      T.4.1#212       T.14.#22</t>
  </si>
  <si>
    <t xml:space="preserve">wylis da kanalizaciis milebze qviSis safaris  mowyoba </t>
  </si>
  <si>
    <t>qviSa</t>
  </si>
  <si>
    <t xml:space="preserve">qviSis transportireba </t>
  </si>
  <si>
    <t xml:space="preserve">17-4    s.r.f.     T.6#17  </t>
  </si>
  <si>
    <t>unitazis mowyoba</t>
  </si>
  <si>
    <t>unitazi Camrecxi avziT</t>
  </si>
  <si>
    <t xml:space="preserve">17-6    s.r.f.     T.6#14  </t>
  </si>
  <si>
    <t>xelsabani mowyoba</t>
  </si>
  <si>
    <t>xelsabani fexiani</t>
  </si>
  <si>
    <t xml:space="preserve">17-2    s.r.f.     T.6#31  </t>
  </si>
  <si>
    <t>saSxapeSi da svel wertilebSi wylis Semrevis mowyoba</t>
  </si>
  <si>
    <t xml:space="preserve">wylis Semrevi  </t>
  </si>
  <si>
    <t>17_6</t>
  </si>
  <si>
    <t>SezRuduli SesaZleblobis mqone pirTaTvis tualetis garnituris montaJi</t>
  </si>
  <si>
    <t>tualetis garnitura</t>
  </si>
  <si>
    <t>SromiTi resursebi</t>
  </si>
  <si>
    <t>zednadebi xarjebi 12%</t>
  </si>
  <si>
    <t>16-6           s.r.f.     T.6.1.#580,862,464 T.2.4.#108    T.1.9.#51</t>
  </si>
  <si>
    <t>saventilacio sistemis mowyoba 100mm plastmasis  sqelkedliani milebiT</t>
  </si>
  <si>
    <t>samkapi 100/70/100 90*</t>
  </si>
  <si>
    <t>100mm plastmasis sqelkedliani mili</t>
  </si>
  <si>
    <t>lokaluri xarjTaRricxva #2-3</t>
  </si>
  <si>
    <t xml:space="preserve">saxarjTaRricxvo Rirebuleba       </t>
  </si>
  <si>
    <t xml:space="preserve">saxarjTaRricxvo xelfasi          </t>
  </si>
  <si>
    <t xml:space="preserve">normatiuli Sromatevadoba         </t>
  </si>
  <si>
    <t>k/dR</t>
  </si>
  <si>
    <t>ganz. erT.</t>
  </si>
  <si>
    <t>raode-noba</t>
  </si>
  <si>
    <t>mTl. Rireb.</t>
  </si>
  <si>
    <t>I. samontaJo samuSaoebi</t>
  </si>
  <si>
    <t>8-574-19</t>
  </si>
  <si>
    <r>
      <t>orpolusiani 100</t>
    </r>
    <r>
      <rPr>
        <sz val="12"/>
        <rFont val="Arial"/>
        <family val="2"/>
      </rPr>
      <t>A</t>
    </r>
    <r>
      <rPr>
        <sz val="12"/>
        <rFont val="AcadNusx"/>
        <family val="0"/>
      </rPr>
      <t xml:space="preserve"> avtomaturi amomrTvelis montaJi </t>
    </r>
  </si>
  <si>
    <t xml:space="preserve">Sr. danaxarji </t>
  </si>
  <si>
    <r>
      <rPr>
        <sz val="12"/>
        <rFont val="Arial"/>
        <family val="2"/>
      </rPr>
      <t>25A</t>
    </r>
    <r>
      <rPr>
        <sz val="12"/>
        <rFont val="AcadNusx"/>
        <family val="0"/>
      </rPr>
      <t xml:space="preserve"> orpolusa avtomaturi amomrTvelis montaJi </t>
    </r>
  </si>
  <si>
    <r>
      <rPr>
        <sz val="12"/>
        <rFont val="Arial"/>
        <family val="2"/>
      </rPr>
      <t>40A</t>
    </r>
    <r>
      <rPr>
        <sz val="12"/>
        <rFont val="AcadNusx"/>
        <family val="0"/>
      </rPr>
      <t xml:space="preserve"> orpolusa avtomaturi amomrTvelis montaJi </t>
    </r>
  </si>
  <si>
    <r>
      <rPr>
        <sz val="12"/>
        <rFont val="Arial"/>
        <family val="2"/>
      </rPr>
      <t>16A</t>
    </r>
    <r>
      <rPr>
        <sz val="12"/>
        <rFont val="AcadNusx"/>
        <family val="0"/>
      </rPr>
      <t xml:space="preserve"> orpolusa avtomaturi amomrTvelis montaJi </t>
    </r>
  </si>
  <si>
    <r>
      <t>10</t>
    </r>
    <r>
      <rPr>
        <sz val="12"/>
        <rFont val="Arial"/>
        <family val="2"/>
      </rPr>
      <t>A</t>
    </r>
    <r>
      <rPr>
        <sz val="12"/>
        <rFont val="AcadNusx"/>
        <family val="0"/>
      </rPr>
      <t xml:space="preserve"> orpolusa avtomaturi amomrTvelis montaJi </t>
    </r>
  </si>
  <si>
    <t>8-598-2</t>
  </si>
  <si>
    <t xml:space="preserve">300vt daxuruli dioduri proJeqtoris montaJi </t>
  </si>
  <si>
    <t xml:space="preserve">200vt daxuruli dioduri proJeqtoris montaJi </t>
  </si>
  <si>
    <t>8-603-1</t>
  </si>
  <si>
    <t>dioduri sanaTi `plafoni~s montaJi 220vt</t>
  </si>
  <si>
    <t>8-591-6</t>
  </si>
  <si>
    <t xml:space="preserve">rozetuli Stefcelis montaJi mesame damamiwebeli kontaqtiT (oriani) </t>
  </si>
  <si>
    <t>8-591-2</t>
  </si>
  <si>
    <t>erTklaviSiani gamomrTvelis montaJi</t>
  </si>
  <si>
    <t>orklaviSiani gamomrTvelis montaJi</t>
  </si>
  <si>
    <t>21-18</t>
  </si>
  <si>
    <t>spilenZis el. kabelis montaJi 3X1,5mm2</t>
  </si>
  <si>
    <t>spilenZis el. kabelis montaJi 3X2,5mm2</t>
  </si>
  <si>
    <t>spilenZis el. kabelis montaJi 2X16mm2</t>
  </si>
  <si>
    <t>21-18     s.r.f.    T.14.#77</t>
  </si>
  <si>
    <t>kabel-arxis montaJi</t>
  </si>
  <si>
    <t>avtohidroamwevi</t>
  </si>
  <si>
    <t>damiwebis montaJi</t>
  </si>
  <si>
    <t>spilenZis 2X25mm2 Semomyvani kabelis montaJi</t>
  </si>
  <si>
    <t xml:space="preserve">jami </t>
  </si>
  <si>
    <t>zednadebi xarjebi xelfasis 75%</t>
  </si>
  <si>
    <t>jami Tavi I</t>
  </si>
  <si>
    <t>Tavi II. MganfasebiT gauTvaliswinebeli masalebi</t>
  </si>
  <si>
    <t>s.r.f.    T.8.17.#69</t>
  </si>
  <si>
    <r>
      <t>100</t>
    </r>
    <r>
      <rPr>
        <sz val="12"/>
        <rFont val="Arial"/>
        <family val="2"/>
      </rPr>
      <t>A</t>
    </r>
    <r>
      <rPr>
        <sz val="12"/>
        <rFont val="AcadNusx"/>
        <family val="0"/>
      </rPr>
      <t>A orpolusa avtomaturi amomrTveli</t>
    </r>
  </si>
  <si>
    <t>s.r.f.    T.8.17.#68</t>
  </si>
  <si>
    <r>
      <rPr>
        <sz val="12"/>
        <rFont val="Arial"/>
        <family val="2"/>
      </rPr>
      <t>40A</t>
    </r>
    <r>
      <rPr>
        <sz val="12"/>
        <rFont val="AcadNusx"/>
        <family val="0"/>
      </rPr>
      <t>A orpolusa avtomaturi amomrTveli</t>
    </r>
  </si>
  <si>
    <t>s.r.f.    T.8.17.#64</t>
  </si>
  <si>
    <r>
      <t>16</t>
    </r>
    <r>
      <rPr>
        <sz val="12"/>
        <rFont val="Arial"/>
        <family val="2"/>
      </rPr>
      <t>A</t>
    </r>
    <r>
      <rPr>
        <sz val="12"/>
        <rFont val="AcadNusx"/>
        <family val="0"/>
      </rPr>
      <t>A orpolusa avtomaturi amomrTveli</t>
    </r>
  </si>
  <si>
    <r>
      <t>10</t>
    </r>
    <r>
      <rPr>
        <sz val="12"/>
        <rFont val="Arial"/>
        <family val="2"/>
      </rPr>
      <t>A</t>
    </r>
    <r>
      <rPr>
        <sz val="12"/>
        <rFont val="AcadNusx"/>
        <family val="0"/>
      </rPr>
      <t>A orpolusa avtomaturi amomrTveli</t>
    </r>
  </si>
  <si>
    <t>sab.fasi</t>
  </si>
  <si>
    <t>300vt daxuruli dioduri proJeqtori</t>
  </si>
  <si>
    <t>200vt daxuruli dioduri proJeqtori</t>
  </si>
  <si>
    <t>s.r.f.    T.8.17.#215</t>
  </si>
  <si>
    <t>saStefcelo rozeti mesamedamamiwebeli kontaqtiT</t>
  </si>
  <si>
    <t>s.r.f.    T.8.17.#14</t>
  </si>
  <si>
    <t>erT klaviSa CamrTveli</t>
  </si>
  <si>
    <t>s.r.f.    T.8.17.#15</t>
  </si>
  <si>
    <t>or klaviSa CamrTveli</t>
  </si>
  <si>
    <t>s.r.f.    T.8.1.#31</t>
  </si>
  <si>
    <t>el. kabeli 3X1,5mm2</t>
  </si>
  <si>
    <t>s.r.f.    T.8.1.#32</t>
  </si>
  <si>
    <t>el. kabeli 3X2,5mm2</t>
  </si>
  <si>
    <t>s.r.f.    T.8.1.#118</t>
  </si>
  <si>
    <t>el. kabeli 2X16mm2</t>
  </si>
  <si>
    <t>s.r.f.    T.3.1.#21</t>
  </si>
  <si>
    <t>aluminis kuTxovana 40X40</t>
  </si>
  <si>
    <t>s.r.f.    T.3.1.#18</t>
  </si>
  <si>
    <t>uJangavi liTonis zolavana 40X4mm</t>
  </si>
  <si>
    <t>s.r.f.    T.7.2.#29</t>
  </si>
  <si>
    <t>sakabelo arxi 40X16</t>
  </si>
  <si>
    <t>jami Tavi II</t>
  </si>
  <si>
    <t>jami Tavi I+II</t>
  </si>
  <si>
    <t xml:space="preserve">sul </t>
  </si>
  <si>
    <t xml:space="preserve">Seadgina:                             </t>
  </si>
  <si>
    <t>lokaluri xarjTaRricxva #2-4</t>
  </si>
  <si>
    <t xml:space="preserve">Sida wyalsaden-kanalizacia  </t>
  </si>
  <si>
    <t>Sida ventilacia</t>
  </si>
  <si>
    <t>maT Soris inventari, mowyobiloba</t>
  </si>
  <si>
    <t>zednadebi xarjebi 10% (inventari, mowyobilobis gamoklebiT)</t>
  </si>
  <si>
    <t>gegmiuri dagroveba 8% (inventari, mowyobilobis gamoklebiT)</t>
  </si>
  <si>
    <t>sayofacxovrebo Senoba</t>
  </si>
  <si>
    <t>gruntis damuSaveba xeliT kanalizaciis Webis da milebis mosawyobad</t>
  </si>
  <si>
    <t xml:space="preserve">24l gamafarTovebeli avzis montaJi </t>
  </si>
  <si>
    <t>24l gamafarTovebeli avzi</t>
  </si>
  <si>
    <t>SenobaSi cxeli wylis gayvnilobis plastmasis 25mm da 20mm TeTri milebis mowyoba</t>
  </si>
  <si>
    <t>25mm wylis ventilebis montaJi</t>
  </si>
  <si>
    <t>ventili wylis Sarnirze 25mm</t>
  </si>
  <si>
    <t>100mm da 150mm plastmasis sakanalizacio sqelkedliani milebis mowyoba</t>
  </si>
  <si>
    <t>200mm plastmasis sakanalizacio mili</t>
  </si>
  <si>
    <t>150mm plastmasis sakanalizacio mili</t>
  </si>
  <si>
    <t>219/5mm liTonis mili garsacmi</t>
  </si>
  <si>
    <t xml:space="preserve">kanalizaciis milebze qviSis safaris  mowyoba </t>
  </si>
  <si>
    <t>aziuri unitazis mowyoba</t>
  </si>
  <si>
    <t>aziuri unitazi Camrecxi avziT</t>
  </si>
  <si>
    <t>sifoni</t>
  </si>
  <si>
    <t>saSxapeSi wylis Semrevis mowyoba</t>
  </si>
  <si>
    <t>svel wertilebSi xelsabani onkanis mowyoba</t>
  </si>
  <si>
    <t>xelsabani onkani</t>
  </si>
  <si>
    <t>obieqturi xarjTaRricxva #2-1</t>
  </si>
  <si>
    <t>obieqturi xarjTaRricxva #2-2</t>
  </si>
  <si>
    <t>qalaq foTSi nino Jvanias quCaze mdebare sportuli darbazis kap. SekeTeba (mokriveTa darbazi)</t>
  </si>
  <si>
    <t>aT.lari</t>
  </si>
  <si>
    <t>gauTvaliswinebeli samuSaoebi 5%</t>
  </si>
  <si>
    <r>
      <t>saqarTvelos energetikisa da wyalmomaragebis maregulirebeli erovnuli komisiis dadgenileba №32 დანართი№3 (</t>
    </r>
    <r>
      <rPr>
        <sz val="9"/>
        <rFont val="Arial"/>
        <family val="2"/>
      </rPr>
      <t>d=40</t>
    </r>
    <r>
      <rPr>
        <sz val="9"/>
        <rFont val="AcadNusx"/>
        <family val="0"/>
      </rPr>
      <t>mm)'                    26.11.2008 w</t>
    </r>
  </si>
  <si>
    <t xml:space="preserve"> axali momxmareblis wyalmomaragebis sistemaze mierTebis safasuri </t>
  </si>
  <si>
    <t>gegmiuri dagroveba araumetes 8%</t>
  </si>
  <si>
    <t>zednadebi xarjebi araumetes 12%</t>
  </si>
  <si>
    <t>sul dRg-s gareSe</t>
  </si>
  <si>
    <t>xarjTaRricxva #2-2</t>
  </si>
  <si>
    <r>
      <t>danarTiN</t>
    </r>
    <r>
      <rPr>
        <sz val="12"/>
        <rFont val="Sylfaen"/>
        <family val="1"/>
      </rPr>
      <t>N 2</t>
    </r>
  </si>
  <si>
    <t>qalaq foTSi nino Jvanias quCaze sportuli darbazis kap. SekeTeba</t>
  </si>
  <si>
    <t>შესყიდვის ობიექტის ღირებულება არ უნდა აღემატებოდეს 11378,00 ლარს, დღგ-ს გარეშე.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</si>
</sst>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"/>
    <numFmt numFmtId="194" formatCode="0.00000"/>
    <numFmt numFmtId="195" formatCode="0.0000"/>
    <numFmt numFmtId="196" formatCode="[$-409]dd\ mmmm\,\ yyyy"/>
    <numFmt numFmtId="197" formatCode="0.000000"/>
  </numFmts>
  <fonts count="56">
    <font>
      <sz val="10"/>
      <name val="Arial"/>
      <family val="0"/>
    </font>
    <font>
      <sz val="12"/>
      <name val="AcadNusx"/>
      <family val="0"/>
    </font>
    <font>
      <sz val="14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9"/>
      <name val="AcadNusx"/>
      <family val="0"/>
    </font>
    <font>
      <sz val="12"/>
      <name val="Arial"/>
      <family val="2"/>
    </font>
    <font>
      <sz val="12"/>
      <color indexed="10"/>
      <name val="AcadNusx"/>
      <family val="0"/>
    </font>
    <font>
      <sz val="9"/>
      <name val="Arial"/>
      <family val="2"/>
    </font>
    <font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cadNusx"/>
      <family val="0"/>
    </font>
    <font>
      <sz val="10"/>
      <color indexed="8"/>
      <name val="AcadNusx"/>
      <family val="0"/>
    </font>
    <font>
      <sz val="11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  <font>
      <sz val="10"/>
      <color theme="1"/>
      <name val="AcadNusx"/>
      <family val="0"/>
    </font>
    <font>
      <sz val="11"/>
      <color rgb="FFFF0000"/>
      <name val="AcadNusx"/>
      <family val="0"/>
    </font>
    <font>
      <sz val="12"/>
      <color rgb="FFFF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" fontId="1" fillId="0" borderId="11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59" applyFont="1">
      <alignment/>
      <protection/>
    </xf>
    <xf numFmtId="0" fontId="8" fillId="0" borderId="0" xfId="59" applyFont="1">
      <alignment/>
      <protection/>
    </xf>
    <xf numFmtId="0" fontId="3" fillId="0" borderId="0" xfId="59" applyFont="1">
      <alignment/>
      <protection/>
    </xf>
    <xf numFmtId="0" fontId="3" fillId="0" borderId="0" xfId="59" applyFont="1" applyAlignment="1">
      <alignment horizontal="left"/>
      <protection/>
    </xf>
    <xf numFmtId="192" fontId="9" fillId="0" borderId="0" xfId="59" applyNumberFormat="1" applyFont="1">
      <alignment/>
      <protection/>
    </xf>
    <xf numFmtId="0" fontId="3" fillId="0" borderId="13" xfId="59" applyFont="1" applyBorder="1">
      <alignment/>
      <protection/>
    </xf>
    <xf numFmtId="0" fontId="3" fillId="0" borderId="13" xfId="59" applyFont="1" applyBorder="1" applyAlignment="1">
      <alignment horizontal="left"/>
      <protection/>
    </xf>
    <xf numFmtId="0" fontId="3" fillId="0" borderId="0" xfId="59" applyFont="1" applyBorder="1">
      <alignment/>
      <protection/>
    </xf>
    <xf numFmtId="192" fontId="9" fillId="0" borderId="0" xfId="59" applyNumberFormat="1" applyFont="1" applyBorder="1">
      <alignment/>
      <protection/>
    </xf>
    <xf numFmtId="0" fontId="8" fillId="0" borderId="0" xfId="59" applyFont="1" applyBorder="1">
      <alignment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3" xfId="59" applyFont="1" applyBorder="1" applyAlignment="1">
      <alignment vertical="center" wrapText="1"/>
      <protection/>
    </xf>
    <xf numFmtId="0" fontId="8" fillId="0" borderId="10" xfId="59" applyFont="1" applyBorder="1" applyAlignment="1">
      <alignment vertical="center" wrapText="1"/>
      <protection/>
    </xf>
    <xf numFmtId="0" fontId="8" fillId="0" borderId="13" xfId="59" applyFont="1" applyBorder="1" applyAlignment="1">
      <alignment wrapText="1"/>
      <protection/>
    </xf>
    <xf numFmtId="0" fontId="8" fillId="0" borderId="14" xfId="59" applyFont="1" applyBorder="1" applyAlignment="1">
      <alignment vertical="center" wrapText="1"/>
      <protection/>
    </xf>
    <xf numFmtId="0" fontId="1" fillId="0" borderId="11" xfId="59" applyFont="1" applyBorder="1" applyAlignment="1">
      <alignment horizontal="center"/>
      <protection/>
    </xf>
    <xf numFmtId="0" fontId="1" fillId="0" borderId="15" xfId="59" applyFont="1" applyBorder="1" applyAlignment="1">
      <alignment horizontal="center"/>
      <protection/>
    </xf>
    <xf numFmtId="0" fontId="1" fillId="0" borderId="0" xfId="59" applyFont="1" applyBorder="1">
      <alignment/>
      <protection/>
    </xf>
    <xf numFmtId="0" fontId="3" fillId="0" borderId="11" xfId="59" applyFont="1" applyBorder="1" applyAlignment="1">
      <alignment horizontal="center"/>
      <protection/>
    </xf>
    <xf numFmtId="0" fontId="8" fillId="0" borderId="11" xfId="59" applyFont="1" applyBorder="1" applyAlignment="1">
      <alignment horizontal="center"/>
      <protection/>
    </xf>
    <xf numFmtId="0" fontId="3" fillId="0" borderId="11" xfId="59" applyFont="1" applyBorder="1" applyAlignment="1">
      <alignment horizontal="center" vertical="center"/>
      <protection/>
    </xf>
    <xf numFmtId="192" fontId="3" fillId="0" borderId="11" xfId="59" applyNumberFormat="1" applyFont="1" applyBorder="1" applyAlignment="1">
      <alignment horizontal="center"/>
      <protection/>
    </xf>
    <xf numFmtId="192" fontId="3" fillId="0" borderId="11" xfId="59" applyNumberFormat="1" applyFont="1" applyBorder="1">
      <alignment/>
      <protection/>
    </xf>
    <xf numFmtId="0" fontId="3" fillId="0" borderId="11" xfId="59" applyFont="1" applyBorder="1">
      <alignment/>
      <protection/>
    </xf>
    <xf numFmtId="192" fontId="3" fillId="33" borderId="11" xfId="59" applyNumberFormat="1" applyFont="1" applyFill="1" applyBorder="1" applyAlignment="1">
      <alignment horizontal="center"/>
      <protection/>
    </xf>
    <xf numFmtId="192" fontId="3" fillId="33" borderId="11" xfId="59" applyNumberFormat="1" applyFont="1" applyFill="1" applyBorder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" fillId="0" borderId="0" xfId="58" applyFont="1" applyAlignment="1">
      <alignment vertical="center"/>
      <protection/>
    </xf>
    <xf numFmtId="0" fontId="1" fillId="0" borderId="0" xfId="58" applyFont="1" applyAlignment="1">
      <alignment/>
      <protection/>
    </xf>
    <xf numFmtId="0" fontId="8" fillId="0" borderId="0" xfId="58" applyFont="1">
      <alignment/>
      <protection/>
    </xf>
    <xf numFmtId="193" fontId="1" fillId="0" borderId="0" xfId="59" applyNumberFormat="1" applyFont="1">
      <alignment/>
      <protection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/>
    </xf>
    <xf numFmtId="192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" fontId="4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/>
    </xf>
    <xf numFmtId="192" fontId="8" fillId="0" borderId="15" xfId="0" applyNumberFormat="1" applyFont="1" applyBorder="1" applyAlignment="1">
      <alignment horizontal="right"/>
    </xf>
    <xf numFmtId="0" fontId="8" fillId="0" borderId="15" xfId="0" applyFont="1" applyBorder="1" applyAlignment="1">
      <alignment horizontal="left"/>
    </xf>
    <xf numFmtId="2" fontId="8" fillId="0" borderId="12" xfId="0" applyNumberFormat="1" applyFont="1" applyBorder="1" applyAlignment="1">
      <alignment horizontal="left"/>
    </xf>
    <xf numFmtId="193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/>
    </xf>
    <xf numFmtId="0" fontId="1" fillId="0" borderId="18" xfId="0" applyFont="1" applyBorder="1" applyAlignment="1">
      <alignment/>
    </xf>
    <xf numFmtId="192" fontId="8" fillId="0" borderId="19" xfId="0" applyNumberFormat="1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195" fontId="8" fillId="0" borderId="19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192" fontId="1" fillId="0" borderId="20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/>
    </xf>
    <xf numFmtId="192" fontId="8" fillId="0" borderId="22" xfId="0" applyNumberFormat="1" applyFont="1" applyBorder="1" applyAlignment="1">
      <alignment horizontal="right"/>
    </xf>
    <xf numFmtId="0" fontId="8" fillId="0" borderId="22" xfId="0" applyFont="1" applyBorder="1" applyAlignment="1">
      <alignment horizontal="left"/>
    </xf>
    <xf numFmtId="2" fontId="8" fillId="0" borderId="22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vertical="center"/>
    </xf>
    <xf numFmtId="2" fontId="1" fillId="0" borderId="16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left"/>
    </xf>
    <xf numFmtId="195" fontId="8" fillId="0" borderId="15" xfId="0" applyNumberFormat="1" applyFont="1" applyBorder="1" applyAlignment="1">
      <alignment horizontal="right"/>
    </xf>
    <xf numFmtId="193" fontId="8" fillId="0" borderId="12" xfId="0" applyNumberFormat="1" applyFont="1" applyBorder="1" applyAlignment="1">
      <alignment horizontal="left"/>
    </xf>
    <xf numFmtId="193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vertical="center"/>
    </xf>
    <xf numFmtId="195" fontId="8" fillId="0" borderId="19" xfId="0" applyNumberFormat="1" applyFont="1" applyBorder="1" applyAlignment="1">
      <alignment horizontal="right"/>
    </xf>
    <xf numFmtId="193" fontId="1" fillId="0" borderId="20" xfId="0" applyNumberFormat="1" applyFont="1" applyBorder="1" applyAlignment="1">
      <alignment horizontal="center" vertical="center"/>
    </xf>
    <xf numFmtId="195" fontId="8" fillId="0" borderId="22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/>
    </xf>
    <xf numFmtId="193" fontId="1" fillId="0" borderId="16" xfId="0" applyNumberFormat="1" applyFont="1" applyBorder="1" applyAlignment="1">
      <alignment horizontal="center" vertical="center"/>
    </xf>
    <xf numFmtId="193" fontId="8" fillId="0" borderId="15" xfId="0" applyNumberFormat="1" applyFont="1" applyBorder="1" applyAlignment="1">
      <alignment horizontal="right"/>
    </xf>
    <xf numFmtId="192" fontId="8" fillId="0" borderId="12" xfId="0" applyNumberFormat="1" applyFont="1" applyBorder="1" applyAlignment="1">
      <alignment horizontal="left"/>
    </xf>
    <xf numFmtId="195" fontId="8" fillId="0" borderId="12" xfId="0" applyNumberFormat="1" applyFont="1" applyBorder="1" applyAlignment="1">
      <alignment horizontal="left"/>
    </xf>
    <xf numFmtId="193" fontId="8" fillId="0" borderId="22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/>
    </xf>
    <xf numFmtId="2" fontId="1" fillId="0" borderId="20" xfId="0" applyNumberFormat="1" applyFont="1" applyBorder="1" applyAlignment="1">
      <alignment vertical="center"/>
    </xf>
    <xf numFmtId="2" fontId="8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193" fontId="8" fillId="0" borderId="15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195" fontId="8" fillId="0" borderId="12" xfId="0" applyNumberFormat="1" applyFont="1" applyBorder="1" applyAlignment="1">
      <alignment horizontal="left" vertical="center"/>
    </xf>
    <xf numFmtId="2" fontId="8" fillId="0" borderId="22" xfId="0" applyNumberFormat="1" applyFont="1" applyBorder="1" applyAlignment="1">
      <alignment horizontal="right"/>
    </xf>
    <xf numFmtId="192" fontId="8" fillId="0" borderId="24" xfId="0" applyNumberFormat="1" applyFont="1" applyBorder="1" applyAlignment="1">
      <alignment horizontal="left"/>
    </xf>
    <xf numFmtId="192" fontId="8" fillId="0" borderId="19" xfId="0" applyNumberFormat="1" applyFont="1" applyBorder="1" applyAlignment="1">
      <alignment horizontal="left"/>
    </xf>
    <xf numFmtId="195" fontId="8" fillId="0" borderId="22" xfId="0" applyNumberFormat="1" applyFont="1" applyBorder="1" applyAlignment="1">
      <alignment horizontal="left"/>
    </xf>
    <xf numFmtId="193" fontId="8" fillId="0" borderId="19" xfId="0" applyNumberFormat="1" applyFont="1" applyBorder="1" applyAlignment="1">
      <alignment horizontal="right"/>
    </xf>
    <xf numFmtId="193" fontId="8" fillId="0" borderId="2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left" vertical="center"/>
    </xf>
    <xf numFmtId="192" fontId="8" fillId="0" borderId="22" xfId="0" applyNumberFormat="1" applyFont="1" applyBorder="1" applyAlignment="1">
      <alignment horizontal="left"/>
    </xf>
    <xf numFmtId="0" fontId="1" fillId="0" borderId="25" xfId="0" applyFont="1" applyBorder="1" applyAlignment="1">
      <alignment vertical="center"/>
    </xf>
    <xf numFmtId="1" fontId="4" fillId="0" borderId="25" xfId="0" applyNumberFormat="1" applyFont="1" applyBorder="1" applyAlignment="1">
      <alignment vertical="center"/>
    </xf>
    <xf numFmtId="0" fontId="1" fillId="0" borderId="18" xfId="0" applyFont="1" applyBorder="1" applyAlignment="1">
      <alignment wrapText="1"/>
    </xf>
    <xf numFmtId="2" fontId="8" fillId="0" borderId="19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left" vertical="center"/>
    </xf>
    <xf numFmtId="195" fontId="8" fillId="0" borderId="19" xfId="0" applyNumberFormat="1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9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92" fontId="8" fillId="0" borderId="0" xfId="0" applyNumberFormat="1" applyFont="1" applyBorder="1" applyAlignment="1">
      <alignment/>
    </xf>
    <xf numFmtId="192" fontId="1" fillId="0" borderId="0" xfId="0" applyNumberFormat="1" applyFont="1" applyAlignment="1">
      <alignment/>
    </xf>
    <xf numFmtId="0" fontId="1" fillId="0" borderId="16" xfId="0" applyFont="1" applyBorder="1" applyAlignment="1">
      <alignment vertical="center"/>
    </xf>
    <xf numFmtId="0" fontId="1" fillId="0" borderId="29" xfId="0" applyFont="1" applyBorder="1" applyAlignment="1">
      <alignment/>
    </xf>
    <xf numFmtId="193" fontId="8" fillId="0" borderId="30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/>
    </xf>
    <xf numFmtId="192" fontId="8" fillId="0" borderId="31" xfId="0" applyNumberFormat="1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193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0" borderId="32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8" xfId="0" applyFont="1" applyBorder="1" applyAlignment="1">
      <alignment horizontal="left" vertical="center" wrapText="1"/>
    </xf>
    <xf numFmtId="193" fontId="1" fillId="0" borderId="25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8" xfId="0" applyFont="1" applyBorder="1" applyAlignment="1">
      <alignment/>
    </xf>
    <xf numFmtId="193" fontId="53" fillId="0" borderId="19" xfId="0" applyNumberFormat="1" applyFont="1" applyBorder="1" applyAlignment="1">
      <alignment horizontal="right"/>
    </xf>
    <xf numFmtId="0" fontId="53" fillId="0" borderId="19" xfId="0" applyFont="1" applyBorder="1" applyAlignment="1">
      <alignment horizontal="left"/>
    </xf>
    <xf numFmtId="193" fontId="53" fillId="0" borderId="19" xfId="0" applyNumberFormat="1" applyFont="1" applyBorder="1" applyAlignment="1">
      <alignment horizontal="left"/>
    </xf>
    <xf numFmtId="2" fontId="52" fillId="0" borderId="20" xfId="0" applyNumberFormat="1" applyFont="1" applyBorder="1" applyAlignment="1">
      <alignment horizontal="center" vertical="center"/>
    </xf>
    <xf numFmtId="1" fontId="52" fillId="0" borderId="20" xfId="0" applyNumberFormat="1" applyFont="1" applyBorder="1" applyAlignment="1">
      <alignment vertical="center"/>
    </xf>
    <xf numFmtId="1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/>
    </xf>
    <xf numFmtId="0" fontId="8" fillId="0" borderId="30" xfId="0" applyFont="1" applyBorder="1" applyAlignment="1">
      <alignment/>
    </xf>
    <xf numFmtId="1" fontId="8" fillId="0" borderId="12" xfId="0" applyNumberFormat="1" applyFont="1" applyBorder="1" applyAlignment="1">
      <alignment horizontal="left"/>
    </xf>
    <xf numFmtId="0" fontId="54" fillId="0" borderId="0" xfId="0" applyFont="1" applyAlignment="1">
      <alignment horizontal="left" indent="6"/>
    </xf>
    <xf numFmtId="1" fontId="8" fillId="0" borderId="22" xfId="0" applyNumberFormat="1" applyFont="1" applyBorder="1" applyAlignment="1">
      <alignment horizontal="right"/>
    </xf>
    <xf numFmtId="1" fontId="8" fillId="0" borderId="24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center" vertical="center"/>
    </xf>
    <xf numFmtId="193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0" fontId="1" fillId="0" borderId="15" xfId="0" applyFont="1" applyBorder="1" applyAlignment="1">
      <alignment vertical="center" wrapText="1"/>
    </xf>
    <xf numFmtId="192" fontId="1" fillId="0" borderId="12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/>
    </xf>
    <xf numFmtId="193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192" fontId="1" fillId="0" borderId="2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/>
    </xf>
    <xf numFmtId="192" fontId="8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4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93" fontId="1" fillId="0" borderId="24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193" fontId="1" fillId="0" borderId="2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1" fontId="1" fillId="0" borderId="23" xfId="0" applyNumberFormat="1" applyFont="1" applyBorder="1" applyAlignment="1">
      <alignment horizontal="right" vertical="top" wrapText="1"/>
    </xf>
    <xf numFmtId="192" fontId="1" fillId="0" borderId="24" xfId="0" applyNumberFormat="1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192" fontId="1" fillId="0" borderId="31" xfId="0" applyNumberFormat="1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193" fontId="1" fillId="0" borderId="32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1" fontId="1" fillId="0" borderId="32" xfId="0" applyNumberFormat="1" applyFont="1" applyBorder="1" applyAlignment="1">
      <alignment horizontal="right" vertical="top" wrapText="1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31" xfId="0" applyNumberFormat="1" applyFont="1" applyBorder="1" applyAlignment="1">
      <alignment vertical="center"/>
    </xf>
    <xf numFmtId="0" fontId="1" fillId="0" borderId="25" xfId="0" applyFont="1" applyBorder="1" applyAlignment="1">
      <alignment horizontal="left" vertical="center" wrapText="1"/>
    </xf>
    <xf numFmtId="1" fontId="4" fillId="0" borderId="25" xfId="0" applyNumberFormat="1" applyFont="1" applyBorder="1" applyAlignment="1">
      <alignment horizontal="right" vertical="center" wrapText="1"/>
    </xf>
    <xf numFmtId="1" fontId="0" fillId="0" borderId="0" xfId="0" applyNumberFormat="1" applyFont="1" applyAlignment="1">
      <alignment/>
    </xf>
    <xf numFmtId="0" fontId="8" fillId="0" borderId="25" xfId="0" applyFont="1" applyBorder="1" applyAlignment="1">
      <alignment/>
    </xf>
    <xf numFmtId="0" fontId="8" fillId="0" borderId="28" xfId="0" applyFont="1" applyBorder="1" applyAlignment="1">
      <alignment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vertical="center"/>
    </xf>
    <xf numFmtId="192" fontId="1" fillId="0" borderId="11" xfId="0" applyNumberFormat="1" applyFont="1" applyBorder="1" applyAlignment="1">
      <alignment horizontal="center"/>
    </xf>
    <xf numFmtId="192" fontId="1" fillId="0" borderId="11" xfId="0" applyNumberFormat="1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/>
    </xf>
    <xf numFmtId="192" fontId="4" fillId="0" borderId="11" xfId="0" applyNumberFormat="1" applyFont="1" applyBorder="1" applyAlignment="1">
      <alignment horizontal="center" vertical="center" wrapText="1"/>
    </xf>
    <xf numFmtId="192" fontId="1" fillId="0" borderId="0" xfId="0" applyNumberFormat="1" applyFont="1" applyBorder="1" applyAlignment="1">
      <alignment horizontal="left"/>
    </xf>
    <xf numFmtId="49" fontId="10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left"/>
    </xf>
    <xf numFmtId="195" fontId="8" fillId="0" borderId="11" xfId="0" applyNumberFormat="1" applyFont="1" applyBorder="1" applyAlignment="1">
      <alignment horizontal="left"/>
    </xf>
    <xf numFmtId="193" fontId="8" fillId="0" borderId="11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193" fontId="8" fillId="0" borderId="11" xfId="0" applyNumberFormat="1" applyFont="1" applyBorder="1" applyAlignment="1">
      <alignment/>
    </xf>
    <xf numFmtId="193" fontId="8" fillId="0" borderId="11" xfId="0" applyNumberFormat="1" applyFont="1" applyBorder="1" applyAlignment="1">
      <alignment horizontal="left"/>
    </xf>
    <xf numFmtId="192" fontId="8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1" fontId="1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left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/>
    </xf>
    <xf numFmtId="193" fontId="53" fillId="0" borderId="11" xfId="0" applyNumberFormat="1" applyFont="1" applyBorder="1" applyAlignment="1">
      <alignment horizontal="right"/>
    </xf>
    <xf numFmtId="0" fontId="53" fillId="0" borderId="11" xfId="0" applyFont="1" applyBorder="1" applyAlignment="1">
      <alignment horizontal="left"/>
    </xf>
    <xf numFmtId="193" fontId="53" fillId="0" borderId="11" xfId="0" applyNumberFormat="1" applyFont="1" applyBorder="1" applyAlignment="1">
      <alignment horizontal="left"/>
    </xf>
    <xf numFmtId="2" fontId="52" fillId="0" borderId="11" xfId="0" applyNumberFormat="1" applyFont="1" applyBorder="1" applyAlignment="1">
      <alignment horizontal="center" vertical="center"/>
    </xf>
    <xf numFmtId="2" fontId="52" fillId="0" borderId="11" xfId="0" applyNumberFormat="1" applyFont="1" applyBorder="1" applyAlignment="1">
      <alignment vertical="center"/>
    </xf>
    <xf numFmtId="193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192" fontId="1" fillId="0" borderId="11" xfId="0" applyNumberFormat="1" applyFont="1" applyBorder="1" applyAlignment="1">
      <alignment horizontal="left" vertical="center" wrapText="1"/>
    </xf>
    <xf numFmtId="193" fontId="1" fillId="0" borderId="11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1" fillId="0" borderId="20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10" fillId="0" borderId="20" xfId="59" applyFont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8" fillId="0" borderId="2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7" xfId="59" applyFont="1" applyBorder="1" applyAlignment="1">
      <alignment horizontal="center"/>
      <protection/>
    </xf>
    <xf numFmtId="0" fontId="8" fillId="0" borderId="15" xfId="59" applyFont="1" applyBorder="1" applyAlignment="1">
      <alignment horizontal="center"/>
      <protection/>
    </xf>
    <xf numFmtId="0" fontId="8" fillId="0" borderId="12" xfId="59" applyFont="1" applyBorder="1" applyAlignment="1">
      <alignment horizontal="center"/>
      <protection/>
    </xf>
    <xf numFmtId="0" fontId="8" fillId="0" borderId="20" xfId="59" applyFont="1" applyBorder="1" applyAlignment="1">
      <alignment horizontal="center" wrapText="1"/>
      <protection/>
    </xf>
    <xf numFmtId="0" fontId="8" fillId="0" borderId="10" xfId="59" applyFont="1" applyBorder="1" applyAlignment="1">
      <alignment horizontal="center" wrapText="1"/>
      <protection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7" fontId="1" fillId="0" borderId="33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14" fontId="1" fillId="0" borderId="3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55" fillId="0" borderId="0" xfId="0" applyFont="1" applyAlignment="1">
      <alignment horizontal="center"/>
    </xf>
    <xf numFmtId="16" fontId="1" fillId="0" borderId="33" xfId="0" applyNumberFormat="1" applyFont="1" applyBorder="1" applyAlignment="1">
      <alignment horizontal="center" vertical="center" wrapText="1"/>
    </xf>
    <xf numFmtId="16" fontId="1" fillId="0" borderId="37" xfId="0" applyNumberFormat="1" applyFont="1" applyBorder="1" applyAlignment="1">
      <alignment horizontal="center" vertical="center" wrapText="1"/>
    </xf>
    <xf numFmtId="16" fontId="1" fillId="0" borderId="32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40" xfId="0" applyFont="1" applyBorder="1" applyAlignment="1">
      <alignment horizontal="left"/>
    </xf>
    <xf numFmtId="1" fontId="1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6 2" xfId="58"/>
    <cellStyle name="Normal 3" xfId="59"/>
    <cellStyle name="Normal 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muka\2017%20WELI\maltayvis%20sanapiro\maltayvis%20sanapiro%20zoli\XARJTAGRICXVA\&#4324;&#4317;&#4311;&#4312;%20&#4334;&#4304;&#4320;&#4335;&#4311;&#4304;&#4326;&#4320;&#4312;&#4330;&#4334;&#4309;&#4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FURCELI"/>
      <sheetName val="G.B."/>
      <sheetName val="NAKREBI"/>
      <sheetName val="x.2.1"/>
      <sheetName val="x.2.2"/>
      <sheetName val="OB#2-3"/>
      <sheetName val="x2-3-1"/>
      <sheetName val="x.2-3-2"/>
      <sheetName val="x.2-3-3"/>
      <sheetName val="x.2-3-4"/>
      <sheetName val="x.2.3.5"/>
      <sheetName val="x.2.4"/>
      <sheetName val="x.2,5"/>
      <sheetName val="x.2.6"/>
      <sheetName val="x.2,7"/>
      <sheetName val="OB#2-8"/>
      <sheetName val="x2-8-1"/>
      <sheetName val="x.2-8-2"/>
      <sheetName val="x.2-8-3"/>
      <sheetName val="x.2-8-4"/>
      <sheetName val="x2-9"/>
      <sheetName val="O2.10"/>
      <sheetName val="x.2-10-1"/>
      <sheetName val="x.2-10-2"/>
      <sheetName val="x.2-10-3"/>
      <sheetName val="x.2-10-4"/>
      <sheetName val="O2-11"/>
      <sheetName val="2-11-1 "/>
      <sheetName val="x.2-11-2"/>
      <sheetName val="x.#2-12"/>
      <sheetName val="x2-13"/>
      <sheetName val="O2-14"/>
      <sheetName val="x2-14-1"/>
      <sheetName val="x.2-14-2"/>
      <sheetName val="x2-15"/>
      <sheetName val="x.2.16"/>
      <sheetName val="x.6.1"/>
      <sheetName val="x.6.2"/>
      <sheetName val="x.6-3"/>
      <sheetName val="x.6-4"/>
      <sheetName val="x.6-5"/>
      <sheetName val="x.6-6"/>
      <sheetName val="x.7.1"/>
    </sheetNames>
    <sheetDataSet>
      <sheetData sheetId="7">
        <row r="13">
          <cell r="L13">
            <v>1428.336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9">
      <selection activeCell="D55" sqref="D55"/>
    </sheetView>
  </sheetViews>
  <sheetFormatPr defaultColWidth="9.140625" defaultRowHeight="12.75"/>
  <cols>
    <col min="1" max="1" width="3.8515625" style="0" customWidth="1"/>
    <col min="2" max="2" width="19.57421875" style="0" customWidth="1"/>
    <col min="3" max="3" width="36.421875" style="0" customWidth="1"/>
    <col min="4" max="4" width="9.28125" style="0" customWidth="1"/>
    <col min="5" max="5" width="19.7109375" style="0" customWidth="1"/>
    <col min="6" max="6" width="12.140625" style="0" customWidth="1"/>
    <col min="7" max="7" width="12.28125" style="0" customWidth="1"/>
    <col min="8" max="8" width="10.421875" style="0" customWidth="1"/>
    <col min="9" max="9" width="11.8515625" style="0" customWidth="1"/>
    <col min="10" max="10" width="11.7109375" style="0" customWidth="1"/>
    <col min="11" max="11" width="10.00390625" style="0" customWidth="1"/>
  </cols>
  <sheetData>
    <row r="1" spans="1:10" ht="16.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6.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customHeight="1">
      <c r="A3" s="312" t="s">
        <v>17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ht="15.75" customHeight="1">
      <c r="A4" s="312" t="s">
        <v>18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5.7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</row>
    <row r="6" spans="1:10" ht="16.5">
      <c r="A6" s="331" t="s">
        <v>13</v>
      </c>
      <c r="B6" s="331"/>
      <c r="C6" s="331"/>
      <c r="D6" s="331"/>
      <c r="E6" s="331"/>
      <c r="F6" s="331"/>
      <c r="G6" s="331"/>
      <c r="H6" s="331"/>
      <c r="I6" s="331"/>
      <c r="J6" s="331"/>
    </row>
    <row r="7" spans="1:10" ht="21">
      <c r="A7" s="8"/>
      <c r="B7" s="8"/>
      <c r="C7" s="8"/>
      <c r="D7" s="8"/>
      <c r="E7" s="8"/>
      <c r="F7" s="8"/>
      <c r="G7" s="8"/>
      <c r="H7" s="8"/>
      <c r="I7" s="8"/>
      <c r="J7" s="8"/>
    </row>
    <row r="8" spans="1:5" ht="16.5">
      <c r="A8" s="332" t="s">
        <v>16</v>
      </c>
      <c r="B8" s="332"/>
      <c r="C8" s="332"/>
      <c r="D8" s="258" t="e">
        <f>J21</f>
        <v>#REF!</v>
      </c>
      <c r="E8" s="11" t="s">
        <v>412</v>
      </c>
    </row>
    <row r="9" spans="1:10" ht="23.25" customHeight="1">
      <c r="A9" s="295" t="s">
        <v>0</v>
      </c>
      <c r="B9" s="295" t="s">
        <v>9</v>
      </c>
      <c r="C9" s="316" t="s">
        <v>1</v>
      </c>
      <c r="D9" s="317"/>
      <c r="E9" s="318"/>
      <c r="F9" s="313" t="s">
        <v>2</v>
      </c>
      <c r="G9" s="314"/>
      <c r="H9" s="314"/>
      <c r="I9" s="315"/>
      <c r="J9" s="336" t="s">
        <v>12</v>
      </c>
    </row>
    <row r="10" spans="1:10" ht="62.25" customHeight="1">
      <c r="A10" s="296"/>
      <c r="B10" s="296"/>
      <c r="C10" s="319"/>
      <c r="D10" s="320"/>
      <c r="E10" s="321"/>
      <c r="F10" s="5" t="s">
        <v>10</v>
      </c>
      <c r="G10" s="5" t="s">
        <v>11</v>
      </c>
      <c r="H10" s="5" t="s">
        <v>3</v>
      </c>
      <c r="I10" s="5" t="s">
        <v>4</v>
      </c>
      <c r="J10" s="337"/>
    </row>
    <row r="11" spans="1:10" ht="16.5">
      <c r="A11" s="6">
        <v>1</v>
      </c>
      <c r="B11" s="6">
        <v>2</v>
      </c>
      <c r="C11" s="309">
        <v>3</v>
      </c>
      <c r="D11" s="310"/>
      <c r="E11" s="311"/>
      <c r="F11" s="6">
        <v>4</v>
      </c>
      <c r="G11" s="6">
        <v>5</v>
      </c>
      <c r="H11" s="6">
        <v>6</v>
      </c>
      <c r="I11" s="6">
        <v>7</v>
      </c>
      <c r="J11" s="6">
        <v>8</v>
      </c>
    </row>
    <row r="12" spans="1:10" ht="37.5" customHeight="1">
      <c r="A12" s="4"/>
      <c r="B12" s="4"/>
      <c r="C12" s="328" t="s">
        <v>19</v>
      </c>
      <c r="D12" s="329"/>
      <c r="E12" s="330"/>
      <c r="F12" s="4"/>
      <c r="G12" s="4"/>
      <c r="H12" s="4"/>
      <c r="I12" s="4"/>
      <c r="J12" s="4"/>
    </row>
    <row r="13" spans="1:10" ht="105.75" customHeight="1">
      <c r="A13" s="4"/>
      <c r="B13" s="259" t="s">
        <v>414</v>
      </c>
      <c r="C13" s="322" t="s">
        <v>415</v>
      </c>
      <c r="D13" s="323"/>
      <c r="E13" s="324"/>
      <c r="F13" s="4"/>
      <c r="G13" s="4"/>
      <c r="H13" s="4"/>
      <c r="I13" s="223">
        <v>2.712</v>
      </c>
      <c r="J13" s="223">
        <f>I13</f>
        <v>2.712</v>
      </c>
    </row>
    <row r="14" spans="1:10" ht="42.75" customHeight="1">
      <c r="A14" s="4"/>
      <c r="B14" s="259"/>
      <c r="C14" s="333" t="s">
        <v>6</v>
      </c>
      <c r="D14" s="334"/>
      <c r="E14" s="335"/>
      <c r="F14" s="4"/>
      <c r="G14" s="4"/>
      <c r="H14" s="4"/>
      <c r="I14" s="223">
        <v>2.712</v>
      </c>
      <c r="J14" s="223">
        <f>I14</f>
        <v>2.712</v>
      </c>
    </row>
    <row r="15" spans="1:10" ht="49.5">
      <c r="A15" s="4">
        <v>1</v>
      </c>
      <c r="B15" s="6" t="s">
        <v>409</v>
      </c>
      <c r="C15" s="306" t="s">
        <v>19</v>
      </c>
      <c r="D15" s="307"/>
      <c r="E15" s="308"/>
      <c r="F15" s="255">
        <f>'საობიექტო2-1'!D17</f>
        <v>210.96277144120697</v>
      </c>
      <c r="G15" s="255">
        <f>'საობიექტო2-1'!E17</f>
        <v>10.84930605</v>
      </c>
      <c r="H15" s="255">
        <f>'საობიექტო2-1'!F17</f>
        <v>3.7</v>
      </c>
      <c r="I15" s="15"/>
      <c r="J15" s="255">
        <f>H15+G15+F15</f>
        <v>225.51207749120698</v>
      </c>
    </row>
    <row r="16" spans="1:10" ht="49.5">
      <c r="A16" s="4">
        <v>2</v>
      </c>
      <c r="B16" s="6" t="s">
        <v>410</v>
      </c>
      <c r="C16" s="306" t="s">
        <v>411</v>
      </c>
      <c r="D16" s="307"/>
      <c r="E16" s="308"/>
      <c r="F16" s="255" t="e">
        <f>#REF!</f>
        <v>#REF!</v>
      </c>
      <c r="G16" s="255" t="e">
        <f>#REF!</f>
        <v>#REF!</v>
      </c>
      <c r="H16" s="15"/>
      <c r="I16" s="15"/>
      <c r="J16" s="255" t="e">
        <f>G16+F16</f>
        <v>#REF!</v>
      </c>
    </row>
    <row r="17" spans="1:17" s="3" customFormat="1" ht="18.75" customHeight="1">
      <c r="A17" s="7"/>
      <c r="B17" s="7"/>
      <c r="C17" s="325" t="s">
        <v>6</v>
      </c>
      <c r="D17" s="326"/>
      <c r="E17" s="327"/>
      <c r="F17" s="256" t="e">
        <f>F16+F15</f>
        <v>#REF!</v>
      </c>
      <c r="G17" s="256" t="e">
        <f>G16+G15</f>
        <v>#REF!</v>
      </c>
      <c r="H17" s="256">
        <f>H15</f>
        <v>3.7</v>
      </c>
      <c r="I17" s="10">
        <f>I14</f>
        <v>2.712</v>
      </c>
      <c r="J17" s="256" t="e">
        <f>SUM(J14:J16)</f>
        <v>#REF!</v>
      </c>
      <c r="Q17" s="14"/>
    </row>
    <row r="18" spans="1:10" ht="16.5">
      <c r="A18" s="6">
        <v>3</v>
      </c>
      <c r="B18" s="6"/>
      <c r="C18" s="300" t="s">
        <v>413</v>
      </c>
      <c r="D18" s="301"/>
      <c r="E18" s="302"/>
      <c r="F18" s="255"/>
      <c r="G18" s="256"/>
      <c r="H18" s="10"/>
      <c r="I18" s="255" t="e">
        <f>J17*0.05</f>
        <v>#REF!</v>
      </c>
      <c r="J18" s="255" t="e">
        <f>J17*0.05</f>
        <v>#REF!</v>
      </c>
    </row>
    <row r="19" spans="1:10" ht="16.5">
      <c r="A19" s="6"/>
      <c r="B19" s="6"/>
      <c r="C19" s="300" t="s">
        <v>6</v>
      </c>
      <c r="D19" s="301"/>
      <c r="E19" s="302"/>
      <c r="F19" s="255" t="e">
        <f>F18+F17</f>
        <v>#REF!</v>
      </c>
      <c r="G19" s="256" t="e">
        <f>G18+G17</f>
        <v>#REF!</v>
      </c>
      <c r="H19" s="256">
        <f>H18+H17</f>
        <v>3.7</v>
      </c>
      <c r="I19" s="255" t="e">
        <f>SUM(I17:I18)</f>
        <v>#REF!</v>
      </c>
      <c r="J19" s="255" t="e">
        <f>J18+J17</f>
        <v>#REF!</v>
      </c>
    </row>
    <row r="20" spans="1:10" s="3" customFormat="1" ht="16.5">
      <c r="A20" s="7"/>
      <c r="B20" s="7"/>
      <c r="C20" s="303" t="s">
        <v>14</v>
      </c>
      <c r="D20" s="304"/>
      <c r="E20" s="305"/>
      <c r="F20" s="10"/>
      <c r="G20" s="12"/>
      <c r="H20" s="10"/>
      <c r="I20" s="256" t="e">
        <f>J19*0.18</f>
        <v>#REF!</v>
      </c>
      <c r="J20" s="256" t="e">
        <f>J19*0.18</f>
        <v>#REF!</v>
      </c>
    </row>
    <row r="21" spans="1:12" ht="16.5">
      <c r="A21" s="6"/>
      <c r="B21" s="6"/>
      <c r="C21" s="297" t="s">
        <v>7</v>
      </c>
      <c r="D21" s="298"/>
      <c r="E21" s="299"/>
      <c r="F21" s="255" t="e">
        <f>F19</f>
        <v>#REF!</v>
      </c>
      <c r="G21" s="256" t="e">
        <f>G19</f>
        <v>#REF!</v>
      </c>
      <c r="H21" s="256">
        <f>H19</f>
        <v>3.7</v>
      </c>
      <c r="I21" s="255" t="e">
        <f>I20+I19</f>
        <v>#REF!</v>
      </c>
      <c r="J21" s="257" t="e">
        <f>J20+J19</f>
        <v>#REF!</v>
      </c>
      <c r="L21" s="13"/>
    </row>
    <row r="22" ht="16.5">
      <c r="A22" s="2"/>
    </row>
    <row r="23" spans="1:9" ht="16.5">
      <c r="A23" s="2"/>
      <c r="I23" s="13"/>
    </row>
    <row r="24" spans="1:2" ht="16.5">
      <c r="A24" s="2"/>
      <c r="B24" s="1" t="s">
        <v>8</v>
      </c>
    </row>
    <row r="25" ht="16.5">
      <c r="A25" s="2"/>
    </row>
    <row r="26" ht="16.5">
      <c r="A26" s="2"/>
    </row>
    <row r="27" ht="16.5">
      <c r="A27" s="2"/>
    </row>
  </sheetData>
  <sheetProtection/>
  <mergeCells count="21">
    <mergeCell ref="A6:J6"/>
    <mergeCell ref="A8:C8"/>
    <mergeCell ref="C14:E14"/>
    <mergeCell ref="J9:J10"/>
    <mergeCell ref="B9:B10"/>
    <mergeCell ref="A3:J3"/>
    <mergeCell ref="A4:J4"/>
    <mergeCell ref="F9:I9"/>
    <mergeCell ref="C9:E10"/>
    <mergeCell ref="A5:J5"/>
    <mergeCell ref="C18:E18"/>
    <mergeCell ref="C13:E13"/>
    <mergeCell ref="C17:E17"/>
    <mergeCell ref="C12:E12"/>
    <mergeCell ref="C16:E16"/>
    <mergeCell ref="A9:A10"/>
    <mergeCell ref="C21:E21"/>
    <mergeCell ref="C19:E19"/>
    <mergeCell ref="C20:E20"/>
    <mergeCell ref="C15:E15"/>
    <mergeCell ref="C11:E11"/>
  </mergeCells>
  <printOptions/>
  <pageMargins left="0.7480314960629921" right="0.2362204724409449" top="0.7874015748031497" bottom="0.984251968503937" header="0.2362204724409449" footer="0.2362204724409449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970"/>
  <sheetViews>
    <sheetView zoomScalePageLayoutView="0" workbookViewId="0" topLeftCell="A19">
      <selection activeCell="O15" sqref="O15"/>
    </sheetView>
  </sheetViews>
  <sheetFormatPr defaultColWidth="9.140625" defaultRowHeight="12.75"/>
  <cols>
    <col min="1" max="1" width="5.140625" style="17" customWidth="1"/>
    <col min="2" max="2" width="13.28125" style="17" customWidth="1"/>
    <col min="3" max="3" width="38.7109375" style="17" customWidth="1"/>
    <col min="4" max="4" width="13.00390625" style="17" customWidth="1"/>
    <col min="5" max="5" width="11.00390625" style="17" customWidth="1"/>
    <col min="6" max="6" width="9.8515625" style="17" customWidth="1"/>
    <col min="7" max="7" width="8.140625" style="17" customWidth="1"/>
    <col min="8" max="8" width="11.7109375" style="17" customWidth="1"/>
    <col min="9" max="9" width="10.28125" style="17" customWidth="1"/>
    <col min="10" max="10" width="11.140625" style="17" customWidth="1"/>
    <col min="11" max="11" width="9.140625" style="17" customWidth="1"/>
    <col min="12" max="12" width="8.421875" style="17" customWidth="1"/>
    <col min="13" max="16384" width="9.140625" style="17" customWidth="1"/>
  </cols>
  <sheetData>
    <row r="1" ht="12.75" customHeight="1"/>
    <row r="2" ht="2.25" customHeight="1"/>
    <row r="3" ht="6" customHeight="1" hidden="1"/>
    <row r="4" spans="1:10" ht="18" customHeight="1">
      <c r="A4" s="339" t="s">
        <v>43</v>
      </c>
      <c r="B4" s="339"/>
      <c r="C4" s="339"/>
      <c r="D4" s="339"/>
      <c r="E4" s="339"/>
      <c r="F4" s="339"/>
      <c r="G4" s="339"/>
      <c r="H4" s="339"/>
      <c r="I4" s="339"/>
      <c r="J4" s="339"/>
    </row>
    <row r="5" spans="1:10" ht="15" customHeight="1">
      <c r="A5" s="338" t="s">
        <v>19</v>
      </c>
      <c r="B5" s="338"/>
      <c r="C5" s="338"/>
      <c r="D5" s="338"/>
      <c r="E5" s="338"/>
      <c r="F5" s="338"/>
      <c r="G5" s="338"/>
      <c r="H5" s="338"/>
      <c r="I5" s="338"/>
      <c r="J5" s="338"/>
    </row>
    <row r="6" ht="16.5">
      <c r="C6" s="18" t="s">
        <v>24</v>
      </c>
    </row>
    <row r="7" ht="9.75" customHeight="1"/>
    <row r="8" spans="4:9" s="19" customFormat="1" ht="14.25" customHeight="1">
      <c r="D8" s="20" t="s">
        <v>25</v>
      </c>
      <c r="H8" s="21">
        <f>H17</f>
        <v>225.51207749120695</v>
      </c>
      <c r="I8" s="19" t="s">
        <v>26</v>
      </c>
    </row>
    <row r="9" spans="1:9" s="24" customFormat="1" ht="14.25" customHeight="1">
      <c r="A9" s="19" t="s">
        <v>38</v>
      </c>
      <c r="B9" s="22"/>
      <c r="C9" s="22"/>
      <c r="D9" s="23" t="s">
        <v>27</v>
      </c>
      <c r="F9" s="22"/>
      <c r="G9" s="22"/>
      <c r="H9" s="25">
        <f>I17</f>
        <v>47.148237028000004</v>
      </c>
      <c r="I9" s="19" t="s">
        <v>26</v>
      </c>
    </row>
    <row r="10" spans="1:12" ht="12.75" customHeight="1">
      <c r="A10" s="340" t="s">
        <v>0</v>
      </c>
      <c r="B10" s="342" t="s">
        <v>28</v>
      </c>
      <c r="C10" s="344" t="s">
        <v>29</v>
      </c>
      <c r="D10" s="346" t="s">
        <v>30</v>
      </c>
      <c r="E10" s="347"/>
      <c r="F10" s="347"/>
      <c r="G10" s="347"/>
      <c r="H10" s="348"/>
      <c r="I10" s="344" t="s">
        <v>31</v>
      </c>
      <c r="J10" s="349" t="s">
        <v>32</v>
      </c>
      <c r="K10" s="26"/>
      <c r="L10" s="26"/>
    </row>
    <row r="11" spans="1:12" ht="67.5" customHeight="1">
      <c r="A11" s="341"/>
      <c r="B11" s="343"/>
      <c r="C11" s="345"/>
      <c r="D11" s="28" t="s">
        <v>33</v>
      </c>
      <c r="E11" s="29" t="s">
        <v>34</v>
      </c>
      <c r="F11" s="30" t="s">
        <v>35</v>
      </c>
      <c r="G11" s="31" t="s">
        <v>36</v>
      </c>
      <c r="H11" s="27" t="s">
        <v>7</v>
      </c>
      <c r="I11" s="345"/>
      <c r="J11" s="350"/>
      <c r="K11" s="26"/>
      <c r="L11" s="26"/>
    </row>
    <row r="12" spans="1:12" ht="15" customHeight="1">
      <c r="A12" s="32">
        <v>1</v>
      </c>
      <c r="B12" s="33">
        <v>2</v>
      </c>
      <c r="C12" s="32">
        <v>3</v>
      </c>
      <c r="D12" s="33">
        <v>4</v>
      </c>
      <c r="E12" s="32">
        <v>5</v>
      </c>
      <c r="F12" s="33">
        <v>6</v>
      </c>
      <c r="G12" s="32">
        <v>7</v>
      </c>
      <c r="H12" s="32">
        <v>8</v>
      </c>
      <c r="I12" s="32">
        <v>9</v>
      </c>
      <c r="J12" s="32">
        <v>10</v>
      </c>
      <c r="K12" s="34"/>
      <c r="L12" s="34"/>
    </row>
    <row r="13" spans="1:12" s="19" customFormat="1" ht="19.5" customHeight="1">
      <c r="A13" s="35">
        <v>1</v>
      </c>
      <c r="B13" s="36" t="s">
        <v>39</v>
      </c>
      <c r="C13" s="37" t="s">
        <v>20</v>
      </c>
      <c r="D13" s="38">
        <f>'დარბაზი სამშენებლო'!J216/1000-F13</f>
        <v>197.04746326353018</v>
      </c>
      <c r="E13" s="38"/>
      <c r="F13" s="38">
        <f>'დარბაზი სამშენებლო'!J212/1000</f>
        <v>3.7</v>
      </c>
      <c r="G13" s="39"/>
      <c r="H13" s="38">
        <f>D13+F13</f>
        <v>200.74746326353016</v>
      </c>
      <c r="I13" s="38">
        <f>'დარბაზი სამშენებლო'!K211/1000</f>
        <v>44.007556028</v>
      </c>
      <c r="J13" s="40"/>
      <c r="K13" s="24"/>
      <c r="L13" s="24"/>
    </row>
    <row r="14" spans="1:12" s="19" customFormat="1" ht="19.5" customHeight="1">
      <c r="A14" s="35">
        <v>2</v>
      </c>
      <c r="B14" s="36" t="s">
        <v>40</v>
      </c>
      <c r="C14" s="37" t="s">
        <v>386</v>
      </c>
      <c r="D14" s="38">
        <f>'დარბაზი სანტექნიკა'!J130/1000</f>
        <v>12.6935532960768</v>
      </c>
      <c r="E14" s="38"/>
      <c r="F14" s="38"/>
      <c r="G14" s="39"/>
      <c r="H14" s="38">
        <f>D14</f>
        <v>12.6935532960768</v>
      </c>
      <c r="I14" s="38">
        <f>'[1]x.2-3-2'!L13/1000</f>
        <v>1.428336</v>
      </c>
      <c r="J14" s="40"/>
      <c r="K14" s="24"/>
      <c r="L14" s="24"/>
    </row>
    <row r="15" spans="1:12" s="19" customFormat="1" ht="19.5" customHeight="1">
      <c r="A15" s="35">
        <v>3</v>
      </c>
      <c r="B15" s="36" t="s">
        <v>41</v>
      </c>
      <c r="C15" s="37" t="s">
        <v>387</v>
      </c>
      <c r="D15" s="38">
        <f>'დარბაზი ვენტილაცია'!J25/1000</f>
        <v>1.2217548816</v>
      </c>
      <c r="E15" s="38"/>
      <c r="F15" s="38"/>
      <c r="G15" s="39"/>
      <c r="H15" s="38">
        <f>D15</f>
        <v>1.2217548816</v>
      </c>
      <c r="I15" s="38">
        <f>'დარბაზი ვენტილაცია'!J21/1000</f>
        <v>0.67116</v>
      </c>
      <c r="J15" s="40"/>
      <c r="K15" s="24"/>
      <c r="L15" s="24"/>
    </row>
    <row r="16" spans="1:12" s="19" customFormat="1" ht="19.5" customHeight="1">
      <c r="A16" s="35">
        <v>4</v>
      </c>
      <c r="B16" s="36" t="s">
        <v>42</v>
      </c>
      <c r="C16" s="37" t="s">
        <v>37</v>
      </c>
      <c r="D16" s="41"/>
      <c r="E16" s="41">
        <f>'დარბაზი ელექტროობა'!J72/1000</f>
        <v>10.84930605</v>
      </c>
      <c r="F16" s="41"/>
      <c r="G16" s="42"/>
      <c r="H16" s="41">
        <f>E16</f>
        <v>10.84930605</v>
      </c>
      <c r="I16" s="41">
        <f>'დარბაზი ელექტროობა'!K70/1000</f>
        <v>1.0411850000000005</v>
      </c>
      <c r="J16" s="40"/>
      <c r="K16" s="24"/>
      <c r="L16" s="24"/>
    </row>
    <row r="17" spans="1:10" s="19" customFormat="1" ht="19.5" customHeight="1">
      <c r="A17" s="35"/>
      <c r="B17" s="36"/>
      <c r="C17" s="37" t="s">
        <v>6</v>
      </c>
      <c r="D17" s="38">
        <f>SUM(D13:D16)</f>
        <v>210.96277144120697</v>
      </c>
      <c r="E17" s="38">
        <f>SUM(E13:E16)</f>
        <v>10.84930605</v>
      </c>
      <c r="F17" s="38">
        <f>SUM(F13:F16)</f>
        <v>3.7</v>
      </c>
      <c r="G17" s="39"/>
      <c r="H17" s="38">
        <f>SUM(H13:H16)</f>
        <v>225.51207749120695</v>
      </c>
      <c r="I17" s="38">
        <f>SUM(I13:I16)</f>
        <v>47.148237028000004</v>
      </c>
      <c r="J17" s="40"/>
    </row>
    <row r="18" s="19" customFormat="1" ht="15.75"/>
    <row r="20" spans="1:10" s="43" customFormat="1" ht="21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s="43" customFormat="1" ht="21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7" s="43" customFormat="1" ht="18" customHeight="1">
      <c r="A22" s="44"/>
      <c r="B22" s="45"/>
      <c r="G22" s="45"/>
    </row>
    <row r="23" spans="1:10" s="47" customFormat="1" ht="18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970" ht="16.5">
      <c r="J970" s="48"/>
    </row>
  </sheetData>
  <sheetProtection/>
  <mergeCells count="8">
    <mergeCell ref="A5:J5"/>
    <mergeCell ref="A4:J4"/>
    <mergeCell ref="A10:A11"/>
    <mergeCell ref="B10:B11"/>
    <mergeCell ref="C10:C11"/>
    <mergeCell ref="D10:H10"/>
    <mergeCell ref="I10:I11"/>
    <mergeCell ref="J10:J11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8"/>
  <sheetViews>
    <sheetView zoomScalePageLayoutView="0" workbookViewId="0" topLeftCell="A1">
      <selection activeCell="F7" sqref="F7:G7"/>
    </sheetView>
  </sheetViews>
  <sheetFormatPr defaultColWidth="9.140625" defaultRowHeight="12.75"/>
  <cols>
    <col min="1" max="1" width="4.140625" style="1" customWidth="1"/>
    <col min="2" max="2" width="14.421875" style="1" customWidth="1"/>
    <col min="3" max="3" width="47.140625" style="1" customWidth="1"/>
    <col min="4" max="4" width="8.28125" style="1" customWidth="1"/>
    <col min="5" max="5" width="3.140625" style="1" customWidth="1"/>
    <col min="6" max="6" width="14.00390625" style="1" customWidth="1"/>
    <col min="7" max="7" width="8.00390625" style="1" customWidth="1"/>
    <col min="8" max="9" width="9.140625" style="1" customWidth="1"/>
    <col min="10" max="10" width="9.421875" style="1" customWidth="1"/>
    <col min="11" max="11" width="9.140625" style="1" customWidth="1"/>
    <col min="12" max="12" width="19.28125" style="1" bestFit="1" customWidth="1"/>
    <col min="13" max="16384" width="9.140625" style="1" customWidth="1"/>
  </cols>
  <sheetData>
    <row r="1" spans="1:10" ht="16.5">
      <c r="A1" s="312" t="s">
        <v>17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6.5">
      <c r="A2" s="312" t="s">
        <v>18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>
      <c r="A4" s="312" t="s">
        <v>20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6.5">
      <c r="A5" s="312" t="s">
        <v>44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10" ht="16.5">
      <c r="A6" s="312" t="s">
        <v>45</v>
      </c>
      <c r="B6" s="312"/>
      <c r="C6" s="312"/>
      <c r="D6" s="312"/>
      <c r="E6" s="312"/>
      <c r="F6" s="312"/>
      <c r="G6" s="312"/>
      <c r="H6" s="312"/>
      <c r="I6" s="312"/>
      <c r="J6" s="312"/>
    </row>
    <row r="7" spans="1:10" ht="16.5">
      <c r="A7" s="49" t="s">
        <v>30</v>
      </c>
      <c r="B7" s="49"/>
      <c r="C7" s="50"/>
      <c r="D7" s="351">
        <f>J216</f>
        <v>200747.46326353017</v>
      </c>
      <c r="E7" s="351"/>
      <c r="F7" s="312" t="s">
        <v>15</v>
      </c>
      <c r="G7" s="312"/>
      <c r="H7" s="2"/>
      <c r="I7" s="2"/>
      <c r="J7" s="2"/>
    </row>
    <row r="8" spans="1:10" ht="16.5">
      <c r="A8" s="352" t="s">
        <v>46</v>
      </c>
      <c r="B8" s="352"/>
      <c r="C8" s="352"/>
      <c r="D8" s="351">
        <f>K211</f>
        <v>44007.556028000006</v>
      </c>
      <c r="E8" s="312"/>
      <c r="F8" s="312" t="s">
        <v>15</v>
      </c>
      <c r="G8" s="312"/>
      <c r="H8" s="2"/>
      <c r="I8" s="2"/>
      <c r="J8" s="2"/>
    </row>
    <row r="9" spans="1:7" ht="16.5">
      <c r="A9" s="1" t="s">
        <v>47</v>
      </c>
      <c r="D9" s="353">
        <f>D8/4.6/8</f>
        <v>1195.85750076087</v>
      </c>
      <c r="E9" s="353"/>
      <c r="F9" s="354" t="s">
        <v>48</v>
      </c>
      <c r="G9" s="354"/>
    </row>
    <row r="10" spans="1:10" ht="49.5">
      <c r="A10" s="10" t="s">
        <v>0</v>
      </c>
      <c r="B10" s="10" t="s">
        <v>49</v>
      </c>
      <c r="C10" s="355" t="s">
        <v>50</v>
      </c>
      <c r="D10" s="356"/>
      <c r="E10" s="356"/>
      <c r="F10" s="357"/>
      <c r="G10" s="15" t="s">
        <v>51</v>
      </c>
      <c r="H10" s="15" t="s">
        <v>52</v>
      </c>
      <c r="I10" s="15" t="s">
        <v>53</v>
      </c>
      <c r="J10" s="53" t="s">
        <v>54</v>
      </c>
    </row>
    <row r="11" spans="1:10" ht="17.25" thickBot="1">
      <c r="A11" s="54">
        <v>1</v>
      </c>
      <c r="B11" s="54">
        <v>2</v>
      </c>
      <c r="C11" s="358">
        <v>3</v>
      </c>
      <c r="D11" s="359"/>
      <c r="E11" s="359"/>
      <c r="F11" s="360"/>
      <c r="G11" s="54">
        <v>4</v>
      </c>
      <c r="H11" s="54">
        <v>5</v>
      </c>
      <c r="I11" s="54">
        <v>6</v>
      </c>
      <c r="J11" s="54">
        <v>7</v>
      </c>
    </row>
    <row r="12" spans="1:11" ht="18" thickBot="1" thickTop="1">
      <c r="A12" s="361" t="s">
        <v>55</v>
      </c>
      <c r="B12" s="362"/>
      <c r="C12" s="362"/>
      <c r="D12" s="362"/>
      <c r="E12" s="362"/>
      <c r="F12" s="362"/>
      <c r="G12" s="362"/>
      <c r="H12" s="362"/>
      <c r="I12" s="362"/>
      <c r="J12" s="363"/>
      <c r="K12" s="56"/>
    </row>
    <row r="13" spans="1:11" ht="17.25" thickTop="1">
      <c r="A13" s="364">
        <v>1</v>
      </c>
      <c r="B13" s="367" t="s">
        <v>56</v>
      </c>
      <c r="C13" s="370" t="s">
        <v>57</v>
      </c>
      <c r="D13" s="371"/>
      <c r="E13" s="371"/>
      <c r="F13" s="372"/>
      <c r="G13" s="57" t="s">
        <v>58</v>
      </c>
      <c r="H13" s="58">
        <v>0.387</v>
      </c>
      <c r="I13" s="59"/>
      <c r="J13" s="60"/>
      <c r="K13" s="56"/>
    </row>
    <row r="14" spans="1:11" ht="16.5">
      <c r="A14" s="365"/>
      <c r="B14" s="368"/>
      <c r="C14" s="61" t="s">
        <v>59</v>
      </c>
      <c r="D14" s="62">
        <f>H13</f>
        <v>0.387</v>
      </c>
      <c r="E14" s="63" t="s">
        <v>60</v>
      </c>
      <c r="F14" s="64">
        <v>62.6</v>
      </c>
      <c r="G14" s="55" t="s">
        <v>61</v>
      </c>
      <c r="H14" s="65">
        <f>D14*F14</f>
        <v>24.226200000000002</v>
      </c>
      <c r="I14" s="54">
        <v>7.8</v>
      </c>
      <c r="J14" s="66">
        <f>I14*H14</f>
        <v>188.96436</v>
      </c>
      <c r="K14" s="56"/>
    </row>
    <row r="15" spans="1:11" ht="16.5">
      <c r="A15" s="365"/>
      <c r="B15" s="368"/>
      <c r="C15" s="67" t="s">
        <v>62</v>
      </c>
      <c r="D15" s="68">
        <f>H13</f>
        <v>0.387</v>
      </c>
      <c r="E15" s="69" t="s">
        <v>60</v>
      </c>
      <c r="F15" s="70">
        <v>1</v>
      </c>
      <c r="G15" s="71" t="s">
        <v>58</v>
      </c>
      <c r="H15" s="72">
        <f>F15*D15</f>
        <v>0.387</v>
      </c>
      <c r="I15" s="71">
        <v>1700</v>
      </c>
      <c r="J15" s="73">
        <f>I15*H15</f>
        <v>657.9</v>
      </c>
      <c r="K15" s="56"/>
    </row>
    <row r="16" spans="1:11" ht="17.25" thickBot="1">
      <c r="A16" s="366"/>
      <c r="B16" s="369"/>
      <c r="C16" s="74" t="s">
        <v>63</v>
      </c>
      <c r="D16" s="75">
        <f>H15</f>
        <v>0.387</v>
      </c>
      <c r="E16" s="76" t="s">
        <v>60</v>
      </c>
      <c r="F16" s="77">
        <v>12.8</v>
      </c>
      <c r="G16" s="78" t="s">
        <v>64</v>
      </c>
      <c r="H16" s="79">
        <f>F16*D16</f>
        <v>4.953600000000001</v>
      </c>
      <c r="I16" s="78">
        <v>3.7</v>
      </c>
      <c r="J16" s="80">
        <f>I16*H16</f>
        <v>18.328320000000005</v>
      </c>
      <c r="K16" s="56"/>
    </row>
    <row r="17" spans="1:11" ht="17.25" thickTop="1">
      <c r="A17" s="364">
        <v>2</v>
      </c>
      <c r="B17" s="367" t="s">
        <v>65</v>
      </c>
      <c r="C17" s="370" t="s">
        <v>66</v>
      </c>
      <c r="D17" s="371"/>
      <c r="E17" s="371"/>
      <c r="F17" s="372"/>
      <c r="G17" s="57" t="s">
        <v>67</v>
      </c>
      <c r="H17" s="58">
        <v>13.7</v>
      </c>
      <c r="I17" s="59"/>
      <c r="J17" s="60"/>
      <c r="K17" s="56"/>
    </row>
    <row r="18" spans="1:11" ht="16.5">
      <c r="A18" s="365"/>
      <c r="B18" s="368"/>
      <c r="C18" s="61" t="s">
        <v>59</v>
      </c>
      <c r="D18" s="62">
        <f>H17</f>
        <v>13.7</v>
      </c>
      <c r="E18" s="63" t="s">
        <v>60</v>
      </c>
      <c r="F18" s="64">
        <v>0.388</v>
      </c>
      <c r="G18" s="55" t="s">
        <v>61</v>
      </c>
      <c r="H18" s="65">
        <f>D18*F18</f>
        <v>5.3156</v>
      </c>
      <c r="I18" s="54">
        <v>7.8</v>
      </c>
      <c r="J18" s="66">
        <f>I18*H18</f>
        <v>41.46168</v>
      </c>
      <c r="K18" s="56"/>
    </row>
    <row r="19" spans="1:11" ht="16.5">
      <c r="A19" s="365"/>
      <c r="B19" s="368"/>
      <c r="C19" s="67" t="s">
        <v>68</v>
      </c>
      <c r="D19" s="68">
        <f>H17</f>
        <v>13.7</v>
      </c>
      <c r="E19" s="69" t="s">
        <v>60</v>
      </c>
      <c r="F19" s="70">
        <v>0.244</v>
      </c>
      <c r="G19" s="71" t="s">
        <v>64</v>
      </c>
      <c r="H19" s="72">
        <f>F19*D19</f>
        <v>3.3427999999999995</v>
      </c>
      <c r="I19" s="71">
        <v>5</v>
      </c>
      <c r="J19" s="73">
        <f>I19*H19</f>
        <v>16.714</v>
      </c>
      <c r="K19" s="56"/>
    </row>
    <row r="20" spans="1:11" ht="17.25" thickBot="1">
      <c r="A20" s="366"/>
      <c r="B20" s="369"/>
      <c r="C20" s="74" t="s">
        <v>69</v>
      </c>
      <c r="D20" s="75">
        <f>H17</f>
        <v>13.7</v>
      </c>
      <c r="E20" s="76" t="s">
        <v>60</v>
      </c>
      <c r="F20" s="77">
        <v>0.019</v>
      </c>
      <c r="G20" s="78" t="s">
        <v>15</v>
      </c>
      <c r="H20" s="79">
        <f>F20*D20</f>
        <v>0.2603</v>
      </c>
      <c r="I20" s="78">
        <v>3.2</v>
      </c>
      <c r="J20" s="80">
        <f>I20*H20</f>
        <v>0.8329599999999999</v>
      </c>
      <c r="K20" s="56"/>
    </row>
    <row r="21" spans="1:11" ht="17.25" thickTop="1">
      <c r="A21" s="364">
        <v>3</v>
      </c>
      <c r="B21" s="373" t="s">
        <v>70</v>
      </c>
      <c r="C21" s="370" t="s">
        <v>71</v>
      </c>
      <c r="D21" s="371"/>
      <c r="E21" s="371"/>
      <c r="F21" s="372"/>
      <c r="G21" s="57" t="s">
        <v>72</v>
      </c>
      <c r="H21" s="81">
        <f>55.2+36*1.4*0.5</f>
        <v>80.4</v>
      </c>
      <c r="I21" s="59"/>
      <c r="J21" s="60"/>
      <c r="K21" s="56"/>
    </row>
    <row r="22" spans="1:11" ht="16.5">
      <c r="A22" s="365"/>
      <c r="B22" s="368"/>
      <c r="C22" s="61" t="s">
        <v>59</v>
      </c>
      <c r="D22" s="82">
        <f>H21</f>
        <v>80.4</v>
      </c>
      <c r="E22" s="63" t="s">
        <v>60</v>
      </c>
      <c r="F22" s="64">
        <v>1.78</v>
      </c>
      <c r="G22" s="55" t="s">
        <v>61</v>
      </c>
      <c r="H22" s="65">
        <f>D22*F22</f>
        <v>143.11200000000002</v>
      </c>
      <c r="I22" s="54">
        <v>6</v>
      </c>
      <c r="J22" s="66">
        <f>I22*H22</f>
        <v>858.6720000000001</v>
      </c>
      <c r="K22" s="56"/>
    </row>
    <row r="23" spans="1:11" ht="16.5">
      <c r="A23" s="365"/>
      <c r="B23" s="368"/>
      <c r="C23" s="67" t="s">
        <v>73</v>
      </c>
      <c r="D23" s="83">
        <f>H21</f>
        <v>80.4</v>
      </c>
      <c r="E23" s="69" t="s">
        <v>60</v>
      </c>
      <c r="F23" s="70">
        <v>1.1</v>
      </c>
      <c r="G23" s="71" t="s">
        <v>72</v>
      </c>
      <c r="H23" s="84">
        <f>F23*D23</f>
        <v>88.44000000000001</v>
      </c>
      <c r="I23" s="71">
        <v>10.5</v>
      </c>
      <c r="J23" s="73">
        <f>I23*H23</f>
        <v>928.6200000000001</v>
      </c>
      <c r="K23" s="56"/>
    </row>
    <row r="24" spans="1:11" ht="17.25" thickBot="1">
      <c r="A24" s="365"/>
      <c r="B24" s="368"/>
      <c r="C24" s="67" t="s">
        <v>74</v>
      </c>
      <c r="D24" s="83">
        <f>H23</f>
        <v>88.44000000000001</v>
      </c>
      <c r="E24" s="69" t="s">
        <v>60</v>
      </c>
      <c r="F24" s="85">
        <v>1.6</v>
      </c>
      <c r="G24" s="71" t="s">
        <v>58</v>
      </c>
      <c r="H24" s="84">
        <f>F24*D24</f>
        <v>141.50400000000002</v>
      </c>
      <c r="I24" s="71">
        <v>12.31</v>
      </c>
      <c r="J24" s="73">
        <f>I24*H24</f>
        <v>1741.9142400000003</v>
      </c>
      <c r="K24" s="56"/>
    </row>
    <row r="25" spans="1:11" ht="17.25" thickTop="1">
      <c r="A25" s="364">
        <v>4</v>
      </c>
      <c r="B25" s="373" t="s">
        <v>75</v>
      </c>
      <c r="C25" s="370" t="s">
        <v>76</v>
      </c>
      <c r="D25" s="371"/>
      <c r="E25" s="371"/>
      <c r="F25" s="372"/>
      <c r="G25" s="57" t="s">
        <v>67</v>
      </c>
      <c r="H25" s="81">
        <v>276</v>
      </c>
      <c r="I25" s="59"/>
      <c r="J25" s="60"/>
      <c r="K25" s="56"/>
    </row>
    <row r="26" spans="1:11" ht="16.5">
      <c r="A26" s="365"/>
      <c r="B26" s="368"/>
      <c r="C26" s="61" t="s">
        <v>59</v>
      </c>
      <c r="D26" s="82">
        <f>H25</f>
        <v>276</v>
      </c>
      <c r="E26" s="63" t="s">
        <v>60</v>
      </c>
      <c r="F26" s="64">
        <v>0.5504</v>
      </c>
      <c r="G26" s="55" t="s">
        <v>61</v>
      </c>
      <c r="H26" s="65">
        <f>D26*F26</f>
        <v>151.9104</v>
      </c>
      <c r="I26" s="54">
        <v>7.8</v>
      </c>
      <c r="J26" s="66">
        <f>I26*H26</f>
        <v>1184.90112</v>
      </c>
      <c r="K26" s="56"/>
    </row>
    <row r="27" spans="1:11" ht="16.5">
      <c r="A27" s="365"/>
      <c r="B27" s="368"/>
      <c r="C27" s="67" t="s">
        <v>77</v>
      </c>
      <c r="D27" s="83">
        <f>H25</f>
        <v>276</v>
      </c>
      <c r="E27" s="69" t="s">
        <v>60</v>
      </c>
      <c r="F27" s="70">
        <v>0.102</v>
      </c>
      <c r="G27" s="71" t="s">
        <v>72</v>
      </c>
      <c r="H27" s="84">
        <f>F27*D27</f>
        <v>28.151999999999997</v>
      </c>
      <c r="I27" s="71">
        <v>95</v>
      </c>
      <c r="J27" s="73">
        <f>I27*H27</f>
        <v>2674.4399999999996</v>
      </c>
      <c r="K27" s="56"/>
    </row>
    <row r="28" spans="1:11" ht="17.25" thickBot="1">
      <c r="A28" s="365"/>
      <c r="B28" s="368"/>
      <c r="C28" s="67" t="s">
        <v>69</v>
      </c>
      <c r="D28" s="83">
        <f>H25</f>
        <v>276</v>
      </c>
      <c r="E28" s="69" t="s">
        <v>60</v>
      </c>
      <c r="F28" s="70">
        <v>0.0664</v>
      </c>
      <c r="G28" s="71" t="s">
        <v>15</v>
      </c>
      <c r="H28" s="84">
        <f>F28*D28</f>
        <v>18.3264</v>
      </c>
      <c r="I28" s="71">
        <v>3.2</v>
      </c>
      <c r="J28" s="73">
        <f>I28*H28</f>
        <v>58.64448</v>
      </c>
      <c r="K28" s="56"/>
    </row>
    <row r="29" spans="1:11" ht="17.25" thickTop="1">
      <c r="A29" s="364">
        <v>5</v>
      </c>
      <c r="B29" s="373" t="s">
        <v>78</v>
      </c>
      <c r="C29" s="370" t="s">
        <v>79</v>
      </c>
      <c r="D29" s="371"/>
      <c r="E29" s="371"/>
      <c r="F29" s="372"/>
      <c r="G29" s="57" t="s">
        <v>58</v>
      </c>
      <c r="H29" s="58">
        <f>D31+D32</f>
        <v>14.778</v>
      </c>
      <c r="I29" s="59"/>
      <c r="J29" s="60"/>
      <c r="K29" s="56"/>
    </row>
    <row r="30" spans="1:11" ht="16.5">
      <c r="A30" s="365"/>
      <c r="B30" s="368"/>
      <c r="C30" s="61" t="s">
        <v>59</v>
      </c>
      <c r="D30" s="86">
        <f>H29</f>
        <v>14.778</v>
      </c>
      <c r="E30" s="63" t="s">
        <v>60</v>
      </c>
      <c r="F30" s="64">
        <v>62.6</v>
      </c>
      <c r="G30" s="55" t="s">
        <v>61</v>
      </c>
      <c r="H30" s="65">
        <f>D30*F30</f>
        <v>925.1028</v>
      </c>
      <c r="I30" s="54">
        <v>7.8</v>
      </c>
      <c r="J30" s="66">
        <f>I30*H30</f>
        <v>7215.80184</v>
      </c>
      <c r="K30" s="56"/>
    </row>
    <row r="31" spans="1:11" ht="16.5">
      <c r="A31" s="365"/>
      <c r="B31" s="368"/>
      <c r="C31" s="61" t="s">
        <v>80</v>
      </c>
      <c r="D31" s="86">
        <v>5.468</v>
      </c>
      <c r="E31" s="63" t="s">
        <v>60</v>
      </c>
      <c r="F31" s="87">
        <v>1</v>
      </c>
      <c r="G31" s="10" t="s">
        <v>58</v>
      </c>
      <c r="H31" s="88">
        <f>F31*D31</f>
        <v>5.468</v>
      </c>
      <c r="I31" s="10">
        <v>1940</v>
      </c>
      <c r="J31" s="89">
        <f>I31*H31</f>
        <v>10607.92</v>
      </c>
      <c r="K31" s="56"/>
    </row>
    <row r="32" spans="1:11" ht="16.5">
      <c r="A32" s="365"/>
      <c r="B32" s="368"/>
      <c r="C32" s="67" t="s">
        <v>81</v>
      </c>
      <c r="D32" s="90">
        <v>9.31</v>
      </c>
      <c r="E32" s="69" t="s">
        <v>60</v>
      </c>
      <c r="F32" s="85">
        <v>1</v>
      </c>
      <c r="G32" s="71" t="s">
        <v>58</v>
      </c>
      <c r="H32" s="84">
        <f>F32*D32</f>
        <v>9.31</v>
      </c>
      <c r="I32" s="71">
        <v>1925</v>
      </c>
      <c r="J32" s="73">
        <f>I32*H32</f>
        <v>17921.75</v>
      </c>
      <c r="K32" s="56"/>
    </row>
    <row r="33" spans="1:11" ht="16.5">
      <c r="A33" s="365"/>
      <c r="B33" s="368"/>
      <c r="C33" s="67" t="s">
        <v>63</v>
      </c>
      <c r="D33" s="68">
        <f>H29</f>
        <v>14.778</v>
      </c>
      <c r="E33" s="69" t="s">
        <v>60</v>
      </c>
      <c r="F33" s="85">
        <v>12.8</v>
      </c>
      <c r="G33" s="71" t="s">
        <v>64</v>
      </c>
      <c r="H33" s="91">
        <f>F33*D33</f>
        <v>189.15840000000003</v>
      </c>
      <c r="I33" s="71">
        <v>3.7</v>
      </c>
      <c r="J33" s="73">
        <f>I33*H33</f>
        <v>699.8860800000001</v>
      </c>
      <c r="K33" s="56"/>
    </row>
    <row r="34" spans="1:11" ht="17.25" thickBot="1">
      <c r="A34" s="366"/>
      <c r="B34" s="369"/>
      <c r="C34" s="74" t="s">
        <v>82</v>
      </c>
      <c r="D34" s="92">
        <f>H29</f>
        <v>14.778</v>
      </c>
      <c r="E34" s="93" t="s">
        <v>60</v>
      </c>
      <c r="F34" s="76">
        <v>2.78</v>
      </c>
      <c r="G34" s="94" t="s">
        <v>15</v>
      </c>
      <c r="H34" s="95">
        <f>D34*F34</f>
        <v>41.08284</v>
      </c>
      <c r="I34" s="94">
        <v>3.2</v>
      </c>
      <c r="J34" s="96">
        <f>I34*H34</f>
        <v>131.465088</v>
      </c>
      <c r="K34" s="56"/>
    </row>
    <row r="35" spans="1:11" ht="33.75" customHeight="1" thickTop="1">
      <c r="A35" s="364">
        <v>6</v>
      </c>
      <c r="B35" s="373" t="s">
        <v>83</v>
      </c>
      <c r="C35" s="370" t="s">
        <v>84</v>
      </c>
      <c r="D35" s="371"/>
      <c r="E35" s="371"/>
      <c r="F35" s="372"/>
      <c r="G35" s="57" t="s">
        <v>67</v>
      </c>
      <c r="H35" s="97">
        <v>510</v>
      </c>
      <c r="I35" s="59"/>
      <c r="J35" s="60"/>
      <c r="K35" s="56"/>
    </row>
    <row r="36" spans="1:11" ht="16.5">
      <c r="A36" s="365"/>
      <c r="B36" s="368"/>
      <c r="C36" s="61" t="s">
        <v>59</v>
      </c>
      <c r="D36" s="98">
        <f>H35</f>
        <v>510</v>
      </c>
      <c r="E36" s="63" t="s">
        <v>60</v>
      </c>
      <c r="F36" s="99">
        <v>0.388</v>
      </c>
      <c r="G36" s="55" t="s">
        <v>61</v>
      </c>
      <c r="H36" s="65">
        <f>D36*F36</f>
        <v>197.88</v>
      </c>
      <c r="I36" s="54">
        <v>7.8</v>
      </c>
      <c r="J36" s="66">
        <f>I36*H36</f>
        <v>1543.464</v>
      </c>
      <c r="K36" s="56"/>
    </row>
    <row r="37" spans="1:11" ht="16.5">
      <c r="A37" s="365"/>
      <c r="B37" s="368"/>
      <c r="C37" s="61" t="s">
        <v>85</v>
      </c>
      <c r="D37" s="98">
        <f>H35</f>
        <v>510</v>
      </c>
      <c r="E37" s="63" t="s">
        <v>60</v>
      </c>
      <c r="F37" s="100">
        <v>0.244</v>
      </c>
      <c r="G37" s="10" t="s">
        <v>64</v>
      </c>
      <c r="H37" s="88">
        <f>F37*D37</f>
        <v>124.44</v>
      </c>
      <c r="I37" s="10">
        <v>4.8</v>
      </c>
      <c r="J37" s="89">
        <f>I37*H37</f>
        <v>597.312</v>
      </c>
      <c r="K37" s="56"/>
    </row>
    <row r="38" spans="1:11" ht="17.25" thickBot="1">
      <c r="A38" s="366"/>
      <c r="B38" s="369"/>
      <c r="C38" s="74" t="s">
        <v>69</v>
      </c>
      <c r="D38" s="101">
        <f>H35</f>
        <v>510</v>
      </c>
      <c r="E38" s="76" t="s">
        <v>60</v>
      </c>
      <c r="F38" s="77">
        <v>0.019</v>
      </c>
      <c r="G38" s="78" t="s">
        <v>64</v>
      </c>
      <c r="H38" s="79">
        <f>F38*D38</f>
        <v>9.69</v>
      </c>
      <c r="I38" s="78">
        <v>3.2</v>
      </c>
      <c r="J38" s="80">
        <f>I38*H38</f>
        <v>31.008</v>
      </c>
      <c r="K38" s="56"/>
    </row>
    <row r="39" spans="1:11" ht="17.25" thickTop="1">
      <c r="A39" s="364">
        <v>7</v>
      </c>
      <c r="B39" s="373" t="s">
        <v>86</v>
      </c>
      <c r="C39" s="370" t="s">
        <v>87</v>
      </c>
      <c r="D39" s="371"/>
      <c r="E39" s="371"/>
      <c r="F39" s="372"/>
      <c r="G39" s="57" t="s">
        <v>72</v>
      </c>
      <c r="H39" s="81">
        <f>12*0.12</f>
        <v>1.44</v>
      </c>
      <c r="I39" s="59"/>
      <c r="J39" s="102"/>
      <c r="K39" s="56"/>
    </row>
    <row r="40" spans="1:11" ht="16.5">
      <c r="A40" s="365"/>
      <c r="B40" s="368"/>
      <c r="C40" s="61" t="s">
        <v>59</v>
      </c>
      <c r="D40" s="82">
        <f>H39</f>
        <v>1.44</v>
      </c>
      <c r="E40" s="63" t="s">
        <v>60</v>
      </c>
      <c r="F40" s="64">
        <v>8.76</v>
      </c>
      <c r="G40" s="55" t="s">
        <v>61</v>
      </c>
      <c r="H40" s="65">
        <f>D40*F40</f>
        <v>12.6144</v>
      </c>
      <c r="I40" s="54">
        <v>6</v>
      </c>
      <c r="J40" s="103">
        <f aca="true" t="shared" si="0" ref="J40:J46">I40*H40</f>
        <v>75.68639999999999</v>
      </c>
      <c r="K40" s="56"/>
    </row>
    <row r="41" spans="1:11" ht="16.5">
      <c r="A41" s="365"/>
      <c r="B41" s="368"/>
      <c r="C41" s="67" t="s">
        <v>88</v>
      </c>
      <c r="D41" s="83">
        <f>H39</f>
        <v>1.44</v>
      </c>
      <c r="E41" s="69" t="s">
        <v>60</v>
      </c>
      <c r="F41" s="70">
        <v>1.015</v>
      </c>
      <c r="G41" s="71" t="s">
        <v>72</v>
      </c>
      <c r="H41" s="84">
        <f>F41*D41</f>
        <v>1.4615999999999998</v>
      </c>
      <c r="I41" s="71">
        <v>111</v>
      </c>
      <c r="J41" s="104">
        <f t="shared" si="0"/>
        <v>162.2376</v>
      </c>
      <c r="K41" s="56"/>
    </row>
    <row r="42" spans="1:11" ht="16.5">
      <c r="A42" s="365"/>
      <c r="B42" s="368"/>
      <c r="C42" s="67" t="s">
        <v>89</v>
      </c>
      <c r="D42" s="83">
        <f>H39</f>
        <v>1.44</v>
      </c>
      <c r="E42" s="69" t="s">
        <v>60</v>
      </c>
      <c r="F42" s="85">
        <v>1.55</v>
      </c>
      <c r="G42" s="71" t="s">
        <v>67</v>
      </c>
      <c r="H42" s="84">
        <f>F42*D42</f>
        <v>2.2319999999999998</v>
      </c>
      <c r="I42" s="71">
        <v>16</v>
      </c>
      <c r="J42" s="104">
        <f t="shared" si="0"/>
        <v>35.711999999999996</v>
      </c>
      <c r="K42" s="56"/>
    </row>
    <row r="43" spans="1:11" ht="16.5">
      <c r="A43" s="365"/>
      <c r="B43" s="368"/>
      <c r="C43" s="67" t="s">
        <v>90</v>
      </c>
      <c r="D43" s="83">
        <f>H39</f>
        <v>1.44</v>
      </c>
      <c r="E43" s="69" t="s">
        <v>60</v>
      </c>
      <c r="F43" s="70">
        <v>0.0385</v>
      </c>
      <c r="G43" s="71" t="s">
        <v>72</v>
      </c>
      <c r="H43" s="84">
        <f>F43*D43</f>
        <v>0.055439999999999996</v>
      </c>
      <c r="I43" s="71">
        <v>500</v>
      </c>
      <c r="J43" s="104">
        <f t="shared" si="0"/>
        <v>27.72</v>
      </c>
      <c r="K43" s="56"/>
    </row>
    <row r="44" spans="1:11" ht="16.5">
      <c r="A44" s="365"/>
      <c r="B44" s="368"/>
      <c r="C44" s="67" t="s">
        <v>91</v>
      </c>
      <c r="D44" s="68">
        <v>0.11</v>
      </c>
      <c r="E44" s="69" t="s">
        <v>60</v>
      </c>
      <c r="F44" s="85">
        <v>1.02</v>
      </c>
      <c r="G44" s="71" t="s">
        <v>58</v>
      </c>
      <c r="H44" s="72">
        <f>F44*D44</f>
        <v>0.11220000000000001</v>
      </c>
      <c r="I44" s="71">
        <v>1505</v>
      </c>
      <c r="J44" s="104">
        <f t="shared" si="0"/>
        <v>168.86100000000002</v>
      </c>
      <c r="K44" s="56"/>
    </row>
    <row r="45" spans="1:11" ht="16.5">
      <c r="A45" s="365"/>
      <c r="B45" s="368"/>
      <c r="C45" s="67" t="s">
        <v>82</v>
      </c>
      <c r="D45" s="83">
        <f>H39</f>
        <v>1.44</v>
      </c>
      <c r="E45" s="69" t="s">
        <v>60</v>
      </c>
      <c r="F45" s="85">
        <v>0.83</v>
      </c>
      <c r="G45" s="71" t="s">
        <v>15</v>
      </c>
      <c r="H45" s="84">
        <f>F45*D45</f>
        <v>1.1951999999999998</v>
      </c>
      <c r="I45" s="71">
        <v>3.2</v>
      </c>
      <c r="J45" s="104">
        <f t="shared" si="0"/>
        <v>3.8246399999999996</v>
      </c>
      <c r="K45" s="56"/>
    </row>
    <row r="46" spans="1:11" ht="17.25" thickBot="1">
      <c r="A46" s="366"/>
      <c r="B46" s="369"/>
      <c r="C46" s="74" t="s">
        <v>69</v>
      </c>
      <c r="D46" s="105">
        <f>H39</f>
        <v>1.44</v>
      </c>
      <c r="E46" s="93" t="s">
        <v>60</v>
      </c>
      <c r="F46" s="76">
        <v>0.71</v>
      </c>
      <c r="G46" s="94" t="s">
        <v>15</v>
      </c>
      <c r="H46" s="95">
        <f>D46*F46</f>
        <v>1.0224</v>
      </c>
      <c r="I46" s="94">
        <v>3.2</v>
      </c>
      <c r="J46" s="106">
        <f t="shared" si="0"/>
        <v>3.27168</v>
      </c>
      <c r="K46" s="56"/>
    </row>
    <row r="47" spans="1:11" ht="33.75" customHeight="1" thickTop="1">
      <c r="A47" s="364">
        <v>8</v>
      </c>
      <c r="B47" s="373" t="s">
        <v>92</v>
      </c>
      <c r="C47" s="374" t="s">
        <v>93</v>
      </c>
      <c r="D47" s="375"/>
      <c r="E47" s="375"/>
      <c r="F47" s="376"/>
      <c r="G47" s="57" t="s">
        <v>67</v>
      </c>
      <c r="H47" s="97">
        <v>299.5</v>
      </c>
      <c r="I47" s="59"/>
      <c r="J47" s="60"/>
      <c r="K47" s="56"/>
    </row>
    <row r="48" spans="1:12" ht="16.5">
      <c r="A48" s="365"/>
      <c r="B48" s="368"/>
      <c r="C48" s="61" t="s">
        <v>59</v>
      </c>
      <c r="D48" s="98">
        <f>H47</f>
        <v>299.5</v>
      </c>
      <c r="E48" s="63" t="s">
        <v>60</v>
      </c>
      <c r="F48" s="99">
        <v>0.851</v>
      </c>
      <c r="G48" s="55" t="s">
        <v>61</v>
      </c>
      <c r="H48" s="65">
        <f>D48*F48</f>
        <v>254.87449999999998</v>
      </c>
      <c r="I48" s="54">
        <v>7.8</v>
      </c>
      <c r="J48" s="66">
        <f>I48*H48</f>
        <v>1988.0211</v>
      </c>
      <c r="K48" s="56"/>
      <c r="L48" s="1">
        <f>J47/H47</f>
        <v>0</v>
      </c>
    </row>
    <row r="49" spans="1:11" ht="33">
      <c r="A49" s="365"/>
      <c r="B49" s="368"/>
      <c r="C49" s="107" t="s">
        <v>94</v>
      </c>
      <c r="D49" s="108">
        <f>H47</f>
        <v>299.5</v>
      </c>
      <c r="E49" s="109" t="s">
        <v>60</v>
      </c>
      <c r="F49" s="110">
        <v>1.02</v>
      </c>
      <c r="G49" s="10" t="s">
        <v>67</v>
      </c>
      <c r="H49" s="88">
        <f>F49*D49</f>
        <v>305.49</v>
      </c>
      <c r="I49" s="10">
        <v>21</v>
      </c>
      <c r="J49" s="89">
        <f>I49*H49</f>
        <v>6415.29</v>
      </c>
      <c r="K49" s="56"/>
    </row>
    <row r="50" spans="1:11" ht="17.25" thickBot="1">
      <c r="A50" s="366"/>
      <c r="B50" s="369"/>
      <c r="C50" s="74" t="s">
        <v>95</v>
      </c>
      <c r="D50" s="101">
        <f>H47</f>
        <v>299.5</v>
      </c>
      <c r="E50" s="76" t="s">
        <v>60</v>
      </c>
      <c r="F50" s="77">
        <v>0.233</v>
      </c>
      <c r="G50" s="78" t="s">
        <v>64</v>
      </c>
      <c r="H50" s="79">
        <f>F50*D50</f>
        <v>69.7835</v>
      </c>
      <c r="I50" s="78">
        <v>2.7</v>
      </c>
      <c r="J50" s="80">
        <f>I50*H50</f>
        <v>188.41545000000002</v>
      </c>
      <c r="K50" s="56"/>
    </row>
    <row r="51" spans="1:11" ht="17.25" thickTop="1">
      <c r="A51" s="364">
        <v>9</v>
      </c>
      <c r="B51" s="373" t="s">
        <v>96</v>
      </c>
      <c r="C51" s="370" t="s">
        <v>97</v>
      </c>
      <c r="D51" s="371"/>
      <c r="E51" s="371"/>
      <c r="F51" s="372"/>
      <c r="G51" s="57" t="s">
        <v>67</v>
      </c>
      <c r="H51" s="97">
        <v>299.5</v>
      </c>
      <c r="I51" s="59"/>
      <c r="J51" s="60"/>
      <c r="K51" s="56"/>
    </row>
    <row r="52" spans="1:11" ht="16.5">
      <c r="A52" s="365"/>
      <c r="B52" s="368"/>
      <c r="C52" s="61" t="s">
        <v>59</v>
      </c>
      <c r="D52" s="98">
        <f>H51</f>
        <v>299.5</v>
      </c>
      <c r="E52" s="63" t="s">
        <v>60</v>
      </c>
      <c r="F52" s="100">
        <v>0.0424</v>
      </c>
      <c r="G52" s="55" t="s">
        <v>61</v>
      </c>
      <c r="H52" s="65">
        <f>D52*F52</f>
        <v>12.6988</v>
      </c>
      <c r="I52" s="54">
        <v>7.8</v>
      </c>
      <c r="J52" s="66">
        <f>I52*H52</f>
        <v>99.05064</v>
      </c>
      <c r="K52" s="56"/>
    </row>
    <row r="53" spans="1:11" ht="17.25" thickBot="1">
      <c r="A53" s="366"/>
      <c r="B53" s="369"/>
      <c r="C53" s="74" t="s">
        <v>98</v>
      </c>
      <c r="D53" s="111">
        <f>H51</f>
        <v>299.5</v>
      </c>
      <c r="E53" s="76" t="s">
        <v>60</v>
      </c>
      <c r="F53" s="112">
        <f>0.3</f>
        <v>0.3</v>
      </c>
      <c r="G53" s="78" t="s">
        <v>64</v>
      </c>
      <c r="H53" s="79">
        <f>F53*D53</f>
        <v>89.85</v>
      </c>
      <c r="I53" s="78">
        <v>3.4</v>
      </c>
      <c r="J53" s="80">
        <f>I53*H53</f>
        <v>305.48999999999995</v>
      </c>
      <c r="K53" s="56"/>
    </row>
    <row r="54" spans="1:11" ht="17.25" thickTop="1">
      <c r="A54" s="364">
        <v>10</v>
      </c>
      <c r="B54" s="373" t="s">
        <v>99</v>
      </c>
      <c r="C54" s="370" t="s">
        <v>100</v>
      </c>
      <c r="D54" s="371"/>
      <c r="E54" s="371"/>
      <c r="F54" s="372"/>
      <c r="G54" s="57" t="s">
        <v>67</v>
      </c>
      <c r="H54" s="81">
        <v>299.5</v>
      </c>
      <c r="I54" s="59"/>
      <c r="J54" s="60"/>
      <c r="K54" s="56"/>
    </row>
    <row r="55" spans="1:11" ht="16.5">
      <c r="A55" s="365"/>
      <c r="B55" s="368"/>
      <c r="C55" s="61" t="s">
        <v>59</v>
      </c>
      <c r="D55" s="82">
        <f>H54</f>
        <v>299.5</v>
      </c>
      <c r="E55" s="63" t="s">
        <v>60</v>
      </c>
      <c r="F55" s="99">
        <v>0.741</v>
      </c>
      <c r="G55" s="55" t="s">
        <v>61</v>
      </c>
      <c r="H55" s="65">
        <f>D55*F55</f>
        <v>221.9295</v>
      </c>
      <c r="I55" s="54">
        <v>7.8</v>
      </c>
      <c r="J55" s="66">
        <f>I55*H55</f>
        <v>1731.0501</v>
      </c>
      <c r="K55" s="56"/>
    </row>
    <row r="56" spans="1:11" ht="16.5">
      <c r="A56" s="365"/>
      <c r="B56" s="368"/>
      <c r="C56" s="61" t="s">
        <v>101</v>
      </c>
      <c r="D56" s="82">
        <f>H54</f>
        <v>299.5</v>
      </c>
      <c r="E56" s="63" t="s">
        <v>60</v>
      </c>
      <c r="F56" s="99">
        <v>0.246</v>
      </c>
      <c r="G56" s="10" t="s">
        <v>102</v>
      </c>
      <c r="H56" s="88">
        <f>F56*D56</f>
        <v>73.67699999999999</v>
      </c>
      <c r="I56" s="10">
        <v>6.5</v>
      </c>
      <c r="J56" s="89">
        <f>I56*H56</f>
        <v>478.90049999999997</v>
      </c>
      <c r="K56" s="56"/>
    </row>
    <row r="57" spans="1:11" ht="16.5">
      <c r="A57" s="365"/>
      <c r="B57" s="368"/>
      <c r="C57" s="67" t="s">
        <v>103</v>
      </c>
      <c r="D57" s="83">
        <f>H54</f>
        <v>299.5</v>
      </c>
      <c r="E57" s="69" t="s">
        <v>60</v>
      </c>
      <c r="F57" s="113">
        <v>0.127</v>
      </c>
      <c r="G57" s="71" t="s">
        <v>72</v>
      </c>
      <c r="H57" s="84">
        <f>F57*D57</f>
        <v>38.036500000000004</v>
      </c>
      <c r="I57" s="71">
        <v>5</v>
      </c>
      <c r="J57" s="73">
        <f>I57*H57</f>
        <v>190.1825</v>
      </c>
      <c r="K57" s="56"/>
    </row>
    <row r="58" spans="1:11" ht="17.25" thickBot="1">
      <c r="A58" s="366"/>
      <c r="B58" s="369"/>
      <c r="C58" s="74" t="s">
        <v>82</v>
      </c>
      <c r="D58" s="105">
        <f>H54</f>
        <v>299.5</v>
      </c>
      <c r="E58" s="93" t="s">
        <v>60</v>
      </c>
      <c r="F58" s="76">
        <v>0.017</v>
      </c>
      <c r="G58" s="94" t="s">
        <v>15</v>
      </c>
      <c r="H58" s="95">
        <f>D58*F58</f>
        <v>5.091500000000001</v>
      </c>
      <c r="I58" s="94">
        <v>3.2</v>
      </c>
      <c r="J58" s="96">
        <f>I58*H58</f>
        <v>16.292800000000003</v>
      </c>
      <c r="K58" s="56"/>
    </row>
    <row r="59" spans="1:11" ht="35.25" customHeight="1" thickTop="1">
      <c r="A59" s="364">
        <v>11</v>
      </c>
      <c r="B59" s="373" t="s">
        <v>104</v>
      </c>
      <c r="C59" s="370" t="s">
        <v>105</v>
      </c>
      <c r="D59" s="371"/>
      <c r="E59" s="371"/>
      <c r="F59" s="372"/>
      <c r="G59" s="57" t="s">
        <v>72</v>
      </c>
      <c r="H59" s="81">
        <f>155*0.12</f>
        <v>18.599999999999998</v>
      </c>
      <c r="I59" s="59"/>
      <c r="J59" s="60"/>
      <c r="K59" s="56"/>
    </row>
    <row r="60" spans="1:11" ht="16.5">
      <c r="A60" s="365"/>
      <c r="B60" s="368"/>
      <c r="C60" s="61" t="s">
        <v>59</v>
      </c>
      <c r="D60" s="82">
        <f>H59</f>
        <v>18.599999999999998</v>
      </c>
      <c r="E60" s="63" t="s">
        <v>60</v>
      </c>
      <c r="F60" s="64">
        <v>3.36</v>
      </c>
      <c r="G60" s="55" t="s">
        <v>61</v>
      </c>
      <c r="H60" s="65">
        <f>D60*F60</f>
        <v>62.49599999999999</v>
      </c>
      <c r="I60" s="54">
        <v>7.8</v>
      </c>
      <c r="J60" s="66">
        <f>I60*H60</f>
        <v>487.4687999999999</v>
      </c>
      <c r="K60" s="56"/>
    </row>
    <row r="61" spans="1:11" ht="16.5">
      <c r="A61" s="365"/>
      <c r="B61" s="368"/>
      <c r="C61" s="61" t="s">
        <v>106</v>
      </c>
      <c r="D61" s="82">
        <f>H59</f>
        <v>18.599999999999998</v>
      </c>
      <c r="E61" s="63" t="s">
        <v>60</v>
      </c>
      <c r="F61" s="87">
        <f>1/0.19/0.15/0.39</f>
        <v>89.9685110211426</v>
      </c>
      <c r="G61" s="10" t="s">
        <v>102</v>
      </c>
      <c r="H61" s="88">
        <f>F61*D61</f>
        <v>1673.4143049932522</v>
      </c>
      <c r="I61" s="10">
        <v>0.79</v>
      </c>
      <c r="J61" s="89">
        <f>I61*H61</f>
        <v>1321.9973009446694</v>
      </c>
      <c r="K61" s="56"/>
    </row>
    <row r="62" spans="1:11" ht="16.5">
      <c r="A62" s="365"/>
      <c r="B62" s="368"/>
      <c r="C62" s="67" t="s">
        <v>107</v>
      </c>
      <c r="D62" s="83">
        <f>H59</f>
        <v>18.599999999999998</v>
      </c>
      <c r="E62" s="69" t="s">
        <v>60</v>
      </c>
      <c r="F62" s="85">
        <v>0.11</v>
      </c>
      <c r="G62" s="71" t="s">
        <v>72</v>
      </c>
      <c r="H62" s="84">
        <f>F62*D62</f>
        <v>2.046</v>
      </c>
      <c r="I62" s="71">
        <v>87</v>
      </c>
      <c r="J62" s="73">
        <f>I62*H62</f>
        <v>178.00199999999998</v>
      </c>
      <c r="K62" s="56"/>
    </row>
    <row r="63" spans="1:11" ht="17.25" thickBot="1">
      <c r="A63" s="366"/>
      <c r="B63" s="369"/>
      <c r="C63" s="74" t="s">
        <v>82</v>
      </c>
      <c r="D63" s="105">
        <f>H59</f>
        <v>18.599999999999998</v>
      </c>
      <c r="E63" s="93" t="s">
        <v>60</v>
      </c>
      <c r="F63" s="76">
        <v>0.92</v>
      </c>
      <c r="G63" s="94" t="s">
        <v>15</v>
      </c>
      <c r="H63" s="95">
        <f>D63*F63</f>
        <v>17.112</v>
      </c>
      <c r="I63" s="94">
        <v>3.2</v>
      </c>
      <c r="J63" s="96">
        <f>I63*H63</f>
        <v>54.758399999999995</v>
      </c>
      <c r="K63" s="56"/>
    </row>
    <row r="64" spans="1:11" ht="34.5" customHeight="1" thickTop="1">
      <c r="A64" s="364">
        <v>12</v>
      </c>
      <c r="B64" s="373" t="s">
        <v>108</v>
      </c>
      <c r="C64" s="370" t="s">
        <v>109</v>
      </c>
      <c r="D64" s="371"/>
      <c r="E64" s="371"/>
      <c r="F64" s="372"/>
      <c r="G64" s="57" t="s">
        <v>67</v>
      </c>
      <c r="H64" s="57">
        <v>25.2</v>
      </c>
      <c r="I64" s="59"/>
      <c r="J64" s="60"/>
      <c r="K64" s="56"/>
    </row>
    <row r="65" spans="1:11" ht="16.5">
      <c r="A65" s="365"/>
      <c r="B65" s="368"/>
      <c r="C65" s="61" t="s">
        <v>59</v>
      </c>
      <c r="D65" s="82">
        <f>H64</f>
        <v>25.2</v>
      </c>
      <c r="E65" s="63" t="s">
        <v>60</v>
      </c>
      <c r="F65" s="64">
        <v>2.72</v>
      </c>
      <c r="G65" s="55" t="s">
        <v>61</v>
      </c>
      <c r="H65" s="65">
        <f>D65*F65</f>
        <v>68.544</v>
      </c>
      <c r="I65" s="54">
        <v>7.8</v>
      </c>
      <c r="J65" s="66">
        <f>I65*H65</f>
        <v>534.6432</v>
      </c>
      <c r="K65" s="56"/>
    </row>
    <row r="66" spans="1:11" ht="17.25" thickBot="1">
      <c r="A66" s="366"/>
      <c r="B66" s="369"/>
      <c r="C66" s="377" t="s">
        <v>110</v>
      </c>
      <c r="D66" s="378">
        <f>H64</f>
        <v>25.2</v>
      </c>
      <c r="E66" s="378" t="s">
        <v>60</v>
      </c>
      <c r="F66" s="379">
        <v>0.0146</v>
      </c>
      <c r="G66" s="78" t="s">
        <v>67</v>
      </c>
      <c r="H66" s="79">
        <f>H64</f>
        <v>25.2</v>
      </c>
      <c r="I66" s="78">
        <v>152</v>
      </c>
      <c r="J66" s="80">
        <f>I66*H66</f>
        <v>3830.4</v>
      </c>
      <c r="K66" s="56"/>
    </row>
    <row r="67" spans="1:11" ht="33.75" customHeight="1" thickTop="1">
      <c r="A67" s="364">
        <v>13</v>
      </c>
      <c r="B67" s="373" t="s">
        <v>108</v>
      </c>
      <c r="C67" s="370" t="s">
        <v>111</v>
      </c>
      <c r="D67" s="371"/>
      <c r="E67" s="371"/>
      <c r="F67" s="372"/>
      <c r="G67" s="57" t="s">
        <v>67</v>
      </c>
      <c r="H67" s="57">
        <v>7.35</v>
      </c>
      <c r="I67" s="59"/>
      <c r="J67" s="60"/>
      <c r="K67" s="56"/>
    </row>
    <row r="68" spans="1:11" ht="16.5">
      <c r="A68" s="365"/>
      <c r="B68" s="368"/>
      <c r="C68" s="61" t="s">
        <v>59</v>
      </c>
      <c r="D68" s="82">
        <f>H67</f>
        <v>7.35</v>
      </c>
      <c r="E68" s="63" t="s">
        <v>60</v>
      </c>
      <c r="F68" s="64">
        <v>2.72</v>
      </c>
      <c r="G68" s="55" t="s">
        <v>61</v>
      </c>
      <c r="H68" s="65">
        <f>D68*F68</f>
        <v>19.992</v>
      </c>
      <c r="I68" s="54">
        <v>7.8</v>
      </c>
      <c r="J68" s="66">
        <f>I68*H68</f>
        <v>155.9376</v>
      </c>
      <c r="K68" s="56"/>
    </row>
    <row r="69" spans="1:11" ht="17.25" thickBot="1">
      <c r="A69" s="366"/>
      <c r="B69" s="369"/>
      <c r="C69" s="377" t="s">
        <v>110</v>
      </c>
      <c r="D69" s="378">
        <f>H67</f>
        <v>7.35</v>
      </c>
      <c r="E69" s="378" t="s">
        <v>60</v>
      </c>
      <c r="F69" s="379">
        <v>0.0146</v>
      </c>
      <c r="G69" s="78" t="s">
        <v>67</v>
      </c>
      <c r="H69" s="79">
        <f>H67</f>
        <v>7.35</v>
      </c>
      <c r="I69" s="78">
        <v>152</v>
      </c>
      <c r="J69" s="80">
        <f>I69*H69</f>
        <v>1117.2</v>
      </c>
      <c r="K69" s="56"/>
    </row>
    <row r="70" spans="1:11" ht="33" customHeight="1" thickTop="1">
      <c r="A70" s="364">
        <v>14</v>
      </c>
      <c r="B70" s="373" t="s">
        <v>108</v>
      </c>
      <c r="C70" s="370" t="s">
        <v>112</v>
      </c>
      <c r="D70" s="371"/>
      <c r="E70" s="371"/>
      <c r="F70" s="372"/>
      <c r="G70" s="57" t="s">
        <v>67</v>
      </c>
      <c r="H70" s="57">
        <v>4</v>
      </c>
      <c r="I70" s="59"/>
      <c r="J70" s="60"/>
      <c r="K70" s="56"/>
    </row>
    <row r="71" spans="1:11" ht="16.5">
      <c r="A71" s="365"/>
      <c r="B71" s="368"/>
      <c r="C71" s="61" t="s">
        <v>59</v>
      </c>
      <c r="D71" s="82">
        <f>H70</f>
        <v>4</v>
      </c>
      <c r="E71" s="63" t="s">
        <v>60</v>
      </c>
      <c r="F71" s="64">
        <v>2.72</v>
      </c>
      <c r="G71" s="55" t="s">
        <v>61</v>
      </c>
      <c r="H71" s="65">
        <f>D71*F71</f>
        <v>10.88</v>
      </c>
      <c r="I71" s="54">
        <v>7.8</v>
      </c>
      <c r="J71" s="66">
        <f>I71*H71</f>
        <v>84.864</v>
      </c>
      <c r="K71" s="56"/>
    </row>
    <row r="72" spans="1:11" ht="17.25" thickBot="1">
      <c r="A72" s="366"/>
      <c r="B72" s="369"/>
      <c r="C72" s="377" t="s">
        <v>110</v>
      </c>
      <c r="D72" s="378">
        <f>H70</f>
        <v>4</v>
      </c>
      <c r="E72" s="378" t="s">
        <v>60</v>
      </c>
      <c r="F72" s="379">
        <v>0.0146</v>
      </c>
      <c r="G72" s="78" t="s">
        <v>67</v>
      </c>
      <c r="H72" s="79">
        <f>H70</f>
        <v>4</v>
      </c>
      <c r="I72" s="78">
        <v>152</v>
      </c>
      <c r="J72" s="80">
        <f>I72*H72</f>
        <v>608</v>
      </c>
      <c r="K72" s="56"/>
    </row>
    <row r="73" spans="1:11" ht="17.25" thickTop="1">
      <c r="A73" s="364">
        <v>15</v>
      </c>
      <c r="B73" s="373" t="s">
        <v>113</v>
      </c>
      <c r="C73" s="370" t="s">
        <v>114</v>
      </c>
      <c r="D73" s="371"/>
      <c r="E73" s="371"/>
      <c r="F73" s="372"/>
      <c r="G73" s="57" t="s">
        <v>67</v>
      </c>
      <c r="H73" s="57">
        <v>2.2</v>
      </c>
      <c r="I73" s="59"/>
      <c r="J73" s="60"/>
      <c r="K73" s="56"/>
    </row>
    <row r="74" spans="1:11" ht="16.5">
      <c r="A74" s="365"/>
      <c r="B74" s="368"/>
      <c r="C74" s="61" t="s">
        <v>59</v>
      </c>
      <c r="D74" s="98">
        <f>H73</f>
        <v>2.2</v>
      </c>
      <c r="E74" s="63" t="s">
        <v>60</v>
      </c>
      <c r="F74" s="64">
        <v>1.79</v>
      </c>
      <c r="G74" s="55" t="s">
        <v>61</v>
      </c>
      <c r="H74" s="65">
        <f>D74*F74</f>
        <v>3.9380000000000006</v>
      </c>
      <c r="I74" s="54">
        <v>7.8</v>
      </c>
      <c r="J74" s="66">
        <f>I74*H74</f>
        <v>30.716400000000004</v>
      </c>
      <c r="K74" s="56"/>
    </row>
    <row r="75" spans="1:11" ht="17.25" thickBot="1">
      <c r="A75" s="366"/>
      <c r="B75" s="369"/>
      <c r="C75" s="74" t="s">
        <v>107</v>
      </c>
      <c r="D75" s="101">
        <f>H73</f>
        <v>2.2</v>
      </c>
      <c r="E75" s="76" t="s">
        <v>60</v>
      </c>
      <c r="F75" s="114">
        <v>0.044</v>
      </c>
      <c r="G75" s="78" t="s">
        <v>72</v>
      </c>
      <c r="H75" s="79">
        <f>F75*D75</f>
        <v>0.0968</v>
      </c>
      <c r="I75" s="78">
        <v>101</v>
      </c>
      <c r="J75" s="80">
        <f>I75*H75</f>
        <v>9.7768</v>
      </c>
      <c r="K75" s="56"/>
    </row>
    <row r="76" spans="1:11" ht="17.25" thickTop="1">
      <c r="A76" s="364">
        <v>16</v>
      </c>
      <c r="B76" s="373" t="s">
        <v>115</v>
      </c>
      <c r="C76" s="370" t="s">
        <v>116</v>
      </c>
      <c r="D76" s="371"/>
      <c r="E76" s="371"/>
      <c r="F76" s="372"/>
      <c r="G76" s="57" t="s">
        <v>67</v>
      </c>
      <c r="H76" s="57">
        <v>168.5</v>
      </c>
      <c r="I76" s="59"/>
      <c r="J76" s="60"/>
      <c r="K76" s="56"/>
    </row>
    <row r="77" spans="1:11" ht="16.5">
      <c r="A77" s="365"/>
      <c r="B77" s="368"/>
      <c r="C77" s="61" t="s">
        <v>59</v>
      </c>
      <c r="D77" s="98">
        <f>H76</f>
        <v>168.5</v>
      </c>
      <c r="E77" s="63" t="s">
        <v>60</v>
      </c>
      <c r="F77" s="64">
        <v>0.93</v>
      </c>
      <c r="G77" s="55" t="s">
        <v>61</v>
      </c>
      <c r="H77" s="65">
        <f>D77*F77</f>
        <v>156.705</v>
      </c>
      <c r="I77" s="54">
        <v>7.8</v>
      </c>
      <c r="J77" s="66">
        <f>I77*H77</f>
        <v>1222.299</v>
      </c>
      <c r="K77" s="56"/>
    </row>
    <row r="78" spans="1:11" ht="16.5">
      <c r="A78" s="365"/>
      <c r="B78" s="368"/>
      <c r="C78" s="67" t="s">
        <v>117</v>
      </c>
      <c r="D78" s="115">
        <f>H76</f>
        <v>168.5</v>
      </c>
      <c r="E78" s="69" t="s">
        <v>60</v>
      </c>
      <c r="F78" s="70">
        <v>0.0255</v>
      </c>
      <c r="G78" s="71" t="s">
        <v>72</v>
      </c>
      <c r="H78" s="84">
        <f>F78*D78</f>
        <v>4.296749999999999</v>
      </c>
      <c r="I78" s="71">
        <v>101</v>
      </c>
      <c r="J78" s="73">
        <f>I78*H78</f>
        <v>433.97174999999993</v>
      </c>
      <c r="K78" s="56"/>
    </row>
    <row r="79" spans="1:11" ht="16.5">
      <c r="A79" s="365"/>
      <c r="B79" s="368"/>
      <c r="C79" s="67" t="s">
        <v>118</v>
      </c>
      <c r="D79" s="115">
        <f>H76</f>
        <v>168.5</v>
      </c>
      <c r="E79" s="69" t="s">
        <v>60</v>
      </c>
      <c r="F79" s="70">
        <v>0.024</v>
      </c>
      <c r="G79" s="71" t="s">
        <v>119</v>
      </c>
      <c r="H79" s="84">
        <f>F79*D79</f>
        <v>4.0440000000000005</v>
      </c>
      <c r="I79" s="71">
        <v>7.16</v>
      </c>
      <c r="J79" s="73">
        <f>I79*H79</f>
        <v>28.955040000000004</v>
      </c>
      <c r="K79" s="56"/>
    </row>
    <row r="80" spans="1:11" ht="17.25" thickBot="1">
      <c r="A80" s="366"/>
      <c r="B80" s="369"/>
      <c r="C80" s="74" t="s">
        <v>82</v>
      </c>
      <c r="D80" s="116">
        <f>H76</f>
        <v>168.5</v>
      </c>
      <c r="E80" s="93" t="s">
        <v>60</v>
      </c>
      <c r="F80" s="76">
        <v>0.026</v>
      </c>
      <c r="G80" s="94" t="s">
        <v>15</v>
      </c>
      <c r="H80" s="95">
        <f>D80*F80</f>
        <v>4.381</v>
      </c>
      <c r="I80" s="94">
        <v>3.2</v>
      </c>
      <c r="J80" s="96">
        <f>I80*H80</f>
        <v>14.019200000000001</v>
      </c>
      <c r="K80" s="56"/>
    </row>
    <row r="81" spans="1:11" ht="33.75" customHeight="1" thickTop="1">
      <c r="A81" s="364">
        <v>17</v>
      </c>
      <c r="B81" s="373" t="s">
        <v>120</v>
      </c>
      <c r="C81" s="370" t="s">
        <v>121</v>
      </c>
      <c r="D81" s="371"/>
      <c r="E81" s="371"/>
      <c r="F81" s="372"/>
      <c r="G81" s="57" t="s">
        <v>67</v>
      </c>
      <c r="H81" s="57">
        <v>207.5</v>
      </c>
      <c r="I81" s="59"/>
      <c r="J81" s="60"/>
      <c r="K81" s="56"/>
    </row>
    <row r="82" spans="1:11" ht="16.5">
      <c r="A82" s="365"/>
      <c r="B82" s="368"/>
      <c r="C82" s="61" t="s">
        <v>59</v>
      </c>
      <c r="D82" s="98">
        <f>H81</f>
        <v>207.5</v>
      </c>
      <c r="E82" s="63" t="s">
        <v>60</v>
      </c>
      <c r="F82" s="64">
        <v>1.7</v>
      </c>
      <c r="G82" s="55" t="s">
        <v>61</v>
      </c>
      <c r="H82" s="65">
        <f>D82*F82</f>
        <v>352.75</v>
      </c>
      <c r="I82" s="54">
        <v>7.8</v>
      </c>
      <c r="J82" s="66">
        <f>I82*H82</f>
        <v>2751.45</v>
      </c>
      <c r="K82" s="56"/>
    </row>
    <row r="83" spans="1:11" ht="16.5">
      <c r="A83" s="365"/>
      <c r="B83" s="368"/>
      <c r="C83" s="61" t="s">
        <v>122</v>
      </c>
      <c r="D83" s="98">
        <f>H81</f>
        <v>207.5</v>
      </c>
      <c r="E83" s="63" t="s">
        <v>60</v>
      </c>
      <c r="F83" s="64">
        <v>1</v>
      </c>
      <c r="G83" s="55" t="s">
        <v>61</v>
      </c>
      <c r="H83" s="65">
        <f>D83*F83</f>
        <v>207.5</v>
      </c>
      <c r="I83" s="54">
        <v>18</v>
      </c>
      <c r="J83" s="66">
        <f>I83*H83</f>
        <v>3735</v>
      </c>
      <c r="K83" s="56"/>
    </row>
    <row r="84" spans="1:11" ht="17.25" thickBot="1">
      <c r="A84" s="366"/>
      <c r="B84" s="369"/>
      <c r="C84" s="74" t="s">
        <v>123</v>
      </c>
      <c r="D84" s="101">
        <f>H81</f>
        <v>207.5</v>
      </c>
      <c r="E84" s="76" t="s">
        <v>60</v>
      </c>
      <c r="F84" s="114">
        <v>0.015</v>
      </c>
      <c r="G84" s="78" t="s">
        <v>72</v>
      </c>
      <c r="H84" s="79">
        <f>F84*D84</f>
        <v>3.1125</v>
      </c>
      <c r="I84" s="78">
        <v>116</v>
      </c>
      <c r="J84" s="80">
        <f>I84*H84</f>
        <v>361.04999999999995</v>
      </c>
      <c r="K84" s="56"/>
    </row>
    <row r="85" spans="1:11" ht="33.75" customHeight="1" thickTop="1">
      <c r="A85" s="364">
        <v>18</v>
      </c>
      <c r="B85" s="373" t="s">
        <v>124</v>
      </c>
      <c r="C85" s="374" t="s">
        <v>125</v>
      </c>
      <c r="D85" s="375"/>
      <c r="E85" s="375"/>
      <c r="F85" s="376"/>
      <c r="G85" s="57" t="s">
        <v>67</v>
      </c>
      <c r="H85" s="97">
        <v>108</v>
      </c>
      <c r="I85" s="59"/>
      <c r="J85" s="60"/>
      <c r="K85" s="56"/>
    </row>
    <row r="86" spans="1:11" ht="16.5">
      <c r="A86" s="365"/>
      <c r="B86" s="368"/>
      <c r="C86" s="61" t="s">
        <v>59</v>
      </c>
      <c r="D86" s="98">
        <f>H85</f>
        <v>108</v>
      </c>
      <c r="E86" s="63" t="s">
        <v>60</v>
      </c>
      <c r="F86" s="99">
        <v>0.714</v>
      </c>
      <c r="G86" s="55" t="s">
        <v>61</v>
      </c>
      <c r="H86" s="65">
        <f>D86*F86</f>
        <v>77.112</v>
      </c>
      <c r="I86" s="54">
        <v>7.8</v>
      </c>
      <c r="J86" s="66">
        <f>I86*H86</f>
        <v>601.4735999999999</v>
      </c>
      <c r="K86" s="56"/>
    </row>
    <row r="87" spans="1:11" ht="33.75" thickBot="1">
      <c r="A87" s="365"/>
      <c r="B87" s="368"/>
      <c r="C87" s="107" t="s">
        <v>126</v>
      </c>
      <c r="D87" s="108">
        <f>H85</f>
        <v>108</v>
      </c>
      <c r="E87" s="109" t="s">
        <v>60</v>
      </c>
      <c r="F87" s="117">
        <v>1</v>
      </c>
      <c r="G87" s="10" t="s">
        <v>67</v>
      </c>
      <c r="H87" s="88">
        <f>F87*D87</f>
        <v>108</v>
      </c>
      <c r="I87" s="10">
        <v>13.8</v>
      </c>
      <c r="J87" s="89">
        <f>I87*H87</f>
        <v>1490.4</v>
      </c>
      <c r="K87" s="56"/>
    </row>
    <row r="88" spans="1:11" ht="34.5" customHeight="1" thickTop="1">
      <c r="A88" s="364">
        <v>19</v>
      </c>
      <c r="B88" s="373" t="s">
        <v>124</v>
      </c>
      <c r="C88" s="374" t="s">
        <v>127</v>
      </c>
      <c r="D88" s="375"/>
      <c r="E88" s="375"/>
      <c r="F88" s="376"/>
      <c r="G88" s="57" t="s">
        <v>67</v>
      </c>
      <c r="H88" s="97">
        <f>46.6+8</f>
        <v>54.6</v>
      </c>
      <c r="I88" s="59"/>
      <c r="J88" s="60"/>
      <c r="K88" s="56"/>
    </row>
    <row r="89" spans="1:11" ht="16.5">
      <c r="A89" s="365"/>
      <c r="B89" s="368"/>
      <c r="C89" s="61" t="s">
        <v>59</v>
      </c>
      <c r="D89" s="98">
        <f>H88</f>
        <v>54.6</v>
      </c>
      <c r="E89" s="63" t="s">
        <v>60</v>
      </c>
      <c r="F89" s="99">
        <v>0.714</v>
      </c>
      <c r="G89" s="55" t="s">
        <v>61</v>
      </c>
      <c r="H89" s="65">
        <f>D89*F89</f>
        <v>38.9844</v>
      </c>
      <c r="I89" s="54">
        <v>7.8</v>
      </c>
      <c r="J89" s="66">
        <f>I89*H89</f>
        <v>304.07832</v>
      </c>
      <c r="K89" s="56"/>
    </row>
    <row r="90" spans="1:11" ht="33.75" thickBot="1">
      <c r="A90" s="365"/>
      <c r="B90" s="368"/>
      <c r="C90" s="107" t="s">
        <v>126</v>
      </c>
      <c r="D90" s="108">
        <f>H88</f>
        <v>54.6</v>
      </c>
      <c r="E90" s="109" t="s">
        <v>60</v>
      </c>
      <c r="F90" s="117">
        <v>1</v>
      </c>
      <c r="G90" s="10" t="s">
        <v>67</v>
      </c>
      <c r="H90" s="88">
        <f>F90*D90</f>
        <v>54.6</v>
      </c>
      <c r="I90" s="10">
        <v>13.8</v>
      </c>
      <c r="J90" s="89">
        <f>I90*H90</f>
        <v>753.48</v>
      </c>
      <c r="K90" s="56"/>
    </row>
    <row r="91" spans="1:11" ht="17.25" thickTop="1">
      <c r="A91" s="364">
        <v>20</v>
      </c>
      <c r="B91" s="373" t="s">
        <v>128</v>
      </c>
      <c r="C91" s="370" t="s">
        <v>129</v>
      </c>
      <c r="D91" s="371"/>
      <c r="E91" s="371"/>
      <c r="F91" s="372"/>
      <c r="G91" s="57" t="s">
        <v>67</v>
      </c>
      <c r="H91" s="97">
        <f>H88</f>
        <v>54.6</v>
      </c>
      <c r="I91" s="59"/>
      <c r="J91" s="60"/>
      <c r="K91" s="56"/>
    </row>
    <row r="92" spans="1:11" ht="16.5">
      <c r="A92" s="365"/>
      <c r="B92" s="368"/>
      <c r="C92" s="61" t="s">
        <v>59</v>
      </c>
      <c r="D92" s="98">
        <f>H91</f>
        <v>54.6</v>
      </c>
      <c r="E92" s="63" t="s">
        <v>60</v>
      </c>
      <c r="F92" s="99">
        <v>0.856</v>
      </c>
      <c r="G92" s="55" t="s">
        <v>61</v>
      </c>
      <c r="H92" s="65">
        <f>D92*F92</f>
        <v>46.7376</v>
      </c>
      <c r="I92" s="54">
        <v>7.8</v>
      </c>
      <c r="J92" s="66">
        <f>I92*H92</f>
        <v>364.55328</v>
      </c>
      <c r="K92" s="56"/>
    </row>
    <row r="93" spans="1:11" ht="16.5">
      <c r="A93" s="365"/>
      <c r="B93" s="368"/>
      <c r="C93" s="61" t="s">
        <v>130</v>
      </c>
      <c r="D93" s="98">
        <f>H91</f>
        <v>54.6</v>
      </c>
      <c r="E93" s="63" t="s">
        <v>60</v>
      </c>
      <c r="F93" s="64">
        <v>0.92</v>
      </c>
      <c r="G93" s="10" t="s">
        <v>64</v>
      </c>
      <c r="H93" s="88">
        <f>F93*D93</f>
        <v>50.232000000000006</v>
      </c>
      <c r="I93" s="10">
        <v>0.5</v>
      </c>
      <c r="J93" s="89">
        <f>I93*H93</f>
        <v>25.116000000000003</v>
      </c>
      <c r="K93" s="56"/>
    </row>
    <row r="94" spans="1:11" ht="16.5">
      <c r="A94" s="365"/>
      <c r="B94" s="368"/>
      <c r="C94" s="67" t="s">
        <v>131</v>
      </c>
      <c r="D94" s="115">
        <f>H91</f>
        <v>54.6</v>
      </c>
      <c r="E94" s="69" t="s">
        <v>60</v>
      </c>
      <c r="F94" s="85">
        <v>0.15</v>
      </c>
      <c r="G94" s="71" t="s">
        <v>64</v>
      </c>
      <c r="H94" s="84">
        <f>F94*D94</f>
        <v>8.19</v>
      </c>
      <c r="I94" s="71">
        <v>4</v>
      </c>
      <c r="J94" s="73">
        <f>I94*H94</f>
        <v>32.76</v>
      </c>
      <c r="K94" s="56"/>
    </row>
    <row r="95" spans="1:11" ht="17.25" thickBot="1">
      <c r="A95" s="366"/>
      <c r="B95" s="369"/>
      <c r="C95" s="74" t="s">
        <v>132</v>
      </c>
      <c r="D95" s="116">
        <f>H91</f>
        <v>54.6</v>
      </c>
      <c r="E95" s="93" t="s">
        <v>60</v>
      </c>
      <c r="F95" s="76">
        <v>0.54</v>
      </c>
      <c r="G95" s="94" t="s">
        <v>64</v>
      </c>
      <c r="H95" s="95">
        <f>D95*F95</f>
        <v>29.484</v>
      </c>
      <c r="I95" s="94">
        <v>3.4</v>
      </c>
      <c r="J95" s="96">
        <f>I95*H95</f>
        <v>100.24560000000001</v>
      </c>
      <c r="K95" s="56"/>
    </row>
    <row r="96" spans="1:11" ht="39" customHeight="1" thickTop="1">
      <c r="A96" s="364">
        <v>21</v>
      </c>
      <c r="B96" s="373" t="s">
        <v>133</v>
      </c>
      <c r="C96" s="380" t="s">
        <v>134</v>
      </c>
      <c r="D96" s="381"/>
      <c r="E96" s="381"/>
      <c r="F96" s="382"/>
      <c r="G96" s="57" t="s">
        <v>67</v>
      </c>
      <c r="H96" s="57">
        <v>48.2</v>
      </c>
      <c r="I96" s="59"/>
      <c r="J96" s="60"/>
      <c r="K96" s="56"/>
    </row>
    <row r="97" spans="1:11" ht="16.5">
      <c r="A97" s="365"/>
      <c r="B97" s="368"/>
      <c r="C97" s="61" t="s">
        <v>59</v>
      </c>
      <c r="D97" s="98">
        <f>H96</f>
        <v>48.2</v>
      </c>
      <c r="E97" s="63" t="s">
        <v>60</v>
      </c>
      <c r="F97" s="99">
        <v>0.714</v>
      </c>
      <c r="G97" s="55" t="s">
        <v>61</v>
      </c>
      <c r="H97" s="65">
        <f>D97*F97</f>
        <v>34.4148</v>
      </c>
      <c r="I97" s="54">
        <v>7.8</v>
      </c>
      <c r="J97" s="66">
        <f>I97*H97</f>
        <v>268.43543999999997</v>
      </c>
      <c r="K97" s="56"/>
    </row>
    <row r="98" spans="1:11" ht="16.5">
      <c r="A98" s="365"/>
      <c r="B98" s="368"/>
      <c r="C98" s="107" t="s">
        <v>135</v>
      </c>
      <c r="D98" s="108">
        <f>H96</f>
        <v>48.2</v>
      </c>
      <c r="E98" s="109" t="s">
        <v>60</v>
      </c>
      <c r="F98" s="117">
        <v>1.02</v>
      </c>
      <c r="G98" s="10" t="s">
        <v>67</v>
      </c>
      <c r="H98" s="88">
        <f>F98*D98</f>
        <v>49.164</v>
      </c>
      <c r="I98" s="10">
        <v>12</v>
      </c>
      <c r="J98" s="89">
        <f>I98*H98</f>
        <v>589.9680000000001</v>
      </c>
      <c r="K98" s="56"/>
    </row>
    <row r="99" spans="1:11" ht="16.5">
      <c r="A99" s="365"/>
      <c r="B99" s="368"/>
      <c r="C99" s="107" t="s">
        <v>136</v>
      </c>
      <c r="D99" s="108">
        <f>H96</f>
        <v>48.2</v>
      </c>
      <c r="E99" s="109" t="s">
        <v>60</v>
      </c>
      <c r="F99" s="117">
        <v>1</v>
      </c>
      <c r="G99" s="10" t="s">
        <v>67</v>
      </c>
      <c r="H99" s="88">
        <f>F99*D99</f>
        <v>48.2</v>
      </c>
      <c r="I99" s="10">
        <v>5</v>
      </c>
      <c r="J99" s="89">
        <f>I99*H99</f>
        <v>241</v>
      </c>
      <c r="K99" s="56"/>
    </row>
    <row r="100" spans="1:11" ht="16.5">
      <c r="A100" s="365"/>
      <c r="B100" s="368"/>
      <c r="C100" s="107" t="s">
        <v>137</v>
      </c>
      <c r="D100" s="108">
        <f>H96</f>
        <v>48.2</v>
      </c>
      <c r="E100" s="109" t="s">
        <v>60</v>
      </c>
      <c r="F100" s="117">
        <v>0.03</v>
      </c>
      <c r="G100" s="10" t="s">
        <v>64</v>
      </c>
      <c r="H100" s="88">
        <f>F100*D100</f>
        <v>1.446</v>
      </c>
      <c r="I100" s="10">
        <v>3.4</v>
      </c>
      <c r="J100" s="89">
        <f>I100*H100</f>
        <v>4.916399999999999</v>
      </c>
      <c r="K100" s="56"/>
    </row>
    <row r="101" spans="1:11" ht="17.25" thickBot="1">
      <c r="A101" s="366"/>
      <c r="B101" s="369"/>
      <c r="C101" s="74" t="s">
        <v>138</v>
      </c>
      <c r="D101" s="101">
        <f>H96</f>
        <v>48.2</v>
      </c>
      <c r="E101" s="76" t="s">
        <v>60</v>
      </c>
      <c r="F101" s="118">
        <v>1.07</v>
      </c>
      <c r="G101" s="78" t="s">
        <v>139</v>
      </c>
      <c r="H101" s="79">
        <f>F101*D101</f>
        <v>51.574000000000005</v>
      </c>
      <c r="I101" s="78">
        <v>0.55</v>
      </c>
      <c r="J101" s="80">
        <f>I101*H101</f>
        <v>28.365700000000004</v>
      </c>
      <c r="K101" s="56"/>
    </row>
    <row r="102" spans="1:11" ht="17.25" thickTop="1">
      <c r="A102" s="364">
        <v>22</v>
      </c>
      <c r="B102" s="373" t="s">
        <v>128</v>
      </c>
      <c r="C102" s="370" t="s">
        <v>140</v>
      </c>
      <c r="D102" s="371"/>
      <c r="E102" s="371"/>
      <c r="F102" s="372"/>
      <c r="G102" s="57" t="s">
        <v>67</v>
      </c>
      <c r="H102" s="57">
        <v>168.5</v>
      </c>
      <c r="I102" s="59"/>
      <c r="J102" s="60"/>
      <c r="K102" s="56"/>
    </row>
    <row r="103" spans="1:11" ht="16.5">
      <c r="A103" s="365"/>
      <c r="B103" s="368"/>
      <c r="C103" s="61" t="s">
        <v>59</v>
      </c>
      <c r="D103" s="98">
        <f>H102</f>
        <v>168.5</v>
      </c>
      <c r="E103" s="63" t="s">
        <v>60</v>
      </c>
      <c r="F103" s="99">
        <v>0.658</v>
      </c>
      <c r="G103" s="55" t="s">
        <v>61</v>
      </c>
      <c r="H103" s="65">
        <f>D103*F103</f>
        <v>110.873</v>
      </c>
      <c r="I103" s="54">
        <v>7.8</v>
      </c>
      <c r="J103" s="66">
        <f>I103*H103</f>
        <v>864.8094</v>
      </c>
      <c r="K103" s="56"/>
    </row>
    <row r="104" spans="1:11" ht="16.5">
      <c r="A104" s="365"/>
      <c r="B104" s="368"/>
      <c r="C104" s="61" t="s">
        <v>130</v>
      </c>
      <c r="D104" s="98">
        <f>H102</f>
        <v>168.5</v>
      </c>
      <c r="E104" s="63" t="s">
        <v>60</v>
      </c>
      <c r="F104" s="64">
        <v>0.92</v>
      </c>
      <c r="G104" s="10" t="s">
        <v>64</v>
      </c>
      <c r="H104" s="88">
        <f>F104*D104</f>
        <v>155.02</v>
      </c>
      <c r="I104" s="10">
        <v>0.5</v>
      </c>
      <c r="J104" s="89">
        <f>I104*H104</f>
        <v>77.51</v>
      </c>
      <c r="K104" s="56"/>
    </row>
    <row r="105" spans="1:11" ht="16.5">
      <c r="A105" s="365"/>
      <c r="B105" s="368"/>
      <c r="C105" s="67" t="s">
        <v>131</v>
      </c>
      <c r="D105" s="115">
        <f>H102</f>
        <v>168.5</v>
      </c>
      <c r="E105" s="69" t="s">
        <v>60</v>
      </c>
      <c r="F105" s="85">
        <v>0.15</v>
      </c>
      <c r="G105" s="71" t="s">
        <v>64</v>
      </c>
      <c r="H105" s="84">
        <f>F105*D105</f>
        <v>25.275</v>
      </c>
      <c r="I105" s="71">
        <v>4</v>
      </c>
      <c r="J105" s="73">
        <f>I105*H105</f>
        <v>101.1</v>
      </c>
      <c r="K105" s="56"/>
    </row>
    <row r="106" spans="1:11" ht="17.25" thickBot="1">
      <c r="A106" s="366"/>
      <c r="B106" s="369"/>
      <c r="C106" s="74" t="s">
        <v>132</v>
      </c>
      <c r="D106" s="116">
        <f>H102</f>
        <v>168.5</v>
      </c>
      <c r="E106" s="93" t="s">
        <v>60</v>
      </c>
      <c r="F106" s="76">
        <v>0.54</v>
      </c>
      <c r="G106" s="94" t="s">
        <v>64</v>
      </c>
      <c r="H106" s="95">
        <f>D106*F106</f>
        <v>90.99000000000001</v>
      </c>
      <c r="I106" s="94">
        <v>3.4</v>
      </c>
      <c r="J106" s="96">
        <f>I106*H106</f>
        <v>309.36600000000004</v>
      </c>
      <c r="K106" s="56"/>
    </row>
    <row r="107" spans="1:11" ht="17.25" thickTop="1">
      <c r="A107" s="364">
        <v>23</v>
      </c>
      <c r="B107" s="373" t="s">
        <v>141</v>
      </c>
      <c r="C107" s="370" t="s">
        <v>142</v>
      </c>
      <c r="D107" s="371"/>
      <c r="E107" s="371"/>
      <c r="F107" s="372"/>
      <c r="G107" s="57" t="s">
        <v>67</v>
      </c>
      <c r="H107" s="97">
        <v>128.5</v>
      </c>
      <c r="I107" s="59"/>
      <c r="J107" s="60"/>
      <c r="K107" s="56"/>
    </row>
    <row r="108" spans="1:11" ht="16.5">
      <c r="A108" s="365"/>
      <c r="B108" s="368"/>
      <c r="C108" s="61" t="s">
        <v>59</v>
      </c>
      <c r="D108" s="98">
        <f>H107</f>
        <v>128.5</v>
      </c>
      <c r="E108" s="63" t="s">
        <v>60</v>
      </c>
      <c r="F108" s="64">
        <v>1.08</v>
      </c>
      <c r="G108" s="55" t="s">
        <v>61</v>
      </c>
      <c r="H108" s="65">
        <f>D108*F108</f>
        <v>138.78</v>
      </c>
      <c r="I108" s="54">
        <v>7.8</v>
      </c>
      <c r="J108" s="66">
        <f>I108*H108</f>
        <v>1082.484</v>
      </c>
      <c r="K108" s="56"/>
    </row>
    <row r="109" spans="1:11" ht="16.5">
      <c r="A109" s="365"/>
      <c r="B109" s="368"/>
      <c r="C109" s="61" t="s">
        <v>143</v>
      </c>
      <c r="D109" s="98">
        <f>H107</f>
        <v>128.5</v>
      </c>
      <c r="E109" s="63" t="s">
        <v>60</v>
      </c>
      <c r="F109" s="64">
        <v>1.02</v>
      </c>
      <c r="G109" s="55" t="s">
        <v>61</v>
      </c>
      <c r="H109" s="65">
        <f>D109*F109</f>
        <v>131.07</v>
      </c>
      <c r="I109" s="54">
        <v>17</v>
      </c>
      <c r="J109" s="66">
        <f>I109*H109</f>
        <v>2228.19</v>
      </c>
      <c r="K109" s="56"/>
    </row>
    <row r="110" spans="1:11" ht="17.25" thickBot="1">
      <c r="A110" s="366"/>
      <c r="B110" s="369"/>
      <c r="C110" s="74" t="s">
        <v>123</v>
      </c>
      <c r="D110" s="101">
        <f>H107</f>
        <v>128.5</v>
      </c>
      <c r="E110" s="76" t="s">
        <v>60</v>
      </c>
      <c r="F110" s="114">
        <v>0.0223</v>
      </c>
      <c r="G110" s="78" t="s">
        <v>72</v>
      </c>
      <c r="H110" s="79">
        <f>F110*D110</f>
        <v>2.8655500000000003</v>
      </c>
      <c r="I110" s="78">
        <v>93</v>
      </c>
      <c r="J110" s="80">
        <f>I110*H110</f>
        <v>266.49615</v>
      </c>
      <c r="K110" s="56"/>
    </row>
    <row r="111" spans="1:11" ht="17.25" thickTop="1">
      <c r="A111" s="364">
        <v>24</v>
      </c>
      <c r="B111" s="373" t="s">
        <v>144</v>
      </c>
      <c r="C111" s="370" t="s">
        <v>145</v>
      </c>
      <c r="D111" s="371"/>
      <c r="E111" s="371"/>
      <c r="F111" s="372"/>
      <c r="G111" s="57" t="s">
        <v>67</v>
      </c>
      <c r="H111" s="57">
        <v>91</v>
      </c>
      <c r="I111" s="59"/>
      <c r="J111" s="60"/>
      <c r="K111" s="56"/>
    </row>
    <row r="112" spans="1:11" ht="16.5">
      <c r="A112" s="365"/>
      <c r="B112" s="368"/>
      <c r="C112" s="61" t="s">
        <v>59</v>
      </c>
      <c r="D112" s="98">
        <f>H111</f>
        <v>91</v>
      </c>
      <c r="E112" s="63" t="s">
        <v>60</v>
      </c>
      <c r="F112" s="64">
        <v>1.08</v>
      </c>
      <c r="G112" s="55" t="s">
        <v>61</v>
      </c>
      <c r="H112" s="65">
        <f>D112*F112</f>
        <v>98.28</v>
      </c>
      <c r="I112" s="54">
        <v>7.8</v>
      </c>
      <c r="J112" s="66">
        <f>I112*H112</f>
        <v>766.584</v>
      </c>
      <c r="K112" s="56"/>
    </row>
    <row r="113" spans="1:11" ht="16.5">
      <c r="A113" s="365"/>
      <c r="B113" s="368"/>
      <c r="C113" s="61" t="s">
        <v>146</v>
      </c>
      <c r="D113" s="98">
        <f>H111</f>
        <v>91</v>
      </c>
      <c r="E113" s="63" t="s">
        <v>60</v>
      </c>
      <c r="F113" s="64">
        <v>1.02</v>
      </c>
      <c r="G113" s="55" t="s">
        <v>61</v>
      </c>
      <c r="H113" s="65">
        <f>D113*F113</f>
        <v>92.82000000000001</v>
      </c>
      <c r="I113" s="54">
        <v>30</v>
      </c>
      <c r="J113" s="66">
        <f>I113*H113</f>
        <v>2784.6000000000004</v>
      </c>
      <c r="K113" s="56"/>
    </row>
    <row r="114" spans="1:11" ht="17.25" thickBot="1">
      <c r="A114" s="366"/>
      <c r="B114" s="369"/>
      <c r="C114" s="74" t="s">
        <v>123</v>
      </c>
      <c r="D114" s="101">
        <f>H111</f>
        <v>91</v>
      </c>
      <c r="E114" s="76" t="s">
        <v>60</v>
      </c>
      <c r="F114" s="114">
        <v>0.0223</v>
      </c>
      <c r="G114" s="78" t="s">
        <v>72</v>
      </c>
      <c r="H114" s="79">
        <f>F114*D114</f>
        <v>2.0293</v>
      </c>
      <c r="I114" s="78">
        <v>93</v>
      </c>
      <c r="J114" s="80">
        <f>I114*H114</f>
        <v>188.72490000000002</v>
      </c>
      <c r="K114" s="56"/>
    </row>
    <row r="115" spans="1:11" ht="17.25" thickTop="1">
      <c r="A115" s="364">
        <v>25</v>
      </c>
      <c r="B115" s="373" t="s">
        <v>147</v>
      </c>
      <c r="C115" s="370" t="s">
        <v>148</v>
      </c>
      <c r="D115" s="371"/>
      <c r="E115" s="371"/>
      <c r="F115" s="372"/>
      <c r="G115" s="57" t="s">
        <v>67</v>
      </c>
      <c r="H115" s="81">
        <f>24*0.9</f>
        <v>21.6</v>
      </c>
      <c r="I115" s="59"/>
      <c r="J115" s="60"/>
      <c r="K115" s="56"/>
    </row>
    <row r="116" spans="1:11" ht="16.5">
      <c r="A116" s="365"/>
      <c r="B116" s="368"/>
      <c r="C116" s="61" t="s">
        <v>59</v>
      </c>
      <c r="D116" s="82">
        <f>H115</f>
        <v>21.6</v>
      </c>
      <c r="E116" s="63" t="s">
        <v>60</v>
      </c>
      <c r="F116" s="64">
        <v>1.11</v>
      </c>
      <c r="G116" s="55" t="s">
        <v>61</v>
      </c>
      <c r="H116" s="65">
        <f>D116*F116</f>
        <v>23.976000000000003</v>
      </c>
      <c r="I116" s="54">
        <v>7.8</v>
      </c>
      <c r="J116" s="66">
        <f>I116*H116</f>
        <v>187.01280000000003</v>
      </c>
      <c r="K116" s="56"/>
    </row>
    <row r="117" spans="1:11" ht="16.5">
      <c r="A117" s="365"/>
      <c r="B117" s="368"/>
      <c r="C117" s="61" t="s">
        <v>149</v>
      </c>
      <c r="D117" s="82">
        <f>H115</f>
        <v>21.6</v>
      </c>
      <c r="E117" s="63" t="s">
        <v>60</v>
      </c>
      <c r="F117" s="87">
        <v>1</v>
      </c>
      <c r="G117" s="10" t="s">
        <v>67</v>
      </c>
      <c r="H117" s="88">
        <f>F117*D117</f>
        <v>21.6</v>
      </c>
      <c r="I117" s="10">
        <v>48</v>
      </c>
      <c r="J117" s="89">
        <f>I117*H117</f>
        <v>1036.8000000000002</v>
      </c>
      <c r="K117" s="56"/>
    </row>
    <row r="118" spans="1:11" ht="17.25" thickBot="1">
      <c r="A118" s="366"/>
      <c r="B118" s="369"/>
      <c r="C118" s="74" t="s">
        <v>82</v>
      </c>
      <c r="D118" s="105">
        <f>H115</f>
        <v>21.6</v>
      </c>
      <c r="E118" s="93" t="s">
        <v>60</v>
      </c>
      <c r="F118" s="76">
        <v>0.516</v>
      </c>
      <c r="G118" s="94" t="s">
        <v>15</v>
      </c>
      <c r="H118" s="95">
        <f>D118*F118</f>
        <v>11.145600000000002</v>
      </c>
      <c r="I118" s="94">
        <v>3.2</v>
      </c>
      <c r="J118" s="96">
        <f>I118*H118</f>
        <v>35.66592000000001</v>
      </c>
      <c r="K118" s="56"/>
    </row>
    <row r="119" spans="1:11" ht="17.25" thickTop="1">
      <c r="A119" s="364">
        <v>26</v>
      </c>
      <c r="B119" s="373" t="s">
        <v>150</v>
      </c>
      <c r="C119" s="370" t="s">
        <v>151</v>
      </c>
      <c r="D119" s="371"/>
      <c r="E119" s="371"/>
      <c r="F119" s="372"/>
      <c r="G119" s="57" t="s">
        <v>67</v>
      </c>
      <c r="H119" s="81">
        <f>H115</f>
        <v>21.6</v>
      </c>
      <c r="I119" s="59"/>
      <c r="J119" s="60"/>
      <c r="K119" s="56"/>
    </row>
    <row r="120" spans="1:11" ht="16.5">
      <c r="A120" s="365"/>
      <c r="B120" s="368"/>
      <c r="C120" s="61" t="s">
        <v>59</v>
      </c>
      <c r="D120" s="98">
        <f>H119</f>
        <v>21.6</v>
      </c>
      <c r="E120" s="63" t="s">
        <v>60</v>
      </c>
      <c r="F120" s="99">
        <v>0.819</v>
      </c>
      <c r="G120" s="55" t="s">
        <v>61</v>
      </c>
      <c r="H120" s="65">
        <f>D120*F120</f>
        <v>17.6904</v>
      </c>
      <c r="I120" s="54">
        <v>7.8</v>
      </c>
      <c r="J120" s="66">
        <f>I120*H120</f>
        <v>137.98512</v>
      </c>
      <c r="K120" s="56"/>
    </row>
    <row r="121" spans="1:11" ht="16.5">
      <c r="A121" s="365"/>
      <c r="B121" s="368"/>
      <c r="C121" s="61" t="s">
        <v>103</v>
      </c>
      <c r="D121" s="98">
        <f>H119</f>
        <v>21.6</v>
      </c>
      <c r="E121" s="63" t="s">
        <v>60</v>
      </c>
      <c r="F121" s="100">
        <v>0.041</v>
      </c>
      <c r="G121" s="10" t="s">
        <v>64</v>
      </c>
      <c r="H121" s="88">
        <f>F121*D121</f>
        <v>0.8856</v>
      </c>
      <c r="I121" s="10">
        <v>5</v>
      </c>
      <c r="J121" s="89">
        <f>I121*H121</f>
        <v>4.428</v>
      </c>
      <c r="K121" s="56"/>
    </row>
    <row r="122" spans="1:11" ht="17.25" thickBot="1">
      <c r="A122" s="366"/>
      <c r="B122" s="369"/>
      <c r="C122" s="74" t="s">
        <v>152</v>
      </c>
      <c r="D122" s="101">
        <f>H119</f>
        <v>21.6</v>
      </c>
      <c r="E122" s="76" t="s">
        <v>60</v>
      </c>
      <c r="F122" s="77">
        <v>0.25</v>
      </c>
      <c r="G122" s="78" t="s">
        <v>64</v>
      </c>
      <c r="H122" s="79">
        <f>F122*D122</f>
        <v>5.4</v>
      </c>
      <c r="I122" s="78">
        <v>6.7</v>
      </c>
      <c r="J122" s="80">
        <f>I122*H122</f>
        <v>36.18000000000001</v>
      </c>
      <c r="K122" s="56"/>
    </row>
    <row r="123" spans="1:11" ht="18" thickBot="1" thickTop="1">
      <c r="A123" s="119"/>
      <c r="B123" s="119"/>
      <c r="C123" s="383" t="s">
        <v>153</v>
      </c>
      <c r="D123" s="384"/>
      <c r="E123" s="384"/>
      <c r="F123" s="385"/>
      <c r="G123" s="119"/>
      <c r="H123" s="119"/>
      <c r="I123" s="119"/>
      <c r="J123" s="120">
        <f>SUM(J13:J122)</f>
        <v>90883.24469894463</v>
      </c>
      <c r="K123" s="56">
        <f>J22+J26+J30+J36+J48+J52+J55+J60+J65+J68+J71+J74+J77+J82+J89+J92+J97+J103+J108+J112+J116+J120+J14+J18+J86+J40</f>
        <v>24771.868200000004</v>
      </c>
    </row>
    <row r="124" spans="1:11" ht="18" thickBot="1" thickTop="1">
      <c r="A124" s="361" t="s">
        <v>154</v>
      </c>
      <c r="B124" s="362"/>
      <c r="C124" s="362"/>
      <c r="D124" s="362"/>
      <c r="E124" s="362"/>
      <c r="F124" s="362"/>
      <c r="G124" s="362"/>
      <c r="H124" s="362"/>
      <c r="I124" s="362"/>
      <c r="J124" s="363"/>
      <c r="K124" s="56"/>
    </row>
    <row r="125" spans="1:11" ht="35.25" customHeight="1" thickTop="1">
      <c r="A125" s="364">
        <v>1</v>
      </c>
      <c r="B125" s="373" t="s">
        <v>155</v>
      </c>
      <c r="C125" s="370" t="s">
        <v>156</v>
      </c>
      <c r="D125" s="371"/>
      <c r="E125" s="371"/>
      <c r="F125" s="372"/>
      <c r="G125" s="57" t="s">
        <v>58</v>
      </c>
      <c r="H125" s="58">
        <f>H127</f>
        <v>0.52</v>
      </c>
      <c r="I125" s="59"/>
      <c r="J125" s="60"/>
      <c r="K125" s="56"/>
    </row>
    <row r="126" spans="1:11" ht="16.5">
      <c r="A126" s="365"/>
      <c r="B126" s="368"/>
      <c r="C126" s="61" t="s">
        <v>59</v>
      </c>
      <c r="D126" s="62">
        <f>H125</f>
        <v>0.52</v>
      </c>
      <c r="E126" s="63" t="s">
        <v>60</v>
      </c>
      <c r="F126" s="87">
        <v>34.4</v>
      </c>
      <c r="G126" s="55" t="s">
        <v>61</v>
      </c>
      <c r="H126" s="65">
        <f>D126*F126</f>
        <v>17.887999999999998</v>
      </c>
      <c r="I126" s="54">
        <v>6</v>
      </c>
      <c r="J126" s="66">
        <f>I126*H126</f>
        <v>107.32799999999999</v>
      </c>
      <c r="K126" s="56"/>
    </row>
    <row r="127" spans="1:11" ht="16.5">
      <c r="A127" s="365"/>
      <c r="B127" s="368"/>
      <c r="C127" s="67" t="s">
        <v>157</v>
      </c>
      <c r="D127" s="68">
        <f>H125</f>
        <v>0.52</v>
      </c>
      <c r="E127" s="69" t="s">
        <v>60</v>
      </c>
      <c r="F127" s="70">
        <v>1</v>
      </c>
      <c r="G127" s="71" t="s">
        <v>58</v>
      </c>
      <c r="H127" s="72">
        <v>0.52</v>
      </c>
      <c r="I127" s="71">
        <v>1820</v>
      </c>
      <c r="J127" s="73">
        <f>I127*H127</f>
        <v>946.4</v>
      </c>
      <c r="K127" s="56"/>
    </row>
    <row r="128" spans="1:11" ht="17.25" thickBot="1">
      <c r="A128" s="365"/>
      <c r="B128" s="368"/>
      <c r="C128" s="67" t="s">
        <v>63</v>
      </c>
      <c r="D128" s="68">
        <f>H125</f>
        <v>0.52</v>
      </c>
      <c r="E128" s="69" t="s">
        <v>60</v>
      </c>
      <c r="F128" s="70">
        <v>15.2</v>
      </c>
      <c r="G128" s="71" t="s">
        <v>64</v>
      </c>
      <c r="H128" s="84">
        <f>F128*D128</f>
        <v>7.904</v>
      </c>
      <c r="I128" s="71">
        <v>3.7</v>
      </c>
      <c r="J128" s="73">
        <f>I128*H128</f>
        <v>29.2448</v>
      </c>
      <c r="K128" s="56"/>
    </row>
    <row r="129" spans="1:11" ht="17.25" thickTop="1">
      <c r="A129" s="364">
        <v>2</v>
      </c>
      <c r="B129" s="373" t="s">
        <v>158</v>
      </c>
      <c r="C129" s="370" t="s">
        <v>159</v>
      </c>
      <c r="D129" s="371"/>
      <c r="E129" s="371"/>
      <c r="F129" s="372"/>
      <c r="G129" s="57" t="s">
        <v>67</v>
      </c>
      <c r="H129" s="81">
        <v>608.6</v>
      </c>
      <c r="I129" s="59"/>
      <c r="J129" s="60"/>
      <c r="K129" s="56"/>
    </row>
    <row r="130" spans="1:11" ht="16.5">
      <c r="A130" s="365"/>
      <c r="B130" s="368"/>
      <c r="C130" s="61" t="s">
        <v>59</v>
      </c>
      <c r="D130" s="82">
        <f>H129</f>
        <v>608.6</v>
      </c>
      <c r="E130" s="63" t="s">
        <v>60</v>
      </c>
      <c r="F130" s="100">
        <v>0.463</v>
      </c>
      <c r="G130" s="55" t="s">
        <v>61</v>
      </c>
      <c r="H130" s="65">
        <f>D130*F130</f>
        <v>281.78180000000003</v>
      </c>
      <c r="I130" s="54">
        <v>7.8</v>
      </c>
      <c r="J130" s="66">
        <f>I130*H130</f>
        <v>2197.89804</v>
      </c>
      <c r="K130" s="56"/>
    </row>
    <row r="131" spans="1:11" ht="33.75" customHeight="1">
      <c r="A131" s="365"/>
      <c r="B131" s="368"/>
      <c r="C131" s="121" t="s">
        <v>160</v>
      </c>
      <c r="D131" s="122">
        <v>18.9</v>
      </c>
      <c r="E131" s="123" t="s">
        <v>60</v>
      </c>
      <c r="F131" s="124">
        <v>1.01</v>
      </c>
      <c r="G131" s="71" t="s">
        <v>72</v>
      </c>
      <c r="H131" s="84">
        <f>F131*D131</f>
        <v>19.089</v>
      </c>
      <c r="I131" s="71">
        <v>580</v>
      </c>
      <c r="J131" s="73">
        <f>I131*H131</f>
        <v>11071.619999999999</v>
      </c>
      <c r="K131" s="56"/>
    </row>
    <row r="132" spans="1:11" ht="16.5">
      <c r="A132" s="365"/>
      <c r="B132" s="368"/>
      <c r="C132" s="121" t="s">
        <v>161</v>
      </c>
      <c r="D132" s="122">
        <f>H129</f>
        <v>608.6</v>
      </c>
      <c r="E132" s="123" t="s">
        <v>60</v>
      </c>
      <c r="F132" s="124">
        <v>0.04</v>
      </c>
      <c r="G132" s="71" t="s">
        <v>64</v>
      </c>
      <c r="H132" s="84">
        <f>F132*D132</f>
        <v>24.344</v>
      </c>
      <c r="I132" s="71">
        <v>2.3</v>
      </c>
      <c r="J132" s="73">
        <f>I132*H132</f>
        <v>55.9912</v>
      </c>
      <c r="K132" s="56"/>
    </row>
    <row r="133" spans="1:11" ht="17.25" thickBot="1">
      <c r="A133" s="365"/>
      <c r="B133" s="368"/>
      <c r="C133" s="67" t="s">
        <v>69</v>
      </c>
      <c r="D133" s="83">
        <f>H129</f>
        <v>608.6</v>
      </c>
      <c r="E133" s="69" t="s">
        <v>60</v>
      </c>
      <c r="F133" s="113">
        <v>0.011</v>
      </c>
      <c r="G133" s="71" t="s">
        <v>162</v>
      </c>
      <c r="H133" s="84">
        <f>F133*D133</f>
        <v>6.694599999999999</v>
      </c>
      <c r="I133" s="71">
        <v>3.2</v>
      </c>
      <c r="J133" s="73">
        <f>I133*H133</f>
        <v>21.422719999999998</v>
      </c>
      <c r="K133" s="56"/>
    </row>
    <row r="134" spans="1:11" ht="17.25" thickTop="1">
      <c r="A134" s="364">
        <v>3</v>
      </c>
      <c r="B134" s="373" t="s">
        <v>163</v>
      </c>
      <c r="C134" s="370" t="s">
        <v>164</v>
      </c>
      <c r="D134" s="371"/>
      <c r="E134" s="371"/>
      <c r="F134" s="372"/>
      <c r="G134" s="57" t="s">
        <v>72</v>
      </c>
      <c r="H134" s="81">
        <v>18.9</v>
      </c>
      <c r="I134" s="59"/>
      <c r="J134" s="60"/>
      <c r="K134" s="56"/>
    </row>
    <row r="135" spans="1:11" ht="16.5">
      <c r="A135" s="365"/>
      <c r="B135" s="368"/>
      <c r="C135" s="61" t="s">
        <v>59</v>
      </c>
      <c r="D135" s="98">
        <f>H134</f>
        <v>18.9</v>
      </c>
      <c r="E135" s="63" t="s">
        <v>60</v>
      </c>
      <c r="F135" s="100">
        <v>4.24</v>
      </c>
      <c r="G135" s="55" t="s">
        <v>61</v>
      </c>
      <c r="H135" s="65">
        <f>D135*F135</f>
        <v>80.136</v>
      </c>
      <c r="I135" s="54">
        <v>7.8</v>
      </c>
      <c r="J135" s="66">
        <f>I135*H135</f>
        <v>625.0608</v>
      </c>
      <c r="K135" s="56"/>
    </row>
    <row r="136" spans="1:11" ht="17.25" thickBot="1">
      <c r="A136" s="366"/>
      <c r="B136" s="369"/>
      <c r="C136" s="74" t="s">
        <v>98</v>
      </c>
      <c r="D136" s="111">
        <f>H134</f>
        <v>18.9</v>
      </c>
      <c r="E136" s="76" t="s">
        <v>60</v>
      </c>
      <c r="F136" s="112">
        <v>11.25</v>
      </c>
      <c r="G136" s="78" t="s">
        <v>64</v>
      </c>
      <c r="H136" s="79">
        <f>F136*D136</f>
        <v>212.62499999999997</v>
      </c>
      <c r="I136" s="78">
        <v>2.86</v>
      </c>
      <c r="J136" s="80">
        <f>I136*H136</f>
        <v>608.1074999999998</v>
      </c>
      <c r="K136" s="56"/>
    </row>
    <row r="137" spans="1:11" ht="17.25" thickTop="1">
      <c r="A137" s="364">
        <v>4</v>
      </c>
      <c r="B137" s="373" t="s">
        <v>158</v>
      </c>
      <c r="C137" s="370" t="s">
        <v>165</v>
      </c>
      <c r="D137" s="371"/>
      <c r="E137" s="371"/>
      <c r="F137" s="372"/>
      <c r="G137" s="57" t="s">
        <v>67</v>
      </c>
      <c r="H137" s="81">
        <v>608.6</v>
      </c>
      <c r="I137" s="59"/>
      <c r="J137" s="60"/>
      <c r="K137" s="56"/>
    </row>
    <row r="138" spans="1:11" ht="16.5">
      <c r="A138" s="365"/>
      <c r="B138" s="368"/>
      <c r="C138" s="61" t="s">
        <v>59</v>
      </c>
      <c r="D138" s="82">
        <f>H137</f>
        <v>608.6</v>
      </c>
      <c r="E138" s="63" t="s">
        <v>60</v>
      </c>
      <c r="F138" s="100">
        <v>1.29</v>
      </c>
      <c r="G138" s="55" t="s">
        <v>61</v>
      </c>
      <c r="H138" s="65">
        <f>D138*F138</f>
        <v>785.094</v>
      </c>
      <c r="I138" s="54">
        <v>7.8</v>
      </c>
      <c r="J138" s="66">
        <f>I138*H138</f>
        <v>6123.733200000001</v>
      </c>
      <c r="K138" s="56"/>
    </row>
    <row r="139" spans="1:11" ht="33">
      <c r="A139" s="365"/>
      <c r="B139" s="368"/>
      <c r="C139" s="121" t="s">
        <v>160</v>
      </c>
      <c r="D139" s="122">
        <v>36.5</v>
      </c>
      <c r="E139" s="123" t="s">
        <v>60</v>
      </c>
      <c r="F139" s="125">
        <v>1.1</v>
      </c>
      <c r="G139" s="71" t="s">
        <v>72</v>
      </c>
      <c r="H139" s="84">
        <f>F139*D139</f>
        <v>40.150000000000006</v>
      </c>
      <c r="I139" s="71">
        <v>580</v>
      </c>
      <c r="J139" s="73">
        <f>I139*H139</f>
        <v>23287.000000000004</v>
      </c>
      <c r="K139" s="56"/>
    </row>
    <row r="140" spans="1:11" ht="16.5">
      <c r="A140" s="365"/>
      <c r="B140" s="368"/>
      <c r="C140" s="121" t="s">
        <v>161</v>
      </c>
      <c r="D140" s="122">
        <f>H137</f>
        <v>608.6</v>
      </c>
      <c r="E140" s="123" t="s">
        <v>60</v>
      </c>
      <c r="F140" s="125">
        <f>0.233*3</f>
        <v>0.6990000000000001</v>
      </c>
      <c r="G140" s="71" t="s">
        <v>64</v>
      </c>
      <c r="H140" s="84">
        <f>F140*D140</f>
        <v>425.41140000000007</v>
      </c>
      <c r="I140" s="71">
        <v>2.3</v>
      </c>
      <c r="J140" s="73">
        <f>I140*H140</f>
        <v>978.44622</v>
      </c>
      <c r="K140" s="56"/>
    </row>
    <row r="141" spans="1:11" ht="17.25" thickBot="1">
      <c r="A141" s="365"/>
      <c r="B141" s="368"/>
      <c r="C141" s="67" t="s">
        <v>69</v>
      </c>
      <c r="D141" s="83">
        <f>H137</f>
        <v>608.6</v>
      </c>
      <c r="E141" s="69" t="s">
        <v>60</v>
      </c>
      <c r="F141" s="70">
        <v>0.0483</v>
      </c>
      <c r="G141" s="71" t="s">
        <v>15</v>
      </c>
      <c r="H141" s="84">
        <f>F141*D141</f>
        <v>29.395380000000003</v>
      </c>
      <c r="I141" s="71">
        <v>3.2</v>
      </c>
      <c r="J141" s="73">
        <f>I141*H141</f>
        <v>94.06521600000002</v>
      </c>
      <c r="K141" s="56"/>
    </row>
    <row r="142" spans="1:11" ht="17.25" thickTop="1">
      <c r="A142" s="364">
        <v>5</v>
      </c>
      <c r="B142" s="373" t="s">
        <v>163</v>
      </c>
      <c r="C142" s="370" t="s">
        <v>166</v>
      </c>
      <c r="D142" s="371"/>
      <c r="E142" s="371"/>
      <c r="F142" s="372"/>
      <c r="G142" s="57" t="s">
        <v>67</v>
      </c>
      <c r="H142" s="97">
        <f>H137</f>
        <v>608.6</v>
      </c>
      <c r="I142" s="59"/>
      <c r="J142" s="60"/>
      <c r="K142" s="56"/>
    </row>
    <row r="143" spans="1:11" ht="16.5">
      <c r="A143" s="365"/>
      <c r="B143" s="368"/>
      <c r="C143" s="61" t="s">
        <v>59</v>
      </c>
      <c r="D143" s="98">
        <f>H142</f>
        <v>608.6</v>
      </c>
      <c r="E143" s="63" t="s">
        <v>60</v>
      </c>
      <c r="F143" s="100">
        <v>0.0424</v>
      </c>
      <c r="G143" s="55" t="s">
        <v>61</v>
      </c>
      <c r="H143" s="65">
        <f>D143*F143</f>
        <v>25.804640000000003</v>
      </c>
      <c r="I143" s="54">
        <v>7.8</v>
      </c>
      <c r="J143" s="66">
        <f>I143*H143</f>
        <v>201.276192</v>
      </c>
      <c r="K143" s="56"/>
    </row>
    <row r="144" spans="1:11" ht="17.25" thickBot="1">
      <c r="A144" s="366"/>
      <c r="B144" s="369"/>
      <c r="C144" s="74" t="s">
        <v>98</v>
      </c>
      <c r="D144" s="111">
        <f>H142</f>
        <v>608.6</v>
      </c>
      <c r="E144" s="76" t="s">
        <v>60</v>
      </c>
      <c r="F144" s="112">
        <f>0.231</f>
        <v>0.231</v>
      </c>
      <c r="G144" s="78" t="s">
        <v>64</v>
      </c>
      <c r="H144" s="79">
        <f>F144*D144</f>
        <v>140.5866</v>
      </c>
      <c r="I144" s="78">
        <v>2.86</v>
      </c>
      <c r="J144" s="80">
        <f>I144*H144</f>
        <v>402.077676</v>
      </c>
      <c r="K144" s="56"/>
    </row>
    <row r="145" spans="1:11" ht="17.25" thickTop="1">
      <c r="A145" s="364">
        <v>6</v>
      </c>
      <c r="B145" s="373" t="s">
        <v>99</v>
      </c>
      <c r="C145" s="370" t="s">
        <v>167</v>
      </c>
      <c r="D145" s="371"/>
      <c r="E145" s="371"/>
      <c r="F145" s="372"/>
      <c r="G145" s="57" t="s">
        <v>67</v>
      </c>
      <c r="H145" s="81">
        <f>H142</f>
        <v>608.6</v>
      </c>
      <c r="I145" s="59"/>
      <c r="J145" s="60"/>
      <c r="K145" s="56"/>
    </row>
    <row r="146" spans="1:11" ht="16.5">
      <c r="A146" s="365"/>
      <c r="B146" s="368"/>
      <c r="C146" s="61" t="s">
        <v>59</v>
      </c>
      <c r="D146" s="82">
        <f>H145</f>
        <v>608.6</v>
      </c>
      <c r="E146" s="63" t="s">
        <v>60</v>
      </c>
      <c r="F146" s="99">
        <v>0.741</v>
      </c>
      <c r="G146" s="55" t="s">
        <v>61</v>
      </c>
      <c r="H146" s="65">
        <f>D146*F146</f>
        <v>450.9726</v>
      </c>
      <c r="I146" s="54">
        <v>7.8</v>
      </c>
      <c r="J146" s="66">
        <f>I146*H146</f>
        <v>3517.58628</v>
      </c>
      <c r="K146" s="56"/>
    </row>
    <row r="147" spans="1:11" ht="16.5">
      <c r="A147" s="365"/>
      <c r="B147" s="368"/>
      <c r="C147" s="61" t="s">
        <v>101</v>
      </c>
      <c r="D147" s="82">
        <f>H145</f>
        <v>608.6</v>
      </c>
      <c r="E147" s="63" t="s">
        <v>60</v>
      </c>
      <c r="F147" s="99">
        <v>0.246</v>
      </c>
      <c r="G147" s="10" t="s">
        <v>64</v>
      </c>
      <c r="H147" s="88">
        <f>F147*D147</f>
        <v>149.7156</v>
      </c>
      <c r="I147" s="10">
        <v>6.7</v>
      </c>
      <c r="J147" s="89">
        <f>I147*H147</f>
        <v>1003.09452</v>
      </c>
      <c r="K147" s="56"/>
    </row>
    <row r="148" spans="1:11" ht="16.5">
      <c r="A148" s="365"/>
      <c r="B148" s="368"/>
      <c r="C148" s="67" t="s">
        <v>103</v>
      </c>
      <c r="D148" s="83">
        <f>H145</f>
        <v>608.6</v>
      </c>
      <c r="E148" s="69" t="s">
        <v>60</v>
      </c>
      <c r="F148" s="113">
        <v>0.127</v>
      </c>
      <c r="G148" s="71" t="s">
        <v>72</v>
      </c>
      <c r="H148" s="84">
        <f>F148*D148</f>
        <v>77.29220000000001</v>
      </c>
      <c r="I148" s="71">
        <v>5</v>
      </c>
      <c r="J148" s="73">
        <f>I148*H148</f>
        <v>386.461</v>
      </c>
      <c r="K148" s="56"/>
    </row>
    <row r="149" spans="1:11" ht="17.25" thickBot="1">
      <c r="A149" s="366"/>
      <c r="B149" s="369"/>
      <c r="C149" s="74" t="s">
        <v>82</v>
      </c>
      <c r="D149" s="105">
        <f>H145</f>
        <v>608.6</v>
      </c>
      <c r="E149" s="93" t="s">
        <v>60</v>
      </c>
      <c r="F149" s="76">
        <v>0.017</v>
      </c>
      <c r="G149" s="94" t="s">
        <v>15</v>
      </c>
      <c r="H149" s="95">
        <f>D149*F149</f>
        <v>10.346200000000001</v>
      </c>
      <c r="I149" s="94">
        <v>3.2</v>
      </c>
      <c r="J149" s="96">
        <f>I149*H149</f>
        <v>33.10784</v>
      </c>
      <c r="K149" s="56"/>
    </row>
    <row r="150" spans="1:11" ht="17.25" thickTop="1">
      <c r="A150" s="364">
        <v>7</v>
      </c>
      <c r="B150" s="373" t="s">
        <v>168</v>
      </c>
      <c r="C150" s="370" t="s">
        <v>169</v>
      </c>
      <c r="D150" s="371"/>
      <c r="E150" s="371"/>
      <c r="F150" s="372"/>
      <c r="G150" s="57" t="s">
        <v>67</v>
      </c>
      <c r="H150" s="81">
        <f>H145</f>
        <v>608.6</v>
      </c>
      <c r="I150" s="59"/>
      <c r="J150" s="60"/>
      <c r="K150" s="56"/>
    </row>
    <row r="151" spans="1:11" ht="16.5">
      <c r="A151" s="365"/>
      <c r="B151" s="368"/>
      <c r="C151" s="61" t="s">
        <v>59</v>
      </c>
      <c r="D151" s="82">
        <f>H150</f>
        <v>608.6</v>
      </c>
      <c r="E151" s="63" t="s">
        <v>60</v>
      </c>
      <c r="F151" s="99">
        <v>0.062</v>
      </c>
      <c r="G151" s="55" t="s">
        <v>61</v>
      </c>
      <c r="H151" s="65">
        <f>D151*F151</f>
        <v>37.733200000000004</v>
      </c>
      <c r="I151" s="54">
        <v>7.8</v>
      </c>
      <c r="J151" s="66">
        <f>I151*H151</f>
        <v>294.31896</v>
      </c>
      <c r="K151" s="56"/>
    </row>
    <row r="152" spans="1:11" ht="17.25" thickBot="1">
      <c r="A152" s="365"/>
      <c r="B152" s="368"/>
      <c r="C152" s="61" t="s">
        <v>170</v>
      </c>
      <c r="D152" s="82">
        <f>H150</f>
        <v>608.6</v>
      </c>
      <c r="E152" s="63" t="s">
        <v>60</v>
      </c>
      <c r="F152" s="99">
        <v>0.11</v>
      </c>
      <c r="G152" s="10" t="s">
        <v>102</v>
      </c>
      <c r="H152" s="88">
        <f>F152*D152</f>
        <v>66.946</v>
      </c>
      <c r="I152" s="10">
        <v>8</v>
      </c>
      <c r="J152" s="89">
        <f>I152*H152</f>
        <v>535.568</v>
      </c>
      <c r="K152" s="56"/>
    </row>
    <row r="153" spans="1:11" ht="35.25" customHeight="1" thickTop="1">
      <c r="A153" s="364">
        <v>8</v>
      </c>
      <c r="B153" s="373" t="s">
        <v>171</v>
      </c>
      <c r="C153" s="370" t="s">
        <v>172</v>
      </c>
      <c r="D153" s="371"/>
      <c r="E153" s="371"/>
      <c r="F153" s="372"/>
      <c r="G153" s="57" t="s">
        <v>67</v>
      </c>
      <c r="H153" s="81">
        <f>35.5*0.18</f>
        <v>6.39</v>
      </c>
      <c r="I153" s="59"/>
      <c r="J153" s="60"/>
      <c r="K153" s="56"/>
    </row>
    <row r="154" spans="1:11" ht="16.5">
      <c r="A154" s="365"/>
      <c r="B154" s="368"/>
      <c r="C154" s="61" t="s">
        <v>59</v>
      </c>
      <c r="D154" s="82">
        <f>H153</f>
        <v>6.39</v>
      </c>
      <c r="E154" s="63" t="s">
        <v>60</v>
      </c>
      <c r="F154" s="64">
        <v>1.11</v>
      </c>
      <c r="G154" s="55" t="s">
        <v>61</v>
      </c>
      <c r="H154" s="65">
        <f>D154*F154</f>
        <v>7.0929</v>
      </c>
      <c r="I154" s="54">
        <v>7.8</v>
      </c>
      <c r="J154" s="66">
        <f>I154*H154</f>
        <v>55.32462</v>
      </c>
      <c r="K154" s="56"/>
    </row>
    <row r="155" spans="1:11" ht="16.5">
      <c r="A155" s="365"/>
      <c r="B155" s="368"/>
      <c r="C155" s="61" t="s">
        <v>173</v>
      </c>
      <c r="D155" s="82">
        <f>H153</f>
        <v>6.39</v>
      </c>
      <c r="E155" s="63" t="s">
        <v>60</v>
      </c>
      <c r="F155" s="87">
        <v>1</v>
      </c>
      <c r="G155" s="10" t="s">
        <v>67</v>
      </c>
      <c r="H155" s="88">
        <f>F155*D155</f>
        <v>6.39</v>
      </c>
      <c r="I155" s="10">
        <v>150</v>
      </c>
      <c r="J155" s="89">
        <f>I155*H155</f>
        <v>958.5</v>
      </c>
      <c r="K155" s="56"/>
    </row>
    <row r="156" spans="1:11" ht="17.25" thickBot="1">
      <c r="A156" s="366"/>
      <c r="B156" s="369"/>
      <c r="C156" s="74" t="s">
        <v>82</v>
      </c>
      <c r="D156" s="105">
        <f>H153</f>
        <v>6.39</v>
      </c>
      <c r="E156" s="93" t="s">
        <v>60</v>
      </c>
      <c r="F156" s="76">
        <v>0.516</v>
      </c>
      <c r="G156" s="94" t="s">
        <v>15</v>
      </c>
      <c r="H156" s="95">
        <f>D156*F156</f>
        <v>3.29724</v>
      </c>
      <c r="I156" s="94">
        <v>3.2</v>
      </c>
      <c r="J156" s="96">
        <f>I156*H156</f>
        <v>10.551168</v>
      </c>
      <c r="K156" s="56"/>
    </row>
    <row r="157" spans="1:11" ht="33.75" customHeight="1" thickTop="1">
      <c r="A157" s="364">
        <v>9</v>
      </c>
      <c r="B157" s="373" t="s">
        <v>174</v>
      </c>
      <c r="C157" s="370" t="s">
        <v>175</v>
      </c>
      <c r="D157" s="371"/>
      <c r="E157" s="371"/>
      <c r="F157" s="372"/>
      <c r="G157" s="57" t="s">
        <v>67</v>
      </c>
      <c r="H157" s="81">
        <v>188</v>
      </c>
      <c r="I157" s="59"/>
      <c r="J157" s="60"/>
      <c r="K157" s="56"/>
    </row>
    <row r="158" spans="1:11" ht="16.5">
      <c r="A158" s="365"/>
      <c r="B158" s="368"/>
      <c r="C158" s="61" t="s">
        <v>59</v>
      </c>
      <c r="D158" s="82">
        <f>H157</f>
        <v>188</v>
      </c>
      <c r="E158" s="63" t="s">
        <v>60</v>
      </c>
      <c r="F158" s="100">
        <v>1.15</v>
      </c>
      <c r="G158" s="55" t="s">
        <v>61</v>
      </c>
      <c r="H158" s="65">
        <f>D158*F158</f>
        <v>216.2</v>
      </c>
      <c r="I158" s="54">
        <v>7.8</v>
      </c>
      <c r="J158" s="66">
        <f aca="true" t="shared" si="1" ref="J158:J163">I158*H158</f>
        <v>1686.36</v>
      </c>
      <c r="K158" s="56"/>
    </row>
    <row r="159" spans="1:11" ht="33">
      <c r="A159" s="365"/>
      <c r="B159" s="368"/>
      <c r="C159" s="121" t="s">
        <v>176</v>
      </c>
      <c r="D159" s="122">
        <v>1.8</v>
      </c>
      <c r="E159" s="123" t="s">
        <v>60</v>
      </c>
      <c r="F159" s="125">
        <v>1.02</v>
      </c>
      <c r="G159" s="71" t="s">
        <v>72</v>
      </c>
      <c r="H159" s="84">
        <v>2.3</v>
      </c>
      <c r="I159" s="71">
        <v>580</v>
      </c>
      <c r="J159" s="73">
        <f t="shared" si="1"/>
        <v>1334</v>
      </c>
      <c r="K159" s="56"/>
    </row>
    <row r="160" spans="1:11" ht="16.5">
      <c r="A160" s="365"/>
      <c r="B160" s="368"/>
      <c r="C160" s="121" t="s">
        <v>177</v>
      </c>
      <c r="D160" s="122">
        <f>H157</f>
        <v>188</v>
      </c>
      <c r="E160" s="123" t="s">
        <v>60</v>
      </c>
      <c r="F160" s="125">
        <v>1.02</v>
      </c>
      <c r="G160" s="71" t="s">
        <v>67</v>
      </c>
      <c r="H160" s="84">
        <f>F160*D160</f>
        <v>191.76</v>
      </c>
      <c r="I160" s="71">
        <v>16</v>
      </c>
      <c r="J160" s="73">
        <f t="shared" si="1"/>
        <v>3068.16</v>
      </c>
      <c r="K160" s="56"/>
    </row>
    <row r="161" spans="1:11" ht="16.5">
      <c r="A161" s="365"/>
      <c r="B161" s="368"/>
      <c r="C161" s="121" t="s">
        <v>161</v>
      </c>
      <c r="D161" s="122">
        <f>H157</f>
        <v>188</v>
      </c>
      <c r="E161" s="123" t="s">
        <v>60</v>
      </c>
      <c r="F161" s="125">
        <f>0.233</f>
        <v>0.233</v>
      </c>
      <c r="G161" s="71" t="s">
        <v>64</v>
      </c>
      <c r="H161" s="84">
        <f>F161*D161</f>
        <v>43.804</v>
      </c>
      <c r="I161" s="71">
        <v>2.3</v>
      </c>
      <c r="J161" s="73">
        <f t="shared" si="1"/>
        <v>100.7492</v>
      </c>
      <c r="K161" s="56"/>
    </row>
    <row r="162" spans="1:11" ht="16.5">
      <c r="A162" s="365"/>
      <c r="B162" s="368"/>
      <c r="C162" s="121" t="s">
        <v>178</v>
      </c>
      <c r="D162" s="122">
        <v>180</v>
      </c>
      <c r="E162" s="123" t="s">
        <v>60</v>
      </c>
      <c r="F162" s="125">
        <v>1</v>
      </c>
      <c r="G162" s="71" t="s">
        <v>139</v>
      </c>
      <c r="H162" s="84">
        <f>F162*D162</f>
        <v>180</v>
      </c>
      <c r="I162" s="71">
        <v>1.3</v>
      </c>
      <c r="J162" s="73">
        <f t="shared" si="1"/>
        <v>234</v>
      </c>
      <c r="K162" s="56"/>
    </row>
    <row r="163" spans="1:11" ht="17.25" thickBot="1">
      <c r="A163" s="365"/>
      <c r="B163" s="368"/>
      <c r="C163" s="67" t="s">
        <v>69</v>
      </c>
      <c r="D163" s="83">
        <f>H157</f>
        <v>188</v>
      </c>
      <c r="E163" s="69" t="s">
        <v>60</v>
      </c>
      <c r="F163" s="70">
        <v>0.025</v>
      </c>
      <c r="G163" s="71" t="s">
        <v>15</v>
      </c>
      <c r="H163" s="84">
        <f>F163*D163</f>
        <v>4.7</v>
      </c>
      <c r="I163" s="71">
        <v>3.2</v>
      </c>
      <c r="J163" s="73">
        <f t="shared" si="1"/>
        <v>15.040000000000001</v>
      </c>
      <c r="K163" s="56"/>
    </row>
    <row r="164" spans="1:11" ht="17.25" thickTop="1">
      <c r="A164" s="364">
        <v>10</v>
      </c>
      <c r="B164" s="373" t="s">
        <v>168</v>
      </c>
      <c r="C164" s="370" t="s">
        <v>179</v>
      </c>
      <c r="D164" s="371"/>
      <c r="E164" s="371"/>
      <c r="F164" s="372"/>
      <c r="G164" s="57" t="s">
        <v>67</v>
      </c>
      <c r="H164" s="81">
        <f>H157</f>
        <v>188</v>
      </c>
      <c r="I164" s="59"/>
      <c r="J164" s="60"/>
      <c r="K164" s="56"/>
    </row>
    <row r="165" spans="1:11" ht="16.5">
      <c r="A165" s="365"/>
      <c r="B165" s="368"/>
      <c r="C165" s="61" t="s">
        <v>59</v>
      </c>
      <c r="D165" s="82">
        <f>H164</f>
        <v>188</v>
      </c>
      <c r="E165" s="63" t="s">
        <v>60</v>
      </c>
      <c r="F165" s="99">
        <v>0.062</v>
      </c>
      <c r="G165" s="55" t="s">
        <v>61</v>
      </c>
      <c r="H165" s="65">
        <f>D165*F165</f>
        <v>11.656</v>
      </c>
      <c r="I165" s="54">
        <v>7.8</v>
      </c>
      <c r="J165" s="66">
        <f>I165*H165</f>
        <v>90.91680000000001</v>
      </c>
      <c r="K165" s="56"/>
    </row>
    <row r="166" spans="1:11" ht="17.25" thickBot="1">
      <c r="A166" s="365"/>
      <c r="B166" s="368"/>
      <c r="C166" s="61" t="s">
        <v>170</v>
      </c>
      <c r="D166" s="82">
        <f>H164</f>
        <v>188</v>
      </c>
      <c r="E166" s="63" t="s">
        <v>60</v>
      </c>
      <c r="F166" s="99">
        <v>0.11</v>
      </c>
      <c r="G166" s="10" t="s">
        <v>102</v>
      </c>
      <c r="H166" s="88">
        <f>F166*D166</f>
        <v>20.68</v>
      </c>
      <c r="I166" s="10">
        <v>8</v>
      </c>
      <c r="J166" s="89">
        <f>I166*H166</f>
        <v>165.44</v>
      </c>
      <c r="K166" s="56"/>
    </row>
    <row r="167" spans="1:11" ht="17.25" thickTop="1">
      <c r="A167" s="364">
        <v>11</v>
      </c>
      <c r="B167" s="367" t="s">
        <v>180</v>
      </c>
      <c r="C167" s="370" t="s">
        <v>181</v>
      </c>
      <c r="D167" s="371"/>
      <c r="E167" s="371"/>
      <c r="F167" s="372"/>
      <c r="G167" s="57" t="s">
        <v>67</v>
      </c>
      <c r="H167" s="81">
        <v>35.5</v>
      </c>
      <c r="I167" s="59"/>
      <c r="J167" s="60"/>
      <c r="K167" s="56"/>
    </row>
    <row r="168" spans="1:11" ht="16.5">
      <c r="A168" s="365"/>
      <c r="B168" s="368"/>
      <c r="C168" s="61" t="s">
        <v>59</v>
      </c>
      <c r="D168" s="82">
        <f>H167</f>
        <v>35.5</v>
      </c>
      <c r="E168" s="63" t="s">
        <v>60</v>
      </c>
      <c r="F168" s="99">
        <v>0.526</v>
      </c>
      <c r="G168" s="55" t="s">
        <v>61</v>
      </c>
      <c r="H168" s="65">
        <f>D168*F168</f>
        <v>18.673000000000002</v>
      </c>
      <c r="I168" s="54">
        <v>7.8</v>
      </c>
      <c r="J168" s="66">
        <f>I168*H168</f>
        <v>145.6494</v>
      </c>
      <c r="K168" s="56"/>
    </row>
    <row r="169" spans="1:11" ht="17.25" thickBot="1">
      <c r="A169" s="365"/>
      <c r="B169" s="368"/>
      <c r="C169" s="61" t="s">
        <v>182</v>
      </c>
      <c r="D169" s="82">
        <f>H167</f>
        <v>35.5</v>
      </c>
      <c r="E169" s="63" t="s">
        <v>60</v>
      </c>
      <c r="F169" s="99">
        <v>1</v>
      </c>
      <c r="G169" s="10" t="s">
        <v>67</v>
      </c>
      <c r="H169" s="88">
        <f>F169*D169</f>
        <v>35.5</v>
      </c>
      <c r="I169" s="10">
        <v>45</v>
      </c>
      <c r="J169" s="89">
        <f>I169*H169</f>
        <v>1597.5</v>
      </c>
      <c r="K169" s="56"/>
    </row>
    <row r="170" spans="1:11" ht="17.25" thickTop="1">
      <c r="A170" s="364">
        <v>12</v>
      </c>
      <c r="B170" s="373" t="s">
        <v>168</v>
      </c>
      <c r="C170" s="370" t="s">
        <v>183</v>
      </c>
      <c r="D170" s="371"/>
      <c r="E170" s="371"/>
      <c r="F170" s="372"/>
      <c r="G170" s="57" t="s">
        <v>67</v>
      </c>
      <c r="H170" s="81">
        <v>35.5</v>
      </c>
      <c r="I170" s="59"/>
      <c r="J170" s="60"/>
      <c r="K170" s="56"/>
    </row>
    <row r="171" spans="1:11" ht="16.5">
      <c r="A171" s="365"/>
      <c r="B171" s="368"/>
      <c r="C171" s="61" t="s">
        <v>59</v>
      </c>
      <c r="D171" s="82">
        <f>H170</f>
        <v>35.5</v>
      </c>
      <c r="E171" s="63" t="s">
        <v>60</v>
      </c>
      <c r="F171" s="99">
        <v>0.062</v>
      </c>
      <c r="G171" s="55" t="s">
        <v>61</v>
      </c>
      <c r="H171" s="65">
        <f>D171*F171</f>
        <v>2.201</v>
      </c>
      <c r="I171" s="54">
        <v>7.8</v>
      </c>
      <c r="J171" s="66">
        <f>I171*H171</f>
        <v>17.1678</v>
      </c>
      <c r="K171" s="56"/>
    </row>
    <row r="172" spans="1:11" ht="17.25" thickBot="1">
      <c r="A172" s="365"/>
      <c r="B172" s="368"/>
      <c r="C172" s="61" t="s">
        <v>170</v>
      </c>
      <c r="D172" s="82">
        <f>H170</f>
        <v>35.5</v>
      </c>
      <c r="E172" s="63" t="s">
        <v>60</v>
      </c>
      <c r="F172" s="99">
        <v>0.11</v>
      </c>
      <c r="G172" s="10" t="s">
        <v>102</v>
      </c>
      <c r="H172" s="88">
        <f>F172*D172</f>
        <v>3.905</v>
      </c>
      <c r="I172" s="10">
        <v>8</v>
      </c>
      <c r="J172" s="89">
        <f>I172*H172</f>
        <v>31.24</v>
      </c>
      <c r="K172" s="56"/>
    </row>
    <row r="173" spans="1:11" ht="33.75" customHeight="1" thickTop="1">
      <c r="A173" s="364">
        <v>13</v>
      </c>
      <c r="B173" s="373" t="s">
        <v>184</v>
      </c>
      <c r="C173" s="370" t="s">
        <v>185</v>
      </c>
      <c r="D173" s="371"/>
      <c r="E173" s="371"/>
      <c r="F173" s="372"/>
      <c r="G173" s="57" t="s">
        <v>67</v>
      </c>
      <c r="H173" s="81">
        <v>345</v>
      </c>
      <c r="I173" s="59"/>
      <c r="J173" s="60"/>
      <c r="K173" s="56"/>
    </row>
    <row r="174" spans="1:11" ht="16.5">
      <c r="A174" s="365"/>
      <c r="B174" s="368"/>
      <c r="C174" s="61" t="s">
        <v>59</v>
      </c>
      <c r="D174" s="98">
        <f>H173</f>
        <v>345</v>
      </c>
      <c r="E174" s="63" t="s">
        <v>60</v>
      </c>
      <c r="F174" s="99">
        <v>0.819</v>
      </c>
      <c r="G174" s="55" t="s">
        <v>61</v>
      </c>
      <c r="H174" s="65">
        <f>D174*F174</f>
        <v>282.555</v>
      </c>
      <c r="I174" s="54">
        <v>7.8</v>
      </c>
      <c r="J174" s="66">
        <f>I174*H174</f>
        <v>2203.929</v>
      </c>
      <c r="K174" s="56"/>
    </row>
    <row r="175" spans="1:11" ht="17.25" thickBot="1">
      <c r="A175" s="366"/>
      <c r="B175" s="369"/>
      <c r="C175" s="74" t="s">
        <v>152</v>
      </c>
      <c r="D175" s="101">
        <f>H173</f>
        <v>345</v>
      </c>
      <c r="E175" s="76" t="s">
        <v>60</v>
      </c>
      <c r="F175" s="77">
        <v>0.25</v>
      </c>
      <c r="G175" s="78" t="s">
        <v>64</v>
      </c>
      <c r="H175" s="79">
        <f>F175*D175</f>
        <v>86.25</v>
      </c>
      <c r="I175" s="78">
        <v>6</v>
      </c>
      <c r="J175" s="80">
        <f>I175*H175</f>
        <v>517.5</v>
      </c>
      <c r="K175" s="56"/>
    </row>
    <row r="176" spans="1:11" ht="17.25" thickTop="1">
      <c r="A176" s="364">
        <v>14</v>
      </c>
      <c r="B176" s="373" t="s">
        <v>186</v>
      </c>
      <c r="C176" s="370" t="s">
        <v>187</v>
      </c>
      <c r="D176" s="371"/>
      <c r="E176" s="371"/>
      <c r="F176" s="372"/>
      <c r="G176" s="57" t="s">
        <v>67</v>
      </c>
      <c r="H176" s="81">
        <v>18.4</v>
      </c>
      <c r="I176" s="59"/>
      <c r="J176" s="60"/>
      <c r="K176" s="56"/>
    </row>
    <row r="177" spans="1:11" ht="16.5">
      <c r="A177" s="365"/>
      <c r="B177" s="368"/>
      <c r="C177" s="61" t="s">
        <v>59</v>
      </c>
      <c r="D177" s="82">
        <f>H176</f>
        <v>18.4</v>
      </c>
      <c r="E177" s="63" t="s">
        <v>60</v>
      </c>
      <c r="F177" s="64">
        <v>1.11</v>
      </c>
      <c r="G177" s="55" t="s">
        <v>61</v>
      </c>
      <c r="H177" s="65">
        <f>D177*F177</f>
        <v>20.424</v>
      </c>
      <c r="I177" s="54">
        <v>7.8</v>
      </c>
      <c r="J177" s="66">
        <f>I177*H177</f>
        <v>159.3072</v>
      </c>
      <c r="K177" s="56"/>
    </row>
    <row r="178" spans="1:11" ht="16.5">
      <c r="A178" s="365"/>
      <c r="B178" s="368"/>
      <c r="C178" s="61" t="s">
        <v>188</v>
      </c>
      <c r="D178" s="82">
        <f>H176</f>
        <v>18.4</v>
      </c>
      <c r="E178" s="63" t="s">
        <v>60</v>
      </c>
      <c r="F178" s="87">
        <v>1</v>
      </c>
      <c r="G178" s="10" t="s">
        <v>67</v>
      </c>
      <c r="H178" s="126">
        <f>F178*D178</f>
        <v>18.4</v>
      </c>
      <c r="I178" s="10">
        <v>62</v>
      </c>
      <c r="J178" s="89">
        <f>I178*H178</f>
        <v>1140.8</v>
      </c>
      <c r="K178" s="56"/>
    </row>
    <row r="179" spans="1:11" ht="17.25" thickBot="1">
      <c r="A179" s="366"/>
      <c r="B179" s="369"/>
      <c r="C179" s="74" t="s">
        <v>82</v>
      </c>
      <c r="D179" s="105">
        <f>H176</f>
        <v>18.4</v>
      </c>
      <c r="E179" s="93" t="s">
        <v>60</v>
      </c>
      <c r="F179" s="76">
        <v>0.516</v>
      </c>
      <c r="G179" s="94" t="s">
        <v>15</v>
      </c>
      <c r="H179" s="95">
        <f>D179*F179</f>
        <v>9.494399999999999</v>
      </c>
      <c r="I179" s="94">
        <v>3.2</v>
      </c>
      <c r="J179" s="96">
        <f>I179*H179</f>
        <v>30.38208</v>
      </c>
      <c r="K179" s="56"/>
    </row>
    <row r="180" spans="1:11" ht="35.25" customHeight="1" thickTop="1">
      <c r="A180" s="364">
        <v>15</v>
      </c>
      <c r="B180" s="373" t="s">
        <v>189</v>
      </c>
      <c r="C180" s="380" t="s">
        <v>190</v>
      </c>
      <c r="D180" s="381"/>
      <c r="E180" s="381"/>
      <c r="F180" s="382"/>
      <c r="G180" s="57" t="s">
        <v>67</v>
      </c>
      <c r="H180" s="97">
        <v>46</v>
      </c>
      <c r="I180" s="59"/>
      <c r="J180" s="60"/>
      <c r="K180" s="56"/>
    </row>
    <row r="181" spans="1:11" ht="16.5">
      <c r="A181" s="365"/>
      <c r="B181" s="368"/>
      <c r="C181" s="61" t="s">
        <v>59</v>
      </c>
      <c r="D181" s="82">
        <f>H180</f>
        <v>46</v>
      </c>
      <c r="E181" s="63" t="s">
        <v>60</v>
      </c>
      <c r="F181" s="64">
        <v>1.62</v>
      </c>
      <c r="G181" s="55" t="s">
        <v>61</v>
      </c>
      <c r="H181" s="65">
        <f>D181*F181</f>
        <v>74.52000000000001</v>
      </c>
      <c r="I181" s="54">
        <v>6</v>
      </c>
      <c r="J181" s="66">
        <f>I181*H181</f>
        <v>447.12000000000006</v>
      </c>
      <c r="K181" s="56"/>
    </row>
    <row r="182" spans="1:11" ht="16.5">
      <c r="A182" s="365"/>
      <c r="B182" s="368"/>
      <c r="C182" s="61" t="s">
        <v>191</v>
      </c>
      <c r="D182" s="82">
        <f>H180</f>
        <v>46</v>
      </c>
      <c r="E182" s="63" t="s">
        <v>60</v>
      </c>
      <c r="F182" s="87">
        <v>1.2</v>
      </c>
      <c r="G182" s="10" t="s">
        <v>67</v>
      </c>
      <c r="H182" s="126">
        <f>F182*D182</f>
        <v>55.199999999999996</v>
      </c>
      <c r="I182" s="10">
        <v>30</v>
      </c>
      <c r="J182" s="89">
        <f>I182*H182</f>
        <v>1655.9999999999998</v>
      </c>
      <c r="K182" s="56"/>
    </row>
    <row r="183" spans="1:11" ht="17.25" thickBot="1">
      <c r="A183" s="366"/>
      <c r="B183" s="369"/>
      <c r="C183" s="74" t="s">
        <v>82</v>
      </c>
      <c r="D183" s="105">
        <f>H180</f>
        <v>46</v>
      </c>
      <c r="E183" s="93" t="s">
        <v>60</v>
      </c>
      <c r="F183" s="76">
        <v>0.936</v>
      </c>
      <c r="G183" s="94" t="s">
        <v>15</v>
      </c>
      <c r="H183" s="95">
        <f>D183*F183</f>
        <v>43.056000000000004</v>
      </c>
      <c r="I183" s="94">
        <v>3.2</v>
      </c>
      <c r="J183" s="96">
        <f>I183*H183</f>
        <v>137.77920000000003</v>
      </c>
      <c r="K183" s="56"/>
    </row>
    <row r="184" spans="1:11" ht="34.5" customHeight="1" thickTop="1">
      <c r="A184" s="364">
        <v>16</v>
      </c>
      <c r="B184" s="373" t="s">
        <v>192</v>
      </c>
      <c r="C184" s="374" t="s">
        <v>193</v>
      </c>
      <c r="D184" s="375"/>
      <c r="E184" s="375"/>
      <c r="F184" s="376"/>
      <c r="G184" s="57" t="s">
        <v>67</v>
      </c>
      <c r="H184" s="81">
        <f>1.9*1.2*2</f>
        <v>4.56</v>
      </c>
      <c r="I184" s="59"/>
      <c r="J184" s="102"/>
      <c r="K184" s="56"/>
    </row>
    <row r="185" spans="1:11" ht="16.5">
      <c r="A185" s="365"/>
      <c r="B185" s="368"/>
      <c r="C185" s="61" t="s">
        <v>59</v>
      </c>
      <c r="D185" s="82">
        <f>H184</f>
        <v>4.56</v>
      </c>
      <c r="E185" s="63" t="s">
        <v>60</v>
      </c>
      <c r="F185" s="99">
        <v>0.914</v>
      </c>
      <c r="G185" s="55" t="s">
        <v>61</v>
      </c>
      <c r="H185" s="65">
        <f>D185*F185</f>
        <v>4.16784</v>
      </c>
      <c r="I185" s="54">
        <v>7.8</v>
      </c>
      <c r="J185" s="103">
        <f>I185*H185</f>
        <v>32.509152</v>
      </c>
      <c r="K185" s="56"/>
    </row>
    <row r="186" spans="1:11" ht="16.5">
      <c r="A186" s="365"/>
      <c r="B186" s="368"/>
      <c r="C186" s="61" t="s">
        <v>194</v>
      </c>
      <c r="D186" s="82">
        <f>H184</f>
        <v>4.56</v>
      </c>
      <c r="E186" s="63" t="s">
        <v>60</v>
      </c>
      <c r="F186" s="87">
        <v>1</v>
      </c>
      <c r="G186" s="10" t="s">
        <v>67</v>
      </c>
      <c r="H186" s="126">
        <f>F186*D186</f>
        <v>4.56</v>
      </c>
      <c r="I186" s="10">
        <v>140</v>
      </c>
      <c r="J186" s="127">
        <f>I186*H186</f>
        <v>638.4</v>
      </c>
      <c r="K186" s="56"/>
    </row>
    <row r="187" spans="1:11" ht="17.25" thickBot="1">
      <c r="A187" s="366"/>
      <c r="B187" s="369"/>
      <c r="C187" s="377" t="s">
        <v>195</v>
      </c>
      <c r="D187" s="378">
        <f>H184</f>
        <v>4.56</v>
      </c>
      <c r="E187" s="378" t="s">
        <v>60</v>
      </c>
      <c r="F187" s="379">
        <v>0.0146</v>
      </c>
      <c r="G187" s="78" t="s">
        <v>102</v>
      </c>
      <c r="H187" s="79">
        <v>1</v>
      </c>
      <c r="I187" s="78">
        <v>30</v>
      </c>
      <c r="J187" s="128">
        <f>I187*H187</f>
        <v>30</v>
      </c>
      <c r="K187" s="56"/>
    </row>
    <row r="188" spans="1:11" ht="17.25" thickTop="1">
      <c r="A188" s="364">
        <v>17</v>
      </c>
      <c r="B188" s="373" t="s">
        <v>196</v>
      </c>
      <c r="C188" s="370" t="s">
        <v>197</v>
      </c>
      <c r="D188" s="371"/>
      <c r="E188" s="371"/>
      <c r="F188" s="372"/>
      <c r="G188" s="57" t="s">
        <v>67</v>
      </c>
      <c r="H188" s="81">
        <f>H184*2</f>
        <v>9.12</v>
      </c>
      <c r="I188" s="59"/>
      <c r="J188" s="102"/>
      <c r="K188" s="56"/>
    </row>
    <row r="189" spans="1:11" ht="16.5">
      <c r="A189" s="365"/>
      <c r="B189" s="368"/>
      <c r="C189" s="61" t="s">
        <v>59</v>
      </c>
      <c r="D189" s="98">
        <f>H188</f>
        <v>9.12</v>
      </c>
      <c r="E189" s="63" t="s">
        <v>60</v>
      </c>
      <c r="F189" s="99">
        <v>0.819</v>
      </c>
      <c r="G189" s="55" t="s">
        <v>61</v>
      </c>
      <c r="H189" s="65">
        <f>D189*F189</f>
        <v>7.469279999999999</v>
      </c>
      <c r="I189" s="54">
        <v>7.8</v>
      </c>
      <c r="J189" s="103">
        <f>I189*H189</f>
        <v>58.26038399999999</v>
      </c>
      <c r="K189" s="56"/>
    </row>
    <row r="190" spans="1:11" ht="16.5">
      <c r="A190" s="365"/>
      <c r="B190" s="368"/>
      <c r="C190" s="61" t="s">
        <v>130</v>
      </c>
      <c r="D190" s="98">
        <f>H188</f>
        <v>9.12</v>
      </c>
      <c r="E190" s="63" t="s">
        <v>60</v>
      </c>
      <c r="F190" s="100">
        <v>0.56</v>
      </c>
      <c r="G190" s="10" t="s">
        <v>64</v>
      </c>
      <c r="H190" s="88">
        <f>F190*D190</f>
        <v>5.1072</v>
      </c>
      <c r="I190" s="10">
        <v>0.5</v>
      </c>
      <c r="J190" s="127">
        <f>I190*H190</f>
        <v>2.5536</v>
      </c>
      <c r="K190" s="56"/>
    </row>
    <row r="191" spans="1:11" ht="16.5">
      <c r="A191" s="365"/>
      <c r="B191" s="368"/>
      <c r="C191" s="61" t="s">
        <v>103</v>
      </c>
      <c r="D191" s="98">
        <f>H188</f>
        <v>9.12</v>
      </c>
      <c r="E191" s="63" t="s">
        <v>60</v>
      </c>
      <c r="F191" s="100">
        <v>0.041</v>
      </c>
      <c r="G191" s="10" t="s">
        <v>64</v>
      </c>
      <c r="H191" s="88">
        <f>F191*D191</f>
        <v>0.37392</v>
      </c>
      <c r="I191" s="10">
        <v>5</v>
      </c>
      <c r="J191" s="127">
        <f>I191*H191</f>
        <v>1.8696</v>
      </c>
      <c r="K191" s="56"/>
    </row>
    <row r="192" spans="1:11" ht="17.25" thickBot="1">
      <c r="A192" s="366"/>
      <c r="B192" s="369"/>
      <c r="C192" s="74" t="s">
        <v>152</v>
      </c>
      <c r="D192" s="101">
        <f>H188</f>
        <v>9.12</v>
      </c>
      <c r="E192" s="76" t="s">
        <v>60</v>
      </c>
      <c r="F192" s="77">
        <v>0.25</v>
      </c>
      <c r="G192" s="78" t="s">
        <v>64</v>
      </c>
      <c r="H192" s="79">
        <f>F192*D192</f>
        <v>2.28</v>
      </c>
      <c r="I192" s="78">
        <v>6</v>
      </c>
      <c r="J192" s="128">
        <f>I192*H192</f>
        <v>13.68</v>
      </c>
      <c r="K192" s="56"/>
    </row>
    <row r="193" spans="1:11" ht="36.75" customHeight="1" thickTop="1">
      <c r="A193" s="364">
        <v>18</v>
      </c>
      <c r="B193" s="373" t="s">
        <v>198</v>
      </c>
      <c r="C193" s="374" t="s">
        <v>199</v>
      </c>
      <c r="D193" s="375"/>
      <c r="E193" s="375"/>
      <c r="F193" s="376"/>
      <c r="G193" s="57" t="s">
        <v>67</v>
      </c>
      <c r="H193" s="81">
        <v>11.4</v>
      </c>
      <c r="I193" s="59"/>
      <c r="J193" s="102"/>
      <c r="K193" s="56"/>
    </row>
    <row r="194" spans="1:11" ht="16.5">
      <c r="A194" s="365"/>
      <c r="B194" s="368"/>
      <c r="C194" s="61" t="s">
        <v>59</v>
      </c>
      <c r="D194" s="82">
        <f>H193</f>
        <v>11.4</v>
      </c>
      <c r="E194" s="63" t="s">
        <v>60</v>
      </c>
      <c r="F194" s="64">
        <v>2.72</v>
      </c>
      <c r="G194" s="55" t="s">
        <v>61</v>
      </c>
      <c r="H194" s="65">
        <f>D194*F194</f>
        <v>31.008000000000003</v>
      </c>
      <c r="I194" s="54">
        <v>7.8</v>
      </c>
      <c r="J194" s="103">
        <f>I194*H194</f>
        <v>241.8624</v>
      </c>
      <c r="K194" s="56"/>
    </row>
    <row r="195" spans="1:11" ht="17.25" thickBot="1">
      <c r="A195" s="366"/>
      <c r="B195" s="369"/>
      <c r="C195" s="377" t="s">
        <v>200</v>
      </c>
      <c r="D195" s="378">
        <f>H193</f>
        <v>11.4</v>
      </c>
      <c r="E195" s="378" t="s">
        <v>60</v>
      </c>
      <c r="F195" s="379">
        <v>0.0146</v>
      </c>
      <c r="G195" s="78" t="s">
        <v>67</v>
      </c>
      <c r="H195" s="79">
        <f>H193</f>
        <v>11.4</v>
      </c>
      <c r="I195" s="78">
        <v>140</v>
      </c>
      <c r="J195" s="128">
        <f>I195*H195</f>
        <v>1596</v>
      </c>
      <c r="K195" s="56"/>
    </row>
    <row r="196" spans="1:11" ht="17.25" thickTop="1">
      <c r="A196" s="364">
        <v>19</v>
      </c>
      <c r="B196" s="373" t="s">
        <v>201</v>
      </c>
      <c r="C196" s="370" t="s">
        <v>202</v>
      </c>
      <c r="D196" s="371"/>
      <c r="E196" s="371"/>
      <c r="F196" s="372"/>
      <c r="G196" s="57" t="s">
        <v>67</v>
      </c>
      <c r="H196" s="81">
        <f>1.5*0.6*2</f>
        <v>1.7999999999999998</v>
      </c>
      <c r="I196" s="59"/>
      <c r="J196" s="102"/>
      <c r="K196" s="56"/>
    </row>
    <row r="197" spans="1:11" ht="16.5">
      <c r="A197" s="365"/>
      <c r="B197" s="368"/>
      <c r="C197" s="61" t="s">
        <v>59</v>
      </c>
      <c r="D197" s="98">
        <f>H196</f>
        <v>1.7999999999999998</v>
      </c>
      <c r="E197" s="63" t="s">
        <v>60</v>
      </c>
      <c r="F197" s="99">
        <v>1.09</v>
      </c>
      <c r="G197" s="55" t="s">
        <v>61</v>
      </c>
      <c r="H197" s="65">
        <f>D197*F197</f>
        <v>1.962</v>
      </c>
      <c r="I197" s="54">
        <v>7.8</v>
      </c>
      <c r="J197" s="103">
        <f>I197*H197</f>
        <v>15.3036</v>
      </c>
      <c r="K197" s="56"/>
    </row>
    <row r="198" spans="1:11" ht="16.5">
      <c r="A198" s="365"/>
      <c r="B198" s="368"/>
      <c r="C198" s="61" t="s">
        <v>203</v>
      </c>
      <c r="D198" s="98">
        <f>H196</f>
        <v>1.7999999999999998</v>
      </c>
      <c r="E198" s="63" t="s">
        <v>60</v>
      </c>
      <c r="F198" s="100">
        <v>1.02</v>
      </c>
      <c r="G198" s="10" t="s">
        <v>67</v>
      </c>
      <c r="H198" s="126">
        <f>F198*D198</f>
        <v>1.8359999999999999</v>
      </c>
      <c r="I198" s="10">
        <v>29</v>
      </c>
      <c r="J198" s="127">
        <f>I198*H198</f>
        <v>53.24399999999999</v>
      </c>
      <c r="K198" s="56"/>
    </row>
    <row r="199" spans="1:11" ht="16.5">
      <c r="A199" s="365"/>
      <c r="B199" s="368"/>
      <c r="C199" s="61" t="s">
        <v>204</v>
      </c>
      <c r="D199" s="98">
        <v>14</v>
      </c>
      <c r="E199" s="63" t="s">
        <v>60</v>
      </c>
      <c r="F199" s="100">
        <v>1</v>
      </c>
      <c r="G199" s="10" t="s">
        <v>139</v>
      </c>
      <c r="H199" s="88">
        <f>F199*D199</f>
        <v>14</v>
      </c>
      <c r="I199" s="10">
        <v>3.47</v>
      </c>
      <c r="J199" s="127">
        <f>I199*H199</f>
        <v>48.580000000000005</v>
      </c>
      <c r="K199" s="56"/>
    </row>
    <row r="200" spans="1:11" ht="17.25" thickBot="1">
      <c r="A200" s="366"/>
      <c r="B200" s="369"/>
      <c r="C200" s="74" t="s">
        <v>69</v>
      </c>
      <c r="D200" s="101">
        <f>H196</f>
        <v>1.7999999999999998</v>
      </c>
      <c r="E200" s="76" t="s">
        <v>60</v>
      </c>
      <c r="F200" s="77">
        <v>2</v>
      </c>
      <c r="G200" s="78" t="s">
        <v>15</v>
      </c>
      <c r="H200" s="79">
        <f>F200*D200</f>
        <v>3.5999999999999996</v>
      </c>
      <c r="I200" s="78">
        <v>3.2</v>
      </c>
      <c r="J200" s="128">
        <f>I200*H200</f>
        <v>11.52</v>
      </c>
      <c r="K200" s="56"/>
    </row>
    <row r="201" spans="1:11" ht="17.25" thickTop="1">
      <c r="A201" s="364">
        <v>20</v>
      </c>
      <c r="B201" s="373" t="s">
        <v>205</v>
      </c>
      <c r="C201" s="370" t="s">
        <v>206</v>
      </c>
      <c r="D201" s="371"/>
      <c r="E201" s="371"/>
      <c r="F201" s="372"/>
      <c r="G201" s="57" t="s">
        <v>67</v>
      </c>
      <c r="H201" s="81">
        <f>17*8*2</f>
        <v>272</v>
      </c>
      <c r="I201" s="59"/>
      <c r="J201" s="102"/>
      <c r="K201" s="56"/>
    </row>
    <row r="202" spans="1:11" ht="16.5">
      <c r="A202" s="365"/>
      <c r="B202" s="368"/>
      <c r="C202" s="61" t="s">
        <v>59</v>
      </c>
      <c r="D202" s="98">
        <f>H201</f>
        <v>272</v>
      </c>
      <c r="E202" s="63" t="s">
        <v>60</v>
      </c>
      <c r="F202" s="99">
        <v>0.73</v>
      </c>
      <c r="G202" s="55" t="s">
        <v>61</v>
      </c>
      <c r="H202" s="65">
        <f>D202*F202</f>
        <v>198.56</v>
      </c>
      <c r="I202" s="54">
        <v>4.6</v>
      </c>
      <c r="J202" s="103">
        <f>I202*H202</f>
        <v>913.376</v>
      </c>
      <c r="K202" s="56"/>
    </row>
    <row r="203" spans="1:11" ht="16.5">
      <c r="A203" s="365"/>
      <c r="B203" s="368"/>
      <c r="C203" s="61" t="s">
        <v>207</v>
      </c>
      <c r="D203" s="98">
        <f>H201</f>
        <v>272</v>
      </c>
      <c r="E203" s="63" t="s">
        <v>60</v>
      </c>
      <c r="F203" s="100">
        <v>1.02</v>
      </c>
      <c r="G203" s="10" t="s">
        <v>67</v>
      </c>
      <c r="H203" s="126">
        <f>F203*D203</f>
        <v>277.44</v>
      </c>
      <c r="I203" s="10">
        <v>10</v>
      </c>
      <c r="J203" s="127">
        <f>I203*H203</f>
        <v>2774.4</v>
      </c>
      <c r="K203" s="56"/>
    </row>
    <row r="204" spans="1:11" ht="17.25" thickBot="1">
      <c r="A204" s="366"/>
      <c r="B204" s="369"/>
      <c r="C204" s="74" t="s">
        <v>69</v>
      </c>
      <c r="D204" s="101">
        <f>H201</f>
        <v>272</v>
      </c>
      <c r="E204" s="76" t="s">
        <v>60</v>
      </c>
      <c r="F204" s="77">
        <v>0.1</v>
      </c>
      <c r="G204" s="78" t="s">
        <v>15</v>
      </c>
      <c r="H204" s="79">
        <f>F204*D204</f>
        <v>27.200000000000003</v>
      </c>
      <c r="I204" s="78">
        <v>3.2</v>
      </c>
      <c r="J204" s="128">
        <f>I204*H204</f>
        <v>87.04000000000002</v>
      </c>
      <c r="K204" s="56"/>
    </row>
    <row r="205" spans="1:11" ht="33" customHeight="1" thickBot="1" thickTop="1">
      <c r="A205" s="129">
        <v>21</v>
      </c>
      <c r="B205" s="130" t="s">
        <v>205</v>
      </c>
      <c r="C205" s="386" t="s">
        <v>208</v>
      </c>
      <c r="D205" s="387"/>
      <c r="E205" s="387"/>
      <c r="F205" s="388"/>
      <c r="G205" s="129" t="s">
        <v>102</v>
      </c>
      <c r="H205" s="131">
        <v>2</v>
      </c>
      <c r="I205" s="129">
        <v>100</v>
      </c>
      <c r="J205" s="132">
        <f>I205*H205</f>
        <v>200</v>
      </c>
      <c r="K205" s="56"/>
    </row>
    <row r="206" spans="1:11" ht="17.25" thickTop="1">
      <c r="A206" s="364">
        <v>22</v>
      </c>
      <c r="B206" s="389" t="s">
        <v>209</v>
      </c>
      <c r="C206" s="370" t="s">
        <v>210</v>
      </c>
      <c r="D206" s="371"/>
      <c r="E206" s="371"/>
      <c r="F206" s="372"/>
      <c r="G206" s="57" t="s">
        <v>102</v>
      </c>
      <c r="H206" s="81">
        <v>1</v>
      </c>
      <c r="I206" s="59"/>
      <c r="J206" s="102"/>
      <c r="K206" s="56"/>
    </row>
    <row r="207" spans="1:11" ht="16.5">
      <c r="A207" s="365"/>
      <c r="B207" s="368"/>
      <c r="C207" s="61" t="s">
        <v>59</v>
      </c>
      <c r="D207" s="98">
        <f>H206</f>
        <v>1</v>
      </c>
      <c r="E207" s="63" t="s">
        <v>60</v>
      </c>
      <c r="F207" s="99">
        <v>16.9</v>
      </c>
      <c r="G207" s="55" t="s">
        <v>61</v>
      </c>
      <c r="H207" s="65">
        <f>D207*F207</f>
        <v>16.9</v>
      </c>
      <c r="I207" s="54">
        <v>6</v>
      </c>
      <c r="J207" s="103">
        <f>I207*H207</f>
        <v>101.39999999999999</v>
      </c>
      <c r="K207" s="56"/>
    </row>
    <row r="208" spans="1:11" ht="16.5">
      <c r="A208" s="365"/>
      <c r="B208" s="368"/>
      <c r="C208" s="61" t="s">
        <v>211</v>
      </c>
      <c r="D208" s="98">
        <f>H206</f>
        <v>1</v>
      </c>
      <c r="E208" s="63" t="s">
        <v>60</v>
      </c>
      <c r="F208" s="100">
        <v>1</v>
      </c>
      <c r="G208" s="10" t="s">
        <v>102</v>
      </c>
      <c r="H208" s="126">
        <f>F208*D208</f>
        <v>1</v>
      </c>
      <c r="I208" s="10">
        <v>3500</v>
      </c>
      <c r="J208" s="127">
        <f>I208*H208</f>
        <v>3500</v>
      </c>
      <c r="K208" s="56"/>
    </row>
    <row r="209" spans="1:11" ht="17.25" thickBot="1">
      <c r="A209" s="366"/>
      <c r="B209" s="369"/>
      <c r="C209" s="74" t="s">
        <v>69</v>
      </c>
      <c r="D209" s="101">
        <f>H206</f>
        <v>1</v>
      </c>
      <c r="E209" s="76" t="s">
        <v>60</v>
      </c>
      <c r="F209" s="77">
        <v>12</v>
      </c>
      <c r="G209" s="78" t="s">
        <v>15</v>
      </c>
      <c r="H209" s="79">
        <f>F209*D209</f>
        <v>12</v>
      </c>
      <c r="I209" s="78">
        <v>3.2</v>
      </c>
      <c r="J209" s="128">
        <f>I209*H209</f>
        <v>38.400000000000006</v>
      </c>
      <c r="K209" s="56"/>
    </row>
    <row r="210" spans="1:11" ht="18" thickBot="1" thickTop="1">
      <c r="A210" s="129"/>
      <c r="B210" s="130"/>
      <c r="C210" s="390" t="s">
        <v>5</v>
      </c>
      <c r="D210" s="391"/>
      <c r="E210" s="391"/>
      <c r="F210" s="392"/>
      <c r="G210" s="136"/>
      <c r="H210" s="137"/>
      <c r="I210" s="136"/>
      <c r="J210" s="138">
        <f>SUM(J126:J209)</f>
        <v>78681.62336799997</v>
      </c>
      <c r="K210" s="56">
        <f>J126+J130+J135+J138+J143+J146+J151+J154+J158+J165+J168+J171+J174+J177+J181+J185+J189+J194+J197+J202+J207</f>
        <v>19235.687828000002</v>
      </c>
    </row>
    <row r="211" spans="1:11" ht="18" thickBot="1" thickTop="1">
      <c r="A211" s="129"/>
      <c r="B211" s="130"/>
      <c r="C211" s="390" t="s">
        <v>212</v>
      </c>
      <c r="D211" s="391"/>
      <c r="E211" s="391"/>
      <c r="F211" s="392"/>
      <c r="G211" s="136"/>
      <c r="H211" s="137"/>
      <c r="I211" s="136"/>
      <c r="J211" s="138">
        <f>J210+J123</f>
        <v>169564.8680669446</v>
      </c>
      <c r="K211" s="56">
        <f>K210+K123</f>
        <v>44007.556028000006</v>
      </c>
    </row>
    <row r="212" spans="1:11" ht="18" thickBot="1" thickTop="1">
      <c r="A212" s="129"/>
      <c r="B212" s="130"/>
      <c r="C212" s="133" t="s">
        <v>388</v>
      </c>
      <c r="D212" s="134"/>
      <c r="E212" s="134"/>
      <c r="F212" s="135"/>
      <c r="G212" s="136"/>
      <c r="H212" s="137"/>
      <c r="I212" s="136"/>
      <c r="J212" s="138">
        <f>J208+J205</f>
        <v>3700</v>
      </c>
      <c r="K212" s="56"/>
    </row>
    <row r="213" spans="1:10" ht="39.75" customHeight="1" thickBot="1" thickTop="1">
      <c r="A213" s="139"/>
      <c r="B213" s="139"/>
      <c r="C213" s="393" t="s">
        <v>389</v>
      </c>
      <c r="D213" s="394"/>
      <c r="E213" s="394"/>
      <c r="F213" s="395"/>
      <c r="G213" s="139"/>
      <c r="H213" s="139"/>
      <c r="I213" s="139"/>
      <c r="J213" s="120">
        <f>(J211-J212)*0.1</f>
        <v>16586.48680669446</v>
      </c>
    </row>
    <row r="214" spans="1:10" ht="18" thickBot="1" thickTop="1">
      <c r="A214" s="139"/>
      <c r="B214" s="139"/>
      <c r="C214" s="390" t="s">
        <v>6</v>
      </c>
      <c r="D214" s="391"/>
      <c r="E214" s="391"/>
      <c r="F214" s="392"/>
      <c r="G214" s="139"/>
      <c r="H214" s="139"/>
      <c r="I214" s="139"/>
      <c r="J214" s="138">
        <f>J213+J211</f>
        <v>186151.35487363904</v>
      </c>
    </row>
    <row r="215" spans="1:10" ht="38.25" customHeight="1" thickBot="1" thickTop="1">
      <c r="A215" s="139"/>
      <c r="B215" s="139"/>
      <c r="C215" s="393" t="s">
        <v>390</v>
      </c>
      <c r="D215" s="394"/>
      <c r="E215" s="394"/>
      <c r="F215" s="395"/>
      <c r="G215" s="139"/>
      <c r="H215" s="139"/>
      <c r="I215" s="139"/>
      <c r="J215" s="120">
        <f>(J214-J212)*0.08</f>
        <v>14596.108389891124</v>
      </c>
    </row>
    <row r="216" spans="1:12" ht="18" thickBot="1" thickTop="1">
      <c r="A216" s="139"/>
      <c r="B216" s="139"/>
      <c r="C216" s="390" t="s">
        <v>215</v>
      </c>
      <c r="D216" s="391"/>
      <c r="E216" s="391"/>
      <c r="F216" s="392"/>
      <c r="G216" s="139"/>
      <c r="H216" s="139"/>
      <c r="I216" s="139"/>
      <c r="J216" s="138">
        <f>J215+J214</f>
        <v>200747.46326353017</v>
      </c>
      <c r="L216" s="1">
        <f>J216*1.18</f>
        <v>236882.00665096557</v>
      </c>
    </row>
    <row r="217" ht="17.25" thickTop="1"/>
    <row r="219" spans="4:10" ht="16.5">
      <c r="D219" s="396"/>
      <c r="E219" s="396"/>
      <c r="F219" s="396"/>
      <c r="G219" s="396"/>
      <c r="H219" s="396"/>
      <c r="I219" s="396"/>
      <c r="J219" s="396"/>
    </row>
    <row r="220" spans="3:11" ht="16.5">
      <c r="C220" s="2"/>
      <c r="G220" s="312"/>
      <c r="H220" s="312"/>
      <c r="I220" s="312"/>
      <c r="J220" s="312"/>
      <c r="K220" s="49"/>
    </row>
    <row r="221" ht="16.5">
      <c r="C221" s="2"/>
    </row>
    <row r="222" spans="3:11" ht="16.5">
      <c r="C222" s="2"/>
      <c r="G222" s="312"/>
      <c r="H222" s="312"/>
      <c r="I222" s="312"/>
      <c r="J222" s="312"/>
      <c r="K222" s="49"/>
    </row>
    <row r="223" ht="16.5">
      <c r="C223" s="2"/>
    </row>
    <row r="224" spans="3:11" ht="16.5">
      <c r="C224" s="2"/>
      <c r="G224" s="312"/>
      <c r="H224" s="312"/>
      <c r="I224" s="312"/>
      <c r="J224" s="312"/>
      <c r="K224" s="49"/>
    </row>
    <row r="225" ht="16.5">
      <c r="C225" s="2"/>
    </row>
    <row r="226" spans="3:11" ht="16.5">
      <c r="C226" s="2"/>
      <c r="G226" s="312"/>
      <c r="H226" s="312"/>
      <c r="I226" s="312"/>
      <c r="J226" s="312"/>
      <c r="K226" s="49"/>
    </row>
    <row r="227" ht="16.5">
      <c r="C227" s="2"/>
    </row>
    <row r="228" ht="34.5" customHeight="1">
      <c r="C228" s="2"/>
    </row>
    <row r="229" spans="3:11" ht="16.5">
      <c r="C229" s="2"/>
      <c r="G229" s="312"/>
      <c r="H229" s="312"/>
      <c r="I229" s="312"/>
      <c r="J229" s="312"/>
      <c r="K229" s="49"/>
    </row>
    <row r="232" spans="3:12" ht="16.5">
      <c r="C232" s="140"/>
      <c r="L232" s="56"/>
    </row>
    <row r="239" ht="34.5" customHeight="1">
      <c r="C239" s="141"/>
    </row>
    <row r="247" ht="33.75" customHeight="1"/>
    <row r="252" spans="1:10" ht="16.5">
      <c r="A252" s="142"/>
      <c r="B252" s="143"/>
      <c r="C252" s="144"/>
      <c r="D252" s="145"/>
      <c r="E252" s="146"/>
      <c r="F252" s="147"/>
      <c r="G252" s="51"/>
      <c r="H252" s="148"/>
      <c r="I252" s="51"/>
      <c r="J252" s="149"/>
    </row>
    <row r="253" spans="1:10" ht="16.5">
      <c r="A253" s="142"/>
      <c r="B253" s="143"/>
      <c r="C253" s="144"/>
      <c r="D253" s="145"/>
      <c r="E253" s="146"/>
      <c r="F253" s="147"/>
      <c r="G253" s="51"/>
      <c r="H253" s="148"/>
      <c r="I253" s="51"/>
      <c r="J253" s="149"/>
    </row>
    <row r="254" spans="1:10" ht="16.5">
      <c r="A254" s="142"/>
      <c r="B254" s="143"/>
      <c r="C254" s="144"/>
      <c r="D254" s="145"/>
      <c r="E254" s="146"/>
      <c r="F254" s="147"/>
      <c r="G254" s="51"/>
      <c r="H254" s="148"/>
      <c r="I254" s="51"/>
      <c r="J254" s="149"/>
    </row>
    <row r="255" spans="1:10" ht="16.5">
      <c r="A255" s="142"/>
      <c r="B255" s="143"/>
      <c r="C255" s="144"/>
      <c r="D255" s="150"/>
      <c r="E255" s="146"/>
      <c r="F255" s="147"/>
      <c r="G255" s="51"/>
      <c r="H255" s="148"/>
      <c r="I255" s="51"/>
      <c r="J255" s="149"/>
    </row>
    <row r="256" spans="1:10" ht="16.5">
      <c r="A256" s="142"/>
      <c r="B256" s="143"/>
      <c r="C256" s="144"/>
      <c r="D256" s="150"/>
      <c r="E256" s="146"/>
      <c r="F256" s="147"/>
      <c r="G256" s="51"/>
      <c r="H256" s="148"/>
      <c r="I256" s="51"/>
      <c r="J256" s="149"/>
    </row>
    <row r="257" spans="1:10" ht="16.5">
      <c r="A257" s="142"/>
      <c r="B257" s="143"/>
      <c r="C257" s="144"/>
      <c r="D257" s="150"/>
      <c r="E257" s="146"/>
      <c r="F257" s="147"/>
      <c r="G257" s="51"/>
      <c r="H257" s="148"/>
      <c r="I257" s="51"/>
      <c r="J257" s="149"/>
    </row>
    <row r="258" ht="16.5">
      <c r="D258" s="151"/>
    </row>
    <row r="262" ht="33.75" customHeight="1"/>
    <row r="276" ht="35.25" customHeight="1"/>
    <row r="320" ht="33.75" customHeight="1"/>
  </sheetData>
  <sheetProtection/>
  <mergeCells count="176">
    <mergeCell ref="G222:J222"/>
    <mergeCell ref="G224:J224"/>
    <mergeCell ref="G226:J226"/>
    <mergeCell ref="G229:J229"/>
    <mergeCell ref="C213:F213"/>
    <mergeCell ref="C214:F214"/>
    <mergeCell ref="C215:F215"/>
    <mergeCell ref="C216:F216"/>
    <mergeCell ref="D219:J219"/>
    <mergeCell ref="G220:J220"/>
    <mergeCell ref="C205:F205"/>
    <mergeCell ref="A206:A209"/>
    <mergeCell ref="B206:B209"/>
    <mergeCell ref="C206:F206"/>
    <mergeCell ref="C210:F210"/>
    <mergeCell ref="C211:F211"/>
    <mergeCell ref="A196:A200"/>
    <mergeCell ref="B196:B200"/>
    <mergeCell ref="C196:F196"/>
    <mergeCell ref="A201:A204"/>
    <mergeCell ref="B201:B204"/>
    <mergeCell ref="C201:F201"/>
    <mergeCell ref="A188:A192"/>
    <mergeCell ref="B188:B192"/>
    <mergeCell ref="C188:F188"/>
    <mergeCell ref="A193:A195"/>
    <mergeCell ref="B193:B195"/>
    <mergeCell ref="C193:F193"/>
    <mergeCell ref="C195:F195"/>
    <mergeCell ref="A180:A183"/>
    <mergeCell ref="B180:B183"/>
    <mergeCell ref="C180:F180"/>
    <mergeCell ref="A184:A187"/>
    <mergeCell ref="B184:B187"/>
    <mergeCell ref="C184:F184"/>
    <mergeCell ref="C187:F187"/>
    <mergeCell ref="A173:A175"/>
    <mergeCell ref="B173:B175"/>
    <mergeCell ref="C173:F173"/>
    <mergeCell ref="A176:A179"/>
    <mergeCell ref="B176:B179"/>
    <mergeCell ref="C176:F176"/>
    <mergeCell ref="A167:A169"/>
    <mergeCell ref="B167:B169"/>
    <mergeCell ref="C167:F167"/>
    <mergeCell ref="A170:A172"/>
    <mergeCell ref="B170:B172"/>
    <mergeCell ref="C170:F170"/>
    <mergeCell ref="A157:A163"/>
    <mergeCell ref="B157:B163"/>
    <mergeCell ref="C157:F157"/>
    <mergeCell ref="A164:A166"/>
    <mergeCell ref="B164:B166"/>
    <mergeCell ref="C164:F164"/>
    <mergeCell ref="A150:A152"/>
    <mergeCell ref="B150:B152"/>
    <mergeCell ref="C150:F150"/>
    <mergeCell ref="A153:A156"/>
    <mergeCell ref="B153:B156"/>
    <mergeCell ref="C153:F153"/>
    <mergeCell ref="A142:A144"/>
    <mergeCell ref="B142:B144"/>
    <mergeCell ref="C142:F142"/>
    <mergeCell ref="A145:A149"/>
    <mergeCell ref="B145:B149"/>
    <mergeCell ref="C145:F145"/>
    <mergeCell ref="A134:A136"/>
    <mergeCell ref="B134:B136"/>
    <mergeCell ref="C134:F134"/>
    <mergeCell ref="A137:A141"/>
    <mergeCell ref="B137:B141"/>
    <mergeCell ref="C137:F137"/>
    <mergeCell ref="C123:F123"/>
    <mergeCell ref="A124:J124"/>
    <mergeCell ref="A125:A128"/>
    <mergeCell ref="B125:B128"/>
    <mergeCell ref="C125:F125"/>
    <mergeCell ref="A129:A133"/>
    <mergeCell ref="B129:B133"/>
    <mergeCell ref="C129:F129"/>
    <mergeCell ref="A115:A118"/>
    <mergeCell ref="B115:B118"/>
    <mergeCell ref="C115:F115"/>
    <mergeCell ref="A119:A122"/>
    <mergeCell ref="B119:B122"/>
    <mergeCell ref="C119:F119"/>
    <mergeCell ref="A107:A110"/>
    <mergeCell ref="B107:B110"/>
    <mergeCell ref="C107:F107"/>
    <mergeCell ref="A111:A114"/>
    <mergeCell ref="B111:B114"/>
    <mergeCell ref="C111:F111"/>
    <mergeCell ref="A96:A101"/>
    <mergeCell ref="B96:B101"/>
    <mergeCell ref="C96:F96"/>
    <mergeCell ref="A102:A106"/>
    <mergeCell ref="B102:B106"/>
    <mergeCell ref="C102:F102"/>
    <mergeCell ref="A88:A90"/>
    <mergeCell ref="B88:B90"/>
    <mergeCell ref="C88:F88"/>
    <mergeCell ref="A91:A95"/>
    <mergeCell ref="B91:B95"/>
    <mergeCell ref="C91:F91"/>
    <mergeCell ref="A81:A84"/>
    <mergeCell ref="B81:B84"/>
    <mergeCell ref="C81:F81"/>
    <mergeCell ref="A85:A87"/>
    <mergeCell ref="B85:B87"/>
    <mergeCell ref="C85:F85"/>
    <mergeCell ref="A73:A75"/>
    <mergeCell ref="B73:B75"/>
    <mergeCell ref="C73:F73"/>
    <mergeCell ref="A76:A80"/>
    <mergeCell ref="B76:B80"/>
    <mergeCell ref="C76:F76"/>
    <mergeCell ref="A67:A69"/>
    <mergeCell ref="B67:B69"/>
    <mergeCell ref="C67:F67"/>
    <mergeCell ref="C69:F69"/>
    <mergeCell ref="A70:A72"/>
    <mergeCell ref="B70:B72"/>
    <mergeCell ref="C70:F70"/>
    <mergeCell ref="C72:F72"/>
    <mergeCell ref="A59:A63"/>
    <mergeCell ref="B59:B63"/>
    <mergeCell ref="C59:F59"/>
    <mergeCell ref="A64:A66"/>
    <mergeCell ref="B64:B66"/>
    <mergeCell ref="C64:F64"/>
    <mergeCell ref="C66:F66"/>
    <mergeCell ref="A51:A53"/>
    <mergeCell ref="B51:B53"/>
    <mergeCell ref="C51:F51"/>
    <mergeCell ref="A54:A58"/>
    <mergeCell ref="B54:B58"/>
    <mergeCell ref="C54:F54"/>
    <mergeCell ref="A39:A46"/>
    <mergeCell ref="B39:B46"/>
    <mergeCell ref="C39:F39"/>
    <mergeCell ref="A47:A50"/>
    <mergeCell ref="B47:B50"/>
    <mergeCell ref="C47:F47"/>
    <mergeCell ref="A29:A34"/>
    <mergeCell ref="B29:B34"/>
    <mergeCell ref="C29:F29"/>
    <mergeCell ref="A35:A38"/>
    <mergeCell ref="B35:B38"/>
    <mergeCell ref="C35:F35"/>
    <mergeCell ref="A21:A24"/>
    <mergeCell ref="B21:B24"/>
    <mergeCell ref="C21:F21"/>
    <mergeCell ref="A25:A28"/>
    <mergeCell ref="B25:B28"/>
    <mergeCell ref="C25:F25"/>
    <mergeCell ref="C11:F11"/>
    <mergeCell ref="A12:J12"/>
    <mergeCell ref="A13:A16"/>
    <mergeCell ref="B13:B16"/>
    <mergeCell ref="C13:F13"/>
    <mergeCell ref="A17:A20"/>
    <mergeCell ref="B17:B20"/>
    <mergeCell ref="C17:F17"/>
    <mergeCell ref="A8:C8"/>
    <mergeCell ref="D8:E8"/>
    <mergeCell ref="F8:G8"/>
    <mergeCell ref="D9:E9"/>
    <mergeCell ref="F9:G9"/>
    <mergeCell ref="C10:F10"/>
    <mergeCell ref="A1:J1"/>
    <mergeCell ref="A2:J2"/>
    <mergeCell ref="A4:J4"/>
    <mergeCell ref="A5:J5"/>
    <mergeCell ref="A6:J6"/>
    <mergeCell ref="D7:E7"/>
    <mergeCell ref="F7:G7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6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4.140625" style="1" customWidth="1"/>
    <col min="2" max="2" width="14.8515625" style="1" customWidth="1"/>
    <col min="3" max="3" width="48.28125" style="1" customWidth="1"/>
    <col min="4" max="4" width="6.8515625" style="1" customWidth="1"/>
    <col min="5" max="5" width="3.140625" style="1" customWidth="1"/>
    <col min="6" max="6" width="10.28125" style="1" customWidth="1"/>
    <col min="7" max="9" width="9.140625" style="1" customWidth="1"/>
    <col min="10" max="10" width="10.7109375" style="1" customWidth="1"/>
    <col min="11" max="11" width="9.140625" style="1" customWidth="1"/>
    <col min="12" max="12" width="19.28125" style="1" bestFit="1" customWidth="1"/>
    <col min="13" max="16384" width="9.140625" style="1" customWidth="1"/>
  </cols>
  <sheetData>
    <row r="1" spans="1:10" ht="16.5">
      <c r="A1" s="312" t="s">
        <v>17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6.5">
      <c r="A2" s="312" t="s">
        <v>18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>
      <c r="A4" s="312" t="s">
        <v>21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6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6.5">
      <c r="A6" s="312" t="s">
        <v>216</v>
      </c>
      <c r="B6" s="312"/>
      <c r="C6" s="312"/>
      <c r="D6" s="312"/>
      <c r="E6" s="312"/>
      <c r="F6" s="312"/>
      <c r="G6" s="312"/>
      <c r="H6" s="312"/>
      <c r="I6" s="312"/>
      <c r="J6" s="312"/>
    </row>
    <row r="7" spans="1:10" ht="16.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6.5">
      <c r="A8" s="49" t="s">
        <v>30</v>
      </c>
      <c r="B8" s="49"/>
      <c r="C8" s="50"/>
      <c r="D8" s="351">
        <f>J130</f>
        <v>12693.5532960768</v>
      </c>
      <c r="E8" s="351"/>
      <c r="F8" s="312" t="s">
        <v>15</v>
      </c>
      <c r="G8" s="312"/>
      <c r="H8" s="2"/>
      <c r="I8" s="2"/>
      <c r="J8" s="2"/>
    </row>
    <row r="9" spans="1:10" ht="16.5">
      <c r="A9" s="352" t="s">
        <v>46</v>
      </c>
      <c r="B9" s="352"/>
      <c r="C9" s="352"/>
      <c r="D9" s="351">
        <f>J126</f>
        <v>1810.0964639999997</v>
      </c>
      <c r="E9" s="312"/>
      <c r="F9" s="312" t="s">
        <v>15</v>
      </c>
      <c r="G9" s="312"/>
      <c r="H9" s="2"/>
      <c r="I9" s="2"/>
      <c r="J9" s="2"/>
    </row>
    <row r="10" spans="1:7" ht="16.5">
      <c r="A10" s="1" t="s">
        <v>47</v>
      </c>
      <c r="D10" s="353">
        <f>D9/4.6/8</f>
        <v>49.187403913043475</v>
      </c>
      <c r="E10" s="353"/>
      <c r="F10" s="354" t="s">
        <v>48</v>
      </c>
      <c r="G10" s="354"/>
    </row>
    <row r="11" spans="1:10" ht="50.25" customHeight="1">
      <c r="A11" s="10" t="s">
        <v>0</v>
      </c>
      <c r="B11" s="10" t="s">
        <v>49</v>
      </c>
      <c r="C11" s="355" t="s">
        <v>50</v>
      </c>
      <c r="D11" s="356"/>
      <c r="E11" s="356"/>
      <c r="F11" s="357"/>
      <c r="G11" s="15" t="s">
        <v>51</v>
      </c>
      <c r="H11" s="15" t="s">
        <v>52</v>
      </c>
      <c r="I11" s="15" t="s">
        <v>53</v>
      </c>
      <c r="J11" s="15" t="s">
        <v>54</v>
      </c>
    </row>
    <row r="12" spans="1:10" ht="17.25" thickBot="1">
      <c r="A12" s="54">
        <v>1</v>
      </c>
      <c r="B12" s="54">
        <v>2</v>
      </c>
      <c r="C12" s="358">
        <v>3</v>
      </c>
      <c r="D12" s="359"/>
      <c r="E12" s="359"/>
      <c r="F12" s="360"/>
      <c r="G12" s="54">
        <v>4</v>
      </c>
      <c r="H12" s="54">
        <v>5</v>
      </c>
      <c r="I12" s="54">
        <v>6</v>
      </c>
      <c r="J12" s="54">
        <v>7</v>
      </c>
    </row>
    <row r="13" spans="1:10" ht="33.75" customHeight="1" thickTop="1">
      <c r="A13" s="364">
        <v>1</v>
      </c>
      <c r="B13" s="397" t="s">
        <v>217</v>
      </c>
      <c r="C13" s="370" t="s">
        <v>218</v>
      </c>
      <c r="D13" s="371"/>
      <c r="E13" s="371"/>
      <c r="F13" s="372"/>
      <c r="G13" s="57" t="s">
        <v>139</v>
      </c>
      <c r="H13" s="97">
        <v>56</v>
      </c>
      <c r="I13" s="152"/>
      <c r="J13" s="60">
        <f>J14+J15</f>
        <v>39.794944</v>
      </c>
    </row>
    <row r="14" spans="1:10" ht="16.5">
      <c r="A14" s="365"/>
      <c r="B14" s="398"/>
      <c r="C14" s="61" t="s">
        <v>59</v>
      </c>
      <c r="D14" s="98">
        <f>H13</f>
        <v>56</v>
      </c>
      <c r="E14" s="63" t="s">
        <v>60</v>
      </c>
      <c r="F14" s="100">
        <v>0.077</v>
      </c>
      <c r="G14" s="55" t="s">
        <v>61</v>
      </c>
      <c r="H14" s="65">
        <f>D14*F14</f>
        <v>4.312</v>
      </c>
      <c r="I14" s="54">
        <v>6</v>
      </c>
      <c r="J14" s="66">
        <f>I14*H14</f>
        <v>25.872</v>
      </c>
    </row>
    <row r="15" spans="1:10" ht="17.25" thickBot="1">
      <c r="A15" s="366"/>
      <c r="B15" s="399"/>
      <c r="C15" s="153" t="s">
        <v>219</v>
      </c>
      <c r="D15" s="154">
        <f>H13</f>
        <v>56</v>
      </c>
      <c r="E15" s="155" t="s">
        <v>60</v>
      </c>
      <c r="F15" s="156">
        <v>0.0379</v>
      </c>
      <c r="G15" s="157" t="s">
        <v>119</v>
      </c>
      <c r="H15" s="158">
        <f>D15*F15</f>
        <v>2.1224000000000003</v>
      </c>
      <c r="I15" s="159">
        <v>6.56</v>
      </c>
      <c r="J15" s="160">
        <f>I15*H15</f>
        <v>13.922944000000001</v>
      </c>
    </row>
    <row r="16" spans="1:10" ht="34.5" customHeight="1" thickTop="1">
      <c r="A16" s="364">
        <v>2</v>
      </c>
      <c r="B16" s="397" t="s">
        <v>220</v>
      </c>
      <c r="C16" s="374" t="s">
        <v>221</v>
      </c>
      <c r="D16" s="375"/>
      <c r="E16" s="375"/>
      <c r="F16" s="376"/>
      <c r="G16" s="57" t="s">
        <v>72</v>
      </c>
      <c r="H16" s="97">
        <f>32*0.3*0.7</f>
        <v>6.72</v>
      </c>
      <c r="I16" s="152"/>
      <c r="J16" s="60">
        <f>J17</f>
        <v>27.418943999999996</v>
      </c>
    </row>
    <row r="17" spans="1:10" ht="17.25" thickBot="1">
      <c r="A17" s="366"/>
      <c r="B17" s="399"/>
      <c r="C17" s="74" t="s">
        <v>59</v>
      </c>
      <c r="D17" s="101">
        <f>H16</f>
        <v>6.72</v>
      </c>
      <c r="E17" s="76" t="s">
        <v>60</v>
      </c>
      <c r="F17" s="112">
        <v>0.887</v>
      </c>
      <c r="G17" s="161" t="s">
        <v>61</v>
      </c>
      <c r="H17" s="162">
        <f>D17*F17</f>
        <v>5.96064</v>
      </c>
      <c r="I17" s="94">
        <v>4.6</v>
      </c>
      <c r="J17" s="96">
        <f>I17*H17</f>
        <v>27.418943999999996</v>
      </c>
    </row>
    <row r="18" spans="1:10" ht="34.5" customHeight="1" thickTop="1">
      <c r="A18" s="364">
        <v>3</v>
      </c>
      <c r="B18" s="397" t="s">
        <v>222</v>
      </c>
      <c r="C18" s="370" t="s">
        <v>223</v>
      </c>
      <c r="D18" s="371"/>
      <c r="E18" s="371"/>
      <c r="F18" s="372"/>
      <c r="G18" s="57" t="s">
        <v>58</v>
      </c>
      <c r="H18" s="81">
        <f>H16*1.5</f>
        <v>10.08</v>
      </c>
      <c r="I18" s="152"/>
      <c r="J18" s="60">
        <f>J19</f>
        <v>129.36672</v>
      </c>
    </row>
    <row r="19" spans="1:10" ht="17.25" thickBot="1">
      <c r="A19" s="365"/>
      <c r="B19" s="398"/>
      <c r="C19" s="61" t="s">
        <v>59</v>
      </c>
      <c r="D19" s="98">
        <f>H18</f>
        <v>10.08</v>
      </c>
      <c r="E19" s="63" t="s">
        <v>60</v>
      </c>
      <c r="F19" s="100">
        <v>2.79</v>
      </c>
      <c r="G19" s="55" t="s">
        <v>61</v>
      </c>
      <c r="H19" s="65">
        <f>D19*F19</f>
        <v>28.1232</v>
      </c>
      <c r="I19" s="54">
        <v>4.6</v>
      </c>
      <c r="J19" s="66">
        <f>I19*H19</f>
        <v>129.36672</v>
      </c>
    </row>
    <row r="20" spans="1:10" ht="34.5" thickBot="1" thickTop="1">
      <c r="A20" s="129">
        <v>4</v>
      </c>
      <c r="B20" s="163" t="s">
        <v>224</v>
      </c>
      <c r="C20" s="400" t="s">
        <v>225</v>
      </c>
      <c r="D20" s="401"/>
      <c r="E20" s="401"/>
      <c r="F20" s="402"/>
      <c r="G20" s="129" t="s">
        <v>58</v>
      </c>
      <c r="H20" s="165">
        <f>H18</f>
        <v>10.08</v>
      </c>
      <c r="I20" s="129">
        <v>3.87</v>
      </c>
      <c r="J20" s="120">
        <f>I20*H20</f>
        <v>39.0096</v>
      </c>
    </row>
    <row r="21" spans="1:10" ht="33.75" customHeight="1" thickTop="1">
      <c r="A21" s="364">
        <v>5</v>
      </c>
      <c r="B21" s="373" t="s">
        <v>226</v>
      </c>
      <c r="C21" s="370" t="s">
        <v>227</v>
      </c>
      <c r="D21" s="371"/>
      <c r="E21" s="371"/>
      <c r="F21" s="372"/>
      <c r="G21" s="57" t="s">
        <v>102</v>
      </c>
      <c r="H21" s="81">
        <v>1</v>
      </c>
      <c r="I21" s="59"/>
      <c r="J21" s="60">
        <f>J22+J23+J24+J25</f>
        <v>1948.104</v>
      </c>
    </row>
    <row r="22" spans="1:10" ht="16.5">
      <c r="A22" s="365"/>
      <c r="B22" s="368"/>
      <c r="C22" s="61" t="s">
        <v>59</v>
      </c>
      <c r="D22" s="82">
        <f>H21</f>
        <v>1</v>
      </c>
      <c r="E22" s="63" t="s">
        <v>60</v>
      </c>
      <c r="F22" s="99">
        <v>23.5</v>
      </c>
      <c r="G22" s="55" t="s">
        <v>61</v>
      </c>
      <c r="H22" s="65">
        <f>D22*F22</f>
        <v>23.5</v>
      </c>
      <c r="I22" s="54">
        <v>6</v>
      </c>
      <c r="J22" s="66">
        <f>I22*H22</f>
        <v>141</v>
      </c>
    </row>
    <row r="23" spans="1:10" ht="16.5">
      <c r="A23" s="365"/>
      <c r="B23" s="368"/>
      <c r="C23" s="67" t="s">
        <v>228</v>
      </c>
      <c r="D23" s="83">
        <v>1</v>
      </c>
      <c r="E23" s="69" t="s">
        <v>60</v>
      </c>
      <c r="F23" s="85">
        <v>1</v>
      </c>
      <c r="G23" s="71" t="s">
        <v>102</v>
      </c>
      <c r="H23" s="84">
        <f>F23*D23</f>
        <v>1</v>
      </c>
      <c r="I23" s="71">
        <v>1800</v>
      </c>
      <c r="J23" s="73">
        <f>I23*H23</f>
        <v>1800</v>
      </c>
    </row>
    <row r="24" spans="1:10" ht="16.5">
      <c r="A24" s="365"/>
      <c r="B24" s="368"/>
      <c r="C24" s="67" t="s">
        <v>82</v>
      </c>
      <c r="D24" s="83">
        <f>H21</f>
        <v>1</v>
      </c>
      <c r="E24" s="69" t="s">
        <v>60</v>
      </c>
      <c r="F24" s="113">
        <v>1.1</v>
      </c>
      <c r="G24" s="71" t="s">
        <v>162</v>
      </c>
      <c r="H24" s="84">
        <f>F24*D24</f>
        <v>1.1</v>
      </c>
      <c r="I24" s="71">
        <v>3.2</v>
      </c>
      <c r="J24" s="73">
        <f>I24*H24</f>
        <v>3.5200000000000005</v>
      </c>
    </row>
    <row r="25" spans="1:10" ht="17.25" thickBot="1">
      <c r="A25" s="366"/>
      <c r="B25" s="369"/>
      <c r="C25" s="74" t="s">
        <v>69</v>
      </c>
      <c r="D25" s="105">
        <f>H21</f>
        <v>1</v>
      </c>
      <c r="E25" s="93" t="s">
        <v>60</v>
      </c>
      <c r="F25" s="76">
        <v>1.12</v>
      </c>
      <c r="G25" s="94" t="s">
        <v>162</v>
      </c>
      <c r="H25" s="95">
        <f>D25*F25</f>
        <v>1.12</v>
      </c>
      <c r="I25" s="94">
        <v>3.2</v>
      </c>
      <c r="J25" s="96">
        <f>I25*H25</f>
        <v>3.5840000000000005</v>
      </c>
    </row>
    <row r="26" spans="1:10" ht="17.25" thickTop="1">
      <c r="A26" s="364">
        <v>6</v>
      </c>
      <c r="B26" s="373" t="s">
        <v>229</v>
      </c>
      <c r="C26" s="370" t="s">
        <v>230</v>
      </c>
      <c r="D26" s="371"/>
      <c r="E26" s="371"/>
      <c r="F26" s="372"/>
      <c r="G26" s="57" t="s">
        <v>102</v>
      </c>
      <c r="H26" s="81">
        <v>1</v>
      </c>
      <c r="I26" s="59"/>
      <c r="J26" s="60">
        <f>J27+J28+J29+J30</f>
        <v>1028.728</v>
      </c>
    </row>
    <row r="27" spans="1:10" ht="16.5">
      <c r="A27" s="365"/>
      <c r="B27" s="368"/>
      <c r="C27" s="61" t="s">
        <v>59</v>
      </c>
      <c r="D27" s="82">
        <f>H26</f>
        <v>1</v>
      </c>
      <c r="E27" s="63" t="s">
        <v>60</v>
      </c>
      <c r="F27" s="87">
        <v>13.7</v>
      </c>
      <c r="G27" s="55" t="s">
        <v>61</v>
      </c>
      <c r="H27" s="65">
        <f>D27*F27</f>
        <v>13.7</v>
      </c>
      <c r="I27" s="54">
        <v>6</v>
      </c>
      <c r="J27" s="66">
        <f>I27*H27</f>
        <v>82.19999999999999</v>
      </c>
    </row>
    <row r="28" spans="1:10" ht="16.5">
      <c r="A28" s="365"/>
      <c r="B28" s="368"/>
      <c r="C28" s="67" t="s">
        <v>231</v>
      </c>
      <c r="D28" s="83">
        <v>1</v>
      </c>
      <c r="E28" s="69" t="s">
        <v>60</v>
      </c>
      <c r="F28" s="85">
        <v>1</v>
      </c>
      <c r="G28" s="71" t="s">
        <v>102</v>
      </c>
      <c r="H28" s="84">
        <f>F28*D28</f>
        <v>1</v>
      </c>
      <c r="I28" s="71">
        <v>932</v>
      </c>
      <c r="J28" s="73">
        <f>I28*H28</f>
        <v>932</v>
      </c>
    </row>
    <row r="29" spans="1:10" ht="16.5">
      <c r="A29" s="365"/>
      <c r="B29" s="368"/>
      <c r="C29" s="67" t="s">
        <v>82</v>
      </c>
      <c r="D29" s="83">
        <f>H26</f>
        <v>1</v>
      </c>
      <c r="E29" s="69" t="s">
        <v>60</v>
      </c>
      <c r="F29" s="113">
        <v>1.3</v>
      </c>
      <c r="G29" s="71" t="s">
        <v>162</v>
      </c>
      <c r="H29" s="84">
        <f>F29*D29</f>
        <v>1.3</v>
      </c>
      <c r="I29" s="71">
        <v>3.2</v>
      </c>
      <c r="J29" s="73">
        <f>I29*H29</f>
        <v>4.16</v>
      </c>
    </row>
    <row r="30" spans="1:10" ht="17.25" thickBot="1">
      <c r="A30" s="366"/>
      <c r="B30" s="369"/>
      <c r="C30" s="74" t="s">
        <v>69</v>
      </c>
      <c r="D30" s="105">
        <f>H26</f>
        <v>1</v>
      </c>
      <c r="E30" s="93" t="s">
        <v>60</v>
      </c>
      <c r="F30" s="76">
        <v>3.24</v>
      </c>
      <c r="G30" s="94" t="s">
        <v>162</v>
      </c>
      <c r="H30" s="95">
        <f>D30*F30</f>
        <v>3.24</v>
      </c>
      <c r="I30" s="94">
        <v>3.2</v>
      </c>
      <c r="J30" s="96">
        <f>I30*H30</f>
        <v>10.368000000000002</v>
      </c>
    </row>
    <row r="31" spans="1:10" ht="17.25" thickTop="1">
      <c r="A31" s="364">
        <v>7</v>
      </c>
      <c r="B31" s="373" t="s">
        <v>232</v>
      </c>
      <c r="C31" s="370" t="s">
        <v>233</v>
      </c>
      <c r="D31" s="371"/>
      <c r="E31" s="371"/>
      <c r="F31" s="372"/>
      <c r="G31" s="57" t="s">
        <v>102</v>
      </c>
      <c r="H31" s="81">
        <v>1</v>
      </c>
      <c r="I31" s="59"/>
      <c r="J31" s="60">
        <f>J32+J33+J34+J35</f>
        <v>80.10799999999998</v>
      </c>
    </row>
    <row r="32" spans="1:10" ht="16.5">
      <c r="A32" s="365"/>
      <c r="B32" s="368"/>
      <c r="C32" s="61" t="s">
        <v>59</v>
      </c>
      <c r="D32" s="82">
        <f>H31</f>
        <v>1</v>
      </c>
      <c r="E32" s="63" t="s">
        <v>60</v>
      </c>
      <c r="F32" s="87">
        <v>3.8</v>
      </c>
      <c r="G32" s="55" t="s">
        <v>61</v>
      </c>
      <c r="H32" s="65">
        <f>D32*F32</f>
        <v>3.8</v>
      </c>
      <c r="I32" s="54">
        <v>6</v>
      </c>
      <c r="J32" s="66">
        <f>I32*H32</f>
        <v>22.799999999999997</v>
      </c>
    </row>
    <row r="33" spans="1:10" ht="16.5">
      <c r="A33" s="365"/>
      <c r="B33" s="368"/>
      <c r="C33" s="67" t="s">
        <v>234</v>
      </c>
      <c r="D33" s="83">
        <v>1</v>
      </c>
      <c r="E33" s="69" t="s">
        <v>60</v>
      </c>
      <c r="F33" s="85">
        <v>1</v>
      </c>
      <c r="G33" s="71" t="s">
        <v>102</v>
      </c>
      <c r="H33" s="84">
        <f>F33*D33</f>
        <v>1</v>
      </c>
      <c r="I33" s="71">
        <v>55.9</v>
      </c>
      <c r="J33" s="73">
        <f>I33*H33</f>
        <v>55.9</v>
      </c>
    </row>
    <row r="34" spans="1:10" ht="16.5">
      <c r="A34" s="365"/>
      <c r="B34" s="368"/>
      <c r="C34" s="67" t="s">
        <v>82</v>
      </c>
      <c r="D34" s="83">
        <f>H31</f>
        <v>1</v>
      </c>
      <c r="E34" s="69" t="s">
        <v>60</v>
      </c>
      <c r="F34" s="113">
        <v>0.22</v>
      </c>
      <c r="G34" s="71" t="s">
        <v>162</v>
      </c>
      <c r="H34" s="84">
        <f>F34*D34</f>
        <v>0.22</v>
      </c>
      <c r="I34" s="71">
        <v>3.2</v>
      </c>
      <c r="J34" s="73">
        <f>I34*H34</f>
        <v>0.7040000000000001</v>
      </c>
    </row>
    <row r="35" spans="1:10" ht="17.25" thickBot="1">
      <c r="A35" s="366"/>
      <c r="B35" s="369"/>
      <c r="C35" s="74" t="s">
        <v>69</v>
      </c>
      <c r="D35" s="105">
        <f>H31</f>
        <v>1</v>
      </c>
      <c r="E35" s="93" t="s">
        <v>60</v>
      </c>
      <c r="F35" s="76">
        <v>0.22</v>
      </c>
      <c r="G35" s="94" t="s">
        <v>162</v>
      </c>
      <c r="H35" s="95">
        <f>D35*F35</f>
        <v>0.22</v>
      </c>
      <c r="I35" s="94">
        <v>3.2</v>
      </c>
      <c r="J35" s="96">
        <f>I35*H35</f>
        <v>0.7040000000000001</v>
      </c>
    </row>
    <row r="36" spans="1:10" ht="17.25" thickTop="1">
      <c r="A36" s="364">
        <v>8</v>
      </c>
      <c r="B36" s="373" t="s">
        <v>235</v>
      </c>
      <c r="C36" s="370" t="s">
        <v>236</v>
      </c>
      <c r="D36" s="371"/>
      <c r="E36" s="371"/>
      <c r="F36" s="372"/>
      <c r="G36" s="57" t="s">
        <v>237</v>
      </c>
      <c r="H36" s="57">
        <v>6</v>
      </c>
      <c r="I36" s="59"/>
      <c r="J36" s="60">
        <f>J37+J38+J39</f>
        <v>178.87199999999999</v>
      </c>
    </row>
    <row r="37" spans="1:10" ht="16.5">
      <c r="A37" s="365"/>
      <c r="B37" s="368"/>
      <c r="C37" s="61" t="s">
        <v>59</v>
      </c>
      <c r="D37" s="98">
        <f>H36</f>
        <v>6</v>
      </c>
      <c r="E37" s="63" t="s">
        <v>60</v>
      </c>
      <c r="F37" s="64">
        <v>3.66</v>
      </c>
      <c r="G37" s="55" t="s">
        <v>61</v>
      </c>
      <c r="H37" s="65">
        <f>D37*F37</f>
        <v>21.96</v>
      </c>
      <c r="I37" s="54">
        <v>6</v>
      </c>
      <c r="J37" s="66">
        <f>I37*H37</f>
        <v>131.76</v>
      </c>
    </row>
    <row r="38" spans="1:10" ht="16.5">
      <c r="A38" s="365"/>
      <c r="B38" s="368"/>
      <c r="C38" s="61" t="s">
        <v>238</v>
      </c>
      <c r="D38" s="98">
        <f>H36</f>
        <v>6</v>
      </c>
      <c r="E38" s="63" t="s">
        <v>60</v>
      </c>
      <c r="F38" s="166">
        <v>1</v>
      </c>
      <c r="G38" s="10" t="s">
        <v>237</v>
      </c>
      <c r="H38" s="126">
        <f>F38*D38</f>
        <v>6</v>
      </c>
      <c r="I38" s="10">
        <v>7.5</v>
      </c>
      <c r="J38" s="89">
        <f>I38*H38</f>
        <v>45</v>
      </c>
    </row>
    <row r="39" spans="1:10" ht="17.25" thickBot="1">
      <c r="A39" s="365"/>
      <c r="B39" s="368"/>
      <c r="C39" s="67" t="s">
        <v>82</v>
      </c>
      <c r="D39" s="115">
        <f>H36</f>
        <v>6</v>
      </c>
      <c r="E39" s="69" t="s">
        <v>60</v>
      </c>
      <c r="F39" s="85">
        <v>0.11</v>
      </c>
      <c r="G39" s="71" t="s">
        <v>162</v>
      </c>
      <c r="H39" s="84">
        <f>F39*D39</f>
        <v>0.66</v>
      </c>
      <c r="I39" s="71">
        <v>3.2</v>
      </c>
      <c r="J39" s="73">
        <f>I39*H39</f>
        <v>2.112</v>
      </c>
    </row>
    <row r="40" spans="1:10" ht="17.25" thickTop="1">
      <c r="A40" s="364">
        <v>9</v>
      </c>
      <c r="B40" s="373" t="s">
        <v>239</v>
      </c>
      <c r="C40" s="370" t="s">
        <v>240</v>
      </c>
      <c r="D40" s="371"/>
      <c r="E40" s="371"/>
      <c r="F40" s="372"/>
      <c r="G40" s="57" t="s">
        <v>139</v>
      </c>
      <c r="H40" s="57">
        <v>40</v>
      </c>
      <c r="I40" s="59"/>
      <c r="J40" s="60">
        <f>J41+J42+J43+J44+J45+J46</f>
        <v>366.04159999999996</v>
      </c>
    </row>
    <row r="41" spans="1:10" ht="16.5">
      <c r="A41" s="365"/>
      <c r="B41" s="368"/>
      <c r="C41" s="61" t="s">
        <v>59</v>
      </c>
      <c r="D41" s="98">
        <f>H40</f>
        <v>40</v>
      </c>
      <c r="E41" s="63" t="s">
        <v>60</v>
      </c>
      <c r="F41" s="100">
        <v>0.0969</v>
      </c>
      <c r="G41" s="55" t="s">
        <v>61</v>
      </c>
      <c r="H41" s="65">
        <f>D41*F41</f>
        <v>3.876</v>
      </c>
      <c r="I41" s="54">
        <v>6</v>
      </c>
      <c r="J41" s="66">
        <f aca="true" t="shared" si="0" ref="J41:J46">I41*H41</f>
        <v>23.256</v>
      </c>
    </row>
    <row r="42" spans="1:10" ht="16.5">
      <c r="A42" s="365"/>
      <c r="B42" s="368"/>
      <c r="C42" s="61" t="s">
        <v>241</v>
      </c>
      <c r="D42" s="98">
        <f>H40</f>
        <v>40</v>
      </c>
      <c r="E42" s="63" t="s">
        <v>60</v>
      </c>
      <c r="F42" s="166">
        <v>1</v>
      </c>
      <c r="G42" s="10" t="s">
        <v>139</v>
      </c>
      <c r="H42" s="126">
        <f>F42*D42</f>
        <v>40</v>
      </c>
      <c r="I42" s="10">
        <v>3.8</v>
      </c>
      <c r="J42" s="89">
        <f t="shared" si="0"/>
        <v>152</v>
      </c>
    </row>
    <row r="43" spans="1:10" ht="16.5">
      <c r="A43" s="365"/>
      <c r="B43" s="368"/>
      <c r="C43" s="61" t="s">
        <v>242</v>
      </c>
      <c r="D43" s="98">
        <v>25</v>
      </c>
      <c r="E43" s="63" t="s">
        <v>60</v>
      </c>
      <c r="F43" s="166">
        <v>1</v>
      </c>
      <c r="G43" s="10" t="s">
        <v>139</v>
      </c>
      <c r="H43" s="126">
        <f>F43*D43</f>
        <v>25</v>
      </c>
      <c r="I43" s="10">
        <v>5.9</v>
      </c>
      <c r="J43" s="89">
        <f t="shared" si="0"/>
        <v>147.5</v>
      </c>
    </row>
    <row r="44" spans="1:10" ht="16.5">
      <c r="A44" s="365"/>
      <c r="B44" s="368"/>
      <c r="C44" s="61" t="s">
        <v>243</v>
      </c>
      <c r="D44" s="98">
        <v>5</v>
      </c>
      <c r="E44" s="63" t="s">
        <v>60</v>
      </c>
      <c r="F44" s="166">
        <v>1</v>
      </c>
      <c r="G44" s="10" t="s">
        <v>102</v>
      </c>
      <c r="H44" s="126">
        <f>F44*D44</f>
        <v>5</v>
      </c>
      <c r="I44" s="10">
        <v>2.5</v>
      </c>
      <c r="J44" s="89">
        <f t="shared" si="0"/>
        <v>12.5</v>
      </c>
    </row>
    <row r="45" spans="1:10" ht="16.5">
      <c r="A45" s="365"/>
      <c r="B45" s="368"/>
      <c r="C45" s="61" t="s">
        <v>244</v>
      </c>
      <c r="D45" s="98">
        <v>10</v>
      </c>
      <c r="E45" s="63" t="s">
        <v>60</v>
      </c>
      <c r="F45" s="166">
        <v>1</v>
      </c>
      <c r="G45" s="10" t="s">
        <v>102</v>
      </c>
      <c r="H45" s="126">
        <f>F45*D45</f>
        <v>10</v>
      </c>
      <c r="I45" s="10">
        <v>2.5</v>
      </c>
      <c r="J45" s="89">
        <f t="shared" si="0"/>
        <v>25</v>
      </c>
    </row>
    <row r="46" spans="1:10" ht="17.25" thickBot="1">
      <c r="A46" s="365"/>
      <c r="B46" s="368"/>
      <c r="C46" s="67" t="s">
        <v>82</v>
      </c>
      <c r="D46" s="115">
        <f>H40</f>
        <v>40</v>
      </c>
      <c r="E46" s="69" t="s">
        <v>60</v>
      </c>
      <c r="F46" s="85">
        <v>0.0452</v>
      </c>
      <c r="G46" s="71" t="s">
        <v>162</v>
      </c>
      <c r="H46" s="84">
        <f>F46*D46</f>
        <v>1.8079999999999998</v>
      </c>
      <c r="I46" s="71">
        <v>3.2</v>
      </c>
      <c r="J46" s="73">
        <f t="shared" si="0"/>
        <v>5.7856</v>
      </c>
    </row>
    <row r="47" spans="1:10" ht="17.25" thickTop="1">
      <c r="A47" s="364">
        <v>10</v>
      </c>
      <c r="B47" s="373" t="s">
        <v>245</v>
      </c>
      <c r="C47" s="370" t="s">
        <v>246</v>
      </c>
      <c r="D47" s="371"/>
      <c r="E47" s="371"/>
      <c r="F47" s="372"/>
      <c r="G47" s="57" t="s">
        <v>102</v>
      </c>
      <c r="H47" s="57">
        <v>1</v>
      </c>
      <c r="I47" s="59"/>
      <c r="J47" s="60">
        <f>J48+J49+J50</f>
        <v>9.792</v>
      </c>
    </row>
    <row r="48" spans="1:10" ht="16.5">
      <c r="A48" s="365"/>
      <c r="B48" s="368"/>
      <c r="C48" s="61" t="s">
        <v>59</v>
      </c>
      <c r="D48" s="98">
        <f>H47</f>
        <v>1</v>
      </c>
      <c r="E48" s="63" t="s">
        <v>60</v>
      </c>
      <c r="F48" s="100">
        <v>1.24</v>
      </c>
      <c r="G48" s="55" t="s">
        <v>61</v>
      </c>
      <c r="H48" s="65">
        <f>D48*F48</f>
        <v>1.24</v>
      </c>
      <c r="I48" s="54">
        <v>6</v>
      </c>
      <c r="J48" s="66">
        <f>I48*H48</f>
        <v>7.4399999999999995</v>
      </c>
    </row>
    <row r="49" spans="1:10" ht="16.5">
      <c r="A49" s="365"/>
      <c r="B49" s="368"/>
      <c r="C49" s="61" t="s">
        <v>241</v>
      </c>
      <c r="D49" s="98">
        <v>0.4</v>
      </c>
      <c r="E49" s="63" t="s">
        <v>60</v>
      </c>
      <c r="F49" s="166">
        <v>1</v>
      </c>
      <c r="G49" s="10" t="s">
        <v>139</v>
      </c>
      <c r="H49" s="126">
        <f>F49*D49</f>
        <v>0.4</v>
      </c>
      <c r="I49" s="10">
        <v>3.8</v>
      </c>
      <c r="J49" s="89">
        <f>I49*H49</f>
        <v>1.52</v>
      </c>
    </row>
    <row r="50" spans="1:10" ht="17.25" thickBot="1">
      <c r="A50" s="365"/>
      <c r="B50" s="368"/>
      <c r="C50" s="67" t="s">
        <v>82</v>
      </c>
      <c r="D50" s="115">
        <f>H47</f>
        <v>1</v>
      </c>
      <c r="E50" s="69" t="s">
        <v>60</v>
      </c>
      <c r="F50" s="85">
        <v>0.26</v>
      </c>
      <c r="G50" s="71" t="s">
        <v>162</v>
      </c>
      <c r="H50" s="84">
        <f>F50*D50</f>
        <v>0.26</v>
      </c>
      <c r="I50" s="71">
        <v>3.2</v>
      </c>
      <c r="J50" s="73">
        <f>I50*H50</f>
        <v>0.8320000000000001</v>
      </c>
    </row>
    <row r="51" spans="1:10" ht="33" customHeight="1" thickTop="1">
      <c r="A51" s="364">
        <v>11</v>
      </c>
      <c r="B51" s="373" t="s">
        <v>247</v>
      </c>
      <c r="C51" s="370" t="s">
        <v>248</v>
      </c>
      <c r="D51" s="371"/>
      <c r="E51" s="371"/>
      <c r="F51" s="372"/>
      <c r="G51" s="57" t="s">
        <v>139</v>
      </c>
      <c r="H51" s="167">
        <v>140</v>
      </c>
      <c r="I51" s="59"/>
      <c r="J51" s="60">
        <f>J52+J53+J54+J55+J56+J57+J58+J59+J60</f>
        <v>620.8352</v>
      </c>
    </row>
    <row r="52" spans="1:10" ht="16.5">
      <c r="A52" s="365"/>
      <c r="B52" s="368"/>
      <c r="C52" s="61" t="s">
        <v>59</v>
      </c>
      <c r="D52" s="168">
        <f>H51</f>
        <v>140</v>
      </c>
      <c r="E52" s="63" t="s">
        <v>60</v>
      </c>
      <c r="F52" s="64">
        <v>0.37</v>
      </c>
      <c r="G52" s="55" t="s">
        <v>61</v>
      </c>
      <c r="H52" s="65">
        <f>D52*F52</f>
        <v>51.8</v>
      </c>
      <c r="I52" s="54">
        <v>6</v>
      </c>
      <c r="J52" s="66">
        <f aca="true" t="shared" si="1" ref="J52:J60">I52*H52</f>
        <v>310.79999999999995</v>
      </c>
    </row>
    <row r="53" spans="1:10" ht="16.5">
      <c r="A53" s="365"/>
      <c r="B53" s="368"/>
      <c r="C53" s="67" t="s">
        <v>249</v>
      </c>
      <c r="D53" s="169">
        <v>28</v>
      </c>
      <c r="E53" s="69" t="s">
        <v>60</v>
      </c>
      <c r="F53" s="170">
        <v>1</v>
      </c>
      <c r="G53" s="71" t="s">
        <v>139</v>
      </c>
      <c r="H53" s="171">
        <f aca="true" t="shared" si="2" ref="H53:H58">F53*D53</f>
        <v>28</v>
      </c>
      <c r="I53" s="172">
        <v>3.45</v>
      </c>
      <c r="J53" s="73">
        <f t="shared" si="1"/>
        <v>96.60000000000001</v>
      </c>
    </row>
    <row r="54" spans="1:10" ht="16.5">
      <c r="A54" s="365"/>
      <c r="B54" s="368"/>
      <c r="C54" s="67" t="s">
        <v>250</v>
      </c>
      <c r="D54" s="169">
        <v>24</v>
      </c>
      <c r="E54" s="69" t="s">
        <v>60</v>
      </c>
      <c r="F54" s="170">
        <v>1</v>
      </c>
      <c r="G54" s="71" t="s">
        <v>139</v>
      </c>
      <c r="H54" s="171">
        <f t="shared" si="2"/>
        <v>24</v>
      </c>
      <c r="I54" s="172">
        <v>2.13</v>
      </c>
      <c r="J54" s="73">
        <f>I54*H54</f>
        <v>51.12</v>
      </c>
    </row>
    <row r="55" spans="1:10" ht="16.5">
      <c r="A55" s="365"/>
      <c r="B55" s="368"/>
      <c r="C55" s="67" t="s">
        <v>251</v>
      </c>
      <c r="D55" s="169">
        <v>32</v>
      </c>
      <c r="E55" s="69" t="s">
        <v>60</v>
      </c>
      <c r="F55" s="170">
        <v>1</v>
      </c>
      <c r="G55" s="71" t="s">
        <v>139</v>
      </c>
      <c r="H55" s="171">
        <f t="shared" si="2"/>
        <v>32</v>
      </c>
      <c r="I55" s="172">
        <v>1.73</v>
      </c>
      <c r="J55" s="73">
        <f>I55*H55</f>
        <v>55.36</v>
      </c>
    </row>
    <row r="56" spans="1:10" ht="16.5">
      <c r="A56" s="365"/>
      <c r="B56" s="368"/>
      <c r="C56" s="173" t="s">
        <v>252</v>
      </c>
      <c r="D56" s="174">
        <v>28</v>
      </c>
      <c r="E56" s="175" t="s">
        <v>60</v>
      </c>
      <c r="F56" s="176">
        <v>1</v>
      </c>
      <c r="G56" s="172" t="s">
        <v>139</v>
      </c>
      <c r="H56" s="177">
        <f t="shared" si="2"/>
        <v>28</v>
      </c>
      <c r="I56" s="172">
        <v>1.31</v>
      </c>
      <c r="J56" s="178">
        <f t="shared" si="1"/>
        <v>36.68</v>
      </c>
    </row>
    <row r="57" spans="1:10" ht="16.5">
      <c r="A57" s="365"/>
      <c r="B57" s="368"/>
      <c r="C57" s="173" t="s">
        <v>253</v>
      </c>
      <c r="D57" s="174">
        <v>24</v>
      </c>
      <c r="E57" s="175" t="s">
        <v>60</v>
      </c>
      <c r="F57" s="176">
        <v>1</v>
      </c>
      <c r="G57" s="172" t="s">
        <v>139</v>
      </c>
      <c r="H57" s="177">
        <f t="shared" si="2"/>
        <v>24</v>
      </c>
      <c r="I57" s="172">
        <v>1.13</v>
      </c>
      <c r="J57" s="178">
        <f t="shared" si="1"/>
        <v>27.119999999999997</v>
      </c>
    </row>
    <row r="58" spans="1:10" ht="16.5">
      <c r="A58" s="365"/>
      <c r="B58" s="368"/>
      <c r="C58" s="173" t="s">
        <v>254</v>
      </c>
      <c r="D58" s="174">
        <v>32</v>
      </c>
      <c r="E58" s="175" t="s">
        <v>60</v>
      </c>
      <c r="F58" s="176">
        <v>1</v>
      </c>
      <c r="G58" s="172" t="s">
        <v>139</v>
      </c>
      <c r="H58" s="177">
        <f t="shared" si="2"/>
        <v>32</v>
      </c>
      <c r="I58" s="172">
        <v>0.93</v>
      </c>
      <c r="J58" s="178">
        <f>I58*H58</f>
        <v>29.76</v>
      </c>
    </row>
    <row r="59" spans="1:10" ht="16.5">
      <c r="A59" s="365"/>
      <c r="B59" s="368"/>
      <c r="C59" s="61" t="s">
        <v>82</v>
      </c>
      <c r="D59" s="179">
        <f>H51</f>
        <v>140</v>
      </c>
      <c r="E59" s="180" t="s">
        <v>60</v>
      </c>
      <c r="F59" s="63">
        <v>0.0136</v>
      </c>
      <c r="G59" s="54" t="s">
        <v>162</v>
      </c>
      <c r="H59" s="181">
        <f>D59*F59</f>
        <v>1.904</v>
      </c>
      <c r="I59" s="54">
        <v>3.2</v>
      </c>
      <c r="J59" s="66">
        <f t="shared" si="1"/>
        <v>6.0928</v>
      </c>
    </row>
    <row r="60" spans="1:10" ht="17.25" thickBot="1">
      <c r="A60" s="366"/>
      <c r="B60" s="369"/>
      <c r="C60" s="153" t="s">
        <v>69</v>
      </c>
      <c r="D60" s="182">
        <f>H51</f>
        <v>140</v>
      </c>
      <c r="E60" s="183" t="s">
        <v>60</v>
      </c>
      <c r="F60" s="155">
        <v>0.0163</v>
      </c>
      <c r="G60" s="159" t="s">
        <v>162</v>
      </c>
      <c r="H60" s="158">
        <f>D60*F60</f>
        <v>2.2819999999999996</v>
      </c>
      <c r="I60" s="159">
        <v>3.2</v>
      </c>
      <c r="J60" s="160">
        <f t="shared" si="1"/>
        <v>7.302399999999999</v>
      </c>
    </row>
    <row r="61" spans="1:10" ht="33" customHeight="1" thickTop="1">
      <c r="A61" s="364">
        <v>12</v>
      </c>
      <c r="B61" s="373" t="s">
        <v>255</v>
      </c>
      <c r="C61" s="370" t="s">
        <v>256</v>
      </c>
      <c r="D61" s="371"/>
      <c r="E61" s="371"/>
      <c r="F61" s="372"/>
      <c r="G61" s="57" t="s">
        <v>139</v>
      </c>
      <c r="H61" s="167">
        <f>D63+D65+D64</f>
        <v>56</v>
      </c>
      <c r="I61" s="59"/>
      <c r="J61" s="60">
        <f>J62+J63+J65+J66+J67</f>
        <v>171.27808</v>
      </c>
    </row>
    <row r="62" spans="1:10" ht="16.5">
      <c r="A62" s="365"/>
      <c r="B62" s="368"/>
      <c r="C62" s="61" t="s">
        <v>59</v>
      </c>
      <c r="D62" s="168">
        <f>H61</f>
        <v>56</v>
      </c>
      <c r="E62" s="63" t="s">
        <v>60</v>
      </c>
      <c r="F62" s="64">
        <v>0.37</v>
      </c>
      <c r="G62" s="55" t="s">
        <v>61</v>
      </c>
      <c r="H62" s="65">
        <f>D62*F62</f>
        <v>20.72</v>
      </c>
      <c r="I62" s="54">
        <v>6</v>
      </c>
      <c r="J62" s="66">
        <f aca="true" t="shared" si="3" ref="J62:J67">I62*H62</f>
        <v>124.32</v>
      </c>
    </row>
    <row r="63" spans="1:10" ht="16.5">
      <c r="A63" s="365"/>
      <c r="B63" s="368"/>
      <c r="C63" s="67" t="s">
        <v>257</v>
      </c>
      <c r="D63" s="169">
        <v>8</v>
      </c>
      <c r="E63" s="69" t="s">
        <v>60</v>
      </c>
      <c r="F63" s="170">
        <v>1</v>
      </c>
      <c r="G63" s="71" t="s">
        <v>139</v>
      </c>
      <c r="H63" s="171">
        <f>F63*D63</f>
        <v>8</v>
      </c>
      <c r="I63" s="172">
        <v>2.5</v>
      </c>
      <c r="J63" s="73">
        <f t="shared" si="3"/>
        <v>20</v>
      </c>
    </row>
    <row r="64" spans="1:10" ht="16.5">
      <c r="A64" s="365"/>
      <c r="B64" s="368"/>
      <c r="C64" s="67" t="s">
        <v>258</v>
      </c>
      <c r="D64" s="169">
        <v>24</v>
      </c>
      <c r="E64" s="69" t="s">
        <v>60</v>
      </c>
      <c r="F64" s="170">
        <v>1</v>
      </c>
      <c r="G64" s="71" t="s">
        <v>139</v>
      </c>
      <c r="H64" s="171">
        <f>F64*D64</f>
        <v>24</v>
      </c>
      <c r="I64" s="172">
        <v>17</v>
      </c>
      <c r="J64" s="73">
        <f t="shared" si="3"/>
        <v>408</v>
      </c>
    </row>
    <row r="65" spans="1:10" ht="16.5">
      <c r="A65" s="365"/>
      <c r="B65" s="368"/>
      <c r="C65" s="67" t="s">
        <v>259</v>
      </c>
      <c r="D65" s="169">
        <v>24</v>
      </c>
      <c r="E65" s="69" t="s">
        <v>60</v>
      </c>
      <c r="F65" s="170">
        <v>1</v>
      </c>
      <c r="G65" s="71" t="s">
        <v>139</v>
      </c>
      <c r="H65" s="171">
        <f>F65*D65</f>
        <v>24</v>
      </c>
      <c r="I65" s="172">
        <v>0.9</v>
      </c>
      <c r="J65" s="73">
        <f t="shared" si="3"/>
        <v>21.6</v>
      </c>
    </row>
    <row r="66" spans="1:10" ht="16.5">
      <c r="A66" s="365"/>
      <c r="B66" s="368"/>
      <c r="C66" s="61" t="s">
        <v>82</v>
      </c>
      <c r="D66" s="179">
        <f>H61</f>
        <v>56</v>
      </c>
      <c r="E66" s="180" t="s">
        <v>60</v>
      </c>
      <c r="F66" s="63">
        <v>0.0136</v>
      </c>
      <c r="G66" s="54" t="s">
        <v>162</v>
      </c>
      <c r="H66" s="181">
        <f>D66*F66</f>
        <v>0.7615999999999999</v>
      </c>
      <c r="I66" s="54">
        <v>3.2</v>
      </c>
      <c r="J66" s="66">
        <f t="shared" si="3"/>
        <v>2.43712</v>
      </c>
    </row>
    <row r="67" spans="1:10" ht="17.25" thickBot="1">
      <c r="A67" s="366"/>
      <c r="B67" s="369"/>
      <c r="C67" s="153" t="s">
        <v>69</v>
      </c>
      <c r="D67" s="182">
        <f>H61</f>
        <v>56</v>
      </c>
      <c r="E67" s="183" t="s">
        <v>60</v>
      </c>
      <c r="F67" s="155">
        <v>0.0163</v>
      </c>
      <c r="G67" s="159" t="s">
        <v>162</v>
      </c>
      <c r="H67" s="158">
        <f>D67*F67</f>
        <v>0.9128</v>
      </c>
      <c r="I67" s="159">
        <v>3.2</v>
      </c>
      <c r="J67" s="160">
        <f t="shared" si="3"/>
        <v>2.92096</v>
      </c>
    </row>
    <row r="68" spans="1:10" ht="33.75" customHeight="1" thickTop="1">
      <c r="A68" s="364">
        <v>13</v>
      </c>
      <c r="B68" s="373" t="s">
        <v>260</v>
      </c>
      <c r="C68" s="370" t="s">
        <v>261</v>
      </c>
      <c r="D68" s="371"/>
      <c r="E68" s="371"/>
      <c r="F68" s="372"/>
      <c r="G68" s="57" t="s">
        <v>102</v>
      </c>
      <c r="H68" s="81">
        <f>D70+D71+D72+D73+D74+D75+D76</f>
        <v>85</v>
      </c>
      <c r="I68" s="59"/>
      <c r="J68" s="60">
        <f>J69+J70+J71+J72+J73+J74+J75+J76+J77+J78</f>
        <v>431.56000000000006</v>
      </c>
    </row>
    <row r="69" spans="1:10" ht="16.5">
      <c r="A69" s="365"/>
      <c r="B69" s="368"/>
      <c r="C69" s="61" t="s">
        <v>59</v>
      </c>
      <c r="D69" s="82">
        <f>H68</f>
        <v>85</v>
      </c>
      <c r="E69" s="63" t="s">
        <v>60</v>
      </c>
      <c r="F69" s="99">
        <v>0.389</v>
      </c>
      <c r="G69" s="55" t="s">
        <v>61</v>
      </c>
      <c r="H69" s="65">
        <f>D69*F69</f>
        <v>33.065</v>
      </c>
      <c r="I69" s="54">
        <v>6</v>
      </c>
      <c r="J69" s="66">
        <f aca="true" t="shared" si="4" ref="J69:J78">I69*H69</f>
        <v>198.39</v>
      </c>
    </row>
    <row r="70" spans="1:10" ht="16.5">
      <c r="A70" s="365"/>
      <c r="B70" s="368"/>
      <c r="C70" s="67" t="s">
        <v>262</v>
      </c>
      <c r="D70" s="83">
        <v>2</v>
      </c>
      <c r="E70" s="69" t="s">
        <v>60</v>
      </c>
      <c r="F70" s="85">
        <v>1</v>
      </c>
      <c r="G70" s="71" t="s">
        <v>102</v>
      </c>
      <c r="H70" s="84">
        <f aca="true" t="shared" si="5" ref="H70:H77">F70*D70</f>
        <v>2</v>
      </c>
      <c r="I70" s="71">
        <v>0.51</v>
      </c>
      <c r="J70" s="73">
        <f t="shared" si="4"/>
        <v>1.02</v>
      </c>
    </row>
    <row r="71" spans="1:10" ht="16.5">
      <c r="A71" s="365"/>
      <c r="B71" s="368"/>
      <c r="C71" s="67" t="s">
        <v>263</v>
      </c>
      <c r="D71" s="83">
        <v>8</v>
      </c>
      <c r="E71" s="69" t="s">
        <v>60</v>
      </c>
      <c r="F71" s="85">
        <v>1</v>
      </c>
      <c r="G71" s="71" t="s">
        <v>102</v>
      </c>
      <c r="H71" s="84">
        <f t="shared" si="5"/>
        <v>8</v>
      </c>
      <c r="I71" s="71">
        <v>0.6</v>
      </c>
      <c r="J71" s="73">
        <f t="shared" si="4"/>
        <v>4.8</v>
      </c>
    </row>
    <row r="72" spans="1:10" ht="16.5">
      <c r="A72" s="365"/>
      <c r="B72" s="368"/>
      <c r="C72" s="67" t="s">
        <v>264</v>
      </c>
      <c r="D72" s="83">
        <v>10</v>
      </c>
      <c r="E72" s="69" t="s">
        <v>60</v>
      </c>
      <c r="F72" s="85">
        <v>1</v>
      </c>
      <c r="G72" s="71" t="s">
        <v>102</v>
      </c>
      <c r="H72" s="84">
        <f t="shared" si="5"/>
        <v>10</v>
      </c>
      <c r="I72" s="71">
        <v>0.3</v>
      </c>
      <c r="J72" s="73">
        <f t="shared" si="4"/>
        <v>3</v>
      </c>
    </row>
    <row r="73" spans="1:10" ht="16.5">
      <c r="A73" s="365"/>
      <c r="B73" s="368"/>
      <c r="C73" s="67" t="s">
        <v>265</v>
      </c>
      <c r="D73" s="83">
        <v>35</v>
      </c>
      <c r="E73" s="69" t="s">
        <v>60</v>
      </c>
      <c r="F73" s="85">
        <v>1</v>
      </c>
      <c r="G73" s="71" t="s">
        <v>102</v>
      </c>
      <c r="H73" s="84">
        <f t="shared" si="5"/>
        <v>35</v>
      </c>
      <c r="I73" s="71">
        <v>0.25</v>
      </c>
      <c r="J73" s="73">
        <f t="shared" si="4"/>
        <v>8.75</v>
      </c>
    </row>
    <row r="74" spans="1:10" ht="16.5">
      <c r="A74" s="365"/>
      <c r="B74" s="368"/>
      <c r="C74" s="67" t="s">
        <v>266</v>
      </c>
      <c r="D74" s="83">
        <v>1</v>
      </c>
      <c r="E74" s="69" t="s">
        <v>60</v>
      </c>
      <c r="F74" s="85">
        <v>1</v>
      </c>
      <c r="G74" s="71" t="s">
        <v>102</v>
      </c>
      <c r="H74" s="84">
        <f t="shared" si="5"/>
        <v>1</v>
      </c>
      <c r="I74" s="71">
        <v>1.9</v>
      </c>
      <c r="J74" s="73">
        <f t="shared" si="4"/>
        <v>1.9</v>
      </c>
    </row>
    <row r="75" spans="1:10" ht="16.5">
      <c r="A75" s="365"/>
      <c r="B75" s="368"/>
      <c r="C75" s="67" t="s">
        <v>267</v>
      </c>
      <c r="D75" s="83">
        <v>6</v>
      </c>
      <c r="E75" s="69" t="s">
        <v>60</v>
      </c>
      <c r="F75" s="85">
        <v>1</v>
      </c>
      <c r="G75" s="71" t="s">
        <v>102</v>
      </c>
      <c r="H75" s="84">
        <f t="shared" si="5"/>
        <v>6</v>
      </c>
      <c r="I75" s="71">
        <v>2</v>
      </c>
      <c r="J75" s="73">
        <f t="shared" si="4"/>
        <v>12</v>
      </c>
    </row>
    <row r="76" spans="1:10" ht="16.5">
      <c r="A76" s="365"/>
      <c r="B76" s="368"/>
      <c r="C76" s="67" t="s">
        <v>268</v>
      </c>
      <c r="D76" s="83">
        <v>23</v>
      </c>
      <c r="E76" s="69" t="s">
        <v>60</v>
      </c>
      <c r="F76" s="85">
        <v>1</v>
      </c>
      <c r="G76" s="71" t="s">
        <v>102</v>
      </c>
      <c r="H76" s="84">
        <f t="shared" si="5"/>
        <v>23</v>
      </c>
      <c r="I76" s="71">
        <v>6.7</v>
      </c>
      <c r="J76" s="73">
        <f t="shared" si="4"/>
        <v>154.1</v>
      </c>
    </row>
    <row r="77" spans="1:10" ht="16.5">
      <c r="A77" s="365"/>
      <c r="B77" s="368"/>
      <c r="C77" s="67" t="s">
        <v>82</v>
      </c>
      <c r="D77" s="83">
        <f>H68</f>
        <v>85</v>
      </c>
      <c r="E77" s="69" t="s">
        <v>60</v>
      </c>
      <c r="F77" s="113">
        <v>0.151</v>
      </c>
      <c r="G77" s="71" t="s">
        <v>162</v>
      </c>
      <c r="H77" s="84">
        <f t="shared" si="5"/>
        <v>12.834999999999999</v>
      </c>
      <c r="I77" s="71">
        <v>3.2</v>
      </c>
      <c r="J77" s="73">
        <f t="shared" si="4"/>
        <v>41.072</v>
      </c>
    </row>
    <row r="78" spans="1:10" ht="17.25" thickBot="1">
      <c r="A78" s="366"/>
      <c r="B78" s="369"/>
      <c r="C78" s="74" t="s">
        <v>69</v>
      </c>
      <c r="D78" s="105">
        <f>H68</f>
        <v>85</v>
      </c>
      <c r="E78" s="93" t="s">
        <v>60</v>
      </c>
      <c r="F78" s="76">
        <v>0.024</v>
      </c>
      <c r="G78" s="94" t="s">
        <v>162</v>
      </c>
      <c r="H78" s="95">
        <f>D78*F78</f>
        <v>2.04</v>
      </c>
      <c r="I78" s="94">
        <v>3.2</v>
      </c>
      <c r="J78" s="96">
        <f t="shared" si="4"/>
        <v>6.5280000000000005</v>
      </c>
    </row>
    <row r="79" spans="1:10" ht="17.25" thickTop="1">
      <c r="A79" s="364">
        <v>14</v>
      </c>
      <c r="B79" s="373" t="s">
        <v>269</v>
      </c>
      <c r="C79" s="370" t="s">
        <v>270</v>
      </c>
      <c r="D79" s="371"/>
      <c r="E79" s="371"/>
      <c r="F79" s="372"/>
      <c r="G79" s="57" t="s">
        <v>102</v>
      </c>
      <c r="H79" s="167">
        <v>3</v>
      </c>
      <c r="I79" s="59"/>
      <c r="J79" s="60">
        <f>J80+J81+J82</f>
        <v>57.818</v>
      </c>
    </row>
    <row r="80" spans="1:10" ht="16.5">
      <c r="A80" s="365"/>
      <c r="B80" s="368"/>
      <c r="C80" s="61" t="s">
        <v>59</v>
      </c>
      <c r="D80" s="168">
        <f>H79</f>
        <v>3</v>
      </c>
      <c r="E80" s="63" t="s">
        <v>60</v>
      </c>
      <c r="F80" s="64">
        <v>0.151</v>
      </c>
      <c r="G80" s="55" t="s">
        <v>61</v>
      </c>
      <c r="H80" s="65">
        <f>D80*F80</f>
        <v>0.45299999999999996</v>
      </c>
      <c r="I80" s="54">
        <v>6</v>
      </c>
      <c r="J80" s="66">
        <f>I80*H80</f>
        <v>2.718</v>
      </c>
    </row>
    <row r="81" spans="1:10" ht="16.5">
      <c r="A81" s="365"/>
      <c r="B81" s="368"/>
      <c r="C81" s="61" t="s">
        <v>271</v>
      </c>
      <c r="D81" s="168">
        <v>1</v>
      </c>
      <c r="E81" s="63" t="s">
        <v>60</v>
      </c>
      <c r="F81" s="184">
        <v>1</v>
      </c>
      <c r="G81" s="71" t="s">
        <v>102</v>
      </c>
      <c r="H81" s="171">
        <f>F81*D81</f>
        <v>1</v>
      </c>
      <c r="I81" s="71">
        <v>29.7</v>
      </c>
      <c r="J81" s="73">
        <f>I81*H81</f>
        <v>29.7</v>
      </c>
    </row>
    <row r="82" spans="1:10" ht="17.25" thickBot="1">
      <c r="A82" s="365"/>
      <c r="B82" s="368"/>
      <c r="C82" s="61" t="s">
        <v>272</v>
      </c>
      <c r="D82" s="168">
        <v>2</v>
      </c>
      <c r="E82" s="63" t="s">
        <v>60</v>
      </c>
      <c r="F82" s="184">
        <v>1</v>
      </c>
      <c r="G82" s="71" t="s">
        <v>102</v>
      </c>
      <c r="H82" s="171">
        <f>F82*D82</f>
        <v>2</v>
      </c>
      <c r="I82" s="71">
        <v>12.7</v>
      </c>
      <c r="J82" s="73">
        <f>I82*H82</f>
        <v>25.4</v>
      </c>
    </row>
    <row r="83" spans="1:12" ht="17.25" thickTop="1">
      <c r="A83" s="364">
        <v>15</v>
      </c>
      <c r="B83" s="373" t="s">
        <v>273</v>
      </c>
      <c r="C83" s="370" t="s">
        <v>274</v>
      </c>
      <c r="D83" s="371"/>
      <c r="E83" s="371"/>
      <c r="F83" s="372"/>
      <c r="G83" s="57" t="s">
        <v>102</v>
      </c>
      <c r="H83" s="57">
        <v>23</v>
      </c>
      <c r="I83" s="59"/>
      <c r="J83" s="60">
        <f>J84+J85</f>
        <v>250.838</v>
      </c>
      <c r="L83" s="185"/>
    </row>
    <row r="84" spans="1:12" ht="16.5">
      <c r="A84" s="365"/>
      <c r="B84" s="368"/>
      <c r="C84" s="61" t="s">
        <v>59</v>
      </c>
      <c r="D84" s="168">
        <f>H83</f>
        <v>23</v>
      </c>
      <c r="E84" s="63" t="s">
        <v>60</v>
      </c>
      <c r="F84" s="64">
        <v>0.151</v>
      </c>
      <c r="G84" s="55" t="s">
        <v>61</v>
      </c>
      <c r="H84" s="65">
        <f>D84*F84</f>
        <v>3.473</v>
      </c>
      <c r="I84" s="54">
        <v>6</v>
      </c>
      <c r="J84" s="66">
        <f>I84*H84</f>
        <v>20.838</v>
      </c>
      <c r="L84" s="185"/>
    </row>
    <row r="85" spans="1:12" ht="17.25" thickBot="1">
      <c r="A85" s="366"/>
      <c r="B85" s="369"/>
      <c r="C85" s="74" t="s">
        <v>275</v>
      </c>
      <c r="D85" s="186">
        <f>H83</f>
        <v>23</v>
      </c>
      <c r="E85" s="76" t="s">
        <v>60</v>
      </c>
      <c r="F85" s="187">
        <v>1</v>
      </c>
      <c r="G85" s="78" t="s">
        <v>102</v>
      </c>
      <c r="H85" s="188">
        <f>F85*D85</f>
        <v>23</v>
      </c>
      <c r="I85" s="78">
        <v>10</v>
      </c>
      <c r="J85" s="80">
        <f>I85*H85</f>
        <v>230</v>
      </c>
      <c r="L85" s="185"/>
    </row>
    <row r="86" spans="1:14" ht="33" customHeight="1" thickTop="1">
      <c r="A86" s="364">
        <v>16</v>
      </c>
      <c r="B86" s="373" t="s">
        <v>276</v>
      </c>
      <c r="C86" s="370" t="s">
        <v>277</v>
      </c>
      <c r="D86" s="371"/>
      <c r="E86" s="371"/>
      <c r="F86" s="372"/>
      <c r="G86" s="57" t="s">
        <v>139</v>
      </c>
      <c r="H86" s="57">
        <v>15.6</v>
      </c>
      <c r="I86" s="59"/>
      <c r="J86" s="60">
        <f>J87+J88+J89+J90+J92+J93+J94+J91</f>
        <v>125.11511999999999</v>
      </c>
      <c r="L86" s="403"/>
      <c r="M86" s="403"/>
      <c r="N86" s="403"/>
    </row>
    <row r="87" spans="1:12" ht="16.5">
      <c r="A87" s="365"/>
      <c r="B87" s="368"/>
      <c r="C87" s="61" t="s">
        <v>59</v>
      </c>
      <c r="D87" s="189">
        <f>H86</f>
        <v>15.6</v>
      </c>
      <c r="E87" s="190" t="s">
        <v>60</v>
      </c>
      <c r="F87" s="191">
        <v>0.609</v>
      </c>
      <c r="G87" s="55" t="s">
        <v>61</v>
      </c>
      <c r="H87" s="65">
        <f>D87*F87</f>
        <v>9.500399999999999</v>
      </c>
      <c r="I87" s="54">
        <v>6</v>
      </c>
      <c r="J87" s="66">
        <f aca="true" t="shared" si="6" ref="J87:J94">I87*H87</f>
        <v>57.002399999999994</v>
      </c>
      <c r="L87" s="185"/>
    </row>
    <row r="88" spans="1:12" ht="16.5">
      <c r="A88" s="365"/>
      <c r="B88" s="368"/>
      <c r="C88" s="107" t="s">
        <v>278</v>
      </c>
      <c r="D88" s="192">
        <v>4</v>
      </c>
      <c r="E88" s="192" t="s">
        <v>60</v>
      </c>
      <c r="F88" s="16">
        <v>1</v>
      </c>
      <c r="G88" s="10" t="s">
        <v>102</v>
      </c>
      <c r="H88" s="88">
        <f aca="true" t="shared" si="7" ref="H88:H94">F88*D88</f>
        <v>4</v>
      </c>
      <c r="I88" s="10">
        <v>0.73</v>
      </c>
      <c r="J88" s="89">
        <f t="shared" si="6"/>
        <v>2.92</v>
      </c>
      <c r="L88" s="185"/>
    </row>
    <row r="89" spans="1:12" ht="16.5">
      <c r="A89" s="365"/>
      <c r="B89" s="368"/>
      <c r="C89" s="107" t="s">
        <v>279</v>
      </c>
      <c r="D89" s="192">
        <v>7</v>
      </c>
      <c r="E89" s="192" t="s">
        <v>60</v>
      </c>
      <c r="F89" s="16">
        <v>1</v>
      </c>
      <c r="G89" s="10" t="s">
        <v>102</v>
      </c>
      <c r="H89" s="88">
        <f t="shared" si="7"/>
        <v>7</v>
      </c>
      <c r="I89" s="10">
        <v>0.73</v>
      </c>
      <c r="J89" s="89">
        <f t="shared" si="6"/>
        <v>5.109999999999999</v>
      </c>
      <c r="L89" s="185"/>
    </row>
    <row r="90" spans="1:12" ht="16.5">
      <c r="A90" s="365"/>
      <c r="B90" s="368"/>
      <c r="C90" s="107" t="s">
        <v>280</v>
      </c>
      <c r="D90" s="192">
        <v>5</v>
      </c>
      <c r="E90" s="192" t="s">
        <v>60</v>
      </c>
      <c r="F90" s="16">
        <v>1</v>
      </c>
      <c r="G90" s="10" t="s">
        <v>102</v>
      </c>
      <c r="H90" s="88">
        <f>F90*D90</f>
        <v>5</v>
      </c>
      <c r="I90" s="10">
        <v>1.1</v>
      </c>
      <c r="J90" s="89">
        <f>I90*H90</f>
        <v>5.5</v>
      </c>
      <c r="L90" s="185"/>
    </row>
    <row r="91" spans="1:12" ht="16.5">
      <c r="A91" s="365"/>
      <c r="B91" s="368"/>
      <c r="C91" s="107" t="s">
        <v>281</v>
      </c>
      <c r="D91" s="192">
        <v>2</v>
      </c>
      <c r="E91" s="192" t="s">
        <v>60</v>
      </c>
      <c r="F91" s="16">
        <v>1</v>
      </c>
      <c r="G91" s="10" t="s">
        <v>102</v>
      </c>
      <c r="H91" s="88">
        <f>F91*D91</f>
        <v>2</v>
      </c>
      <c r="I91" s="10">
        <v>2.4</v>
      </c>
      <c r="J91" s="89">
        <f>I91*H91</f>
        <v>4.8</v>
      </c>
      <c r="L91" s="185"/>
    </row>
    <row r="92" spans="1:12" ht="16.5">
      <c r="A92" s="365"/>
      <c r="B92" s="368"/>
      <c r="C92" s="107" t="s">
        <v>282</v>
      </c>
      <c r="D92" s="192">
        <f>H86</f>
        <v>15.6</v>
      </c>
      <c r="E92" s="192" t="s">
        <v>60</v>
      </c>
      <c r="F92" s="16">
        <v>1</v>
      </c>
      <c r="G92" s="10" t="s">
        <v>139</v>
      </c>
      <c r="H92" s="88">
        <f t="shared" si="7"/>
        <v>15.6</v>
      </c>
      <c r="I92" s="10">
        <v>2.3</v>
      </c>
      <c r="J92" s="89">
        <f t="shared" si="6"/>
        <v>35.879999999999995</v>
      </c>
      <c r="L92" s="185"/>
    </row>
    <row r="93" spans="1:12" ht="16.5">
      <c r="A93" s="365"/>
      <c r="B93" s="368"/>
      <c r="C93" s="107" t="s">
        <v>283</v>
      </c>
      <c r="D93" s="192">
        <f>H86</f>
        <v>15.6</v>
      </c>
      <c r="E93" s="192" t="s">
        <v>60</v>
      </c>
      <c r="F93" s="16">
        <v>0.14</v>
      </c>
      <c r="G93" s="10" t="s">
        <v>64</v>
      </c>
      <c r="H93" s="88">
        <f t="shared" si="7"/>
        <v>2.184</v>
      </c>
      <c r="I93" s="10">
        <v>2.8</v>
      </c>
      <c r="J93" s="89">
        <f t="shared" si="6"/>
        <v>6.1152</v>
      </c>
      <c r="L93" s="185"/>
    </row>
    <row r="94" spans="1:12" ht="17.25" thickBot="1">
      <c r="A94" s="365"/>
      <c r="B94" s="368"/>
      <c r="C94" s="107" t="s">
        <v>69</v>
      </c>
      <c r="D94" s="192">
        <f>H86</f>
        <v>15.6</v>
      </c>
      <c r="E94" s="192" t="s">
        <v>60</v>
      </c>
      <c r="F94" s="193">
        <v>0.156</v>
      </c>
      <c r="G94" s="10" t="s">
        <v>162</v>
      </c>
      <c r="H94" s="88">
        <f t="shared" si="7"/>
        <v>2.4335999999999998</v>
      </c>
      <c r="I94" s="10">
        <v>3.2</v>
      </c>
      <c r="J94" s="89">
        <f t="shared" si="6"/>
        <v>7.78752</v>
      </c>
      <c r="L94" s="185"/>
    </row>
    <row r="95" spans="1:12" ht="35.25" customHeight="1" thickTop="1">
      <c r="A95" s="364">
        <v>17</v>
      </c>
      <c r="B95" s="373" t="s">
        <v>284</v>
      </c>
      <c r="C95" s="370" t="s">
        <v>285</v>
      </c>
      <c r="D95" s="371"/>
      <c r="E95" s="371"/>
      <c r="F95" s="372"/>
      <c r="G95" s="57" t="s">
        <v>139</v>
      </c>
      <c r="H95" s="57">
        <v>29.6</v>
      </c>
      <c r="I95" s="59"/>
      <c r="J95" s="60">
        <f>J96+J97+J98+J99+J100+J101+J102+J103+J104</f>
        <v>449.28295999999995</v>
      </c>
      <c r="L95" s="185"/>
    </row>
    <row r="96" spans="1:12" ht="17.25" customHeight="1">
      <c r="A96" s="365"/>
      <c r="B96" s="368"/>
      <c r="C96" s="61" t="s">
        <v>59</v>
      </c>
      <c r="D96" s="189">
        <f>H95</f>
        <v>29.6</v>
      </c>
      <c r="E96" s="190" t="s">
        <v>60</v>
      </c>
      <c r="F96" s="191">
        <v>0.609</v>
      </c>
      <c r="G96" s="55" t="s">
        <v>61</v>
      </c>
      <c r="H96" s="65">
        <f>D96*F96</f>
        <v>18.0264</v>
      </c>
      <c r="I96" s="54">
        <v>6</v>
      </c>
      <c r="J96" s="66">
        <f aca="true" t="shared" si="8" ref="J96:J104">I96*H96</f>
        <v>108.1584</v>
      </c>
      <c r="L96" s="185"/>
    </row>
    <row r="97" spans="1:12" ht="17.25" customHeight="1">
      <c r="A97" s="365"/>
      <c r="B97" s="368"/>
      <c r="C97" s="107" t="s">
        <v>286</v>
      </c>
      <c r="D97" s="192">
        <v>4</v>
      </c>
      <c r="E97" s="192" t="s">
        <v>60</v>
      </c>
      <c r="F97" s="16">
        <v>1</v>
      </c>
      <c r="G97" s="10" t="s">
        <v>102</v>
      </c>
      <c r="H97" s="88">
        <f aca="true" t="shared" si="9" ref="H97:H104">F97*D97</f>
        <v>4</v>
      </c>
      <c r="I97" s="10">
        <v>2.9</v>
      </c>
      <c r="J97" s="89">
        <f t="shared" si="8"/>
        <v>11.6</v>
      </c>
      <c r="L97" s="185"/>
    </row>
    <row r="98" spans="1:12" ht="17.25" customHeight="1">
      <c r="A98" s="365"/>
      <c r="B98" s="368"/>
      <c r="C98" s="107" t="s">
        <v>287</v>
      </c>
      <c r="D98" s="192">
        <v>1</v>
      </c>
      <c r="E98" s="192" t="s">
        <v>60</v>
      </c>
      <c r="F98" s="16">
        <v>1</v>
      </c>
      <c r="G98" s="10" t="s">
        <v>102</v>
      </c>
      <c r="H98" s="88">
        <f t="shared" si="9"/>
        <v>1</v>
      </c>
      <c r="I98" s="10">
        <v>2.6</v>
      </c>
      <c r="J98" s="89">
        <f t="shared" si="8"/>
        <v>2.6</v>
      </c>
      <c r="L98" s="185"/>
    </row>
    <row r="99" spans="1:12" ht="17.25" customHeight="1">
      <c r="A99" s="365"/>
      <c r="B99" s="368"/>
      <c r="C99" s="107" t="s">
        <v>288</v>
      </c>
      <c r="D99" s="192">
        <v>1</v>
      </c>
      <c r="E99" s="192" t="s">
        <v>60</v>
      </c>
      <c r="F99" s="16">
        <v>1</v>
      </c>
      <c r="G99" s="10" t="s">
        <v>102</v>
      </c>
      <c r="H99" s="88">
        <f>F99*D99</f>
        <v>1</v>
      </c>
      <c r="I99" s="10">
        <v>2.45</v>
      </c>
      <c r="J99" s="89">
        <f>I99*H99</f>
        <v>2.45</v>
      </c>
      <c r="L99" s="185"/>
    </row>
    <row r="100" spans="1:12" ht="17.25" customHeight="1">
      <c r="A100" s="365"/>
      <c r="B100" s="368"/>
      <c r="C100" s="107" t="s">
        <v>289</v>
      </c>
      <c r="D100" s="192">
        <v>4</v>
      </c>
      <c r="E100" s="192" t="s">
        <v>60</v>
      </c>
      <c r="F100" s="16">
        <v>1</v>
      </c>
      <c r="G100" s="10" t="s">
        <v>102</v>
      </c>
      <c r="H100" s="88">
        <f t="shared" si="9"/>
        <v>4</v>
      </c>
      <c r="I100" s="10">
        <v>2.2</v>
      </c>
      <c r="J100" s="89">
        <f t="shared" si="8"/>
        <v>8.8</v>
      </c>
      <c r="L100" s="185"/>
    </row>
    <row r="101" spans="1:12" ht="16.5">
      <c r="A101" s="365"/>
      <c r="B101" s="368"/>
      <c r="C101" s="107" t="s">
        <v>290</v>
      </c>
      <c r="D101" s="192">
        <v>4</v>
      </c>
      <c r="E101" s="192" t="s">
        <v>60</v>
      </c>
      <c r="F101" s="16">
        <v>1</v>
      </c>
      <c r="G101" s="10" t="s">
        <v>102</v>
      </c>
      <c r="H101" s="88">
        <f t="shared" si="9"/>
        <v>4</v>
      </c>
      <c r="I101" s="10">
        <v>4.3</v>
      </c>
      <c r="J101" s="89">
        <f t="shared" si="8"/>
        <v>17.2</v>
      </c>
      <c r="L101" s="185"/>
    </row>
    <row r="102" spans="1:12" ht="16.5">
      <c r="A102" s="365"/>
      <c r="B102" s="368"/>
      <c r="C102" s="107" t="s">
        <v>291</v>
      </c>
      <c r="D102" s="192">
        <f>H95</f>
        <v>29.6</v>
      </c>
      <c r="E102" s="192" t="s">
        <v>60</v>
      </c>
      <c r="F102" s="16">
        <v>1</v>
      </c>
      <c r="G102" s="10" t="s">
        <v>139</v>
      </c>
      <c r="H102" s="88">
        <f t="shared" si="9"/>
        <v>29.6</v>
      </c>
      <c r="I102" s="10">
        <v>8.76</v>
      </c>
      <c r="J102" s="89">
        <f t="shared" si="8"/>
        <v>259.296</v>
      </c>
      <c r="L102" s="185"/>
    </row>
    <row r="103" spans="1:12" ht="16.5">
      <c r="A103" s="365"/>
      <c r="B103" s="368"/>
      <c r="C103" s="107" t="s">
        <v>283</v>
      </c>
      <c r="D103" s="192">
        <f>H95</f>
        <v>29.6</v>
      </c>
      <c r="E103" s="192" t="s">
        <v>60</v>
      </c>
      <c r="F103" s="16">
        <v>0.235</v>
      </c>
      <c r="G103" s="10" t="s">
        <v>64</v>
      </c>
      <c r="H103" s="88">
        <f t="shared" si="9"/>
        <v>6.9559999999999995</v>
      </c>
      <c r="I103" s="10">
        <v>2.8</v>
      </c>
      <c r="J103" s="89">
        <f t="shared" si="8"/>
        <v>19.476799999999997</v>
      </c>
      <c r="L103" s="185"/>
    </row>
    <row r="104" spans="1:12" ht="17.25" thickBot="1">
      <c r="A104" s="365"/>
      <c r="B104" s="368"/>
      <c r="C104" s="107" t="s">
        <v>69</v>
      </c>
      <c r="D104" s="192">
        <f>H95</f>
        <v>29.6</v>
      </c>
      <c r="E104" s="192" t="s">
        <v>60</v>
      </c>
      <c r="F104" s="193">
        <v>0.208</v>
      </c>
      <c r="G104" s="10" t="s">
        <v>162</v>
      </c>
      <c r="H104" s="88">
        <f t="shared" si="9"/>
        <v>6.1568</v>
      </c>
      <c r="I104" s="10">
        <v>3.2</v>
      </c>
      <c r="J104" s="89">
        <f t="shared" si="8"/>
        <v>19.70176</v>
      </c>
      <c r="L104" s="185"/>
    </row>
    <row r="105" spans="1:12" ht="33.75" customHeight="1" thickTop="1">
      <c r="A105" s="364">
        <v>18</v>
      </c>
      <c r="B105" s="373" t="s">
        <v>292</v>
      </c>
      <c r="C105" s="370" t="s">
        <v>293</v>
      </c>
      <c r="D105" s="371"/>
      <c r="E105" s="371"/>
      <c r="F105" s="372"/>
      <c r="G105" s="57" t="s">
        <v>72</v>
      </c>
      <c r="H105" s="81">
        <v>5.7</v>
      </c>
      <c r="I105" s="59"/>
      <c r="J105" s="60">
        <f>J106+J107+J108</f>
        <v>148.60584000000003</v>
      </c>
      <c r="L105" s="185"/>
    </row>
    <row r="106" spans="1:12" ht="16.5">
      <c r="A106" s="365"/>
      <c r="B106" s="368"/>
      <c r="C106" s="61" t="s">
        <v>59</v>
      </c>
      <c r="D106" s="82">
        <f>H105</f>
        <v>5.7</v>
      </c>
      <c r="E106" s="63" t="s">
        <v>60</v>
      </c>
      <c r="F106" s="64">
        <v>1.78</v>
      </c>
      <c r="G106" s="55" t="s">
        <v>61</v>
      </c>
      <c r="H106" s="65">
        <f>D106*F106</f>
        <v>10.146</v>
      </c>
      <c r="I106" s="54">
        <v>6</v>
      </c>
      <c r="J106" s="66">
        <f>I106*H106</f>
        <v>60.876000000000005</v>
      </c>
      <c r="L106" s="185"/>
    </row>
    <row r="107" spans="1:12" ht="16.5">
      <c r="A107" s="365"/>
      <c r="B107" s="368"/>
      <c r="C107" s="194" t="s">
        <v>294</v>
      </c>
      <c r="D107" s="195">
        <f>H105</f>
        <v>5.7</v>
      </c>
      <c r="E107" s="196" t="s">
        <v>60</v>
      </c>
      <c r="F107" s="69">
        <v>1.1</v>
      </c>
      <c r="G107" s="197" t="s">
        <v>72</v>
      </c>
      <c r="H107" s="198">
        <f>F107*D107</f>
        <v>6.2700000000000005</v>
      </c>
      <c r="I107" s="197">
        <v>7.8</v>
      </c>
      <c r="J107" s="199">
        <f>I107*H107</f>
        <v>48.906000000000006</v>
      </c>
      <c r="L107" s="185"/>
    </row>
    <row r="108" spans="1:12" ht="17.25" thickBot="1">
      <c r="A108" s="365"/>
      <c r="B108" s="368"/>
      <c r="C108" s="194" t="s">
        <v>295</v>
      </c>
      <c r="D108" s="200">
        <f>H107</f>
        <v>6.2700000000000005</v>
      </c>
      <c r="E108" s="196" t="s">
        <v>60</v>
      </c>
      <c r="F108" s="69">
        <v>1.6</v>
      </c>
      <c r="G108" s="197" t="s">
        <v>58</v>
      </c>
      <c r="H108" s="201">
        <f>F108*D108</f>
        <v>10.032000000000002</v>
      </c>
      <c r="I108" s="197">
        <v>3.87</v>
      </c>
      <c r="J108" s="199">
        <f>I108*H108</f>
        <v>38.82384000000001</v>
      </c>
      <c r="L108" s="185"/>
    </row>
    <row r="109" spans="1:12" ht="17.25" customHeight="1" thickTop="1">
      <c r="A109" s="364">
        <v>19</v>
      </c>
      <c r="B109" s="373" t="s">
        <v>296</v>
      </c>
      <c r="C109" s="370" t="s">
        <v>297</v>
      </c>
      <c r="D109" s="371"/>
      <c r="E109" s="371"/>
      <c r="F109" s="372"/>
      <c r="G109" s="57" t="s">
        <v>237</v>
      </c>
      <c r="H109" s="57">
        <v>5</v>
      </c>
      <c r="I109" s="59"/>
      <c r="J109" s="60">
        <f>J110+J111+J112+J113</f>
        <v>976.92</v>
      </c>
      <c r="L109" s="185"/>
    </row>
    <row r="110" spans="1:12" ht="17.25" customHeight="1">
      <c r="A110" s="365"/>
      <c r="B110" s="368"/>
      <c r="C110" s="61" t="s">
        <v>59</v>
      </c>
      <c r="D110" s="98">
        <f>H109</f>
        <v>5</v>
      </c>
      <c r="E110" s="63" t="s">
        <v>60</v>
      </c>
      <c r="F110" s="64">
        <v>3.66</v>
      </c>
      <c r="G110" s="55" t="s">
        <v>61</v>
      </c>
      <c r="H110" s="65">
        <f>D110*F110</f>
        <v>18.3</v>
      </c>
      <c r="I110" s="54">
        <v>6</v>
      </c>
      <c r="J110" s="66">
        <f>I110*H110</f>
        <v>109.80000000000001</v>
      </c>
      <c r="L110" s="185"/>
    </row>
    <row r="111" spans="1:12" ht="17.25" customHeight="1">
      <c r="A111" s="365"/>
      <c r="B111" s="368"/>
      <c r="C111" s="61" t="s">
        <v>298</v>
      </c>
      <c r="D111" s="98">
        <f>H109</f>
        <v>5</v>
      </c>
      <c r="E111" s="63" t="s">
        <v>60</v>
      </c>
      <c r="F111" s="166">
        <v>1</v>
      </c>
      <c r="G111" s="10" t="s">
        <v>237</v>
      </c>
      <c r="H111" s="126">
        <f>F111*D111</f>
        <v>5</v>
      </c>
      <c r="I111" s="10">
        <v>170</v>
      </c>
      <c r="J111" s="89">
        <f>I111*H111</f>
        <v>850</v>
      </c>
      <c r="L111" s="185"/>
    </row>
    <row r="112" spans="1:12" ht="17.25" customHeight="1">
      <c r="A112" s="365"/>
      <c r="B112" s="368"/>
      <c r="C112" s="67" t="s">
        <v>69</v>
      </c>
      <c r="D112" s="98">
        <f>H109</f>
        <v>5</v>
      </c>
      <c r="E112" s="63" t="s">
        <v>60</v>
      </c>
      <c r="F112" s="202">
        <v>0.94</v>
      </c>
      <c r="G112" s="10" t="s">
        <v>162</v>
      </c>
      <c r="H112" s="126">
        <f>F112*D112</f>
        <v>4.699999999999999</v>
      </c>
      <c r="I112" s="10">
        <v>3.2</v>
      </c>
      <c r="J112" s="89">
        <f>I112*H112</f>
        <v>15.04</v>
      </c>
      <c r="L112" s="185"/>
    </row>
    <row r="113" spans="1:12" ht="17.25" customHeight="1" thickBot="1">
      <c r="A113" s="365"/>
      <c r="B113" s="368"/>
      <c r="C113" s="67" t="s">
        <v>82</v>
      </c>
      <c r="D113" s="115">
        <f>H109</f>
        <v>5</v>
      </c>
      <c r="E113" s="69" t="s">
        <v>60</v>
      </c>
      <c r="F113" s="85">
        <v>0.13</v>
      </c>
      <c r="G113" s="71" t="s">
        <v>162</v>
      </c>
      <c r="H113" s="84">
        <f>F113*D113</f>
        <v>0.65</v>
      </c>
      <c r="I113" s="71">
        <v>3.2</v>
      </c>
      <c r="J113" s="73">
        <f>I113*H113</f>
        <v>2.08</v>
      </c>
      <c r="L113" s="185"/>
    </row>
    <row r="114" spans="1:12" ht="17.25" customHeight="1" thickTop="1">
      <c r="A114" s="364">
        <v>20</v>
      </c>
      <c r="B114" s="373" t="s">
        <v>299</v>
      </c>
      <c r="C114" s="370" t="s">
        <v>300</v>
      </c>
      <c r="D114" s="371"/>
      <c r="E114" s="371"/>
      <c r="F114" s="372"/>
      <c r="G114" s="57" t="s">
        <v>237</v>
      </c>
      <c r="H114" s="57">
        <v>9</v>
      </c>
      <c r="I114" s="59"/>
      <c r="J114" s="60">
        <f>J115+J116+J117</f>
        <v>1417.176</v>
      </c>
      <c r="L114" s="185"/>
    </row>
    <row r="115" spans="1:12" ht="17.25" customHeight="1">
      <c r="A115" s="365"/>
      <c r="B115" s="368"/>
      <c r="C115" s="61" t="s">
        <v>59</v>
      </c>
      <c r="D115" s="98">
        <f>H114</f>
        <v>9</v>
      </c>
      <c r="E115" s="63" t="s">
        <v>60</v>
      </c>
      <c r="F115" s="64">
        <v>1.02</v>
      </c>
      <c r="G115" s="55" t="s">
        <v>61</v>
      </c>
      <c r="H115" s="65">
        <f>D115*F115</f>
        <v>9.18</v>
      </c>
      <c r="I115" s="54">
        <v>6</v>
      </c>
      <c r="J115" s="66">
        <f>I115*H115</f>
        <v>55.08</v>
      </c>
      <c r="L115" s="185"/>
    </row>
    <row r="116" spans="1:12" ht="17.25" customHeight="1">
      <c r="A116" s="365"/>
      <c r="B116" s="368"/>
      <c r="C116" s="67" t="s">
        <v>301</v>
      </c>
      <c r="D116" s="115">
        <f>H114</f>
        <v>9</v>
      </c>
      <c r="E116" s="69" t="s">
        <v>60</v>
      </c>
      <c r="F116" s="170">
        <v>1</v>
      </c>
      <c r="G116" s="71" t="s">
        <v>237</v>
      </c>
      <c r="H116" s="84">
        <f>F116*D116</f>
        <v>9</v>
      </c>
      <c r="I116" s="71">
        <v>150</v>
      </c>
      <c r="J116" s="73">
        <f>I116*H116</f>
        <v>1350</v>
      </c>
      <c r="L116" s="185"/>
    </row>
    <row r="117" spans="1:12" ht="17.25" customHeight="1" thickBot="1">
      <c r="A117" s="366"/>
      <c r="B117" s="369"/>
      <c r="C117" s="74" t="s">
        <v>69</v>
      </c>
      <c r="D117" s="116">
        <f>H114</f>
        <v>9</v>
      </c>
      <c r="E117" s="93" t="s">
        <v>60</v>
      </c>
      <c r="F117" s="76">
        <v>0.42</v>
      </c>
      <c r="G117" s="94" t="s">
        <v>102</v>
      </c>
      <c r="H117" s="95">
        <f>D117*F117</f>
        <v>3.78</v>
      </c>
      <c r="I117" s="94">
        <v>3.2</v>
      </c>
      <c r="J117" s="96">
        <f>I117*H117</f>
        <v>12.096</v>
      </c>
      <c r="L117" s="185"/>
    </row>
    <row r="118" spans="1:12" ht="33.75" customHeight="1" thickTop="1">
      <c r="A118" s="364">
        <v>21</v>
      </c>
      <c r="B118" s="373" t="s">
        <v>302</v>
      </c>
      <c r="C118" s="370" t="s">
        <v>303</v>
      </c>
      <c r="D118" s="371"/>
      <c r="E118" s="371"/>
      <c r="F118" s="372"/>
      <c r="G118" s="57" t="s">
        <v>102</v>
      </c>
      <c r="H118" s="57">
        <v>15</v>
      </c>
      <c r="I118" s="59"/>
      <c r="J118" s="60">
        <f>J119+J120</f>
        <v>1117.2</v>
      </c>
      <c r="L118" s="185"/>
    </row>
    <row r="119" spans="1:12" ht="17.25" customHeight="1">
      <c r="A119" s="365"/>
      <c r="B119" s="368"/>
      <c r="C119" s="61" t="s">
        <v>59</v>
      </c>
      <c r="D119" s="98">
        <f>H118</f>
        <v>15</v>
      </c>
      <c r="E119" s="63" t="s">
        <v>60</v>
      </c>
      <c r="F119" s="64">
        <v>1.58</v>
      </c>
      <c r="G119" s="55" t="s">
        <v>61</v>
      </c>
      <c r="H119" s="65">
        <f>D119*F119</f>
        <v>23.700000000000003</v>
      </c>
      <c r="I119" s="54">
        <v>6</v>
      </c>
      <c r="J119" s="66">
        <f>I119*H119</f>
        <v>142.20000000000002</v>
      </c>
      <c r="L119" s="185"/>
    </row>
    <row r="120" spans="1:12" ht="17.25" customHeight="1" thickBot="1">
      <c r="A120" s="365"/>
      <c r="B120" s="368"/>
      <c r="C120" s="67" t="s">
        <v>304</v>
      </c>
      <c r="D120" s="115">
        <f>H118</f>
        <v>15</v>
      </c>
      <c r="E120" s="69" t="s">
        <v>60</v>
      </c>
      <c r="F120" s="170">
        <v>1</v>
      </c>
      <c r="G120" s="71" t="s">
        <v>102</v>
      </c>
      <c r="H120" s="84">
        <f>F120*D120</f>
        <v>15</v>
      </c>
      <c r="I120" s="71">
        <v>65</v>
      </c>
      <c r="J120" s="73">
        <f>I120*H120</f>
        <v>975</v>
      </c>
      <c r="L120" s="185"/>
    </row>
    <row r="121" spans="1:12" ht="34.5" customHeight="1" thickTop="1">
      <c r="A121" s="364">
        <v>22</v>
      </c>
      <c r="B121" s="397" t="s">
        <v>305</v>
      </c>
      <c r="C121" s="370" t="s">
        <v>306</v>
      </c>
      <c r="D121" s="371"/>
      <c r="E121" s="371"/>
      <c r="F121" s="372"/>
      <c r="G121" s="57" t="s">
        <v>237</v>
      </c>
      <c r="H121" s="57">
        <v>1</v>
      </c>
      <c r="I121" s="59"/>
      <c r="J121" s="60">
        <f>J122+J123+J124</f>
        <v>880.144</v>
      </c>
      <c r="L121" s="185"/>
    </row>
    <row r="122" spans="1:12" ht="17.25" customHeight="1">
      <c r="A122" s="365"/>
      <c r="B122" s="368"/>
      <c r="C122" s="61" t="s">
        <v>59</v>
      </c>
      <c r="D122" s="98">
        <f>H121</f>
        <v>1</v>
      </c>
      <c r="E122" s="63" t="s">
        <v>60</v>
      </c>
      <c r="F122" s="64">
        <v>4.8</v>
      </c>
      <c r="G122" s="55" t="s">
        <v>61</v>
      </c>
      <c r="H122" s="65">
        <f>D122*F122</f>
        <v>4.8</v>
      </c>
      <c r="I122" s="54">
        <v>6</v>
      </c>
      <c r="J122" s="66">
        <f>I122*H122</f>
        <v>28.799999999999997</v>
      </c>
      <c r="L122" s="185"/>
    </row>
    <row r="123" spans="1:12" ht="17.25" customHeight="1">
      <c r="A123" s="365"/>
      <c r="B123" s="368"/>
      <c r="C123" s="67" t="s">
        <v>307</v>
      </c>
      <c r="D123" s="115">
        <f>H121</f>
        <v>1</v>
      </c>
      <c r="E123" s="69" t="s">
        <v>60</v>
      </c>
      <c r="F123" s="170">
        <v>1</v>
      </c>
      <c r="G123" s="71" t="s">
        <v>237</v>
      </c>
      <c r="H123" s="84">
        <f>F123*D123</f>
        <v>1</v>
      </c>
      <c r="I123" s="71">
        <v>850</v>
      </c>
      <c r="J123" s="73">
        <f>I123*H123</f>
        <v>850</v>
      </c>
      <c r="L123" s="185"/>
    </row>
    <row r="124" spans="1:12" ht="17.25" customHeight="1" thickBot="1">
      <c r="A124" s="366"/>
      <c r="B124" s="369"/>
      <c r="C124" s="74" t="s">
        <v>69</v>
      </c>
      <c r="D124" s="116">
        <f>H121</f>
        <v>1</v>
      </c>
      <c r="E124" s="93" t="s">
        <v>60</v>
      </c>
      <c r="F124" s="76">
        <v>0.42</v>
      </c>
      <c r="G124" s="94" t="s">
        <v>102</v>
      </c>
      <c r="H124" s="95">
        <f>D124*F124</f>
        <v>0.42</v>
      </c>
      <c r="I124" s="94">
        <v>3.2</v>
      </c>
      <c r="J124" s="96">
        <f>I124*H124</f>
        <v>1.344</v>
      </c>
      <c r="L124" s="185"/>
    </row>
    <row r="125" spans="1:11" ht="18" thickBot="1" thickTop="1">
      <c r="A125" s="129"/>
      <c r="B125" s="130"/>
      <c r="C125" s="390" t="s">
        <v>6</v>
      </c>
      <c r="D125" s="391"/>
      <c r="E125" s="391"/>
      <c r="F125" s="392"/>
      <c r="G125" s="136"/>
      <c r="H125" s="137"/>
      <c r="I125" s="136"/>
      <c r="J125" s="138">
        <f>J13+J16+J18+J20+J21+J26+J31+J36+J40+J51+J61+J68+J79+J83+J86+J95+J105+J109+J114+J118+J121+J47</f>
        <v>10494.009008</v>
      </c>
      <c r="K125" s="56"/>
    </row>
    <row r="126" spans="1:11" ht="18" thickBot="1" thickTop="1">
      <c r="A126" s="139"/>
      <c r="B126" s="139"/>
      <c r="C126" s="133" t="s">
        <v>308</v>
      </c>
      <c r="D126" s="134"/>
      <c r="E126" s="134"/>
      <c r="F126" s="135"/>
      <c r="G126" s="139"/>
      <c r="H126" s="139"/>
      <c r="I126" s="139"/>
      <c r="J126" s="138">
        <f>K126</f>
        <v>1810.0964639999997</v>
      </c>
      <c r="K126" s="56">
        <f>J14+J17+J19+J22+J27+J32+J37+J41+J52+J62+J69+J80+J84+J87+J96+J106+J110+J115+J119+J122+J48</f>
        <v>1810.0964639999997</v>
      </c>
    </row>
    <row r="127" spans="1:10" ht="18" thickBot="1" thickTop="1">
      <c r="A127" s="139"/>
      <c r="B127" s="139"/>
      <c r="C127" s="390" t="s">
        <v>309</v>
      </c>
      <c r="D127" s="391"/>
      <c r="E127" s="391"/>
      <c r="F127" s="392"/>
      <c r="G127" s="139"/>
      <c r="H127" s="139"/>
      <c r="I127" s="139"/>
      <c r="J127" s="138">
        <f>J125*0.12</f>
        <v>1259.28108096</v>
      </c>
    </row>
    <row r="128" spans="1:10" ht="18" thickBot="1" thickTop="1">
      <c r="A128" s="139"/>
      <c r="B128" s="139"/>
      <c r="C128" s="390" t="s">
        <v>6</v>
      </c>
      <c r="D128" s="391"/>
      <c r="E128" s="391"/>
      <c r="F128" s="392"/>
      <c r="G128" s="139"/>
      <c r="H128" s="139"/>
      <c r="I128" s="139"/>
      <c r="J128" s="138">
        <f>J127+J125</f>
        <v>11753.29008896</v>
      </c>
    </row>
    <row r="129" spans="1:10" ht="18" thickBot="1" thickTop="1">
      <c r="A129" s="139"/>
      <c r="B129" s="139"/>
      <c r="C129" s="390" t="s">
        <v>214</v>
      </c>
      <c r="D129" s="391"/>
      <c r="E129" s="391"/>
      <c r="F129" s="392"/>
      <c r="G129" s="139"/>
      <c r="H129" s="139"/>
      <c r="I129" s="139"/>
      <c r="J129" s="138">
        <f>J128*0.08</f>
        <v>940.2632071168</v>
      </c>
    </row>
    <row r="130" spans="1:13" ht="18" thickBot="1" thickTop="1">
      <c r="A130" s="139"/>
      <c r="B130" s="139"/>
      <c r="C130" s="390" t="s">
        <v>215</v>
      </c>
      <c r="D130" s="391"/>
      <c r="E130" s="391"/>
      <c r="F130" s="392"/>
      <c r="G130" s="139"/>
      <c r="H130" s="139"/>
      <c r="I130" s="139"/>
      <c r="J130" s="138">
        <f>J129+J128</f>
        <v>12693.5532960768</v>
      </c>
      <c r="M130" s="56">
        <f>J130*1.18</f>
        <v>14978.392889370623</v>
      </c>
    </row>
    <row r="131" ht="17.25" thickTop="1"/>
    <row r="133" spans="3:10" ht="16.5">
      <c r="C133" s="404"/>
      <c r="D133" s="404"/>
      <c r="E133" s="404"/>
      <c r="F133" s="404"/>
      <c r="G133" s="404"/>
      <c r="H133" s="404"/>
      <c r="I133" s="404"/>
      <c r="J133" s="404"/>
    </row>
    <row r="134" spans="3:10" ht="16.5">
      <c r="C134" s="404"/>
      <c r="D134" s="404"/>
      <c r="E134" s="404"/>
      <c r="F134" s="404"/>
      <c r="G134" s="404"/>
      <c r="H134" s="404"/>
      <c r="I134" s="404"/>
      <c r="J134" s="404"/>
    </row>
    <row r="136" ht="16.5">
      <c r="C136" s="1" t="s">
        <v>8</v>
      </c>
    </row>
  </sheetData>
  <sheetProtection/>
  <mergeCells count="85">
    <mergeCell ref="C129:F129"/>
    <mergeCell ref="C130:F130"/>
    <mergeCell ref="C133:J133"/>
    <mergeCell ref="C134:J134"/>
    <mergeCell ref="A121:A124"/>
    <mergeCell ref="B121:B124"/>
    <mergeCell ref="C121:F121"/>
    <mergeCell ref="C125:F125"/>
    <mergeCell ref="C127:F127"/>
    <mergeCell ref="C128:F128"/>
    <mergeCell ref="A114:A117"/>
    <mergeCell ref="B114:B117"/>
    <mergeCell ref="C114:F114"/>
    <mergeCell ref="A118:A120"/>
    <mergeCell ref="B118:B120"/>
    <mergeCell ref="C118:F118"/>
    <mergeCell ref="A105:A108"/>
    <mergeCell ref="B105:B108"/>
    <mergeCell ref="C105:F105"/>
    <mergeCell ref="A109:A113"/>
    <mergeCell ref="B109:B113"/>
    <mergeCell ref="C109:F109"/>
    <mergeCell ref="A86:A94"/>
    <mergeCell ref="B86:B94"/>
    <mergeCell ref="C86:F86"/>
    <mergeCell ref="L86:N86"/>
    <mergeCell ref="A95:A104"/>
    <mergeCell ref="B95:B104"/>
    <mergeCell ref="C95:F95"/>
    <mergeCell ref="A79:A82"/>
    <mergeCell ref="B79:B82"/>
    <mergeCell ref="C79:F79"/>
    <mergeCell ref="A83:A85"/>
    <mergeCell ref="B83:B85"/>
    <mergeCell ref="C83:F83"/>
    <mergeCell ref="A61:A67"/>
    <mergeCell ref="B61:B67"/>
    <mergeCell ref="C61:F61"/>
    <mergeCell ref="A68:A78"/>
    <mergeCell ref="B68:B78"/>
    <mergeCell ref="C68:F68"/>
    <mergeCell ref="A47:A50"/>
    <mergeCell ref="B47:B50"/>
    <mergeCell ref="C47:F47"/>
    <mergeCell ref="A51:A60"/>
    <mergeCell ref="B51:B60"/>
    <mergeCell ref="C51:F51"/>
    <mergeCell ref="A36:A39"/>
    <mergeCell ref="B36:B39"/>
    <mergeCell ref="C36:F36"/>
    <mergeCell ref="A40:A46"/>
    <mergeCell ref="B40:B46"/>
    <mergeCell ref="C40:F40"/>
    <mergeCell ref="A26:A30"/>
    <mergeCell ref="B26:B30"/>
    <mergeCell ref="C26:F26"/>
    <mergeCell ref="A31:A35"/>
    <mergeCell ref="B31:B35"/>
    <mergeCell ref="C31:F31"/>
    <mergeCell ref="A18:A19"/>
    <mergeCell ref="B18:B19"/>
    <mergeCell ref="C18:F18"/>
    <mergeCell ref="C20:F20"/>
    <mergeCell ref="A21:A25"/>
    <mergeCell ref="B21:B25"/>
    <mergeCell ref="C21:F21"/>
    <mergeCell ref="C12:F12"/>
    <mergeCell ref="A13:A15"/>
    <mergeCell ref="B13:B15"/>
    <mergeCell ref="C13:F13"/>
    <mergeCell ref="A16:A17"/>
    <mergeCell ref="B16:B17"/>
    <mergeCell ref="C16:F16"/>
    <mergeCell ref="A9:C9"/>
    <mergeCell ref="D9:E9"/>
    <mergeCell ref="F9:G9"/>
    <mergeCell ref="D10:E10"/>
    <mergeCell ref="F10:G10"/>
    <mergeCell ref="C11:F11"/>
    <mergeCell ref="A1:J1"/>
    <mergeCell ref="A2:J2"/>
    <mergeCell ref="A4:J4"/>
    <mergeCell ref="A6:J6"/>
    <mergeCell ref="D8:E8"/>
    <mergeCell ref="F8:G8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4.140625" style="1" customWidth="1"/>
    <col min="2" max="2" width="14.57421875" style="1" customWidth="1"/>
    <col min="3" max="3" width="48.28125" style="1" customWidth="1"/>
    <col min="4" max="4" width="6.8515625" style="1" customWidth="1"/>
    <col min="5" max="5" width="3.140625" style="1" customWidth="1"/>
    <col min="6" max="6" width="10.57421875" style="1" customWidth="1"/>
    <col min="7" max="9" width="9.140625" style="1" customWidth="1"/>
    <col min="10" max="10" width="10.7109375" style="1" customWidth="1"/>
    <col min="11" max="11" width="9.140625" style="1" customWidth="1"/>
    <col min="12" max="12" width="19.28125" style="1" bestFit="1" customWidth="1"/>
    <col min="13" max="16384" width="9.140625" style="1" customWidth="1"/>
  </cols>
  <sheetData>
    <row r="1" spans="1:10" ht="16.5">
      <c r="A1" s="312" t="s">
        <v>17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6.5">
      <c r="A2" s="312" t="s">
        <v>18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6.5">
      <c r="A3" s="312" t="s">
        <v>23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ht="16.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6.5">
      <c r="A5" s="312" t="s">
        <v>314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10" ht="16.5">
      <c r="A6" s="49" t="s">
        <v>30</v>
      </c>
      <c r="B6" s="49"/>
      <c r="C6" s="50"/>
      <c r="D6" s="351">
        <f>J25</f>
        <v>1221.7548815999999</v>
      </c>
      <c r="E6" s="351"/>
      <c r="F6" s="312" t="s">
        <v>15</v>
      </c>
      <c r="G6" s="312"/>
      <c r="H6" s="2"/>
      <c r="I6" s="2"/>
      <c r="J6" s="2"/>
    </row>
    <row r="7" spans="1:10" ht="16.5">
      <c r="A7" s="352" t="s">
        <v>46</v>
      </c>
      <c r="B7" s="352"/>
      <c r="C7" s="352"/>
      <c r="D7" s="351">
        <f>J21</f>
        <v>671.16</v>
      </c>
      <c r="E7" s="312"/>
      <c r="F7" s="312" t="s">
        <v>15</v>
      </c>
      <c r="G7" s="312"/>
      <c r="H7" s="2"/>
      <c r="I7" s="2"/>
      <c r="J7" s="2"/>
    </row>
    <row r="8" spans="1:7" ht="16.5">
      <c r="A8" s="1" t="s">
        <v>47</v>
      </c>
      <c r="D8" s="353">
        <f>D7/4.6/8</f>
        <v>18.23804347826087</v>
      </c>
      <c r="E8" s="353"/>
      <c r="F8" s="354" t="s">
        <v>48</v>
      </c>
      <c r="G8" s="354"/>
    </row>
    <row r="9" spans="1:10" ht="50.25" customHeight="1">
      <c r="A9" s="10" t="s">
        <v>0</v>
      </c>
      <c r="B9" s="10" t="s">
        <v>49</v>
      </c>
      <c r="C9" s="355" t="s">
        <v>50</v>
      </c>
      <c r="D9" s="356"/>
      <c r="E9" s="356"/>
      <c r="F9" s="357"/>
      <c r="G9" s="15" t="s">
        <v>51</v>
      </c>
      <c r="H9" s="15" t="s">
        <v>52</v>
      </c>
      <c r="I9" s="15" t="s">
        <v>53</v>
      </c>
      <c r="J9" s="15" t="s">
        <v>54</v>
      </c>
    </row>
    <row r="10" spans="1:10" ht="17.25" thickBot="1">
      <c r="A10" s="54">
        <v>1</v>
      </c>
      <c r="B10" s="54">
        <v>2</v>
      </c>
      <c r="C10" s="358">
        <v>3</v>
      </c>
      <c r="D10" s="359"/>
      <c r="E10" s="359"/>
      <c r="F10" s="360"/>
      <c r="G10" s="54">
        <v>4</v>
      </c>
      <c r="H10" s="54">
        <v>5</v>
      </c>
      <c r="I10" s="54">
        <v>6</v>
      </c>
      <c r="J10" s="54">
        <v>7</v>
      </c>
    </row>
    <row r="11" spans="1:12" ht="35.25" customHeight="1" thickTop="1">
      <c r="A11" s="364">
        <v>17</v>
      </c>
      <c r="B11" s="373" t="s">
        <v>310</v>
      </c>
      <c r="C11" s="370" t="s">
        <v>311</v>
      </c>
      <c r="D11" s="371"/>
      <c r="E11" s="371"/>
      <c r="F11" s="372"/>
      <c r="G11" s="57" t="s">
        <v>67</v>
      </c>
      <c r="H11" s="57">
        <v>94</v>
      </c>
      <c r="I11" s="59"/>
      <c r="J11" s="60">
        <f>J12+J13+J14+J15+J16+J17+J18+J19</f>
        <v>1028.4132</v>
      </c>
      <c r="L11" s="185"/>
    </row>
    <row r="12" spans="1:12" ht="17.25" customHeight="1">
      <c r="A12" s="365"/>
      <c r="B12" s="368"/>
      <c r="C12" s="61" t="s">
        <v>59</v>
      </c>
      <c r="D12" s="189">
        <f>H11</f>
        <v>94</v>
      </c>
      <c r="E12" s="190" t="s">
        <v>60</v>
      </c>
      <c r="F12" s="191">
        <v>1.19</v>
      </c>
      <c r="G12" s="55" t="s">
        <v>61</v>
      </c>
      <c r="H12" s="65">
        <f>D12*F12</f>
        <v>111.86</v>
      </c>
      <c r="I12" s="54">
        <v>6</v>
      </c>
      <c r="J12" s="66">
        <f aca="true" t="shared" si="0" ref="J12:J19">I12*H12</f>
        <v>671.16</v>
      </c>
      <c r="L12" s="185"/>
    </row>
    <row r="13" spans="1:12" ht="17.25" customHeight="1">
      <c r="A13" s="365"/>
      <c r="B13" s="368"/>
      <c r="C13" s="107" t="s">
        <v>286</v>
      </c>
      <c r="D13" s="192">
        <v>6</v>
      </c>
      <c r="E13" s="192" t="s">
        <v>60</v>
      </c>
      <c r="F13" s="16">
        <v>1</v>
      </c>
      <c r="G13" s="10" t="s">
        <v>102</v>
      </c>
      <c r="H13" s="88">
        <f aca="true" t="shared" si="1" ref="H13:H19">F13*D13</f>
        <v>6</v>
      </c>
      <c r="I13" s="10">
        <v>2.9</v>
      </c>
      <c r="J13" s="89">
        <f t="shared" si="0"/>
        <v>17.4</v>
      </c>
      <c r="L13" s="185"/>
    </row>
    <row r="14" spans="1:12" ht="17.25" customHeight="1">
      <c r="A14" s="365"/>
      <c r="B14" s="368"/>
      <c r="C14" s="107" t="s">
        <v>312</v>
      </c>
      <c r="D14" s="192">
        <v>4</v>
      </c>
      <c r="E14" s="192" t="s">
        <v>60</v>
      </c>
      <c r="F14" s="16">
        <v>1</v>
      </c>
      <c r="G14" s="10" t="s">
        <v>102</v>
      </c>
      <c r="H14" s="88">
        <f t="shared" si="1"/>
        <v>4</v>
      </c>
      <c r="I14" s="10">
        <v>3.85</v>
      </c>
      <c r="J14" s="89">
        <f t="shared" si="0"/>
        <v>15.4</v>
      </c>
      <c r="L14" s="185"/>
    </row>
    <row r="15" spans="1:12" ht="17.25" customHeight="1">
      <c r="A15" s="365"/>
      <c r="B15" s="368"/>
      <c r="C15" s="107" t="s">
        <v>287</v>
      </c>
      <c r="D15" s="192">
        <v>1</v>
      </c>
      <c r="E15" s="192" t="s">
        <v>60</v>
      </c>
      <c r="F15" s="16">
        <v>1</v>
      </c>
      <c r="G15" s="10" t="s">
        <v>102</v>
      </c>
      <c r="H15" s="88">
        <f>F15*D15</f>
        <v>1</v>
      </c>
      <c r="I15" s="10">
        <v>2.45</v>
      </c>
      <c r="J15" s="89">
        <f>I15*H15</f>
        <v>2.45</v>
      </c>
      <c r="L15" s="185"/>
    </row>
    <row r="16" spans="1:12" ht="17.25" customHeight="1">
      <c r="A16" s="365"/>
      <c r="B16" s="368"/>
      <c r="C16" s="107" t="s">
        <v>289</v>
      </c>
      <c r="D16" s="192">
        <v>2</v>
      </c>
      <c r="E16" s="192" t="s">
        <v>60</v>
      </c>
      <c r="F16" s="16">
        <v>1</v>
      </c>
      <c r="G16" s="10" t="s">
        <v>102</v>
      </c>
      <c r="H16" s="88">
        <f t="shared" si="1"/>
        <v>2</v>
      </c>
      <c r="I16" s="10">
        <v>2.2</v>
      </c>
      <c r="J16" s="89">
        <f t="shared" si="0"/>
        <v>4.4</v>
      </c>
      <c r="L16" s="185"/>
    </row>
    <row r="17" spans="1:12" ht="16.5">
      <c r="A17" s="365"/>
      <c r="B17" s="368"/>
      <c r="C17" s="107" t="s">
        <v>313</v>
      </c>
      <c r="D17" s="192">
        <v>28.5</v>
      </c>
      <c r="E17" s="192" t="s">
        <v>60</v>
      </c>
      <c r="F17" s="16">
        <v>1</v>
      </c>
      <c r="G17" s="10" t="s">
        <v>139</v>
      </c>
      <c r="H17" s="88">
        <f t="shared" si="1"/>
        <v>28.5</v>
      </c>
      <c r="I17" s="10">
        <v>8.76</v>
      </c>
      <c r="J17" s="89">
        <f t="shared" si="0"/>
        <v>249.66</v>
      </c>
      <c r="L17" s="185"/>
    </row>
    <row r="18" spans="1:12" ht="16.5">
      <c r="A18" s="365"/>
      <c r="B18" s="368"/>
      <c r="C18" s="107" t="s">
        <v>283</v>
      </c>
      <c r="D18" s="192">
        <f>H11</f>
        <v>94</v>
      </c>
      <c r="E18" s="192" t="s">
        <v>60</v>
      </c>
      <c r="F18" s="16">
        <v>0.065</v>
      </c>
      <c r="G18" s="10" t="s">
        <v>64</v>
      </c>
      <c r="H18" s="88">
        <f t="shared" si="1"/>
        <v>6.11</v>
      </c>
      <c r="I18" s="10">
        <v>2.8</v>
      </c>
      <c r="J18" s="89">
        <f t="shared" si="0"/>
        <v>17.108</v>
      </c>
      <c r="L18" s="185"/>
    </row>
    <row r="19" spans="1:12" ht="17.25" thickBot="1">
      <c r="A19" s="365"/>
      <c r="B19" s="368"/>
      <c r="C19" s="107" t="s">
        <v>69</v>
      </c>
      <c r="D19" s="192">
        <f>H11</f>
        <v>94</v>
      </c>
      <c r="E19" s="192" t="s">
        <v>60</v>
      </c>
      <c r="F19" s="193">
        <v>0.169</v>
      </c>
      <c r="G19" s="10" t="s">
        <v>162</v>
      </c>
      <c r="H19" s="88">
        <f t="shared" si="1"/>
        <v>15.886000000000001</v>
      </c>
      <c r="I19" s="10">
        <v>3.2</v>
      </c>
      <c r="J19" s="89">
        <f t="shared" si="0"/>
        <v>50.83520000000001</v>
      </c>
      <c r="L19" s="185"/>
    </row>
    <row r="20" spans="1:11" ht="18" thickBot="1" thickTop="1">
      <c r="A20" s="129"/>
      <c r="B20" s="130"/>
      <c r="C20" s="390" t="s">
        <v>6</v>
      </c>
      <c r="D20" s="391"/>
      <c r="E20" s="391"/>
      <c r="F20" s="392"/>
      <c r="G20" s="136"/>
      <c r="H20" s="137"/>
      <c r="I20" s="136"/>
      <c r="J20" s="138">
        <f>J11</f>
        <v>1028.4132</v>
      </c>
      <c r="K20" s="56"/>
    </row>
    <row r="21" spans="1:11" ht="18" thickBot="1" thickTop="1">
      <c r="A21" s="139"/>
      <c r="B21" s="139"/>
      <c r="C21" s="133" t="s">
        <v>308</v>
      </c>
      <c r="D21" s="134"/>
      <c r="E21" s="134"/>
      <c r="F21" s="135"/>
      <c r="G21" s="139"/>
      <c r="H21" s="139"/>
      <c r="I21" s="139"/>
      <c r="J21" s="138">
        <f>K21</f>
        <v>671.16</v>
      </c>
      <c r="K21" s="56">
        <f>J12</f>
        <v>671.16</v>
      </c>
    </row>
    <row r="22" spans="1:10" ht="18" thickBot="1" thickTop="1">
      <c r="A22" s="139"/>
      <c r="B22" s="139"/>
      <c r="C22" s="390" t="s">
        <v>213</v>
      </c>
      <c r="D22" s="391"/>
      <c r="E22" s="391"/>
      <c r="F22" s="392"/>
      <c r="G22" s="139"/>
      <c r="H22" s="139"/>
      <c r="I22" s="139"/>
      <c r="J22" s="138">
        <f>J20*0.1</f>
        <v>102.84132</v>
      </c>
    </row>
    <row r="23" spans="1:10" ht="18" thickBot="1" thickTop="1">
      <c r="A23" s="139"/>
      <c r="B23" s="139"/>
      <c r="C23" s="390" t="s">
        <v>6</v>
      </c>
      <c r="D23" s="391"/>
      <c r="E23" s="391"/>
      <c r="F23" s="392"/>
      <c r="G23" s="139"/>
      <c r="H23" s="139"/>
      <c r="I23" s="139"/>
      <c r="J23" s="138">
        <f>J22+J20</f>
        <v>1131.25452</v>
      </c>
    </row>
    <row r="24" spans="1:10" ht="18" thickBot="1" thickTop="1">
      <c r="A24" s="139"/>
      <c r="B24" s="139"/>
      <c r="C24" s="390" t="s">
        <v>214</v>
      </c>
      <c r="D24" s="391"/>
      <c r="E24" s="391"/>
      <c r="F24" s="392"/>
      <c r="G24" s="139"/>
      <c r="H24" s="139"/>
      <c r="I24" s="139"/>
      <c r="J24" s="138">
        <f>J23*0.08</f>
        <v>90.5003616</v>
      </c>
    </row>
    <row r="25" spans="1:13" ht="18" thickBot="1" thickTop="1">
      <c r="A25" s="139"/>
      <c r="B25" s="139"/>
      <c r="C25" s="390" t="s">
        <v>215</v>
      </c>
      <c r="D25" s="391"/>
      <c r="E25" s="391"/>
      <c r="F25" s="392"/>
      <c r="G25" s="139"/>
      <c r="H25" s="139"/>
      <c r="I25" s="139"/>
      <c r="J25" s="138">
        <f>J24+J23</f>
        <v>1221.7548815999999</v>
      </c>
      <c r="M25" s="56">
        <f>J25*1.18</f>
        <v>1441.6707602879997</v>
      </c>
    </row>
    <row r="26" ht="17.25" thickTop="1"/>
    <row r="28" spans="3:10" ht="16.5">
      <c r="C28" s="404"/>
      <c r="D28" s="404"/>
      <c r="E28" s="404"/>
      <c r="F28" s="404"/>
      <c r="G28" s="404"/>
      <c r="H28" s="404"/>
      <c r="I28" s="404"/>
      <c r="J28" s="404"/>
    </row>
    <row r="29" spans="3:10" ht="16.5">
      <c r="C29" s="404"/>
      <c r="D29" s="404"/>
      <c r="E29" s="404"/>
      <c r="F29" s="404"/>
      <c r="G29" s="404"/>
      <c r="H29" s="404"/>
      <c r="I29" s="404"/>
      <c r="J29" s="404"/>
    </row>
    <row r="31" ht="16.5">
      <c r="C31" s="1" t="s">
        <v>8</v>
      </c>
    </row>
  </sheetData>
  <sheetProtection/>
  <mergeCells count="23">
    <mergeCell ref="C23:F23"/>
    <mergeCell ref="C24:F24"/>
    <mergeCell ref="C25:F25"/>
    <mergeCell ref="C28:J28"/>
    <mergeCell ref="C29:J29"/>
    <mergeCell ref="C10:F10"/>
    <mergeCell ref="A11:A19"/>
    <mergeCell ref="B11:B19"/>
    <mergeCell ref="C11:F11"/>
    <mergeCell ref="C20:F20"/>
    <mergeCell ref="C22:F22"/>
    <mergeCell ref="A7:C7"/>
    <mergeCell ref="D7:E7"/>
    <mergeCell ref="F7:G7"/>
    <mergeCell ref="D8:E8"/>
    <mergeCell ref="F8:G8"/>
    <mergeCell ref="C9:F9"/>
    <mergeCell ref="A1:J1"/>
    <mergeCell ref="A2:J2"/>
    <mergeCell ref="A3:J3"/>
    <mergeCell ref="A5:J5"/>
    <mergeCell ref="D6:E6"/>
    <mergeCell ref="F6:G6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34">
      <selection activeCell="R65" sqref="R65"/>
    </sheetView>
  </sheetViews>
  <sheetFormatPr defaultColWidth="9.140625" defaultRowHeight="12.75"/>
  <cols>
    <col min="1" max="1" width="3.7109375" style="204" customWidth="1"/>
    <col min="2" max="2" width="13.57421875" style="204" customWidth="1"/>
    <col min="3" max="3" width="42.7109375" style="204" customWidth="1"/>
    <col min="4" max="4" width="4.57421875" style="204" customWidth="1"/>
    <col min="5" max="5" width="3.00390625" style="204" customWidth="1"/>
    <col min="6" max="6" width="13.28125" style="204" customWidth="1"/>
    <col min="7" max="7" width="9.28125" style="204" customWidth="1"/>
    <col min="8" max="8" width="11.00390625" style="204" customWidth="1"/>
    <col min="9" max="9" width="11.28125" style="204" customWidth="1"/>
    <col min="10" max="10" width="13.140625" style="204" customWidth="1"/>
    <col min="11" max="16384" width="9.140625" style="203" customWidth="1"/>
  </cols>
  <sheetData>
    <row r="1" spans="1:10" ht="16.5">
      <c r="A1" s="312" t="s">
        <v>17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6.5">
      <c r="A2" s="312" t="s">
        <v>18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6.5">
      <c r="A3" s="312" t="s">
        <v>22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ht="16.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6.5">
      <c r="A5" s="312" t="s">
        <v>385</v>
      </c>
      <c r="B5" s="312"/>
      <c r="C5" s="312"/>
      <c r="D5" s="312"/>
      <c r="E5" s="312"/>
      <c r="F5" s="312"/>
      <c r="G5" s="312"/>
      <c r="H5" s="312"/>
      <c r="I5" s="312"/>
      <c r="J5" s="312"/>
    </row>
    <row r="6" ht="16.5">
      <c r="A6" s="2"/>
    </row>
    <row r="7" spans="1:7" ht="16.5">
      <c r="A7" s="352" t="s">
        <v>315</v>
      </c>
      <c r="B7" s="352"/>
      <c r="C7" s="352"/>
      <c r="D7" s="351">
        <f>J72</f>
        <v>10849.30605</v>
      </c>
      <c r="E7" s="312"/>
      <c r="F7" s="312"/>
      <c r="G7" s="1" t="s">
        <v>15</v>
      </c>
    </row>
    <row r="8" spans="1:7" ht="16.5">
      <c r="A8" s="352" t="s">
        <v>316</v>
      </c>
      <c r="B8" s="352"/>
      <c r="C8" s="352"/>
      <c r="D8" s="351">
        <f>K70</f>
        <v>1041.1850000000004</v>
      </c>
      <c r="E8" s="312"/>
      <c r="F8" s="312"/>
      <c r="G8" s="1" t="s">
        <v>15</v>
      </c>
    </row>
    <row r="9" spans="1:10" ht="17.25" thickBot="1">
      <c r="A9" s="405" t="s">
        <v>317</v>
      </c>
      <c r="B9" s="405"/>
      <c r="C9" s="405"/>
      <c r="D9" s="406">
        <f>D8/4.6/8</f>
        <v>28.293070652173927</v>
      </c>
      <c r="E9" s="406"/>
      <c r="F9" s="406"/>
      <c r="G9" s="1" t="s">
        <v>318</v>
      </c>
      <c r="J9" s="205"/>
    </row>
    <row r="10" spans="1:10" ht="24.75" customHeight="1">
      <c r="A10" s="407" t="s">
        <v>0</v>
      </c>
      <c r="B10" s="409" t="s">
        <v>49</v>
      </c>
      <c r="C10" s="411" t="s">
        <v>50</v>
      </c>
      <c r="D10" s="412"/>
      <c r="E10" s="412"/>
      <c r="F10" s="413"/>
      <c r="G10" s="407" t="s">
        <v>319</v>
      </c>
      <c r="H10" s="407" t="s">
        <v>320</v>
      </c>
      <c r="I10" s="407" t="s">
        <v>53</v>
      </c>
      <c r="J10" s="407" t="s">
        <v>321</v>
      </c>
    </row>
    <row r="11" spans="1:10" ht="22.5" customHeight="1" thickBot="1">
      <c r="A11" s="408"/>
      <c r="B11" s="410"/>
      <c r="C11" s="414"/>
      <c r="D11" s="415"/>
      <c r="E11" s="415"/>
      <c r="F11" s="416"/>
      <c r="G11" s="408"/>
      <c r="H11" s="408"/>
      <c r="I11" s="408"/>
      <c r="J11" s="408"/>
    </row>
    <row r="12" spans="1:10" ht="18" thickBot="1" thickTop="1">
      <c r="A12" s="206">
        <v>1</v>
      </c>
      <c r="B12" s="206">
        <v>2</v>
      </c>
      <c r="C12" s="417">
        <v>3</v>
      </c>
      <c r="D12" s="418"/>
      <c r="E12" s="418"/>
      <c r="F12" s="419"/>
      <c r="G12" s="207">
        <v>4</v>
      </c>
      <c r="H12" s="206">
        <v>5</v>
      </c>
      <c r="I12" s="206">
        <v>6</v>
      </c>
      <c r="J12" s="207">
        <v>7</v>
      </c>
    </row>
    <row r="13" spans="1:10" ht="18" thickBot="1" thickTop="1">
      <c r="A13" s="417" t="s">
        <v>322</v>
      </c>
      <c r="B13" s="418"/>
      <c r="C13" s="418"/>
      <c r="D13" s="418"/>
      <c r="E13" s="418"/>
      <c r="F13" s="418"/>
      <c r="G13" s="418"/>
      <c r="H13" s="418"/>
      <c r="I13" s="418"/>
      <c r="J13" s="419"/>
    </row>
    <row r="14" spans="1:13" ht="34.5" customHeight="1" thickTop="1">
      <c r="A14" s="420">
        <v>1</v>
      </c>
      <c r="B14" s="420" t="s">
        <v>323</v>
      </c>
      <c r="C14" s="374" t="s">
        <v>324</v>
      </c>
      <c r="D14" s="375"/>
      <c r="E14" s="375"/>
      <c r="F14" s="376"/>
      <c r="G14" s="209" t="s">
        <v>102</v>
      </c>
      <c r="H14" s="210">
        <v>1</v>
      </c>
      <c r="I14" s="211"/>
      <c r="J14" s="212">
        <f>J15</f>
        <v>6</v>
      </c>
      <c r="M14" s="203">
        <f>J14*1.75</f>
        <v>10.5</v>
      </c>
    </row>
    <row r="15" spans="1:10" ht="17.25" thickBot="1">
      <c r="A15" s="421"/>
      <c r="B15" s="421"/>
      <c r="C15" s="213" t="s">
        <v>325</v>
      </c>
      <c r="D15" s="214">
        <f>H14</f>
        <v>1</v>
      </c>
      <c r="E15" s="215" t="s">
        <v>60</v>
      </c>
      <c r="F15" s="216">
        <v>1</v>
      </c>
      <c r="G15" s="217" t="s">
        <v>61</v>
      </c>
      <c r="H15" s="218">
        <f>F15*D15</f>
        <v>1</v>
      </c>
      <c r="I15" s="219">
        <v>6</v>
      </c>
      <c r="J15" s="220">
        <f>I15*H15</f>
        <v>6</v>
      </c>
    </row>
    <row r="16" spans="1:10" ht="33" customHeight="1" thickTop="1">
      <c r="A16" s="420">
        <v>2</v>
      </c>
      <c r="B16" s="420" t="s">
        <v>323</v>
      </c>
      <c r="C16" s="374" t="s">
        <v>326</v>
      </c>
      <c r="D16" s="375"/>
      <c r="E16" s="375"/>
      <c r="F16" s="376"/>
      <c r="G16" s="209" t="s">
        <v>102</v>
      </c>
      <c r="H16" s="210">
        <v>3</v>
      </c>
      <c r="I16" s="211"/>
      <c r="J16" s="212">
        <f>J17</f>
        <v>18</v>
      </c>
    </row>
    <row r="17" spans="1:10" ht="17.25" customHeight="1" thickBot="1">
      <c r="A17" s="421"/>
      <c r="B17" s="421"/>
      <c r="C17" s="213" t="s">
        <v>325</v>
      </c>
      <c r="D17" s="214">
        <f>H16</f>
        <v>3</v>
      </c>
      <c r="E17" s="215" t="s">
        <v>60</v>
      </c>
      <c r="F17" s="216">
        <v>1</v>
      </c>
      <c r="G17" s="217" t="s">
        <v>61</v>
      </c>
      <c r="H17" s="218">
        <f>F17*D17</f>
        <v>3</v>
      </c>
      <c r="I17" s="219">
        <v>6</v>
      </c>
      <c r="J17" s="220">
        <f>I17*H17</f>
        <v>18</v>
      </c>
    </row>
    <row r="18" spans="1:10" ht="33" customHeight="1" thickTop="1">
      <c r="A18" s="420">
        <v>3</v>
      </c>
      <c r="B18" s="420" t="s">
        <v>323</v>
      </c>
      <c r="C18" s="374" t="s">
        <v>327</v>
      </c>
      <c r="D18" s="375"/>
      <c r="E18" s="375"/>
      <c r="F18" s="376"/>
      <c r="G18" s="209" t="s">
        <v>102</v>
      </c>
      <c r="H18" s="210">
        <v>1</v>
      </c>
      <c r="I18" s="211"/>
      <c r="J18" s="212">
        <f>J19</f>
        <v>6</v>
      </c>
    </row>
    <row r="19" spans="1:10" ht="17.25" customHeight="1" thickBot="1">
      <c r="A19" s="421"/>
      <c r="B19" s="421"/>
      <c r="C19" s="213" t="s">
        <v>325</v>
      </c>
      <c r="D19" s="214">
        <f>H18</f>
        <v>1</v>
      </c>
      <c r="E19" s="215" t="s">
        <v>60</v>
      </c>
      <c r="F19" s="216">
        <v>1</v>
      </c>
      <c r="G19" s="217" t="s">
        <v>61</v>
      </c>
      <c r="H19" s="218">
        <f>F19*D19</f>
        <v>1</v>
      </c>
      <c r="I19" s="219">
        <v>6</v>
      </c>
      <c r="J19" s="220">
        <f>I19*H19</f>
        <v>6</v>
      </c>
    </row>
    <row r="20" spans="1:10" ht="35.25" customHeight="1" thickTop="1">
      <c r="A20" s="420">
        <v>4</v>
      </c>
      <c r="B20" s="420" t="s">
        <v>323</v>
      </c>
      <c r="C20" s="374" t="s">
        <v>328</v>
      </c>
      <c r="D20" s="375"/>
      <c r="E20" s="375"/>
      <c r="F20" s="376"/>
      <c r="G20" s="209" t="s">
        <v>102</v>
      </c>
      <c r="H20" s="210">
        <v>1</v>
      </c>
      <c r="I20" s="211"/>
      <c r="J20" s="212">
        <f>J21</f>
        <v>6</v>
      </c>
    </row>
    <row r="21" spans="1:10" ht="17.25" thickBot="1">
      <c r="A21" s="421"/>
      <c r="B21" s="421"/>
      <c r="C21" s="213" t="s">
        <v>325</v>
      </c>
      <c r="D21" s="214">
        <f>H20</f>
        <v>1</v>
      </c>
      <c r="E21" s="215" t="s">
        <v>60</v>
      </c>
      <c r="F21" s="216">
        <v>1</v>
      </c>
      <c r="G21" s="217" t="s">
        <v>61</v>
      </c>
      <c r="H21" s="218">
        <f>F21*D21</f>
        <v>1</v>
      </c>
      <c r="I21" s="219">
        <v>6</v>
      </c>
      <c r="J21" s="220">
        <f>I21*H21</f>
        <v>6</v>
      </c>
    </row>
    <row r="22" spans="1:10" ht="33.75" customHeight="1" thickTop="1">
      <c r="A22" s="420">
        <v>5</v>
      </c>
      <c r="B22" s="420" t="s">
        <v>323</v>
      </c>
      <c r="C22" s="374" t="s">
        <v>329</v>
      </c>
      <c r="D22" s="375"/>
      <c r="E22" s="375"/>
      <c r="F22" s="376"/>
      <c r="G22" s="209" t="s">
        <v>102</v>
      </c>
      <c r="H22" s="210">
        <v>1</v>
      </c>
      <c r="I22" s="211"/>
      <c r="J22" s="212">
        <f>J23</f>
        <v>6</v>
      </c>
    </row>
    <row r="23" spans="1:10" ht="17.25" thickBot="1">
      <c r="A23" s="421"/>
      <c r="B23" s="421"/>
      <c r="C23" s="213" t="s">
        <v>325</v>
      </c>
      <c r="D23" s="214">
        <f>H22</f>
        <v>1</v>
      </c>
      <c r="E23" s="215" t="s">
        <v>60</v>
      </c>
      <c r="F23" s="216">
        <v>1</v>
      </c>
      <c r="G23" s="217" t="s">
        <v>61</v>
      </c>
      <c r="H23" s="218">
        <f>F23*D23</f>
        <v>1</v>
      </c>
      <c r="I23" s="219">
        <v>6</v>
      </c>
      <c r="J23" s="220">
        <f>I23*H23</f>
        <v>6</v>
      </c>
    </row>
    <row r="24" spans="1:10" ht="33.75" customHeight="1" thickTop="1">
      <c r="A24" s="420">
        <v>6</v>
      </c>
      <c r="B24" s="420" t="s">
        <v>330</v>
      </c>
      <c r="C24" s="374" t="s">
        <v>331</v>
      </c>
      <c r="D24" s="375"/>
      <c r="E24" s="375"/>
      <c r="F24" s="376"/>
      <c r="G24" s="209" t="s">
        <v>102</v>
      </c>
      <c r="H24" s="210">
        <v>24</v>
      </c>
      <c r="I24" s="211"/>
      <c r="J24" s="212">
        <f>J25</f>
        <v>302.40000000000003</v>
      </c>
    </row>
    <row r="25" spans="1:10" ht="17.25" thickBot="1">
      <c r="A25" s="421"/>
      <c r="B25" s="421"/>
      <c r="C25" s="213" t="s">
        <v>325</v>
      </c>
      <c r="D25" s="214">
        <f>H24</f>
        <v>24</v>
      </c>
      <c r="E25" s="215" t="s">
        <v>60</v>
      </c>
      <c r="F25" s="216">
        <v>2.1</v>
      </c>
      <c r="G25" s="217" t="s">
        <v>61</v>
      </c>
      <c r="H25" s="218">
        <f>F25*D25</f>
        <v>50.400000000000006</v>
      </c>
      <c r="I25" s="219">
        <v>6</v>
      </c>
      <c r="J25" s="220">
        <f>I25*H25</f>
        <v>302.40000000000003</v>
      </c>
    </row>
    <row r="26" spans="1:10" ht="33.75" customHeight="1" thickTop="1">
      <c r="A26" s="420">
        <v>7</v>
      </c>
      <c r="B26" s="420" t="s">
        <v>330</v>
      </c>
      <c r="C26" s="374" t="s">
        <v>332</v>
      </c>
      <c r="D26" s="375"/>
      <c r="E26" s="375"/>
      <c r="F26" s="376"/>
      <c r="G26" s="209" t="s">
        <v>102</v>
      </c>
      <c r="H26" s="210">
        <v>8</v>
      </c>
      <c r="I26" s="211"/>
      <c r="J26" s="212">
        <f>J27</f>
        <v>100.80000000000001</v>
      </c>
    </row>
    <row r="27" spans="1:10" ht="17.25" thickBot="1">
      <c r="A27" s="421"/>
      <c r="B27" s="421"/>
      <c r="C27" s="213" t="s">
        <v>325</v>
      </c>
      <c r="D27" s="214">
        <f>H26</f>
        <v>8</v>
      </c>
      <c r="E27" s="215" t="s">
        <v>60</v>
      </c>
      <c r="F27" s="216">
        <v>2.1</v>
      </c>
      <c r="G27" s="217" t="s">
        <v>61</v>
      </c>
      <c r="H27" s="218">
        <f>F27*D27</f>
        <v>16.8</v>
      </c>
      <c r="I27" s="219">
        <v>6</v>
      </c>
      <c r="J27" s="220">
        <f>I27*H27</f>
        <v>100.80000000000001</v>
      </c>
    </row>
    <row r="28" spans="1:10" ht="17.25" thickTop="1">
      <c r="A28" s="420">
        <v>8</v>
      </c>
      <c r="B28" s="420" t="s">
        <v>333</v>
      </c>
      <c r="C28" s="374" t="s">
        <v>334</v>
      </c>
      <c r="D28" s="375"/>
      <c r="E28" s="375"/>
      <c r="F28" s="376"/>
      <c r="G28" s="209" t="s">
        <v>102</v>
      </c>
      <c r="H28" s="210">
        <v>23</v>
      </c>
      <c r="I28" s="211"/>
      <c r="J28" s="212">
        <f>J29</f>
        <v>86.94</v>
      </c>
    </row>
    <row r="29" spans="1:10" ht="17.25" thickBot="1">
      <c r="A29" s="421"/>
      <c r="B29" s="421"/>
      <c r="C29" s="213" t="s">
        <v>325</v>
      </c>
      <c r="D29" s="214">
        <f>H28</f>
        <v>23</v>
      </c>
      <c r="E29" s="215" t="s">
        <v>60</v>
      </c>
      <c r="F29" s="221">
        <v>0.63</v>
      </c>
      <c r="G29" s="217" t="s">
        <v>61</v>
      </c>
      <c r="H29" s="218">
        <f>F29*D29</f>
        <v>14.49</v>
      </c>
      <c r="I29" s="219">
        <v>6</v>
      </c>
      <c r="J29" s="220">
        <f>I29*H29</f>
        <v>86.94</v>
      </c>
    </row>
    <row r="30" spans="1:10" ht="33.75" customHeight="1" thickTop="1">
      <c r="A30" s="420">
        <v>9</v>
      </c>
      <c r="B30" s="420" t="s">
        <v>335</v>
      </c>
      <c r="C30" s="374" t="s">
        <v>336</v>
      </c>
      <c r="D30" s="375"/>
      <c r="E30" s="375"/>
      <c r="F30" s="376"/>
      <c r="G30" s="209" t="s">
        <v>102</v>
      </c>
      <c r="H30" s="210">
        <v>5</v>
      </c>
      <c r="I30" s="211"/>
      <c r="J30" s="212">
        <f>J31</f>
        <v>6.6000000000000005</v>
      </c>
    </row>
    <row r="31" spans="1:10" ht="17.25" thickBot="1">
      <c r="A31" s="421"/>
      <c r="B31" s="421"/>
      <c r="C31" s="213" t="s">
        <v>325</v>
      </c>
      <c r="D31" s="214">
        <f>H30</f>
        <v>5</v>
      </c>
      <c r="E31" s="215" t="s">
        <v>60</v>
      </c>
      <c r="F31" s="221">
        <v>0.22</v>
      </c>
      <c r="G31" s="217" t="s">
        <v>61</v>
      </c>
      <c r="H31" s="218">
        <f>F31*D31</f>
        <v>1.1</v>
      </c>
      <c r="I31" s="219">
        <v>6</v>
      </c>
      <c r="J31" s="220">
        <f>I31*H31</f>
        <v>6.6000000000000005</v>
      </c>
    </row>
    <row r="32" spans="1:10" ht="17.25" thickTop="1">
      <c r="A32" s="420">
        <v>10</v>
      </c>
      <c r="B32" s="420" t="s">
        <v>337</v>
      </c>
      <c r="C32" s="374" t="s">
        <v>338</v>
      </c>
      <c r="D32" s="375"/>
      <c r="E32" s="375"/>
      <c r="F32" s="376"/>
      <c r="G32" s="222" t="s">
        <v>102</v>
      </c>
      <c r="H32" s="223">
        <v>11</v>
      </c>
      <c r="I32" s="4"/>
      <c r="J32" s="224">
        <f>J33</f>
        <v>13.200000000000001</v>
      </c>
    </row>
    <row r="33" spans="1:10" ht="17.25" thickBot="1">
      <c r="A33" s="421"/>
      <c r="B33" s="422"/>
      <c r="C33" s="225" t="s">
        <v>325</v>
      </c>
      <c r="D33" s="192">
        <f>H32</f>
        <v>11</v>
      </c>
      <c r="E33" s="226" t="s">
        <v>60</v>
      </c>
      <c r="F33" s="193">
        <v>0.2</v>
      </c>
      <c r="G33" s="78" t="s">
        <v>61</v>
      </c>
      <c r="H33" s="218">
        <f>F33*D33</f>
        <v>2.2</v>
      </c>
      <c r="I33" s="219">
        <v>6</v>
      </c>
      <c r="J33" s="220">
        <f>I33*H33</f>
        <v>13.200000000000001</v>
      </c>
    </row>
    <row r="34" spans="1:10" ht="17.25" thickTop="1">
      <c r="A34" s="420">
        <v>11</v>
      </c>
      <c r="B34" s="420" t="s">
        <v>337</v>
      </c>
      <c r="C34" s="374" t="s">
        <v>339</v>
      </c>
      <c r="D34" s="375"/>
      <c r="E34" s="375"/>
      <c r="F34" s="376"/>
      <c r="G34" s="222" t="s">
        <v>102</v>
      </c>
      <c r="H34" s="223">
        <v>3</v>
      </c>
      <c r="I34" s="4"/>
      <c r="J34" s="224">
        <f>J35</f>
        <v>3.6000000000000005</v>
      </c>
    </row>
    <row r="35" spans="1:10" ht="17.25" thickBot="1">
      <c r="A35" s="421"/>
      <c r="B35" s="422"/>
      <c r="C35" s="225" t="s">
        <v>325</v>
      </c>
      <c r="D35" s="192">
        <f>H34</f>
        <v>3</v>
      </c>
      <c r="E35" s="226" t="s">
        <v>60</v>
      </c>
      <c r="F35" s="193">
        <v>0.2</v>
      </c>
      <c r="G35" s="78" t="s">
        <v>61</v>
      </c>
      <c r="H35" s="218">
        <f>F35*D35</f>
        <v>0.6000000000000001</v>
      </c>
      <c r="I35" s="219">
        <v>6</v>
      </c>
      <c r="J35" s="220">
        <f>I35*H35</f>
        <v>3.6000000000000005</v>
      </c>
    </row>
    <row r="36" spans="1:10" ht="17.25" thickTop="1">
      <c r="A36" s="420">
        <v>12</v>
      </c>
      <c r="B36" s="420" t="s">
        <v>340</v>
      </c>
      <c r="C36" s="374" t="s">
        <v>341</v>
      </c>
      <c r="D36" s="375"/>
      <c r="E36" s="375"/>
      <c r="F36" s="376"/>
      <c r="G36" s="209" t="s">
        <v>139</v>
      </c>
      <c r="H36" s="210">
        <v>200</v>
      </c>
      <c r="I36" s="211"/>
      <c r="J36" s="212">
        <f>J37</f>
        <v>127.88000000000001</v>
      </c>
    </row>
    <row r="37" spans="1:10" ht="17.25" thickBot="1">
      <c r="A37" s="421"/>
      <c r="B37" s="421"/>
      <c r="C37" s="213" t="s">
        <v>325</v>
      </c>
      <c r="D37" s="214">
        <f>H36</f>
        <v>200</v>
      </c>
      <c r="E37" s="215" t="s">
        <v>60</v>
      </c>
      <c r="F37" s="221">
        <v>0.139</v>
      </c>
      <c r="G37" s="217" t="s">
        <v>61</v>
      </c>
      <c r="H37" s="218">
        <f>F37*D37</f>
        <v>27.800000000000004</v>
      </c>
      <c r="I37" s="219">
        <v>4.6</v>
      </c>
      <c r="J37" s="220">
        <f>I37*H37</f>
        <v>127.88000000000001</v>
      </c>
    </row>
    <row r="38" spans="1:10" ht="17.25" thickTop="1">
      <c r="A38" s="420">
        <v>13</v>
      </c>
      <c r="B38" s="420" t="s">
        <v>340</v>
      </c>
      <c r="C38" s="374" t="s">
        <v>342</v>
      </c>
      <c r="D38" s="375"/>
      <c r="E38" s="375"/>
      <c r="F38" s="376"/>
      <c r="G38" s="209" t="s">
        <v>139</v>
      </c>
      <c r="H38" s="210">
        <v>200</v>
      </c>
      <c r="I38" s="211"/>
      <c r="J38" s="212">
        <f>J39</f>
        <v>127.88000000000001</v>
      </c>
    </row>
    <row r="39" spans="1:13" ht="17.25" thickBot="1">
      <c r="A39" s="421"/>
      <c r="B39" s="421"/>
      <c r="C39" s="213" t="s">
        <v>325</v>
      </c>
      <c r="D39" s="214">
        <f>H38</f>
        <v>200</v>
      </c>
      <c r="E39" s="215" t="s">
        <v>60</v>
      </c>
      <c r="F39" s="221">
        <v>0.139</v>
      </c>
      <c r="G39" s="217" t="s">
        <v>61</v>
      </c>
      <c r="H39" s="218">
        <f>F39*D39</f>
        <v>27.800000000000004</v>
      </c>
      <c r="I39" s="219">
        <v>4.6</v>
      </c>
      <c r="J39" s="220">
        <f>I39*H39</f>
        <v>127.88000000000001</v>
      </c>
      <c r="M39" s="203">
        <f>J22*1.75</f>
        <v>10.5</v>
      </c>
    </row>
    <row r="40" spans="1:10" ht="17.25" thickTop="1">
      <c r="A40" s="420">
        <v>14</v>
      </c>
      <c r="B40" s="420" t="s">
        <v>340</v>
      </c>
      <c r="C40" s="374" t="s">
        <v>343</v>
      </c>
      <c r="D40" s="375"/>
      <c r="E40" s="375"/>
      <c r="F40" s="376"/>
      <c r="G40" s="209" t="s">
        <v>139</v>
      </c>
      <c r="H40" s="210">
        <v>25</v>
      </c>
      <c r="I40" s="211"/>
      <c r="J40" s="212">
        <f>J41</f>
        <v>15.985000000000001</v>
      </c>
    </row>
    <row r="41" spans="1:13" ht="17.25" thickBot="1">
      <c r="A41" s="421"/>
      <c r="B41" s="421"/>
      <c r="C41" s="213" t="s">
        <v>325</v>
      </c>
      <c r="D41" s="214">
        <f>H40</f>
        <v>25</v>
      </c>
      <c r="E41" s="215" t="s">
        <v>60</v>
      </c>
      <c r="F41" s="221">
        <v>0.139</v>
      </c>
      <c r="G41" s="217" t="s">
        <v>61</v>
      </c>
      <c r="H41" s="218">
        <f>F41*D41</f>
        <v>3.4750000000000005</v>
      </c>
      <c r="I41" s="219">
        <v>4.6</v>
      </c>
      <c r="J41" s="220">
        <f>I41*H41</f>
        <v>15.985000000000001</v>
      </c>
      <c r="M41" s="203">
        <f>J20*1.75</f>
        <v>10.5</v>
      </c>
    </row>
    <row r="42" spans="1:10" ht="17.25" thickTop="1">
      <c r="A42" s="420">
        <v>15</v>
      </c>
      <c r="B42" s="420" t="s">
        <v>344</v>
      </c>
      <c r="C42" s="374" t="s">
        <v>345</v>
      </c>
      <c r="D42" s="375"/>
      <c r="E42" s="375"/>
      <c r="F42" s="376"/>
      <c r="G42" s="209" t="s">
        <v>139</v>
      </c>
      <c r="H42" s="210">
        <v>300</v>
      </c>
      <c r="I42" s="211"/>
      <c r="J42" s="212">
        <f>J43+J44</f>
        <v>334.79999999999995</v>
      </c>
    </row>
    <row r="43" spans="1:10" ht="16.5">
      <c r="A43" s="422"/>
      <c r="B43" s="422"/>
      <c r="C43" s="225" t="s">
        <v>325</v>
      </c>
      <c r="D43" s="192">
        <f>H42</f>
        <v>300</v>
      </c>
      <c r="E43" s="226" t="s">
        <v>60</v>
      </c>
      <c r="F43" s="193">
        <v>0.139</v>
      </c>
      <c r="G43" s="52" t="s">
        <v>61</v>
      </c>
      <c r="H43" s="227">
        <f>F43*D43</f>
        <v>41.7</v>
      </c>
      <c r="I43" s="6">
        <v>4.6</v>
      </c>
      <c r="J43" s="228">
        <f>I43*H43</f>
        <v>191.82</v>
      </c>
    </row>
    <row r="44" spans="1:13" ht="17.25" thickBot="1">
      <c r="A44" s="421"/>
      <c r="B44" s="421"/>
      <c r="C44" s="229" t="s">
        <v>346</v>
      </c>
      <c r="D44" s="230">
        <f>H42</f>
        <v>300</v>
      </c>
      <c r="E44" s="231" t="s">
        <v>60</v>
      </c>
      <c r="F44" s="232">
        <v>0.02</v>
      </c>
      <c r="G44" s="233" t="s">
        <v>119</v>
      </c>
      <c r="H44" s="234">
        <f>F44*D44</f>
        <v>6</v>
      </c>
      <c r="I44" s="235">
        <v>23.83</v>
      </c>
      <c r="J44" s="236">
        <f>I44*H44</f>
        <v>142.98</v>
      </c>
      <c r="M44" s="203">
        <f>J16*1.75</f>
        <v>31.5</v>
      </c>
    </row>
    <row r="45" spans="1:13" ht="17.25" thickTop="1">
      <c r="A45" s="420">
        <v>16</v>
      </c>
      <c r="B45" s="420" t="s">
        <v>337</v>
      </c>
      <c r="C45" s="374" t="s">
        <v>347</v>
      </c>
      <c r="D45" s="375"/>
      <c r="E45" s="375"/>
      <c r="F45" s="376"/>
      <c r="G45" s="222" t="s">
        <v>102</v>
      </c>
      <c r="H45" s="223">
        <v>1</v>
      </c>
      <c r="I45" s="4"/>
      <c r="J45" s="224">
        <f>J46</f>
        <v>5.4</v>
      </c>
      <c r="M45" s="203">
        <f>J45*1.75</f>
        <v>9.450000000000001</v>
      </c>
    </row>
    <row r="46" spans="1:10" ht="17.25" thickBot="1">
      <c r="A46" s="421"/>
      <c r="B46" s="422"/>
      <c r="C46" s="213" t="s">
        <v>325</v>
      </c>
      <c r="D46" s="214">
        <f>H45</f>
        <v>1</v>
      </c>
      <c r="E46" s="215" t="s">
        <v>60</v>
      </c>
      <c r="F46" s="221">
        <v>0.9</v>
      </c>
      <c r="G46" s="52" t="s">
        <v>61</v>
      </c>
      <c r="H46" s="227">
        <f>F46*D46</f>
        <v>0.9</v>
      </c>
      <c r="I46" s="6">
        <v>6</v>
      </c>
      <c r="J46" s="220">
        <f>I46*H46</f>
        <v>5.4</v>
      </c>
    </row>
    <row r="47" spans="1:13" ht="17.25" thickTop="1">
      <c r="A47" s="420">
        <v>17</v>
      </c>
      <c r="B47" s="420" t="s">
        <v>340</v>
      </c>
      <c r="C47" s="374" t="s">
        <v>348</v>
      </c>
      <c r="D47" s="375"/>
      <c r="E47" s="375"/>
      <c r="F47" s="376"/>
      <c r="G47" s="209" t="s">
        <v>139</v>
      </c>
      <c r="H47" s="210">
        <v>20</v>
      </c>
      <c r="I47" s="211"/>
      <c r="J47" s="212">
        <f>J48</f>
        <v>16.68</v>
      </c>
      <c r="M47" s="203">
        <f>J47*1.75</f>
        <v>29.189999999999998</v>
      </c>
    </row>
    <row r="48" spans="1:10" ht="17.25" thickBot="1">
      <c r="A48" s="421"/>
      <c r="B48" s="421"/>
      <c r="C48" s="213" t="s">
        <v>325</v>
      </c>
      <c r="D48" s="214">
        <f>H47</f>
        <v>20</v>
      </c>
      <c r="E48" s="215" t="s">
        <v>60</v>
      </c>
      <c r="F48" s="221">
        <v>0.139</v>
      </c>
      <c r="G48" s="217" t="s">
        <v>61</v>
      </c>
      <c r="H48" s="218">
        <f>F48*D48</f>
        <v>2.7800000000000002</v>
      </c>
      <c r="I48" s="219">
        <v>6</v>
      </c>
      <c r="J48" s="220">
        <f>I48*H48</f>
        <v>16.68</v>
      </c>
    </row>
    <row r="49" spans="1:10" ht="18" thickBot="1" thickTop="1">
      <c r="A49" s="237"/>
      <c r="B49" s="238"/>
      <c r="C49" s="239" t="s">
        <v>349</v>
      </c>
      <c r="D49" s="240"/>
      <c r="E49" s="240"/>
      <c r="F49" s="240"/>
      <c r="G49" s="241"/>
      <c r="H49" s="242"/>
      <c r="I49" s="243"/>
      <c r="J49" s="244">
        <f>J14+J16+J18+J20+J22+J24+J26+J28+J30+J32+J34+J36+J38+J40+J42+J45+J47</f>
        <v>1184.1650000000002</v>
      </c>
    </row>
    <row r="50" spans="1:10" ht="18" thickBot="1" thickTop="1">
      <c r="A50" s="237"/>
      <c r="B50" s="238"/>
      <c r="C50" s="245" t="s">
        <v>350</v>
      </c>
      <c r="D50" s="164"/>
      <c r="E50" s="164"/>
      <c r="F50" s="164"/>
      <c r="G50" s="241"/>
      <c r="H50" s="242"/>
      <c r="I50" s="243"/>
      <c r="J50" s="244">
        <f>K51*75%</f>
        <v>780.8887500000003</v>
      </c>
    </row>
    <row r="51" spans="1:11" ht="18" thickBot="1" thickTop="1">
      <c r="A51" s="237"/>
      <c r="B51" s="238"/>
      <c r="C51" s="245" t="s">
        <v>351</v>
      </c>
      <c r="D51" s="164"/>
      <c r="E51" s="164"/>
      <c r="F51" s="164"/>
      <c r="G51" s="241"/>
      <c r="H51" s="242"/>
      <c r="I51" s="243"/>
      <c r="J51" s="244">
        <f>J49+J50</f>
        <v>1965.0537500000005</v>
      </c>
      <c r="K51" s="205">
        <f>J15+J17+J19+J21+J23+J25+J27+J29+J31+J33+J35+J37+J39+J41+J43+J46+J48</f>
        <v>1041.1850000000004</v>
      </c>
    </row>
    <row r="52" spans="1:10" ht="18" thickBot="1" thickTop="1">
      <c r="A52" s="361" t="s">
        <v>352</v>
      </c>
      <c r="B52" s="362"/>
      <c r="C52" s="362"/>
      <c r="D52" s="362"/>
      <c r="E52" s="362"/>
      <c r="F52" s="362"/>
      <c r="G52" s="362"/>
      <c r="H52" s="362"/>
      <c r="I52" s="362"/>
      <c r="J52" s="363"/>
    </row>
    <row r="53" spans="1:14" ht="28.5" thickBot="1" thickTop="1">
      <c r="A53" s="208">
        <v>1</v>
      </c>
      <c r="B53" s="208" t="s">
        <v>353</v>
      </c>
      <c r="C53" s="400" t="s">
        <v>354</v>
      </c>
      <c r="D53" s="401"/>
      <c r="E53" s="401"/>
      <c r="F53" s="402"/>
      <c r="G53" s="210" t="s">
        <v>102</v>
      </c>
      <c r="H53" s="210">
        <v>1</v>
      </c>
      <c r="I53" s="210">
        <v>70</v>
      </c>
      <c r="J53" s="212">
        <f>I53*H53</f>
        <v>70</v>
      </c>
      <c r="M53" s="203">
        <f>J53*1.08</f>
        <v>75.60000000000001</v>
      </c>
      <c r="N53" s="203" t="e">
        <f>M53+#REF!</f>
        <v>#REF!</v>
      </c>
    </row>
    <row r="54" spans="1:10" ht="28.5" thickBot="1" thickTop="1">
      <c r="A54" s="208">
        <v>2</v>
      </c>
      <c r="B54" s="208" t="s">
        <v>355</v>
      </c>
      <c r="C54" s="400" t="s">
        <v>356</v>
      </c>
      <c r="D54" s="401"/>
      <c r="E54" s="401"/>
      <c r="F54" s="402"/>
      <c r="G54" s="210" t="s">
        <v>102</v>
      </c>
      <c r="H54" s="210">
        <v>1</v>
      </c>
      <c r="I54" s="210">
        <v>16.5</v>
      </c>
      <c r="J54" s="212">
        <f>I54*H54</f>
        <v>16.5</v>
      </c>
    </row>
    <row r="55" spans="1:10" ht="28.5" thickBot="1" thickTop="1">
      <c r="A55" s="208">
        <v>3</v>
      </c>
      <c r="B55" s="208" t="s">
        <v>357</v>
      </c>
      <c r="C55" s="400" t="s">
        <v>358</v>
      </c>
      <c r="D55" s="401"/>
      <c r="E55" s="401"/>
      <c r="F55" s="402"/>
      <c r="G55" s="210" t="s">
        <v>102</v>
      </c>
      <c r="H55" s="210">
        <v>1</v>
      </c>
      <c r="I55" s="210">
        <v>6.8</v>
      </c>
      <c r="J55" s="212">
        <f>I55*H55</f>
        <v>6.8</v>
      </c>
    </row>
    <row r="56" spans="1:14" ht="28.5" thickBot="1" thickTop="1">
      <c r="A56" s="208">
        <v>4</v>
      </c>
      <c r="B56" s="208" t="s">
        <v>357</v>
      </c>
      <c r="C56" s="400" t="s">
        <v>359</v>
      </c>
      <c r="D56" s="401"/>
      <c r="E56" s="401"/>
      <c r="F56" s="402"/>
      <c r="G56" s="210" t="s">
        <v>102</v>
      </c>
      <c r="H56" s="210">
        <v>1</v>
      </c>
      <c r="I56" s="210">
        <v>6.8</v>
      </c>
      <c r="J56" s="212">
        <f>I56*H56</f>
        <v>6.8</v>
      </c>
      <c r="M56" s="203">
        <f>J56*1.08</f>
        <v>7.344</v>
      </c>
      <c r="N56" s="203">
        <f>M56+M39</f>
        <v>17.844</v>
      </c>
    </row>
    <row r="57" spans="1:10" ht="18" thickBot="1" thickTop="1">
      <c r="A57" s="208">
        <v>5</v>
      </c>
      <c r="B57" s="208" t="s">
        <v>360</v>
      </c>
      <c r="C57" s="400" t="s">
        <v>361</v>
      </c>
      <c r="D57" s="401"/>
      <c r="E57" s="401"/>
      <c r="F57" s="402"/>
      <c r="G57" s="210" t="s">
        <v>102</v>
      </c>
      <c r="H57" s="210">
        <v>24</v>
      </c>
      <c r="I57" s="210">
        <v>180</v>
      </c>
      <c r="J57" s="212">
        <f aca="true" t="shared" si="0" ref="J57:J65">I57*H57</f>
        <v>4320</v>
      </c>
    </row>
    <row r="58" spans="1:10" ht="18" thickBot="1" thickTop="1">
      <c r="A58" s="208">
        <v>6</v>
      </c>
      <c r="B58" s="208" t="s">
        <v>360</v>
      </c>
      <c r="C58" s="400" t="s">
        <v>362</v>
      </c>
      <c r="D58" s="401"/>
      <c r="E58" s="401"/>
      <c r="F58" s="402"/>
      <c r="G58" s="210" t="s">
        <v>102</v>
      </c>
      <c r="H58" s="210">
        <v>8</v>
      </c>
      <c r="I58" s="210">
        <v>135</v>
      </c>
      <c r="J58" s="212">
        <f t="shared" si="0"/>
        <v>1080</v>
      </c>
    </row>
    <row r="59" spans="1:10" ht="18" customHeight="1" thickBot="1" thickTop="1">
      <c r="A59" s="208">
        <v>7</v>
      </c>
      <c r="B59" s="208" t="s">
        <v>360</v>
      </c>
      <c r="C59" s="374" t="s">
        <v>334</v>
      </c>
      <c r="D59" s="375"/>
      <c r="E59" s="375"/>
      <c r="F59" s="376"/>
      <c r="G59" s="210" t="s">
        <v>102</v>
      </c>
      <c r="H59" s="210">
        <v>23</v>
      </c>
      <c r="I59" s="210">
        <v>55</v>
      </c>
      <c r="J59" s="212">
        <f t="shared" si="0"/>
        <v>1265</v>
      </c>
    </row>
    <row r="60" spans="1:10" ht="34.5" customHeight="1" thickBot="1" thickTop="1">
      <c r="A60" s="208">
        <v>8</v>
      </c>
      <c r="B60" s="208" t="s">
        <v>363</v>
      </c>
      <c r="C60" s="400" t="s">
        <v>364</v>
      </c>
      <c r="D60" s="401"/>
      <c r="E60" s="401"/>
      <c r="F60" s="402"/>
      <c r="G60" s="210" t="s">
        <v>102</v>
      </c>
      <c r="H60" s="210">
        <v>5</v>
      </c>
      <c r="I60" s="210">
        <v>10.5</v>
      </c>
      <c r="J60" s="212">
        <f t="shared" si="0"/>
        <v>52.5</v>
      </c>
    </row>
    <row r="61" spans="1:10" ht="36.75" customHeight="1" thickBot="1" thickTop="1">
      <c r="A61" s="208">
        <v>9</v>
      </c>
      <c r="B61" s="208" t="s">
        <v>365</v>
      </c>
      <c r="C61" s="400" t="s">
        <v>366</v>
      </c>
      <c r="D61" s="401"/>
      <c r="E61" s="401"/>
      <c r="F61" s="402"/>
      <c r="G61" s="210" t="s">
        <v>102</v>
      </c>
      <c r="H61" s="210">
        <v>11</v>
      </c>
      <c r="I61" s="210">
        <v>6.9</v>
      </c>
      <c r="J61" s="246">
        <f t="shared" si="0"/>
        <v>75.9</v>
      </c>
    </row>
    <row r="62" spans="1:10" ht="35.25" customHeight="1" thickBot="1" thickTop="1">
      <c r="A62" s="208">
        <v>10</v>
      </c>
      <c r="B62" s="208" t="s">
        <v>367</v>
      </c>
      <c r="C62" s="400" t="s">
        <v>368</v>
      </c>
      <c r="D62" s="401"/>
      <c r="E62" s="401"/>
      <c r="F62" s="402"/>
      <c r="G62" s="210" t="s">
        <v>102</v>
      </c>
      <c r="H62" s="210">
        <v>3</v>
      </c>
      <c r="I62" s="210">
        <v>9.8</v>
      </c>
      <c r="J62" s="246">
        <f t="shared" si="0"/>
        <v>29.400000000000002</v>
      </c>
    </row>
    <row r="63" spans="1:10" ht="28.5" thickBot="1" thickTop="1">
      <c r="A63" s="208">
        <v>11</v>
      </c>
      <c r="B63" s="208" t="s">
        <v>369</v>
      </c>
      <c r="C63" s="400" t="s">
        <v>370</v>
      </c>
      <c r="D63" s="401"/>
      <c r="E63" s="401"/>
      <c r="F63" s="402"/>
      <c r="G63" s="210" t="s">
        <v>139</v>
      </c>
      <c r="H63" s="210">
        <v>200</v>
      </c>
      <c r="I63" s="210">
        <v>1.19</v>
      </c>
      <c r="J63" s="212">
        <f t="shared" si="0"/>
        <v>238</v>
      </c>
    </row>
    <row r="64" spans="1:10" ht="28.5" thickBot="1" thickTop="1">
      <c r="A64" s="208">
        <v>12</v>
      </c>
      <c r="B64" s="208" t="s">
        <v>371</v>
      </c>
      <c r="C64" s="400" t="s">
        <v>372</v>
      </c>
      <c r="D64" s="401"/>
      <c r="E64" s="401"/>
      <c r="F64" s="402"/>
      <c r="G64" s="210" t="s">
        <v>139</v>
      </c>
      <c r="H64" s="210">
        <v>200</v>
      </c>
      <c r="I64" s="210">
        <v>1.53</v>
      </c>
      <c r="J64" s="212">
        <f t="shared" si="0"/>
        <v>306</v>
      </c>
    </row>
    <row r="65" spans="1:10" ht="28.5" thickBot="1" thickTop="1">
      <c r="A65" s="208">
        <v>13</v>
      </c>
      <c r="B65" s="208" t="s">
        <v>373</v>
      </c>
      <c r="C65" s="400" t="s">
        <v>374</v>
      </c>
      <c r="D65" s="401"/>
      <c r="E65" s="401"/>
      <c r="F65" s="402"/>
      <c r="G65" s="210" t="s">
        <v>139</v>
      </c>
      <c r="H65" s="210">
        <v>25</v>
      </c>
      <c r="I65" s="210">
        <v>6.5</v>
      </c>
      <c r="J65" s="212">
        <f t="shared" si="0"/>
        <v>162.5</v>
      </c>
    </row>
    <row r="66" spans="1:14" ht="28.5" thickBot="1" thickTop="1">
      <c r="A66" s="208">
        <v>14</v>
      </c>
      <c r="B66" s="208" t="s">
        <v>375</v>
      </c>
      <c r="C66" s="400" t="s">
        <v>376</v>
      </c>
      <c r="D66" s="401"/>
      <c r="E66" s="401"/>
      <c r="F66" s="402"/>
      <c r="G66" s="210" t="s">
        <v>139</v>
      </c>
      <c r="H66" s="210">
        <v>6</v>
      </c>
      <c r="I66" s="210">
        <v>8.2</v>
      </c>
      <c r="J66" s="212">
        <f>I66*H66</f>
        <v>49.199999999999996</v>
      </c>
      <c r="M66" s="203">
        <f>J66*1.08</f>
        <v>53.135999999999996</v>
      </c>
      <c r="N66" s="203">
        <f>M66+M45</f>
        <v>62.586</v>
      </c>
    </row>
    <row r="67" spans="1:13" ht="28.5" thickBot="1" thickTop="1">
      <c r="A67" s="208">
        <v>15</v>
      </c>
      <c r="B67" s="208" t="s">
        <v>377</v>
      </c>
      <c r="C67" s="400" t="s">
        <v>378</v>
      </c>
      <c r="D67" s="401"/>
      <c r="E67" s="401"/>
      <c r="F67" s="402"/>
      <c r="G67" s="210" t="s">
        <v>139</v>
      </c>
      <c r="H67" s="210">
        <v>30</v>
      </c>
      <c r="I67" s="210">
        <v>3.2</v>
      </c>
      <c r="J67" s="212">
        <f>I67*H67</f>
        <v>96</v>
      </c>
      <c r="M67" s="203">
        <f>J67*1.08</f>
        <v>103.68</v>
      </c>
    </row>
    <row r="68" spans="1:14" ht="28.5" thickBot="1" thickTop="1">
      <c r="A68" s="208">
        <v>16</v>
      </c>
      <c r="B68" s="208" t="s">
        <v>379</v>
      </c>
      <c r="C68" s="400" t="s">
        <v>380</v>
      </c>
      <c r="D68" s="401"/>
      <c r="E68" s="401"/>
      <c r="F68" s="402"/>
      <c r="G68" s="210" t="s">
        <v>139</v>
      </c>
      <c r="H68" s="210">
        <v>300</v>
      </c>
      <c r="I68" s="210">
        <v>1.02</v>
      </c>
      <c r="J68" s="246">
        <f>I68*H68</f>
        <v>306</v>
      </c>
      <c r="M68" s="203">
        <f>J68*1.08</f>
        <v>330.48</v>
      </c>
      <c r="N68" s="203">
        <f>M68+M47</f>
        <v>359.67</v>
      </c>
    </row>
    <row r="69" spans="1:10" ht="18" thickBot="1" thickTop="1">
      <c r="A69" s="237"/>
      <c r="B69" s="238"/>
      <c r="C69" s="245" t="s">
        <v>381</v>
      </c>
      <c r="D69" s="164"/>
      <c r="E69" s="164"/>
      <c r="F69" s="164"/>
      <c r="G69" s="241"/>
      <c r="H69" s="242"/>
      <c r="I69" s="243"/>
      <c r="J69" s="244">
        <f>SUM(J53:J68)</f>
        <v>8080.599999999999</v>
      </c>
    </row>
    <row r="70" spans="1:11" ht="18" thickBot="1" thickTop="1">
      <c r="A70" s="237"/>
      <c r="B70" s="238"/>
      <c r="C70" s="245" t="s">
        <v>382</v>
      </c>
      <c r="D70" s="164"/>
      <c r="E70" s="164"/>
      <c r="F70" s="164"/>
      <c r="G70" s="241"/>
      <c r="H70" s="242"/>
      <c r="I70" s="243"/>
      <c r="J70" s="244">
        <f>J69+J51</f>
        <v>10045.65375</v>
      </c>
      <c r="K70" s="247">
        <f>SUM(K51:K69)</f>
        <v>1041.1850000000004</v>
      </c>
    </row>
    <row r="71" spans="1:10" ht="18" thickBot="1" thickTop="1">
      <c r="A71" s="248"/>
      <c r="B71" s="249"/>
      <c r="C71" s="245" t="s">
        <v>214</v>
      </c>
      <c r="D71" s="164"/>
      <c r="E71" s="164"/>
      <c r="F71" s="164"/>
      <c r="G71" s="250"/>
      <c r="H71" s="248"/>
      <c r="I71" s="248"/>
      <c r="J71" s="120">
        <f>J70*0.08</f>
        <v>803.6523</v>
      </c>
    </row>
    <row r="72" spans="1:10" ht="18" thickBot="1" thickTop="1">
      <c r="A72" s="248"/>
      <c r="B72" s="249"/>
      <c r="C72" s="139" t="s">
        <v>383</v>
      </c>
      <c r="D72" s="251"/>
      <c r="E72" s="251"/>
      <c r="F72" s="251"/>
      <c r="G72" s="250"/>
      <c r="H72" s="248"/>
      <c r="I72" s="248"/>
      <c r="J72" s="120">
        <f>J71+J70</f>
        <v>10849.30605</v>
      </c>
    </row>
    <row r="73" spans="1:10" ht="17.25" thickTop="1">
      <c r="A73" s="146"/>
      <c r="B73" s="146"/>
      <c r="C73" s="144"/>
      <c r="D73" s="144"/>
      <c r="E73" s="144"/>
      <c r="F73" s="144"/>
      <c r="G73" s="252"/>
      <c r="H73" s="146"/>
      <c r="I73" s="146"/>
      <c r="J73" s="253"/>
    </row>
    <row r="74" spans="1:10" ht="16.5">
      <c r="A74" s="146"/>
      <c r="B74" s="146"/>
      <c r="C74" s="144"/>
      <c r="D74" s="144"/>
      <c r="E74" s="144"/>
      <c r="F74" s="144"/>
      <c r="G74" s="252"/>
      <c r="H74" s="146"/>
      <c r="I74" s="146"/>
      <c r="J74" s="253"/>
    </row>
    <row r="75" spans="2:6" ht="16.5">
      <c r="B75" s="146"/>
      <c r="C75" s="1" t="s">
        <v>384</v>
      </c>
      <c r="D75" s="1"/>
      <c r="E75" s="1"/>
      <c r="F75" s="1"/>
    </row>
  </sheetData>
  <sheetProtection/>
  <mergeCells count="87">
    <mergeCell ref="C67:F67"/>
    <mergeCell ref="C68:F68"/>
    <mergeCell ref="C61:F61"/>
    <mergeCell ref="C62:F62"/>
    <mergeCell ref="C63:F63"/>
    <mergeCell ref="C64:F64"/>
    <mergeCell ref="C65:F65"/>
    <mergeCell ref="C66:F66"/>
    <mergeCell ref="C55:F55"/>
    <mergeCell ref="C56:F56"/>
    <mergeCell ref="C57:F57"/>
    <mergeCell ref="C58:F58"/>
    <mergeCell ref="C59:F59"/>
    <mergeCell ref="C60:F60"/>
    <mergeCell ref="A47:A48"/>
    <mergeCell ref="B47:B48"/>
    <mergeCell ref="C47:F47"/>
    <mergeCell ref="A52:J52"/>
    <mergeCell ref="C53:F53"/>
    <mergeCell ref="C54:F54"/>
    <mergeCell ref="A42:A44"/>
    <mergeCell ref="B42:B44"/>
    <mergeCell ref="C42:F42"/>
    <mergeCell ref="A45:A46"/>
    <mergeCell ref="B45:B46"/>
    <mergeCell ref="C45:F45"/>
    <mergeCell ref="A38:A39"/>
    <mergeCell ref="B38:B39"/>
    <mergeCell ref="C38:F38"/>
    <mergeCell ref="A40:A41"/>
    <mergeCell ref="B40:B41"/>
    <mergeCell ref="C40:F40"/>
    <mergeCell ref="A34:A35"/>
    <mergeCell ref="B34:B35"/>
    <mergeCell ref="C34:F34"/>
    <mergeCell ref="A36:A37"/>
    <mergeCell ref="B36:B37"/>
    <mergeCell ref="C36:F36"/>
    <mergeCell ref="A30:A31"/>
    <mergeCell ref="B30:B31"/>
    <mergeCell ref="C30:F30"/>
    <mergeCell ref="A32:A33"/>
    <mergeCell ref="B32:B33"/>
    <mergeCell ref="C32:F32"/>
    <mergeCell ref="A26:A27"/>
    <mergeCell ref="B26:B27"/>
    <mergeCell ref="C26:F26"/>
    <mergeCell ref="A28:A29"/>
    <mergeCell ref="B28:B29"/>
    <mergeCell ref="C28:F28"/>
    <mergeCell ref="A22:A23"/>
    <mergeCell ref="B22:B23"/>
    <mergeCell ref="C22:F22"/>
    <mergeCell ref="A24:A25"/>
    <mergeCell ref="B24:B25"/>
    <mergeCell ref="C24:F24"/>
    <mergeCell ref="A18:A19"/>
    <mergeCell ref="B18:B19"/>
    <mergeCell ref="C18:F18"/>
    <mergeCell ref="A20:A21"/>
    <mergeCell ref="B20:B21"/>
    <mergeCell ref="C20:F20"/>
    <mergeCell ref="A14:A15"/>
    <mergeCell ref="B14:B15"/>
    <mergeCell ref="C14:F14"/>
    <mergeCell ref="A16:A17"/>
    <mergeCell ref="B16:B17"/>
    <mergeCell ref="C16:F16"/>
    <mergeCell ref="G10:G11"/>
    <mergeCell ref="H10:H11"/>
    <mergeCell ref="I10:I11"/>
    <mergeCell ref="J10:J11"/>
    <mergeCell ref="C12:F12"/>
    <mergeCell ref="A13:J13"/>
    <mergeCell ref="A8:C8"/>
    <mergeCell ref="D8:F8"/>
    <mergeCell ref="A9:C9"/>
    <mergeCell ref="D9:F9"/>
    <mergeCell ref="A10:A11"/>
    <mergeCell ref="B10:B11"/>
    <mergeCell ref="C10:F11"/>
    <mergeCell ref="A1:J1"/>
    <mergeCell ref="A2:J2"/>
    <mergeCell ref="A3:J3"/>
    <mergeCell ref="A5:J5"/>
    <mergeCell ref="A7:C7"/>
    <mergeCell ref="D7:F7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91">
      <selection activeCell="O112" sqref="O112"/>
    </sheetView>
  </sheetViews>
  <sheetFormatPr defaultColWidth="9.140625" defaultRowHeight="12.75"/>
  <cols>
    <col min="1" max="1" width="4.140625" style="1" customWidth="1"/>
    <col min="2" max="2" width="48.28125" style="1" customWidth="1"/>
    <col min="3" max="3" width="6.8515625" style="1" hidden="1" customWidth="1"/>
    <col min="4" max="4" width="3.140625" style="1" hidden="1" customWidth="1"/>
    <col min="5" max="5" width="9.140625" style="1" hidden="1" customWidth="1"/>
    <col min="6" max="6" width="10.140625" style="1" customWidth="1"/>
    <col min="7" max="7" width="11.28125" style="1" customWidth="1"/>
    <col min="8" max="8" width="10.140625" style="1" customWidth="1"/>
    <col min="9" max="9" width="10.7109375" style="1" customWidth="1"/>
    <col min="10" max="16384" width="9.140625" style="1" customWidth="1"/>
  </cols>
  <sheetData>
    <row r="1" spans="8:9" ht="18">
      <c r="H1" s="312" t="s">
        <v>420</v>
      </c>
      <c r="I1" s="312"/>
    </row>
    <row r="2" spans="1:9" ht="27.75" customHeight="1">
      <c r="A2" s="423" t="s">
        <v>421</v>
      </c>
      <c r="B2" s="423"/>
      <c r="C2" s="423"/>
      <c r="D2" s="423"/>
      <c r="E2" s="423"/>
      <c r="F2" s="423"/>
      <c r="G2" s="423"/>
      <c r="H2" s="423"/>
      <c r="I2" s="423"/>
    </row>
    <row r="3" spans="1:9" ht="16.5">
      <c r="A3" s="2"/>
      <c r="B3" s="2"/>
      <c r="C3" s="2"/>
      <c r="D3" s="2"/>
      <c r="E3" s="2"/>
      <c r="F3" s="2"/>
      <c r="G3" s="2"/>
      <c r="H3" s="2"/>
      <c r="I3" s="2"/>
    </row>
    <row r="4" spans="1:9" ht="16.5">
      <c r="A4" s="312" t="s">
        <v>391</v>
      </c>
      <c r="B4" s="312"/>
      <c r="C4" s="312"/>
      <c r="D4" s="312"/>
      <c r="E4" s="312"/>
      <c r="F4" s="312"/>
      <c r="G4" s="312"/>
      <c r="H4" s="312"/>
      <c r="I4" s="312"/>
    </row>
    <row r="5" spans="1:9" ht="16.5">
      <c r="A5" s="312" t="s">
        <v>21</v>
      </c>
      <c r="B5" s="312"/>
      <c r="C5" s="312"/>
      <c r="D5" s="312"/>
      <c r="E5" s="312"/>
      <c r="F5" s="312"/>
      <c r="G5" s="312"/>
      <c r="H5" s="312"/>
      <c r="I5" s="31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312" t="s">
        <v>419</v>
      </c>
      <c r="B7" s="312"/>
      <c r="C7" s="312"/>
      <c r="D7" s="312"/>
      <c r="E7" s="312"/>
      <c r="F7" s="312"/>
      <c r="G7" s="312"/>
      <c r="H7" s="312"/>
      <c r="I7" s="312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50.25" customHeight="1">
      <c r="A9" s="10" t="s">
        <v>0</v>
      </c>
      <c r="B9" s="424" t="s">
        <v>50</v>
      </c>
      <c r="C9" s="424"/>
      <c r="D9" s="424"/>
      <c r="E9" s="424"/>
      <c r="F9" s="15" t="s">
        <v>51</v>
      </c>
      <c r="G9" s="15" t="s">
        <v>52</v>
      </c>
      <c r="H9" s="15" t="s">
        <v>53</v>
      </c>
      <c r="I9" s="15" t="s">
        <v>54</v>
      </c>
    </row>
    <row r="10" spans="1:9" ht="16.5">
      <c r="A10" s="54">
        <v>1</v>
      </c>
      <c r="B10" s="425">
        <v>2</v>
      </c>
      <c r="C10" s="425"/>
      <c r="D10" s="425"/>
      <c r="E10" s="425"/>
      <c r="F10" s="54">
        <v>3</v>
      </c>
      <c r="G10" s="54">
        <v>4</v>
      </c>
      <c r="H10" s="54">
        <v>5</v>
      </c>
      <c r="I10" s="54">
        <v>6</v>
      </c>
    </row>
    <row r="11" spans="1:9" ht="57" customHeight="1">
      <c r="A11" s="424">
        <v>2</v>
      </c>
      <c r="B11" s="426" t="s">
        <v>392</v>
      </c>
      <c r="C11" s="426"/>
      <c r="D11" s="426"/>
      <c r="E11" s="426"/>
      <c r="F11" s="10" t="s">
        <v>72</v>
      </c>
      <c r="G11" s="88">
        <v>9.8</v>
      </c>
      <c r="H11" s="270"/>
      <c r="I11" s="263"/>
    </row>
    <row r="12" spans="1:9" ht="16.5">
      <c r="A12" s="424"/>
      <c r="B12" s="261" t="s">
        <v>59</v>
      </c>
      <c r="C12" s="268"/>
      <c r="D12" s="265"/>
      <c r="E12" s="269"/>
      <c r="F12" s="54" t="s">
        <v>61</v>
      </c>
      <c r="G12" s="281">
        <v>9</v>
      </c>
      <c r="H12" s="54"/>
      <c r="I12" s="103"/>
    </row>
    <row r="13" spans="1:9" ht="57" customHeight="1">
      <c r="A13" s="424">
        <v>3</v>
      </c>
      <c r="B13" s="427" t="s">
        <v>223</v>
      </c>
      <c r="C13" s="427"/>
      <c r="D13" s="427"/>
      <c r="E13" s="427"/>
      <c r="F13" s="10" t="s">
        <v>58</v>
      </c>
      <c r="G13" s="126">
        <v>18.13</v>
      </c>
      <c r="H13" s="270"/>
      <c r="I13" s="271"/>
    </row>
    <row r="14" spans="1:9" ht="16.5">
      <c r="A14" s="424"/>
      <c r="B14" s="261" t="s">
        <v>59</v>
      </c>
      <c r="C14" s="268"/>
      <c r="D14" s="265"/>
      <c r="E14" s="267"/>
      <c r="F14" s="54" t="s">
        <v>61</v>
      </c>
      <c r="G14" s="65">
        <v>50.6</v>
      </c>
      <c r="H14" s="54"/>
      <c r="I14" s="103"/>
    </row>
    <row r="15" spans="1:9" ht="16.5">
      <c r="A15" s="10">
        <v>4</v>
      </c>
      <c r="B15" s="428" t="s">
        <v>225</v>
      </c>
      <c r="C15" s="428"/>
      <c r="D15" s="428"/>
      <c r="E15" s="428"/>
      <c r="F15" s="10" t="s">
        <v>58</v>
      </c>
      <c r="G15" s="88">
        <v>18.1</v>
      </c>
      <c r="H15" s="10"/>
      <c r="I15" s="127"/>
    </row>
    <row r="16" spans="1:9" ht="33.75" customHeight="1">
      <c r="A16" s="424">
        <v>5</v>
      </c>
      <c r="B16" s="427" t="s">
        <v>227</v>
      </c>
      <c r="C16" s="427"/>
      <c r="D16" s="427"/>
      <c r="E16" s="427"/>
      <c r="F16" s="10" t="s">
        <v>102</v>
      </c>
      <c r="G16" s="126">
        <v>1</v>
      </c>
      <c r="H16" s="261"/>
      <c r="I16" s="271"/>
    </row>
    <row r="17" spans="1:9" ht="16.5">
      <c r="A17" s="424"/>
      <c r="B17" s="261" t="s">
        <v>59</v>
      </c>
      <c r="C17" s="264"/>
      <c r="D17" s="265"/>
      <c r="E17" s="269"/>
      <c r="F17" s="54" t="s">
        <v>61</v>
      </c>
      <c r="G17" s="65">
        <v>23.5</v>
      </c>
      <c r="H17" s="54"/>
      <c r="I17" s="103"/>
    </row>
    <row r="18" spans="1:9" ht="16.5">
      <c r="A18" s="424"/>
      <c r="B18" s="261" t="s">
        <v>228</v>
      </c>
      <c r="C18" s="264"/>
      <c r="D18" s="265"/>
      <c r="E18" s="266"/>
      <c r="F18" s="10" t="s">
        <v>102</v>
      </c>
      <c r="G18" s="126">
        <v>1</v>
      </c>
      <c r="H18" s="10"/>
      <c r="I18" s="127"/>
    </row>
    <row r="19" spans="1:9" ht="16.5">
      <c r="A19" s="424"/>
      <c r="B19" s="261" t="s">
        <v>82</v>
      </c>
      <c r="C19" s="264"/>
      <c r="D19" s="265"/>
      <c r="E19" s="269"/>
      <c r="F19" s="10" t="s">
        <v>162</v>
      </c>
      <c r="G19" s="126">
        <v>1.1</v>
      </c>
      <c r="H19" s="10"/>
      <c r="I19" s="127"/>
    </row>
    <row r="20" spans="1:9" ht="16.5">
      <c r="A20" s="424"/>
      <c r="B20" s="261" t="s">
        <v>69</v>
      </c>
      <c r="C20" s="273"/>
      <c r="D20" s="274"/>
      <c r="E20" s="265"/>
      <c r="F20" s="54" t="s">
        <v>162</v>
      </c>
      <c r="G20" s="181">
        <v>1.12</v>
      </c>
      <c r="H20" s="54"/>
      <c r="I20" s="103"/>
    </row>
    <row r="21" spans="1:9" ht="20.25" customHeight="1">
      <c r="A21" s="424">
        <v>6</v>
      </c>
      <c r="B21" s="427" t="s">
        <v>230</v>
      </c>
      <c r="C21" s="427"/>
      <c r="D21" s="427"/>
      <c r="E21" s="427"/>
      <c r="F21" s="10" t="s">
        <v>102</v>
      </c>
      <c r="G21" s="126">
        <v>1</v>
      </c>
      <c r="H21" s="261"/>
      <c r="I21" s="271"/>
    </row>
    <row r="22" spans="1:9" ht="16.5">
      <c r="A22" s="424"/>
      <c r="B22" s="261" t="s">
        <v>59</v>
      </c>
      <c r="C22" s="264"/>
      <c r="D22" s="265"/>
      <c r="E22" s="276"/>
      <c r="F22" s="54" t="s">
        <v>61</v>
      </c>
      <c r="G22" s="65">
        <v>13.7</v>
      </c>
      <c r="H22" s="54"/>
      <c r="I22" s="103"/>
    </row>
    <row r="23" spans="1:9" ht="16.5">
      <c r="A23" s="424"/>
      <c r="B23" s="261" t="s">
        <v>231</v>
      </c>
      <c r="C23" s="264"/>
      <c r="D23" s="265"/>
      <c r="E23" s="266"/>
      <c r="F23" s="10" t="s">
        <v>102</v>
      </c>
      <c r="G23" s="126">
        <v>1</v>
      </c>
      <c r="H23" s="10"/>
      <c r="I23" s="127"/>
    </row>
    <row r="24" spans="1:9" ht="16.5">
      <c r="A24" s="424"/>
      <c r="B24" s="261" t="s">
        <v>82</v>
      </c>
      <c r="C24" s="264"/>
      <c r="D24" s="265"/>
      <c r="E24" s="269"/>
      <c r="F24" s="10" t="s">
        <v>162</v>
      </c>
      <c r="G24" s="126">
        <v>1.3</v>
      </c>
      <c r="H24" s="10"/>
      <c r="I24" s="127"/>
    </row>
    <row r="25" spans="1:9" ht="16.5">
      <c r="A25" s="424"/>
      <c r="B25" s="261" t="s">
        <v>69</v>
      </c>
      <c r="C25" s="273"/>
      <c r="D25" s="274"/>
      <c r="E25" s="265"/>
      <c r="F25" s="54" t="s">
        <v>162</v>
      </c>
      <c r="G25" s="181">
        <v>3.24</v>
      </c>
      <c r="H25" s="54"/>
      <c r="I25" s="103"/>
    </row>
    <row r="26" spans="1:9" ht="25.5" customHeight="1">
      <c r="A26" s="424">
        <v>7</v>
      </c>
      <c r="B26" s="427" t="s">
        <v>393</v>
      </c>
      <c r="C26" s="427"/>
      <c r="D26" s="427"/>
      <c r="E26" s="427"/>
      <c r="F26" s="10" t="s">
        <v>102</v>
      </c>
      <c r="G26" s="126">
        <v>1</v>
      </c>
      <c r="H26" s="261"/>
      <c r="I26" s="271"/>
    </row>
    <row r="27" spans="1:9" ht="16.5">
      <c r="A27" s="424"/>
      <c r="B27" s="261" t="s">
        <v>59</v>
      </c>
      <c r="C27" s="264"/>
      <c r="D27" s="265"/>
      <c r="E27" s="276"/>
      <c r="F27" s="54" t="s">
        <v>61</v>
      </c>
      <c r="G27" s="65">
        <v>3.8</v>
      </c>
      <c r="H27" s="54"/>
      <c r="I27" s="103"/>
    </row>
    <row r="28" spans="1:9" ht="16.5">
      <c r="A28" s="424"/>
      <c r="B28" s="261" t="s">
        <v>394</v>
      </c>
      <c r="C28" s="264"/>
      <c r="D28" s="265"/>
      <c r="E28" s="266"/>
      <c r="F28" s="10" t="s">
        <v>102</v>
      </c>
      <c r="G28" s="126">
        <v>1</v>
      </c>
      <c r="H28" s="10"/>
      <c r="I28" s="127"/>
    </row>
    <row r="29" spans="1:9" ht="16.5">
      <c r="A29" s="424"/>
      <c r="B29" s="261" t="s">
        <v>82</v>
      </c>
      <c r="C29" s="264"/>
      <c r="D29" s="265"/>
      <c r="E29" s="269"/>
      <c r="F29" s="10" t="s">
        <v>162</v>
      </c>
      <c r="G29" s="126">
        <v>0.22</v>
      </c>
      <c r="H29" s="10"/>
      <c r="I29" s="127"/>
    </row>
    <row r="30" spans="1:9" ht="16.5">
      <c r="A30" s="424"/>
      <c r="B30" s="261" t="s">
        <v>69</v>
      </c>
      <c r="C30" s="273"/>
      <c r="D30" s="274"/>
      <c r="E30" s="265"/>
      <c r="F30" s="54" t="s">
        <v>162</v>
      </c>
      <c r="G30" s="181">
        <v>0.22</v>
      </c>
      <c r="H30" s="54"/>
      <c r="I30" s="103"/>
    </row>
    <row r="31" spans="1:9" ht="17.25" customHeight="1">
      <c r="A31" s="424">
        <v>8</v>
      </c>
      <c r="B31" s="427" t="s">
        <v>236</v>
      </c>
      <c r="C31" s="427"/>
      <c r="D31" s="427"/>
      <c r="E31" s="427"/>
      <c r="F31" s="10" t="s">
        <v>237</v>
      </c>
      <c r="G31" s="10">
        <v>2</v>
      </c>
      <c r="H31" s="261"/>
      <c r="I31" s="271"/>
    </row>
    <row r="32" spans="1:9" ht="16.5">
      <c r="A32" s="424"/>
      <c r="B32" s="261" t="s">
        <v>59</v>
      </c>
      <c r="C32" s="268"/>
      <c r="D32" s="265"/>
      <c r="E32" s="266"/>
      <c r="F32" s="54" t="s">
        <v>61</v>
      </c>
      <c r="G32" s="65">
        <v>7.3</v>
      </c>
      <c r="H32" s="54"/>
      <c r="I32" s="103"/>
    </row>
    <row r="33" spans="1:9" ht="16.5">
      <c r="A33" s="424"/>
      <c r="B33" s="261" t="s">
        <v>238</v>
      </c>
      <c r="C33" s="268"/>
      <c r="D33" s="265"/>
      <c r="E33" s="282"/>
      <c r="F33" s="10" t="s">
        <v>237</v>
      </c>
      <c r="G33" s="126">
        <v>2</v>
      </c>
      <c r="H33" s="10"/>
      <c r="I33" s="127"/>
    </row>
    <row r="34" spans="1:9" ht="16.5">
      <c r="A34" s="424"/>
      <c r="B34" s="261" t="s">
        <v>82</v>
      </c>
      <c r="C34" s="268"/>
      <c r="D34" s="265"/>
      <c r="E34" s="266"/>
      <c r="F34" s="10" t="s">
        <v>162</v>
      </c>
      <c r="G34" s="126">
        <v>0.22</v>
      </c>
      <c r="H34" s="10"/>
      <c r="I34" s="127"/>
    </row>
    <row r="35" spans="1:9" ht="33" customHeight="1">
      <c r="A35" s="424">
        <v>11</v>
      </c>
      <c r="B35" s="427" t="s">
        <v>395</v>
      </c>
      <c r="C35" s="427"/>
      <c r="D35" s="427"/>
      <c r="E35" s="427"/>
      <c r="F35" s="10" t="s">
        <v>139</v>
      </c>
      <c r="G35" s="12">
        <v>60</v>
      </c>
      <c r="H35" s="261"/>
      <c r="I35" s="271"/>
    </row>
    <row r="36" spans="1:9" ht="16.5">
      <c r="A36" s="424"/>
      <c r="B36" s="261" t="s">
        <v>59</v>
      </c>
      <c r="C36" s="278"/>
      <c r="D36" s="265"/>
      <c r="E36" s="266"/>
      <c r="F36" s="54" t="s">
        <v>61</v>
      </c>
      <c r="G36" s="65">
        <v>22.2</v>
      </c>
      <c r="H36" s="54"/>
      <c r="I36" s="103"/>
    </row>
    <row r="37" spans="1:9" ht="16.5">
      <c r="A37" s="424"/>
      <c r="B37" s="261" t="s">
        <v>250</v>
      </c>
      <c r="C37" s="278"/>
      <c r="D37" s="265"/>
      <c r="E37" s="282"/>
      <c r="F37" s="10" t="s">
        <v>139</v>
      </c>
      <c r="G37" s="12">
        <v>35</v>
      </c>
      <c r="H37" s="283"/>
      <c r="I37" s="127"/>
    </row>
    <row r="38" spans="1:9" ht="22.5" customHeight="1">
      <c r="A38" s="424"/>
      <c r="B38" s="261" t="s">
        <v>251</v>
      </c>
      <c r="C38" s="278"/>
      <c r="D38" s="265"/>
      <c r="E38" s="282"/>
      <c r="F38" s="10" t="s">
        <v>139</v>
      </c>
      <c r="G38" s="12">
        <v>25</v>
      </c>
      <c r="H38" s="283"/>
      <c r="I38" s="127"/>
    </row>
    <row r="39" spans="1:9" ht="16.5">
      <c r="A39" s="424"/>
      <c r="B39" s="284" t="s">
        <v>253</v>
      </c>
      <c r="C39" s="285"/>
      <c r="D39" s="286"/>
      <c r="E39" s="287"/>
      <c r="F39" s="283" t="s">
        <v>139</v>
      </c>
      <c r="G39" s="288">
        <v>30</v>
      </c>
      <c r="H39" s="283"/>
      <c r="I39" s="289"/>
    </row>
    <row r="40" spans="1:9" ht="16.5">
      <c r="A40" s="424"/>
      <c r="B40" s="284" t="s">
        <v>254</v>
      </c>
      <c r="C40" s="285"/>
      <c r="D40" s="286"/>
      <c r="E40" s="287"/>
      <c r="F40" s="283" t="s">
        <v>139</v>
      </c>
      <c r="G40" s="288">
        <v>25</v>
      </c>
      <c r="H40" s="283"/>
      <c r="I40" s="289"/>
    </row>
    <row r="41" spans="1:9" ht="16.5">
      <c r="A41" s="424"/>
      <c r="B41" s="261" t="s">
        <v>82</v>
      </c>
      <c r="C41" s="279"/>
      <c r="D41" s="274"/>
      <c r="E41" s="265"/>
      <c r="F41" s="54" t="s">
        <v>162</v>
      </c>
      <c r="G41" s="181">
        <v>0.82</v>
      </c>
      <c r="H41" s="54"/>
      <c r="I41" s="103"/>
    </row>
    <row r="42" spans="1:9" ht="16.5">
      <c r="A42" s="424"/>
      <c r="B42" s="261" t="s">
        <v>69</v>
      </c>
      <c r="C42" s="279"/>
      <c r="D42" s="274"/>
      <c r="E42" s="265"/>
      <c r="F42" s="54" t="s">
        <v>162</v>
      </c>
      <c r="G42" s="65">
        <v>1</v>
      </c>
      <c r="H42" s="54"/>
      <c r="I42" s="103"/>
    </row>
    <row r="43" spans="1:9" ht="33.75" customHeight="1">
      <c r="A43" s="424">
        <v>13</v>
      </c>
      <c r="B43" s="427" t="s">
        <v>261</v>
      </c>
      <c r="C43" s="427"/>
      <c r="D43" s="427"/>
      <c r="E43" s="427"/>
      <c r="F43" s="10" t="s">
        <v>102</v>
      </c>
      <c r="G43" s="126">
        <v>60</v>
      </c>
      <c r="H43" s="261"/>
      <c r="I43" s="271"/>
    </row>
    <row r="44" spans="1:9" ht="16.5">
      <c r="A44" s="424"/>
      <c r="B44" s="261" t="s">
        <v>59</v>
      </c>
      <c r="C44" s="264"/>
      <c r="D44" s="265"/>
      <c r="E44" s="269"/>
      <c r="F44" s="54" t="s">
        <v>61</v>
      </c>
      <c r="G44" s="65">
        <v>23.3</v>
      </c>
      <c r="H44" s="54"/>
      <c r="I44" s="103"/>
    </row>
    <row r="45" spans="1:9" ht="16.5">
      <c r="A45" s="424"/>
      <c r="B45" s="261" t="s">
        <v>264</v>
      </c>
      <c r="C45" s="264"/>
      <c r="D45" s="265"/>
      <c r="E45" s="266"/>
      <c r="F45" s="10" t="s">
        <v>102</v>
      </c>
      <c r="G45" s="126">
        <v>20</v>
      </c>
      <c r="H45" s="10"/>
      <c r="I45" s="127"/>
    </row>
    <row r="46" spans="1:9" ht="16.5">
      <c r="A46" s="424"/>
      <c r="B46" s="261" t="s">
        <v>265</v>
      </c>
      <c r="C46" s="264"/>
      <c r="D46" s="265"/>
      <c r="E46" s="266"/>
      <c r="F46" s="10" t="s">
        <v>102</v>
      </c>
      <c r="G46" s="126">
        <v>8</v>
      </c>
      <c r="H46" s="10"/>
      <c r="I46" s="127"/>
    </row>
    <row r="47" spans="1:9" ht="16.5">
      <c r="A47" s="424"/>
      <c r="B47" s="261" t="s">
        <v>267</v>
      </c>
      <c r="C47" s="264"/>
      <c r="D47" s="265"/>
      <c r="E47" s="266"/>
      <c r="F47" s="10" t="s">
        <v>102</v>
      </c>
      <c r="G47" s="126">
        <v>8</v>
      </c>
      <c r="H47" s="10"/>
      <c r="I47" s="127"/>
    </row>
    <row r="48" spans="1:9" ht="16.5">
      <c r="A48" s="424"/>
      <c r="B48" s="261" t="s">
        <v>268</v>
      </c>
      <c r="C48" s="264"/>
      <c r="D48" s="265"/>
      <c r="E48" s="266"/>
      <c r="F48" s="10" t="s">
        <v>102</v>
      </c>
      <c r="G48" s="126">
        <v>24</v>
      </c>
      <c r="H48" s="10"/>
      <c r="I48" s="127"/>
    </row>
    <row r="49" spans="1:9" ht="16.5">
      <c r="A49" s="424"/>
      <c r="B49" s="261" t="s">
        <v>82</v>
      </c>
      <c r="C49" s="264"/>
      <c r="D49" s="265"/>
      <c r="E49" s="269"/>
      <c r="F49" s="10" t="s">
        <v>162</v>
      </c>
      <c r="G49" s="126">
        <v>9.06</v>
      </c>
      <c r="H49" s="10"/>
      <c r="I49" s="127"/>
    </row>
    <row r="50" spans="1:9" ht="16.5">
      <c r="A50" s="424"/>
      <c r="B50" s="261" t="s">
        <v>69</v>
      </c>
      <c r="C50" s="273"/>
      <c r="D50" s="274"/>
      <c r="E50" s="265"/>
      <c r="F50" s="54" t="s">
        <v>162</v>
      </c>
      <c r="G50" s="181">
        <v>1.44</v>
      </c>
      <c r="H50" s="54"/>
      <c r="I50" s="103"/>
    </row>
    <row r="51" spans="1:9" ht="21" customHeight="1">
      <c r="A51" s="424">
        <v>14</v>
      </c>
      <c r="B51" s="427" t="s">
        <v>396</v>
      </c>
      <c r="C51" s="427"/>
      <c r="D51" s="427"/>
      <c r="E51" s="427"/>
      <c r="F51" s="10" t="s">
        <v>102</v>
      </c>
      <c r="G51" s="12">
        <v>2</v>
      </c>
      <c r="H51" s="261"/>
      <c r="I51" s="271"/>
    </row>
    <row r="52" spans="1:9" ht="16.5">
      <c r="A52" s="424"/>
      <c r="B52" s="261" t="s">
        <v>59</v>
      </c>
      <c r="C52" s="278"/>
      <c r="D52" s="265"/>
      <c r="E52" s="266"/>
      <c r="F52" s="54" t="s">
        <v>61</v>
      </c>
      <c r="G52" s="65">
        <v>0.3</v>
      </c>
      <c r="H52" s="54"/>
      <c r="I52" s="103"/>
    </row>
    <row r="53" spans="1:9" ht="16.5">
      <c r="A53" s="424"/>
      <c r="B53" s="261" t="s">
        <v>397</v>
      </c>
      <c r="C53" s="278"/>
      <c r="D53" s="265"/>
      <c r="E53" s="282"/>
      <c r="F53" s="10" t="s">
        <v>102</v>
      </c>
      <c r="G53" s="12">
        <v>2</v>
      </c>
      <c r="H53" s="10"/>
      <c r="I53" s="127"/>
    </row>
    <row r="54" spans="1:9" ht="23.25" customHeight="1">
      <c r="A54" s="424">
        <v>15</v>
      </c>
      <c r="B54" s="306" t="s">
        <v>274</v>
      </c>
      <c r="C54" s="307"/>
      <c r="D54" s="307"/>
      <c r="E54" s="308"/>
      <c r="F54" s="10" t="s">
        <v>102</v>
      </c>
      <c r="G54" s="10">
        <v>8</v>
      </c>
      <c r="H54" s="261"/>
      <c r="I54" s="271"/>
    </row>
    <row r="55" spans="1:9" ht="16.5">
      <c r="A55" s="424"/>
      <c r="B55" s="261" t="s">
        <v>59</v>
      </c>
      <c r="C55" s="278"/>
      <c r="D55" s="265"/>
      <c r="E55" s="266"/>
      <c r="F55" s="54" t="s">
        <v>61</v>
      </c>
      <c r="G55" s="65">
        <v>1.2</v>
      </c>
      <c r="H55" s="54"/>
      <c r="I55" s="103"/>
    </row>
    <row r="56" spans="1:9" ht="16.5">
      <c r="A56" s="424"/>
      <c r="B56" s="261" t="s">
        <v>275</v>
      </c>
      <c r="C56" s="278"/>
      <c r="D56" s="265"/>
      <c r="E56" s="282"/>
      <c r="F56" s="10" t="s">
        <v>102</v>
      </c>
      <c r="G56" s="12">
        <v>8</v>
      </c>
      <c r="H56" s="10"/>
      <c r="I56" s="127"/>
    </row>
    <row r="57" spans="1:10" ht="33" customHeight="1">
      <c r="A57" s="424">
        <v>16</v>
      </c>
      <c r="B57" s="427" t="s">
        <v>277</v>
      </c>
      <c r="C57" s="427"/>
      <c r="D57" s="427"/>
      <c r="E57" s="427"/>
      <c r="F57" s="10" t="s">
        <v>139</v>
      </c>
      <c r="G57" s="10">
        <v>4</v>
      </c>
      <c r="H57" s="261"/>
      <c r="I57" s="271"/>
      <c r="J57" s="260"/>
    </row>
    <row r="58" spans="1:9" ht="16.5">
      <c r="A58" s="424"/>
      <c r="B58" s="261" t="s">
        <v>59</v>
      </c>
      <c r="C58" s="290"/>
      <c r="D58" s="291"/>
      <c r="E58" s="292"/>
      <c r="F58" s="54" t="s">
        <v>61</v>
      </c>
      <c r="G58" s="65">
        <v>2.4</v>
      </c>
      <c r="H58" s="54"/>
      <c r="I58" s="103"/>
    </row>
    <row r="59" spans="1:9" ht="16.5">
      <c r="A59" s="424"/>
      <c r="B59" s="280" t="s">
        <v>279</v>
      </c>
      <c r="C59" s="53"/>
      <c r="D59" s="53"/>
      <c r="E59" s="262"/>
      <c r="F59" s="10" t="s">
        <v>102</v>
      </c>
      <c r="G59" s="88">
        <v>7</v>
      </c>
      <c r="H59" s="10"/>
      <c r="I59" s="127"/>
    </row>
    <row r="60" spans="1:9" ht="21.75" customHeight="1">
      <c r="A60" s="424"/>
      <c r="B60" s="280" t="s">
        <v>282</v>
      </c>
      <c r="C60" s="53"/>
      <c r="D60" s="53"/>
      <c r="E60" s="262"/>
      <c r="F60" s="10" t="s">
        <v>139</v>
      </c>
      <c r="G60" s="88">
        <v>4</v>
      </c>
      <c r="H60" s="10"/>
      <c r="I60" s="127"/>
    </row>
    <row r="61" spans="1:9" ht="16.5">
      <c r="A61" s="424"/>
      <c r="B61" s="280" t="s">
        <v>283</v>
      </c>
      <c r="C61" s="53"/>
      <c r="D61" s="53"/>
      <c r="E61" s="262"/>
      <c r="F61" s="10" t="s">
        <v>64</v>
      </c>
      <c r="G61" s="88">
        <v>0.6</v>
      </c>
      <c r="H61" s="10"/>
      <c r="I61" s="127"/>
    </row>
    <row r="62" spans="1:9" ht="16.5">
      <c r="A62" s="424"/>
      <c r="B62" s="280" t="s">
        <v>69</v>
      </c>
      <c r="C62" s="53"/>
      <c r="D62" s="53"/>
      <c r="E62" s="293"/>
      <c r="F62" s="10" t="s">
        <v>162</v>
      </c>
      <c r="G62" s="88">
        <v>0.6</v>
      </c>
      <c r="H62" s="10"/>
      <c r="I62" s="127"/>
    </row>
    <row r="63" spans="1:9" ht="47.25" customHeight="1">
      <c r="A63" s="424">
        <v>17</v>
      </c>
      <c r="B63" s="427" t="s">
        <v>398</v>
      </c>
      <c r="C63" s="427"/>
      <c r="D63" s="427"/>
      <c r="E63" s="427"/>
      <c r="F63" s="10" t="s">
        <v>139</v>
      </c>
      <c r="G63" s="88">
        <v>114</v>
      </c>
      <c r="H63" s="261"/>
      <c r="I63" s="271"/>
    </row>
    <row r="64" spans="1:9" ht="17.25" customHeight="1">
      <c r="A64" s="424"/>
      <c r="B64" s="261" t="s">
        <v>59</v>
      </c>
      <c r="C64" s="290"/>
      <c r="D64" s="291"/>
      <c r="E64" s="292"/>
      <c r="F64" s="54" t="s">
        <v>61</v>
      </c>
      <c r="G64" s="65">
        <v>69.4</v>
      </c>
      <c r="H64" s="54"/>
      <c r="I64" s="103"/>
    </row>
    <row r="65" spans="1:9" ht="22.5" customHeight="1">
      <c r="A65" s="424"/>
      <c r="B65" s="280" t="s">
        <v>286</v>
      </c>
      <c r="C65" s="53"/>
      <c r="D65" s="53"/>
      <c r="E65" s="262"/>
      <c r="F65" s="10" t="s">
        <v>102</v>
      </c>
      <c r="G65" s="88">
        <v>4</v>
      </c>
      <c r="H65" s="10"/>
      <c r="I65" s="127"/>
    </row>
    <row r="66" spans="1:9" ht="22.5" customHeight="1">
      <c r="A66" s="424"/>
      <c r="B66" s="280" t="s">
        <v>287</v>
      </c>
      <c r="C66" s="53"/>
      <c r="D66" s="53"/>
      <c r="E66" s="262"/>
      <c r="F66" s="10" t="s">
        <v>102</v>
      </c>
      <c r="G66" s="88">
        <v>2</v>
      </c>
      <c r="H66" s="10"/>
      <c r="I66" s="127"/>
    </row>
    <row r="67" spans="1:9" ht="17.25" customHeight="1">
      <c r="A67" s="424"/>
      <c r="B67" s="280" t="s">
        <v>288</v>
      </c>
      <c r="C67" s="53"/>
      <c r="D67" s="53"/>
      <c r="E67" s="262"/>
      <c r="F67" s="10" t="s">
        <v>102</v>
      </c>
      <c r="G67" s="88">
        <v>2</v>
      </c>
      <c r="H67" s="10"/>
      <c r="I67" s="127"/>
    </row>
    <row r="68" spans="1:9" ht="17.25" customHeight="1">
      <c r="A68" s="424"/>
      <c r="B68" s="280" t="s">
        <v>289</v>
      </c>
      <c r="C68" s="53"/>
      <c r="D68" s="53"/>
      <c r="E68" s="262"/>
      <c r="F68" s="10" t="s">
        <v>102</v>
      </c>
      <c r="G68" s="88">
        <v>4</v>
      </c>
      <c r="H68" s="10"/>
      <c r="I68" s="127"/>
    </row>
    <row r="69" spans="1:9" ht="16.5">
      <c r="A69" s="424"/>
      <c r="B69" s="280" t="s">
        <v>290</v>
      </c>
      <c r="C69" s="53"/>
      <c r="D69" s="53"/>
      <c r="E69" s="262"/>
      <c r="F69" s="10" t="s">
        <v>102</v>
      </c>
      <c r="G69" s="88">
        <v>4</v>
      </c>
      <c r="H69" s="10"/>
      <c r="I69" s="127"/>
    </row>
    <row r="70" spans="1:9" ht="16.5">
      <c r="A70" s="424"/>
      <c r="B70" s="280" t="s">
        <v>399</v>
      </c>
      <c r="C70" s="53"/>
      <c r="D70" s="53"/>
      <c r="E70" s="262"/>
      <c r="F70" s="10" t="s">
        <v>139</v>
      </c>
      <c r="G70" s="88">
        <v>67</v>
      </c>
      <c r="H70" s="10"/>
      <c r="I70" s="127"/>
    </row>
    <row r="71" spans="1:9" ht="16.5">
      <c r="A71" s="424"/>
      <c r="B71" s="280" t="s">
        <v>400</v>
      </c>
      <c r="C71" s="294"/>
      <c r="D71" s="53"/>
      <c r="E71" s="262"/>
      <c r="F71" s="10" t="s">
        <v>139</v>
      </c>
      <c r="G71" s="88">
        <v>47</v>
      </c>
      <c r="H71" s="10"/>
      <c r="I71" s="127"/>
    </row>
    <row r="72" spans="1:9" ht="16.5">
      <c r="A72" s="424"/>
      <c r="B72" s="280" t="s">
        <v>401</v>
      </c>
      <c r="C72" s="294"/>
      <c r="D72" s="53"/>
      <c r="E72" s="262"/>
      <c r="F72" s="10" t="s">
        <v>139</v>
      </c>
      <c r="G72" s="88">
        <v>10</v>
      </c>
      <c r="H72" s="10"/>
      <c r="I72" s="127"/>
    </row>
    <row r="73" spans="1:9" ht="16.5">
      <c r="A73" s="424"/>
      <c r="B73" s="280" t="s">
        <v>283</v>
      </c>
      <c r="C73" s="53"/>
      <c r="D73" s="53"/>
      <c r="E73" s="262"/>
      <c r="F73" s="10" t="s">
        <v>64</v>
      </c>
      <c r="G73" s="88">
        <v>26.8</v>
      </c>
      <c r="H73" s="10"/>
      <c r="I73" s="127"/>
    </row>
    <row r="74" spans="1:9" ht="16.5">
      <c r="A74" s="424"/>
      <c r="B74" s="280" t="s">
        <v>69</v>
      </c>
      <c r="C74" s="53"/>
      <c r="D74" s="53"/>
      <c r="E74" s="293"/>
      <c r="F74" s="10" t="s">
        <v>162</v>
      </c>
      <c r="G74" s="88">
        <v>23.7</v>
      </c>
      <c r="H74" s="10"/>
      <c r="I74" s="127"/>
    </row>
    <row r="75" spans="1:9" ht="42.75" customHeight="1">
      <c r="A75" s="424">
        <v>18</v>
      </c>
      <c r="B75" s="428" t="s">
        <v>402</v>
      </c>
      <c r="C75" s="428"/>
      <c r="D75" s="428"/>
      <c r="E75" s="428"/>
      <c r="F75" s="10" t="s">
        <v>72</v>
      </c>
      <c r="G75" s="126">
        <v>8.4</v>
      </c>
      <c r="H75" s="261"/>
      <c r="I75" s="271"/>
    </row>
    <row r="76" spans="1:9" ht="16.5">
      <c r="A76" s="424"/>
      <c r="B76" s="261" t="s">
        <v>59</v>
      </c>
      <c r="C76" s="264"/>
      <c r="D76" s="265"/>
      <c r="E76" s="266"/>
      <c r="F76" s="54" t="s">
        <v>61</v>
      </c>
      <c r="G76" s="65">
        <v>15</v>
      </c>
      <c r="H76" s="54"/>
      <c r="I76" s="103"/>
    </row>
    <row r="77" spans="1:9" ht="16.5">
      <c r="A77" s="424"/>
      <c r="B77" s="261" t="s">
        <v>294</v>
      </c>
      <c r="C77" s="275"/>
      <c r="D77" s="274"/>
      <c r="E77" s="265"/>
      <c r="F77" s="54" t="s">
        <v>72</v>
      </c>
      <c r="G77" s="254">
        <v>9.24</v>
      </c>
      <c r="H77" s="54"/>
      <c r="I77" s="103"/>
    </row>
    <row r="78" spans="1:9" ht="21.75" customHeight="1">
      <c r="A78" s="424"/>
      <c r="B78" s="261" t="s">
        <v>295</v>
      </c>
      <c r="C78" s="277"/>
      <c r="D78" s="274"/>
      <c r="E78" s="265"/>
      <c r="F78" s="54" t="s">
        <v>58</v>
      </c>
      <c r="G78" s="181">
        <v>14.78</v>
      </c>
      <c r="H78" s="54"/>
      <c r="I78" s="103"/>
    </row>
    <row r="79" spans="1:9" ht="19.5" customHeight="1">
      <c r="A79" s="424">
        <v>20</v>
      </c>
      <c r="B79" s="427" t="s">
        <v>403</v>
      </c>
      <c r="C79" s="427"/>
      <c r="D79" s="427"/>
      <c r="E79" s="427"/>
      <c r="F79" s="10" t="s">
        <v>237</v>
      </c>
      <c r="G79" s="10">
        <v>4</v>
      </c>
      <c r="H79" s="261"/>
      <c r="I79" s="271"/>
    </row>
    <row r="80" spans="1:9" ht="17.25" customHeight="1">
      <c r="A80" s="424"/>
      <c r="B80" s="261" t="s">
        <v>59</v>
      </c>
      <c r="C80" s="268"/>
      <c r="D80" s="265"/>
      <c r="E80" s="266"/>
      <c r="F80" s="54" t="s">
        <v>61</v>
      </c>
      <c r="G80" s="65">
        <v>14.6</v>
      </c>
      <c r="H80" s="54"/>
      <c r="I80" s="103"/>
    </row>
    <row r="81" spans="1:9" ht="17.25" customHeight="1">
      <c r="A81" s="424"/>
      <c r="B81" s="261" t="s">
        <v>404</v>
      </c>
      <c r="C81" s="268"/>
      <c r="D81" s="265"/>
      <c r="E81" s="282"/>
      <c r="F81" s="10" t="s">
        <v>237</v>
      </c>
      <c r="G81" s="126">
        <v>4</v>
      </c>
      <c r="H81" s="10"/>
      <c r="I81" s="127"/>
    </row>
    <row r="82" spans="1:9" ht="17.25" customHeight="1">
      <c r="A82" s="424"/>
      <c r="B82" s="261" t="s">
        <v>69</v>
      </c>
      <c r="C82" s="268"/>
      <c r="D82" s="265"/>
      <c r="E82" s="266"/>
      <c r="F82" s="10" t="s">
        <v>162</v>
      </c>
      <c r="G82" s="126">
        <v>3.76</v>
      </c>
      <c r="H82" s="10"/>
      <c r="I82" s="127"/>
    </row>
    <row r="83" spans="1:9" ht="17.25" customHeight="1">
      <c r="A83" s="424"/>
      <c r="B83" s="261" t="s">
        <v>82</v>
      </c>
      <c r="C83" s="268"/>
      <c r="D83" s="265"/>
      <c r="E83" s="266"/>
      <c r="F83" s="10" t="s">
        <v>162</v>
      </c>
      <c r="G83" s="126">
        <v>0.52</v>
      </c>
      <c r="H83" s="10"/>
      <c r="I83" s="127"/>
    </row>
    <row r="84" spans="1:9" ht="17.25" customHeight="1">
      <c r="A84" s="424">
        <v>21</v>
      </c>
      <c r="B84" s="427" t="s">
        <v>300</v>
      </c>
      <c r="C84" s="427"/>
      <c r="D84" s="427"/>
      <c r="E84" s="427"/>
      <c r="F84" s="10" t="s">
        <v>237</v>
      </c>
      <c r="G84" s="10">
        <v>4</v>
      </c>
      <c r="H84" s="261"/>
      <c r="I84" s="271"/>
    </row>
    <row r="85" spans="1:9" ht="17.25" customHeight="1">
      <c r="A85" s="424"/>
      <c r="B85" s="261" t="s">
        <v>59</v>
      </c>
      <c r="C85" s="268"/>
      <c r="D85" s="265"/>
      <c r="E85" s="266"/>
      <c r="F85" s="54" t="s">
        <v>61</v>
      </c>
      <c r="G85" s="65">
        <v>4.1</v>
      </c>
      <c r="H85" s="54"/>
      <c r="I85" s="103"/>
    </row>
    <row r="86" spans="1:9" ht="17.25" customHeight="1">
      <c r="A86" s="424"/>
      <c r="B86" s="261" t="s">
        <v>301</v>
      </c>
      <c r="C86" s="268"/>
      <c r="D86" s="265"/>
      <c r="E86" s="282"/>
      <c r="F86" s="10" t="s">
        <v>237</v>
      </c>
      <c r="G86" s="126">
        <v>4</v>
      </c>
      <c r="H86" s="10"/>
      <c r="I86" s="127"/>
    </row>
    <row r="87" spans="1:9" ht="17.25" customHeight="1">
      <c r="A87" s="424"/>
      <c r="B87" s="261" t="s">
        <v>405</v>
      </c>
      <c r="C87" s="268"/>
      <c r="D87" s="265"/>
      <c r="E87" s="282"/>
      <c r="F87" s="10" t="s">
        <v>102</v>
      </c>
      <c r="G87" s="126">
        <v>4</v>
      </c>
      <c r="H87" s="10"/>
      <c r="I87" s="127"/>
    </row>
    <row r="88" spans="1:9" ht="17.25" customHeight="1">
      <c r="A88" s="424"/>
      <c r="B88" s="261" t="s">
        <v>69</v>
      </c>
      <c r="C88" s="275"/>
      <c r="D88" s="274"/>
      <c r="E88" s="265"/>
      <c r="F88" s="54" t="s">
        <v>102</v>
      </c>
      <c r="G88" s="181">
        <v>1.68</v>
      </c>
      <c r="H88" s="54"/>
      <c r="I88" s="103"/>
    </row>
    <row r="89" spans="1:9" ht="27" customHeight="1">
      <c r="A89" s="424">
        <v>22</v>
      </c>
      <c r="B89" s="428" t="s">
        <v>406</v>
      </c>
      <c r="C89" s="428"/>
      <c r="D89" s="428"/>
      <c r="E89" s="428"/>
      <c r="F89" s="10" t="s">
        <v>102</v>
      </c>
      <c r="G89" s="10">
        <v>8</v>
      </c>
      <c r="H89" s="261"/>
      <c r="I89" s="271"/>
    </row>
    <row r="90" spans="1:9" ht="17.25" customHeight="1">
      <c r="A90" s="424"/>
      <c r="B90" s="261" t="s">
        <v>59</v>
      </c>
      <c r="C90" s="268"/>
      <c r="D90" s="265"/>
      <c r="E90" s="266"/>
      <c r="F90" s="54" t="s">
        <v>61</v>
      </c>
      <c r="G90" s="65">
        <v>12.6</v>
      </c>
      <c r="H90" s="54"/>
      <c r="I90" s="103"/>
    </row>
    <row r="91" spans="1:9" ht="17.25" customHeight="1">
      <c r="A91" s="424"/>
      <c r="B91" s="261" t="s">
        <v>304</v>
      </c>
      <c r="C91" s="268"/>
      <c r="D91" s="265"/>
      <c r="E91" s="282"/>
      <c r="F91" s="10" t="s">
        <v>102</v>
      </c>
      <c r="G91" s="126">
        <v>8</v>
      </c>
      <c r="H91" s="10"/>
      <c r="I91" s="127"/>
    </row>
    <row r="92" spans="1:9" ht="35.25" customHeight="1">
      <c r="A92" s="424">
        <v>22</v>
      </c>
      <c r="B92" s="428" t="s">
        <v>407</v>
      </c>
      <c r="C92" s="428"/>
      <c r="D92" s="428"/>
      <c r="E92" s="428"/>
      <c r="F92" s="10" t="s">
        <v>102</v>
      </c>
      <c r="G92" s="10">
        <v>4</v>
      </c>
      <c r="H92" s="261"/>
      <c r="I92" s="271"/>
    </row>
    <row r="93" spans="1:9" ht="17.25" customHeight="1">
      <c r="A93" s="424"/>
      <c r="B93" s="261" t="s">
        <v>59</v>
      </c>
      <c r="C93" s="268"/>
      <c r="D93" s="265"/>
      <c r="E93" s="266"/>
      <c r="F93" s="54" t="s">
        <v>61</v>
      </c>
      <c r="G93" s="65">
        <v>6.3</v>
      </c>
      <c r="H93" s="54"/>
      <c r="I93" s="103"/>
    </row>
    <row r="94" spans="1:9" ht="17.25" customHeight="1">
      <c r="A94" s="424"/>
      <c r="B94" s="261" t="s">
        <v>408</v>
      </c>
      <c r="C94" s="268"/>
      <c r="D94" s="265"/>
      <c r="E94" s="282"/>
      <c r="F94" s="10" t="s">
        <v>102</v>
      </c>
      <c r="G94" s="126">
        <v>4</v>
      </c>
      <c r="H94" s="10"/>
      <c r="I94" s="127"/>
    </row>
    <row r="95" spans="1:9" ht="16.5">
      <c r="A95" s="10"/>
      <c r="B95" s="429" t="s">
        <v>6</v>
      </c>
      <c r="C95" s="429"/>
      <c r="D95" s="429"/>
      <c r="E95" s="429"/>
      <c r="F95" s="54"/>
      <c r="G95" s="181"/>
      <c r="H95" s="54"/>
      <c r="I95" s="103"/>
    </row>
    <row r="96" spans="1:9" ht="16.5">
      <c r="A96" s="261"/>
      <c r="B96" s="272" t="s">
        <v>308</v>
      </c>
      <c r="C96" s="272"/>
      <c r="D96" s="272"/>
      <c r="E96" s="272"/>
      <c r="F96" s="261"/>
      <c r="G96" s="261"/>
      <c r="H96" s="261"/>
      <c r="I96" s="103"/>
    </row>
    <row r="97" spans="1:9" ht="16.5">
      <c r="A97" s="261"/>
      <c r="B97" s="429" t="s">
        <v>417</v>
      </c>
      <c r="C97" s="429"/>
      <c r="D97" s="429"/>
      <c r="E97" s="429"/>
      <c r="F97" s="261"/>
      <c r="G97" s="261"/>
      <c r="H97" s="261"/>
      <c r="I97" s="103"/>
    </row>
    <row r="98" spans="1:9" ht="16.5">
      <c r="A98" s="261"/>
      <c r="B98" s="429" t="s">
        <v>6</v>
      </c>
      <c r="C98" s="429"/>
      <c r="D98" s="429"/>
      <c r="E98" s="429"/>
      <c r="F98" s="261"/>
      <c r="G98" s="261"/>
      <c r="H98" s="261"/>
      <c r="I98" s="103"/>
    </row>
    <row r="99" spans="1:9" ht="16.5">
      <c r="A99" s="261"/>
      <c r="B99" s="429" t="s">
        <v>416</v>
      </c>
      <c r="C99" s="429"/>
      <c r="D99" s="429"/>
      <c r="E99" s="429"/>
      <c r="F99" s="261"/>
      <c r="G99" s="261"/>
      <c r="H99" s="261"/>
      <c r="I99" s="103"/>
    </row>
    <row r="100" spans="1:9" ht="16.5">
      <c r="A100" s="261"/>
      <c r="B100" s="429" t="s">
        <v>418</v>
      </c>
      <c r="C100" s="429"/>
      <c r="D100" s="429"/>
      <c r="E100" s="429"/>
      <c r="F100" s="261"/>
      <c r="G100" s="261"/>
      <c r="H100" s="261"/>
      <c r="I100" s="103"/>
    </row>
    <row r="103" spans="1:9" ht="16.5">
      <c r="A103" s="430" t="s">
        <v>422</v>
      </c>
      <c r="B103" s="430"/>
      <c r="C103" s="430"/>
      <c r="D103" s="430"/>
      <c r="E103" s="430"/>
      <c r="F103" s="430"/>
      <c r="G103" s="430"/>
      <c r="H103" s="430"/>
      <c r="I103" s="430"/>
    </row>
  </sheetData>
  <sheetProtection/>
  <mergeCells count="48">
    <mergeCell ref="A103:I103"/>
    <mergeCell ref="B98:E98"/>
    <mergeCell ref="A84:A88"/>
    <mergeCell ref="B84:E84"/>
    <mergeCell ref="A89:A91"/>
    <mergeCell ref="B89:E89"/>
    <mergeCell ref="B99:E99"/>
    <mergeCell ref="B100:E100"/>
    <mergeCell ref="A92:A94"/>
    <mergeCell ref="B92:E92"/>
    <mergeCell ref="B95:E95"/>
    <mergeCell ref="B97:E97"/>
    <mergeCell ref="A63:A74"/>
    <mergeCell ref="B63:E63"/>
    <mergeCell ref="A75:A78"/>
    <mergeCell ref="B75:E75"/>
    <mergeCell ref="A79:A83"/>
    <mergeCell ref="B79:E79"/>
    <mergeCell ref="A51:A53"/>
    <mergeCell ref="B51:E51"/>
    <mergeCell ref="A54:A56"/>
    <mergeCell ref="B54:E54"/>
    <mergeCell ref="A57:A62"/>
    <mergeCell ref="B57:E57"/>
    <mergeCell ref="A31:A34"/>
    <mergeCell ref="B31:E31"/>
    <mergeCell ref="A35:A42"/>
    <mergeCell ref="B35:E35"/>
    <mergeCell ref="A43:A50"/>
    <mergeCell ref="B43:E43"/>
    <mergeCell ref="A16:A20"/>
    <mergeCell ref="B16:E16"/>
    <mergeCell ref="A21:A25"/>
    <mergeCell ref="B21:E21"/>
    <mergeCell ref="A26:A30"/>
    <mergeCell ref="B26:E26"/>
    <mergeCell ref="B10:E10"/>
    <mergeCell ref="A11:A12"/>
    <mergeCell ref="B11:E11"/>
    <mergeCell ref="A13:A14"/>
    <mergeCell ref="B13:E13"/>
    <mergeCell ref="B15:E15"/>
    <mergeCell ref="H1:I1"/>
    <mergeCell ref="A2:I2"/>
    <mergeCell ref="A4:I4"/>
    <mergeCell ref="A5:I5"/>
    <mergeCell ref="A7:I7"/>
    <mergeCell ref="B9:E9"/>
  </mergeCells>
  <printOptions/>
  <pageMargins left="0.55" right="0.32" top="0.43" bottom="0.45" header="0.19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Poti Sea 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Ako_2</dc:creator>
  <cp:keywords/>
  <dc:description/>
  <cp:lastModifiedBy>Maia Sulava</cp:lastModifiedBy>
  <cp:lastPrinted>2019-08-05T14:46:04Z</cp:lastPrinted>
  <dcterms:created xsi:type="dcterms:W3CDTF">2005-02-21T10:27:02Z</dcterms:created>
  <dcterms:modified xsi:type="dcterms:W3CDTF">2019-08-05T14:46:07Z</dcterms:modified>
  <cp:category/>
  <cp:version/>
  <cp:contentType/>
  <cp:contentStatus/>
</cp:coreProperties>
</file>