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735" tabRatio="661"/>
  </bookViews>
  <sheets>
    <sheet name="krebsiti" sheetId="8" r:id="rId1"/>
    <sheet name="#1" sheetId="19" r:id="rId2"/>
    <sheet name="#2" sheetId="17" r:id="rId3"/>
    <sheet name="#3" sheetId="6" r:id="rId4"/>
    <sheet name="#4" sheetId="20" r:id="rId5"/>
    <sheet name="moc.uwy." sheetId="3" r:id="rId6"/>
  </sheets>
  <definedNames>
    <definedName name="_xlnm.Print_Titles" localSheetId="1">'#1'!$9:$9</definedName>
    <definedName name="_xlnm.Print_Titles" localSheetId="2">'#2'!$9:$9</definedName>
    <definedName name="_xlnm.Print_Titles" localSheetId="3">'#3'!$9:$9</definedName>
    <definedName name="_xlnm.Print_Titles" localSheetId="4">'#4'!$8:$8</definedName>
    <definedName name="_xlnm.Print_Titles" localSheetId="5">moc.uwy.!$6:$6</definedName>
  </definedNames>
  <calcPr calcId="152511"/>
</workbook>
</file>

<file path=xl/calcChain.xml><?xml version="1.0" encoding="utf-8"?>
<calcChain xmlns="http://schemas.openxmlformats.org/spreadsheetml/2006/main">
  <c r="E129" i="6" l="1"/>
  <c r="E116" i="6" l="1"/>
  <c r="E130" i="6"/>
  <c r="E123" i="6"/>
  <c r="E127" i="6" s="1"/>
  <c r="E118" i="6"/>
  <c r="D121" i="6"/>
  <c r="E131" i="6" l="1"/>
  <c r="E126" i="6"/>
  <c r="E124" i="6"/>
  <c r="E128" i="6"/>
  <c r="E125" i="6"/>
  <c r="E121" i="6"/>
  <c r="E119" i="6"/>
  <c r="E122" i="6"/>
  <c r="E120" i="6"/>
  <c r="E93" i="6" l="1"/>
  <c r="E117" i="6" l="1"/>
  <c r="E168" i="19" l="1"/>
  <c r="E20" i="19" l="1"/>
  <c r="E11" i="19"/>
  <c r="E21" i="19" l="1"/>
  <c r="E13" i="19"/>
  <c r="E14" i="19"/>
  <c r="E16" i="19"/>
  <c r="E12" i="19"/>
  <c r="E17" i="19" l="1"/>
  <c r="E18" i="19"/>
  <c r="E15" i="19"/>
  <c r="E21" i="17" l="1"/>
  <c r="E25" i="17"/>
  <c r="E37" i="17"/>
  <c r="D24" i="17"/>
  <c r="E22" i="17"/>
  <c r="D20" i="17"/>
  <c r="E20" i="17" s="1"/>
  <c r="D14" i="17"/>
  <c r="E14" i="17" s="1"/>
  <c r="E13" i="17"/>
  <c r="E12" i="17"/>
  <c r="E30" i="17" l="1"/>
  <c r="E26" i="17"/>
  <c r="E24" i="17"/>
  <c r="E85" i="6"/>
  <c r="E82" i="6"/>
  <c r="E84" i="6" s="1"/>
  <c r="E80" i="6"/>
  <c r="E71" i="6"/>
  <c r="E66" i="6"/>
  <c r="E68" i="6"/>
  <c r="D92" i="6"/>
  <c r="D91" i="6"/>
  <c r="C91" i="6"/>
  <c r="D89" i="6"/>
  <c r="E88" i="6"/>
  <c r="D86" i="6"/>
  <c r="D83" i="6"/>
  <c r="E20" i="6"/>
  <c r="E17" i="6"/>
  <c r="E14" i="6"/>
  <c r="E12" i="6"/>
  <c r="E74" i="6"/>
  <c r="E53" i="6"/>
  <c r="E51" i="6"/>
  <c r="C51" i="6"/>
  <c r="E44" i="6"/>
  <c r="E86" i="6" l="1"/>
  <c r="E46" i="6"/>
  <c r="E55" i="6"/>
  <c r="E92" i="6"/>
  <c r="E81" i="6"/>
  <c r="E90" i="6"/>
  <c r="E89" i="6"/>
  <c r="E91" i="6"/>
  <c r="E83" i="6"/>
  <c r="E87" i="6"/>
  <c r="E52" i="6"/>
  <c r="E49" i="6"/>
  <c r="E45" i="6"/>
  <c r="E54" i="6" l="1"/>
  <c r="E41" i="6" l="1"/>
  <c r="E35" i="6"/>
  <c r="D33" i="6"/>
  <c r="E32" i="6"/>
  <c r="D30" i="6"/>
  <c r="E29" i="6"/>
  <c r="E34" i="6" l="1"/>
  <c r="E38" i="6"/>
  <c r="E31" i="6"/>
  <c r="E33" i="6"/>
  <c r="E30" i="6"/>
  <c r="E39" i="6"/>
  <c r="E36" i="6"/>
  <c r="E40" i="6"/>
  <c r="E27" i="6"/>
  <c r="E37" i="6"/>
  <c r="E182" i="19"/>
  <c r="D214" i="19"/>
  <c r="D208" i="19"/>
  <c r="E183" i="19" l="1"/>
  <c r="E207" i="19"/>
  <c r="E214" i="19" s="1"/>
  <c r="E204" i="19"/>
  <c r="E193" i="19"/>
  <c r="E196" i="19"/>
  <c r="E28" i="6"/>
  <c r="E209" i="19" l="1"/>
  <c r="E211" i="19"/>
  <c r="E212" i="19"/>
  <c r="E210" i="19"/>
  <c r="E213" i="19"/>
  <c r="E208" i="19"/>
  <c r="E195" i="19"/>
  <c r="E194" i="19"/>
  <c r="E198" i="19"/>
  <c r="E200" i="19"/>
  <c r="E202" i="19"/>
  <c r="E199" i="19"/>
  <c r="E203" i="19"/>
  <c r="E201" i="19"/>
  <c r="E197" i="19"/>
  <c r="E191" i="19"/>
  <c r="E185" i="19"/>
  <c r="E192" i="19"/>
  <c r="E184" i="19"/>
  <c r="E190" i="19"/>
  <c r="E186" i="19"/>
  <c r="E206" i="19"/>
  <c r="E205" i="19"/>
  <c r="E150" i="19" l="1"/>
  <c r="D154" i="19"/>
  <c r="E156" i="19" l="1"/>
  <c r="D160" i="19"/>
  <c r="D161" i="19" s="1"/>
  <c r="E160" i="19"/>
  <c r="D156" i="19"/>
  <c r="E151" i="19"/>
  <c r="E159" i="19" l="1"/>
  <c r="E158" i="19"/>
  <c r="E157" i="19"/>
  <c r="E153" i="19"/>
  <c r="E155" i="19"/>
  <c r="E152" i="19"/>
  <c r="E154" i="19"/>
  <c r="E165" i="19"/>
  <c r="E161" i="19"/>
  <c r="E164" i="19" l="1"/>
  <c r="E163" i="19"/>
  <c r="E162" i="19"/>
  <c r="E166" i="19"/>
  <c r="E127" i="19" l="1"/>
  <c r="E133" i="19" l="1"/>
  <c r="E137" i="19"/>
  <c r="E107" i="19"/>
  <c r="E22" i="19"/>
  <c r="E97" i="19"/>
  <c r="E89" i="19"/>
  <c r="E33" i="19"/>
  <c r="E122" i="19" l="1"/>
  <c r="E138" i="19"/>
  <c r="E59" i="19"/>
  <c r="E142" i="19"/>
  <c r="E123" i="19" l="1"/>
  <c r="E73" i="19"/>
  <c r="E101" i="19"/>
  <c r="D53" i="19"/>
  <c r="D50" i="19"/>
  <c r="E44" i="19"/>
  <c r="D38" i="19"/>
  <c r="E34" i="19"/>
  <c r="E28" i="19"/>
  <c r="E24" i="19"/>
  <c r="E25" i="19" l="1"/>
  <c r="E35" i="19"/>
  <c r="E47" i="19"/>
  <c r="E26" i="19"/>
  <c r="E43" i="19"/>
  <c r="E38" i="19"/>
  <c r="E36" i="19"/>
  <c r="E39" i="19"/>
  <c r="E37" i="19"/>
  <c r="E40" i="19"/>
  <c r="E49" i="19"/>
  <c r="E48" i="19"/>
  <c r="E45" i="19"/>
  <c r="E46" i="19"/>
  <c r="E30" i="19"/>
  <c r="E29" i="19"/>
  <c r="E31" i="19"/>
  <c r="E32" i="19"/>
  <c r="D178" i="19"/>
  <c r="E60" i="19"/>
  <c r="E54" i="19" l="1"/>
  <c r="E128" i="19"/>
  <c r="E53" i="19"/>
  <c r="E50" i="19"/>
  <c r="E52" i="19"/>
  <c r="E51" i="19"/>
  <c r="D133" i="19"/>
  <c r="E58" i="19" l="1"/>
  <c r="E56" i="19"/>
  <c r="E57" i="19"/>
  <c r="E55" i="19"/>
  <c r="E27" i="19"/>
  <c r="E74" i="19" l="1"/>
  <c r="E99" i="19" l="1"/>
  <c r="E38" i="17"/>
  <c r="E39" i="17"/>
  <c r="E34" i="17"/>
  <c r="D36" i="17"/>
  <c r="D33" i="17"/>
  <c r="E33" i="17" s="1"/>
  <c r="D32" i="17"/>
  <c r="E32" i="17" s="1"/>
  <c r="D131" i="19"/>
  <c r="D116" i="19"/>
  <c r="D115" i="19"/>
  <c r="D114" i="19"/>
  <c r="D112" i="19"/>
  <c r="D180" i="19"/>
  <c r="D179" i="19"/>
  <c r="E36" i="17" l="1"/>
  <c r="E170" i="19"/>
  <c r="E169" i="19"/>
  <c r="E134" i="19"/>
  <c r="E144" i="19"/>
  <c r="E180" i="19"/>
  <c r="E179" i="19"/>
  <c r="E148" i="19" l="1"/>
  <c r="E131" i="19"/>
  <c r="E173" i="19"/>
  <c r="E174" i="19"/>
  <c r="E175" i="19"/>
  <c r="E176" i="19"/>
  <c r="E145" i="19"/>
  <c r="E172" i="19"/>
  <c r="E171" i="19"/>
  <c r="E130" i="19"/>
  <c r="E129" i="19"/>
  <c r="E132" i="19"/>
  <c r="E149" i="19"/>
  <c r="E147" i="19"/>
  <c r="E146" i="19"/>
  <c r="E136" i="19"/>
  <c r="E135" i="19"/>
  <c r="E141" i="19" l="1"/>
  <c r="E143" i="19"/>
  <c r="E139" i="19"/>
  <c r="E140" i="19"/>
  <c r="E76" i="19" l="1"/>
  <c r="D103" i="19"/>
  <c r="D102" i="19"/>
  <c r="D100" i="19"/>
  <c r="E100" i="19" s="1"/>
  <c r="D98" i="19"/>
  <c r="E98" i="19" s="1"/>
  <c r="D96" i="19"/>
  <c r="E96" i="19" s="1"/>
  <c r="D95" i="19"/>
  <c r="E95" i="19" s="1"/>
  <c r="D93" i="19"/>
  <c r="E93" i="19" s="1"/>
  <c r="E92" i="19"/>
  <c r="D91" i="19"/>
  <c r="E91" i="19" s="1"/>
  <c r="D90" i="19"/>
  <c r="E90" i="19" s="1"/>
  <c r="D88" i="19"/>
  <c r="E88" i="19" s="1"/>
  <c r="D87" i="19"/>
  <c r="E87" i="19" s="1"/>
  <c r="D86" i="19"/>
  <c r="E86" i="19" s="1"/>
  <c r="D84" i="19"/>
  <c r="D83" i="19"/>
  <c r="C82" i="19"/>
  <c r="D81" i="19"/>
  <c r="D80" i="19"/>
  <c r="D79" i="19"/>
  <c r="D78" i="19"/>
  <c r="D77" i="19"/>
  <c r="E67" i="19"/>
  <c r="E62" i="19"/>
  <c r="E80" i="19" l="1"/>
  <c r="E66" i="19"/>
  <c r="E70" i="19"/>
  <c r="E108" i="19"/>
  <c r="E117" i="19"/>
  <c r="E81" i="19"/>
  <c r="E79" i="19"/>
  <c r="E83" i="19"/>
  <c r="E110" i="19"/>
  <c r="E84" i="19"/>
  <c r="E78" i="19"/>
  <c r="E82" i="19"/>
  <c r="E77" i="19"/>
  <c r="E71" i="19"/>
  <c r="E64" i="19"/>
  <c r="E68" i="19"/>
  <c r="E75" i="19"/>
  <c r="E63" i="19"/>
  <c r="E69" i="19"/>
  <c r="E72" i="19"/>
  <c r="E65" i="19"/>
  <c r="E121" i="19" l="1"/>
  <c r="E119" i="19"/>
  <c r="E118" i="19"/>
  <c r="E120" i="19"/>
  <c r="E218" i="19"/>
  <c r="E109" i="19"/>
  <c r="E114" i="19"/>
  <c r="E111" i="19"/>
  <c r="E116" i="19"/>
  <c r="E113" i="19"/>
  <c r="E112" i="19"/>
  <c r="E115" i="19"/>
  <c r="E103" i="19"/>
  <c r="E106" i="19"/>
  <c r="E102" i="19"/>
  <c r="E105" i="19"/>
  <c r="E104" i="19"/>
  <c r="E219" i="19" l="1"/>
  <c r="E220" i="19"/>
  <c r="E222" i="19"/>
  <c r="E221" i="19"/>
  <c r="E61" i="19" l="1"/>
  <c r="E103" i="6" l="1"/>
  <c r="E98" i="6"/>
  <c r="E100" i="6"/>
  <c r="E102" i="6"/>
  <c r="D101" i="6"/>
  <c r="E101" i="6" s="1"/>
  <c r="D72" i="6"/>
  <c r="D69" i="6"/>
  <c r="D18" i="6"/>
  <c r="D15" i="6"/>
  <c r="E16" i="6" l="1"/>
  <c r="E69" i="6"/>
  <c r="E19" i="6"/>
  <c r="E94" i="6"/>
  <c r="E43" i="6"/>
  <c r="E42" i="6"/>
  <c r="E18" i="6"/>
  <c r="E15" i="6"/>
  <c r="E105" i="6" l="1"/>
  <c r="E70" i="6"/>
  <c r="E72" i="6"/>
  <c r="E73" i="6"/>
  <c r="E107" i="6" l="1"/>
  <c r="E106" i="6"/>
  <c r="E63" i="6" l="1"/>
  <c r="E62" i="6"/>
  <c r="E61" i="6"/>
  <c r="E60" i="6"/>
  <c r="E13" i="6"/>
  <c r="E76" i="6"/>
  <c r="E67" i="6"/>
  <c r="E113" i="6"/>
  <c r="E112" i="6"/>
  <c r="E110" i="6"/>
  <c r="E109" i="6"/>
  <c r="E104" i="6"/>
  <c r="E99" i="6"/>
  <c r="E97" i="6"/>
  <c r="E96" i="6"/>
  <c r="D78" i="6"/>
  <c r="D77" i="6"/>
  <c r="E77" i="6" s="1"/>
  <c r="C77" i="6"/>
  <c r="D75" i="6"/>
  <c r="E25" i="6"/>
  <c r="E75" i="6" l="1"/>
  <c r="E78" i="6"/>
  <c r="E111" i="6"/>
  <c r="E23" i="6"/>
  <c r="E21" i="6"/>
  <c r="E24" i="6"/>
  <c r="E22" i="6"/>
</calcChain>
</file>

<file path=xl/comments1.xml><?xml version="1.0" encoding="utf-8"?>
<comments xmlns="http://schemas.openxmlformats.org/spreadsheetml/2006/main">
  <authors>
    <author>Author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ტიპი: კალათბურთის ფარი
,,შპს ღობე" 
 მის: წერეთლის 118
 ელ-ფოსტა: Ltdgobe@gmail.com
 web: www.Ghobe.ge
 ტელ: 568199995, 555511605.</t>
        </r>
      </text>
    </comment>
  </commentList>
</comments>
</file>

<file path=xl/sharedStrings.xml><?xml version="1.0" encoding="utf-8"?>
<sst xmlns="http://schemas.openxmlformats.org/spreadsheetml/2006/main" count="1114" uniqueCount="315">
  <si>
    <t>##</t>
  </si>
  <si>
    <t>სამუშაოს დასახელება</t>
  </si>
  <si>
    <t>განზ/ ერთეული</t>
  </si>
  <si>
    <t>ნორმა განზ.ერთეულზე</t>
  </si>
  <si>
    <t>მოცულობა</t>
  </si>
  <si>
    <t>მასალა</t>
  </si>
  <si>
    <t>ხელფასი</t>
  </si>
  <si>
    <t>სულ დანახარჯები</t>
  </si>
  <si>
    <t>ერთეულის</t>
  </si>
  <si>
    <t>სულ</t>
  </si>
  <si>
    <t>სულ ხარჯთაღრიცხვით</t>
  </si>
  <si>
    <t>g/m</t>
  </si>
  <si>
    <t>gauTvaliswinebeli xarjebi</t>
  </si>
  <si>
    <t>dRg</t>
  </si>
  <si>
    <t xml:space="preserve">გეგმიური დაგროვება  </t>
  </si>
  <si>
    <t xml:space="preserve">ზედნადები ხარჯები  </t>
  </si>
  <si>
    <t>c</t>
  </si>
  <si>
    <t>lokaluri ხ ა რ ჯ თ ა ღ რ ი ც ვ ხ ვ ა #1</t>
  </si>
  <si>
    <t>SeniSvna</t>
  </si>
  <si>
    <t>moculobaTa uwyisi</t>
  </si>
  <si>
    <t>kbm</t>
  </si>
  <si>
    <t>kvm</t>
  </si>
  <si>
    <t>kg</t>
  </si>
  <si>
    <t>tn</t>
  </si>
  <si>
    <t>lari</t>
  </si>
  <si>
    <t>ც</t>
  </si>
  <si>
    <t>Sromis danaxarjebi</t>
  </si>
  <si>
    <t>sxva manqanebi</t>
  </si>
  <si>
    <t>kac/sT</t>
  </si>
  <si>
    <t>manqana-meqanizmebi</t>
  </si>
  <si>
    <t>sxva masala</t>
  </si>
  <si>
    <t xml:space="preserve">Sromis danaxarjebi </t>
  </si>
  <si>
    <t>manqanebi</t>
  </si>
  <si>
    <t>sxva masalebi</t>
  </si>
  <si>
    <t xml:space="preserve">Sromis danaxarjebi  </t>
  </si>
  <si>
    <t>ს უ ლ     დანახარჯები</t>
  </si>
  <si>
    <t>zednadebi xarjebi                 (muSa mosamsaxureTa ZiriTadi xelfasidan)</t>
  </si>
  <si>
    <t>gegmiuri dagroveba</t>
  </si>
  <si>
    <t>lokaluri ხ ა რ ჯ თ ა ღ რ ი ც ვ ხ ვ ა #3</t>
  </si>
  <si>
    <t>მ</t>
  </si>
  <si>
    <t>krebsiTi xarjTaRicxva</t>
  </si>
  <si>
    <t>samuSaoebisa da danaxarjebis dasaxeleba</t>
  </si>
  <si>
    <t>saxarjTaRricxvo Rirebuleba</t>
  </si>
  <si>
    <t>samSeneblo samuSaoebi</t>
  </si>
  <si>
    <t>samontaJo samuSaoebi</t>
  </si>
  <si>
    <t>mowyobiloba</t>
  </si>
  <si>
    <t>jami</t>
  </si>
  <si>
    <t xml:space="preserve">dRg </t>
  </si>
  <si>
    <t>sul xarjTaRricxviT</t>
  </si>
  <si>
    <t>jami        lari</t>
  </si>
  <si>
    <t>I</t>
  </si>
  <si>
    <t>zednadebi xarjebi</t>
  </si>
  <si>
    <t>kompl</t>
  </si>
  <si>
    <t>Sromis danaxarji</t>
  </si>
  <si>
    <t>12</t>
  </si>
  <si>
    <t xml:space="preserve">j a m i     #1     </t>
  </si>
  <si>
    <t>lokaluri ხ ა რ ჯ თ ა ღ რ ი ც ვ ხ ვ ა #2</t>
  </si>
  <si>
    <t>100 kvm</t>
  </si>
  <si>
    <t>cali</t>
  </si>
  <si>
    <t>betoni b.25</t>
  </si>
  <si>
    <t>m3</t>
  </si>
  <si>
    <t>cementis xsnari m-200</t>
  </si>
  <si>
    <t>samSeneblo nagvis datvirTva xeliT avtoTviTmclelze</t>
  </si>
  <si>
    <t>k/sT</t>
  </si>
  <si>
    <t>grZ.m.</t>
  </si>
  <si>
    <t>kg.</t>
  </si>
  <si>
    <t>შრომის დანახარჯი</t>
  </si>
  <si>
    <t>კაც/სთ</t>
  </si>
  <si>
    <t>ლარი</t>
  </si>
  <si>
    <t>სხვა მასალები</t>
  </si>
  <si>
    <t xml:space="preserve"> სხვა მანქანები</t>
  </si>
  <si>
    <t>მილების პლასტმასის სამაგრი დეტალები</t>
  </si>
  <si>
    <t>კგ</t>
  </si>
  <si>
    <t>ელექტროფარის მონტაჟი           12 ჯგუფზე პლასტმასის ელ კარადა 12</t>
  </si>
  <si>
    <t>კ/სთ</t>
  </si>
  <si>
    <t>კომპ.</t>
  </si>
  <si>
    <t>ერთპოლუსა 10ა ავტომატი</t>
  </si>
  <si>
    <t>ერთპოლუსა 16ა ავტომატი</t>
  </si>
  <si>
    <t>გრძ.მ.</t>
  </si>
  <si>
    <t>SromiTi resursebi</t>
  </si>
  <si>
    <t>saStepselo rozetebis montaJi</t>
  </si>
  <si>
    <t>Senobis el montaJi</t>
  </si>
  <si>
    <t>sxva xarjebi</t>
  </si>
  <si>
    <t>m/sT</t>
  </si>
  <si>
    <t>tn.</t>
  </si>
  <si>
    <t>RorRi</t>
  </si>
  <si>
    <t>yalibis fari</t>
  </si>
  <si>
    <t>xe masala</t>
  </si>
  <si>
    <t>bitumis emulsia</t>
  </si>
  <si>
    <t xml:space="preserve">gruntis gatana 15 km-ze </t>
  </si>
  <si>
    <t>gruntis gatana 15 km</t>
  </si>
  <si>
    <t>tona</t>
  </si>
  <si>
    <r>
      <t>m</t>
    </r>
    <r>
      <rPr>
        <vertAlign val="superscript"/>
        <sz val="10"/>
        <rFont val="AcadNusx"/>
      </rPr>
      <t>2</t>
    </r>
  </si>
  <si>
    <t>xis masala</t>
  </si>
  <si>
    <t>betoni m-7,5</t>
  </si>
  <si>
    <t>kv.m.</t>
  </si>
  <si>
    <r>
      <t>m</t>
    </r>
    <r>
      <rPr>
        <b/>
        <vertAlign val="superscript"/>
        <sz val="10"/>
        <rFont val="AcadNusx"/>
      </rPr>
      <t>2</t>
    </r>
  </si>
  <si>
    <t>wyal-emulsiis saRebavi</t>
  </si>
  <si>
    <t>qviSa-cementis xsnari          m-100</t>
  </si>
  <si>
    <t>liTonis karebi (aqsesuarebiT)</t>
  </si>
  <si>
    <t>0,0255</t>
  </si>
  <si>
    <t>kompl.</t>
  </si>
  <si>
    <r>
      <t>m</t>
    </r>
    <r>
      <rPr>
        <b/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</si>
  <si>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3</t>
    </r>
  </si>
  <si>
    <t>Wis Tavsaxuri cxauriT</t>
  </si>
  <si>
    <t>SeWra</t>
  </si>
  <si>
    <t>gazinTuli ZenZi</t>
  </si>
  <si>
    <t>wyalmomaragebis gare qseli</t>
  </si>
  <si>
    <t>fasonuri nawilebi</t>
  </si>
  <si>
    <t>qviSa Savi</t>
  </si>
  <si>
    <t xml:space="preserve">tranSeis Sevseba RorRiT </t>
  </si>
  <si>
    <r>
      <t xml:space="preserve">qviSis safaris mowyoba milis irgvliv </t>
    </r>
    <r>
      <rPr>
        <sz val="12"/>
        <rFont val="Arial"/>
        <family val="2"/>
        <charset val="204"/>
      </rPr>
      <t>(H=30</t>
    </r>
    <r>
      <rPr>
        <sz val="12"/>
        <rFont val="AcadNusx"/>
      </rPr>
      <t>sm</t>
    </r>
    <r>
      <rPr>
        <sz val="12"/>
        <rFont val="Arial"/>
        <family val="2"/>
        <charset val="204"/>
      </rPr>
      <t>.)</t>
    </r>
  </si>
  <si>
    <r>
      <t xml:space="preserve">plastmasis gofrirebuli milis Cadeba TxrilSi </t>
    </r>
    <r>
      <rPr>
        <b/>
        <sz val="12"/>
        <rFont val="Arial"/>
        <family val="2"/>
        <charset val="204"/>
      </rPr>
      <t>Ø</t>
    </r>
    <r>
      <rPr>
        <b/>
        <sz val="12"/>
        <rFont val="AcadNusx"/>
      </rPr>
      <t>150mm</t>
    </r>
  </si>
  <si>
    <r>
      <t xml:space="preserve">plastmasis gofrirebuli mili </t>
    </r>
    <r>
      <rPr>
        <sz val="12"/>
        <rFont val="Calibri"/>
        <family val="2"/>
        <charset val="204"/>
      </rPr>
      <t>Ø</t>
    </r>
    <r>
      <rPr>
        <sz val="12"/>
        <rFont val="AcadNusx"/>
      </rPr>
      <t>150mm</t>
    </r>
  </si>
  <si>
    <r>
      <t>anakrebi Wis rgolebi</t>
    </r>
    <r>
      <rPr>
        <sz val="12"/>
        <rFont val="Calibri"/>
        <family val="2"/>
        <charset val="204"/>
        <scheme val="minor"/>
      </rPr>
      <t xml:space="preserve">               Ø</t>
    </r>
    <r>
      <rPr>
        <sz val="12"/>
        <rFont val="AcadNusx"/>
      </rPr>
      <t>1000mm;</t>
    </r>
    <r>
      <rPr>
        <sz val="12"/>
        <rFont val="Calibri"/>
        <family val="2"/>
        <charset val="204"/>
        <scheme val="minor"/>
      </rPr>
      <t xml:space="preserve"> H</t>
    </r>
    <r>
      <rPr>
        <sz val="12"/>
        <rFont val="AcadNusx"/>
      </rPr>
      <t>=1.0m</t>
    </r>
  </si>
  <si>
    <t>II</t>
  </si>
  <si>
    <t>III</t>
  </si>
  <si>
    <t>ცივი წყლისათვის პლასტმასის მინაბოჭკოვანი მილების მოntaJi d-25</t>
  </si>
  <si>
    <t>ცივი წყლისათვის პლასტმასის მინაბოჭკოვანი მილების მოntaJi d-32</t>
  </si>
  <si>
    <t xml:space="preserve">tranSeas mowyoba xeliT milebis montaJisaTvis </t>
  </si>
  <si>
    <t>anakrebi rk/betonis Wis mosawyobad qvabulis mowyoba</t>
  </si>
  <si>
    <r>
      <t>anakrebi rk/betonis Wis montaJi</t>
    </r>
    <r>
      <rPr>
        <sz val="12"/>
        <rFont val="AcadNusx"/>
      </rPr>
      <t xml:space="preserve"> </t>
    </r>
  </si>
  <si>
    <t>qviSa xreSi</t>
  </si>
  <si>
    <t>gruntis datvirTva xeliT avtoTviTmclelze</t>
  </si>
  <si>
    <t>3%</t>
  </si>
  <si>
    <t>18%</t>
  </si>
  <si>
    <t>antikoroziuli saRebavi</t>
  </si>
  <si>
    <t xml:space="preserve"> saRebavis gamxsneli</t>
  </si>
  <si>
    <t xml:space="preserve">teritoriis keTilmowyobis samuSaoebi               </t>
  </si>
  <si>
    <t>xsnaris tumbo  3,0kbm/sT</t>
  </si>
  <si>
    <t>RorRis safuZvlis mowyoba rk/betonis cokolis qveS</t>
  </si>
  <si>
    <t>tranSeas mowyoba monoliTuri rk/betonis cokolis mosawyobad xeliT</t>
  </si>
  <si>
    <t>dekoratiuli Robis qveS rk/betonis cokolis mowyoba</t>
  </si>
  <si>
    <t>liTonis Robis mowyoba</t>
  </si>
  <si>
    <t>amwe - kranis momsaxureoba 10t</t>
  </si>
  <si>
    <t>liTonis dgari</t>
  </si>
  <si>
    <t>liTonis Robe</t>
  </si>
  <si>
    <t>liTonis konstruqcia samontaJo</t>
  </si>
  <si>
    <t>samSeneblo qanCi WanWikiT</t>
  </si>
  <si>
    <t>eleqtrodi d=4mm</t>
  </si>
  <si>
    <t>liTonis konstruqciebis SeRebva antikoroziuli saRebaviT</t>
  </si>
  <si>
    <t>betonis anakrebi bordiuris montaJi</t>
  </si>
  <si>
    <t>teritoriaze balaxis daTesva</t>
  </si>
  <si>
    <t>balaxis Tesli</t>
  </si>
  <si>
    <t>gamwvaneba gazonis mowyoba</t>
  </si>
  <si>
    <t>anakrebi betonis bordiurebis mowyoba 300X100</t>
  </si>
  <si>
    <t>betonis bordiurebi 300X100</t>
  </si>
  <si>
    <t>betoni b-15</t>
  </si>
  <si>
    <t>qviSa-cementis xsnari  m.100</t>
  </si>
  <si>
    <t>qviSa-RorRis fenilis mowyoba anakrebi betonis bordiuris qveS</t>
  </si>
  <si>
    <t>monoliTuri betonis fenilis mowyoba dekoratiuli anakrebi betonis bordiuris qveS</t>
  </si>
  <si>
    <t>0,283</t>
  </si>
  <si>
    <t>1,02</t>
  </si>
  <si>
    <t>0,62</t>
  </si>
  <si>
    <t>bilikebis mopirketeba dekoratiuli filiT</t>
  </si>
  <si>
    <t>RorRis fenilis mowyoba, sisqiT 20sm</t>
  </si>
  <si>
    <t>geoteqstilis dafena</t>
  </si>
  <si>
    <t>100kv.m.</t>
  </si>
  <si>
    <t xml:space="preserve">geoteqstili </t>
  </si>
  <si>
    <t>betonis dekoratiuli fila</t>
  </si>
  <si>
    <t>6</t>
  </si>
  <si>
    <t>gare ganaTebis lampionebis montaJi (erTi sanaTiT)</t>
  </si>
  <si>
    <t xml:space="preserve">kub.m.  </t>
  </si>
  <si>
    <t xml:space="preserve">SromiTi resursebi                                                </t>
  </si>
  <si>
    <t xml:space="preserve">kac/sT                                                               </t>
  </si>
  <si>
    <t>gare ganaTebis boZebis dabetoneba</t>
  </si>
  <si>
    <t>kub.m.</t>
  </si>
  <si>
    <t>sanagve urnebis SeZena montaJi</t>
  </si>
  <si>
    <t>sayalibe fari</t>
  </si>
  <si>
    <t>sabaRe anakrebi skamebis sezena montaJi</t>
  </si>
  <si>
    <t>კომპლ.</t>
  </si>
  <si>
    <t xml:space="preserve">სადენების მოწყობა გატარება გოფრირებულ მილში გრუნტში </t>
  </si>
  <si>
    <t>ელ სადენი კვეთის 3X2,5</t>
  </si>
  <si>
    <t>betoni b,25</t>
  </si>
  <si>
    <t xml:space="preserve">liTonis kutikaris damzadeba da montaJi  </t>
  </si>
  <si>
    <t>liTonis WiSkari (aqsesuarebiT)</t>
  </si>
  <si>
    <t>მილი პოლიპროპილენის   დ-25 (მინაბოჭკოვანი)</t>
  </si>
  <si>
    <t xml:space="preserve"> betoni ბ.15</t>
  </si>
  <si>
    <t>betoni ბ.7,5</t>
  </si>
  <si>
    <t>gruntis datvirTva xeliT     avtoTviTmclelze</t>
  </si>
  <si>
    <t>teritoriis SemoRobvis mowyoba</t>
  </si>
  <si>
    <t>teritoriis SemoRobvis mizniT (sami mxridan) monoliTuri rk betonis kedlis mowyoba</t>
  </si>
  <si>
    <t>qvabulis mowyoba rk.betonis kedlis saZirkvlis mosawyobad</t>
  </si>
  <si>
    <t>monoliTuri rk.betonis kedlis mowyoba</t>
  </si>
  <si>
    <t>qvabulis ZirSi fraqciuli RorRis safuZvlis mowyoba sisqiT 10 sm datkepvniT (Semkvrivebuli moculobiT)</t>
  </si>
  <si>
    <t>8,44</t>
  </si>
  <si>
    <t>1,1</t>
  </si>
  <si>
    <t>beroni b.25</t>
  </si>
  <si>
    <t>samSeneblo qanCi</t>
  </si>
  <si>
    <t>rk.betonis kedlis Selesva qviSa-cementis xsnariT</t>
  </si>
  <si>
    <t>rk.betonis kedlis SeSexefeba qviSa-cementis xsnariT</t>
  </si>
  <si>
    <t>rk.betonis Selesili da SeSxefebuli zedapiris SeRebva safasade saRebaviT</t>
  </si>
  <si>
    <r>
      <t xml:space="preserve">armatura </t>
    </r>
    <r>
      <rPr>
        <sz val="11"/>
        <color rgb="FFFF0000"/>
        <rFont val="Times New Roman"/>
        <family val="1"/>
        <charset val="204"/>
      </rPr>
      <t xml:space="preserve">A-III </t>
    </r>
  </si>
  <si>
    <r>
      <t>armatura</t>
    </r>
    <r>
      <rPr>
        <sz val="11"/>
        <color rgb="FFFF0000"/>
        <rFont val="Times New Roman"/>
        <family val="1"/>
        <charset val="204"/>
      </rPr>
      <t xml:space="preserve"> A-I</t>
    </r>
  </si>
  <si>
    <t>Senobis axali kanalizaciis qselis SeWra ormoul WaSi (makompleqtebeli nawilebiT)</t>
  </si>
  <si>
    <r>
      <t xml:space="preserve">Senobis wyalsadenis axali qselis SeWra arsebul qselSi  </t>
    </r>
    <r>
      <rPr>
        <sz val="12"/>
        <rFont val="AcadNusx"/>
      </rPr>
      <t>(makompleqtebeli nawilebiT)</t>
    </r>
  </si>
  <si>
    <t>teritoriis SemoRobvis mowyoba liTonis dekoratiuli RobiT</t>
  </si>
  <si>
    <t>betonis 15sm fenilis mowyoba</t>
  </si>
  <si>
    <t>armatura Ф6 АIII b.150 (ori bade)</t>
  </si>
  <si>
    <t>qvafenilis mowyoba betonis  dekoratiuli filiT</t>
  </si>
  <si>
    <t>el montaJis samuSaoebi</t>
  </si>
  <si>
    <t>Senobis gare el montaJi</t>
  </si>
  <si>
    <t>rk betonis misasvleli gzisa da spec manqanebis gasarecxi moednis mowyoba</t>
  </si>
  <si>
    <t>100kub.m.</t>
  </si>
  <si>
    <t>avtogreideri 79kvt.</t>
  </si>
  <si>
    <t>sagzao mtkep. TviTm. pnev.svlaze 18t.</t>
  </si>
  <si>
    <t>sagzao mtkepnavi TviTm. gluvi 5t.</t>
  </si>
  <si>
    <t>igive, 10toniani</t>
  </si>
  <si>
    <t>sarwyavi manqana</t>
  </si>
  <si>
    <t xml:space="preserve">RorRi fraqciiT (0-40) </t>
  </si>
  <si>
    <t>wyali</t>
  </si>
  <si>
    <t>Txevadi biTumis mosxma 0,6kg/kvm²</t>
  </si>
  <si>
    <t>avtogudronatori 3500l</t>
  </si>
  <si>
    <t>Txevadi biTumi, bitumis emulsia</t>
  </si>
  <si>
    <r>
      <t xml:space="preserve">msxvilmarcvlovani forovani a/b cxeli narevi II marka </t>
    </r>
    <r>
      <rPr>
        <b/>
        <sz val="11"/>
        <rFont val="Cambria"/>
        <family val="1"/>
        <charset val="204"/>
      </rPr>
      <t>h</t>
    </r>
    <r>
      <rPr>
        <b/>
        <sz val="11"/>
        <rFont val="AcadNusx"/>
      </rPr>
      <t>=6sm</t>
    </r>
  </si>
  <si>
    <t>SromiTi resursebi 3,75+0,007X2=</t>
  </si>
  <si>
    <t>a/betonis damgebi</t>
  </si>
  <si>
    <t>a/betoni   9,68+1,21X2=</t>
  </si>
  <si>
    <t>sxva xarjebi 1,45+0,02X2=</t>
  </si>
  <si>
    <t>Txevadi biTumis mosxma 0,3kg/m²</t>
  </si>
  <si>
    <t xml:space="preserve">Txevadi biTumi, bitumis emulsia </t>
  </si>
  <si>
    <r>
      <t>wvrilmarcvlovani forovani a/b cxeli narevi, marka II,  tipi `b~</t>
    </r>
    <r>
      <rPr>
        <b/>
        <sz val="11"/>
        <rFont val="Cambria"/>
        <family val="1"/>
        <charset val="204"/>
      </rPr>
      <t xml:space="preserve"> h</t>
    </r>
    <r>
      <rPr>
        <b/>
        <sz val="11"/>
        <rFont val="AcadNusx"/>
      </rPr>
      <t>=4sm</t>
    </r>
  </si>
  <si>
    <t>a/betoni</t>
  </si>
  <si>
    <t xml:space="preserve">saavtomobilo trasidan teritoriaze SesasvlelebSi asfaltobetonis safaris mowyoba </t>
  </si>
  <si>
    <t xml:space="preserve">tranSeas mowyoba xeliT d-32 pl milis montaJisaTvis </t>
  </si>
  <si>
    <t xml:space="preserve">tranSeas mowyoba xeliT d-25 pl milis   montaJisaTvis </t>
  </si>
  <si>
    <t>მილი პოლიპროპილენის   დ-32 (მინაბოჭკოვანი)</t>
  </si>
  <si>
    <t>burTuliani ვენტილების მონტაჟი</t>
  </si>
  <si>
    <t>burTuliani ვენტილი                    დ= 25 მმ</t>
  </si>
  <si>
    <t>burTuliani ვენტილი                    დ= 32 მმ</t>
  </si>
  <si>
    <r>
      <t xml:space="preserve">wyalmzomi kvanZis mowyoba </t>
    </r>
    <r>
      <rPr>
        <b/>
        <sz val="11"/>
        <rFont val="Calibri"/>
        <family val="2"/>
        <charset val="204"/>
      </rPr>
      <t>Ø</t>
    </r>
    <r>
      <rPr>
        <b/>
        <sz val="11"/>
        <rFont val="AcadNusx"/>
      </rPr>
      <t>32</t>
    </r>
  </si>
  <si>
    <t>filtri d-32</t>
  </si>
  <si>
    <t xml:space="preserve">ukusarqveli d-32 </t>
  </si>
  <si>
    <t>samkapi d-32</t>
  </si>
  <si>
    <t>samkapi d-32*32*25</t>
  </si>
  <si>
    <t>muxli d-32</t>
  </si>
  <si>
    <t>muxli d-25</t>
  </si>
  <si>
    <t>wylis mricxveli d-32</t>
  </si>
  <si>
    <t>d-32 pl milis montaJi</t>
  </si>
  <si>
    <t>Senobis gare wyalsadenisa da kanalizaciis qselis montaJi</t>
  </si>
  <si>
    <t>kanalizaciis gare             qseli</t>
  </si>
  <si>
    <t>kan.gofrirebuli d-150 milis montaJi</t>
  </si>
  <si>
    <t>kan pl d-100 milis montaJi</t>
  </si>
  <si>
    <r>
      <t xml:space="preserve">qviSis safaris mowyoba milis irgvliv </t>
    </r>
    <r>
      <rPr>
        <sz val="12"/>
        <rFont val="Arial"/>
        <family val="2"/>
        <charset val="204"/>
      </rPr>
      <t>(H=40</t>
    </r>
    <r>
      <rPr>
        <sz val="12"/>
        <rFont val="AcadNusx"/>
      </rPr>
      <t>sm</t>
    </r>
    <r>
      <rPr>
        <sz val="12"/>
        <rFont val="Arial"/>
        <family val="2"/>
        <charset val="204"/>
      </rPr>
      <t>.)</t>
    </r>
  </si>
  <si>
    <r>
      <t xml:space="preserve">kanalizaciis pl.milis Cadeba TxrilSi </t>
    </r>
    <r>
      <rPr>
        <b/>
        <sz val="12"/>
        <rFont val="Arial"/>
        <family val="2"/>
        <charset val="204"/>
      </rPr>
      <t>Ø</t>
    </r>
    <r>
      <rPr>
        <b/>
        <sz val="12"/>
        <rFont val="AcadNusx"/>
      </rPr>
      <t>150mm</t>
    </r>
  </si>
  <si>
    <t xml:space="preserve">gruntis gatana 10 km-ze </t>
  </si>
  <si>
    <r>
      <t xml:space="preserve">kan. pl,mili </t>
    </r>
    <r>
      <rPr>
        <sz val="12"/>
        <rFont val="Calibri"/>
        <family val="2"/>
        <charset val="204"/>
      </rPr>
      <t>Ø</t>
    </r>
    <r>
      <rPr>
        <sz val="12"/>
        <rFont val="AcadNusx"/>
      </rPr>
      <t>100mm</t>
    </r>
  </si>
  <si>
    <t>siRnagis municipalitetis q.wnorSi evdoSvilis q.#21-Si 
ssip situaciebis, koordinaciisa da gadaudebelio daxmarebis centris 
tipiuri proeqtis mibma mocemul teritoriaze 
(s.k#56.04.51.424)</t>
  </si>
  <si>
    <t>გოფრირებული მილი d-32</t>
  </si>
  <si>
    <t>გოფრირებული მილი d-20</t>
  </si>
  <si>
    <t>მანქანები</t>
  </si>
  <si>
    <t>მანქ /სთ</t>
  </si>
  <si>
    <t>amwevi ანძური ტვირთამწეობით 0.5 ტ</t>
  </si>
  <si>
    <t>მ/ს</t>
  </si>
  <si>
    <t>ავტომატები სხვადასხვა</t>
  </si>
  <si>
    <t xml:space="preserve">Zalovani eleqtro karada, liTonis 30*30*20                </t>
  </si>
  <si>
    <t>სამპოლუსა ავტომატი 63ა</t>
  </si>
  <si>
    <t>gare montaJis rozeti 16a  damiwebiT</t>
  </si>
  <si>
    <t>fotoelementi gamSvebi mowyobilobiT  220v/10a</t>
  </si>
  <si>
    <r>
      <t xml:space="preserve">gare ganaTebis dekoratiuli (mtver-wyalgaumtari) lampionebis montaJi, dioduri sanaTis ori </t>
    </r>
    <r>
      <rPr>
        <sz val="12"/>
        <color rgb="FFFF0000"/>
        <rFont val="AcadNusx"/>
      </rPr>
      <t>1*50vat h=3,00-3,50m</t>
    </r>
  </si>
  <si>
    <t>ელ სადენი კვეთის 3X1,5</t>
  </si>
  <si>
    <t>სპილენძის სადენების montaJi</t>
  </si>
  <si>
    <t>teritoriaze arsebuli dazianebuli sayrdeni kedlis demontaJi da gatana</t>
  </si>
  <si>
    <t>teritoriaze arsebuli xeebis (romelTa mdebareobac xels uSlis proeqtiT gaTvaliswinebuli samuSaoebis Catarebas) amoTxra , gadargva mimdebare teritoriaze</t>
  </si>
  <si>
    <t>teritoriis planireba dakvalva</t>
  </si>
  <si>
    <t>safuZvlis  mowyoba RorRiT fraqciuli         (0-40) sisqiT 30sm</t>
  </si>
  <si>
    <t>demontaJis samuSaoebi</t>
  </si>
  <si>
    <t xml:space="preserve">samSeneblo nagvis gatana 10 km-ze </t>
  </si>
  <si>
    <t>teritoriis dasufTaveba, gruntisa da samSeneblo narCenebis Segroveba, gamotana, avtoTviTmclelze dasatvirTavad</t>
  </si>
  <si>
    <t>daSlili betonis kedlis namsxvrevebis datvirTva xeliT     avtoTviTmclelze</t>
  </si>
  <si>
    <t>daSlili betonis kedlis namsxvrevebis  Segroveba, gamotana, avtoTviTmclelze dasatvirTavad</t>
  </si>
  <si>
    <t xml:space="preserve">narCenebis  gatana 10 km-ze </t>
  </si>
  <si>
    <r>
      <t>armatura</t>
    </r>
    <r>
      <rPr>
        <sz val="11"/>
        <color rgb="FFFF0000"/>
        <rFont val="Arial"/>
        <family val="2"/>
        <charset val="204"/>
      </rPr>
      <t xml:space="preserve"> A</t>
    </r>
    <r>
      <rPr>
        <sz val="11"/>
        <color rgb="FFFF0000"/>
        <rFont val="AcadNusx"/>
      </rPr>
      <t xml:space="preserve">-III </t>
    </r>
  </si>
  <si>
    <r>
      <t>armatura</t>
    </r>
    <r>
      <rPr>
        <sz val="11"/>
        <color rgb="FFFF0000"/>
        <rFont val="Arial"/>
        <family val="2"/>
        <charset val="204"/>
      </rPr>
      <t xml:space="preserve"> A</t>
    </r>
    <r>
      <rPr>
        <sz val="11"/>
        <color rgb="FFFF0000"/>
        <rFont val="AcadNusx"/>
      </rPr>
      <t>-I</t>
    </r>
  </si>
  <si>
    <r>
      <t xml:space="preserve">betoni </t>
    </r>
    <r>
      <rPr>
        <sz val="11"/>
        <rFont val="Arial"/>
        <family val="2"/>
        <charset val="204"/>
      </rPr>
      <t>B7.5</t>
    </r>
  </si>
  <si>
    <r>
      <t xml:space="preserve">liTonis WiSkris damzadeba da montaJi </t>
    </r>
    <r>
      <rPr>
        <sz val="11"/>
        <rFont val="AcadNusx"/>
      </rPr>
      <t xml:space="preserve">(samanqano Sesasvleli)  </t>
    </r>
  </si>
  <si>
    <t>ელ კაბელი vvg 3X16+1*10</t>
  </si>
  <si>
    <t>tranSeas mowyoba xeliT betonis saniaRvre latokis mosawyobad</t>
  </si>
  <si>
    <t>qvabulis mowyoba gare ganaTebis    lampionebisaTvis</t>
  </si>
  <si>
    <t>Wis Ziri d1,0m rgolebisaTvis</t>
  </si>
  <si>
    <t>saniaRvre latokis fskerisa da kedlebis mowyoba</t>
  </si>
  <si>
    <t>saniaRvris fskeris qveS RorRis fenilis mowyoba, sisqiT 20sm</t>
  </si>
  <si>
    <t>liTonis saniaRvre cxaurebis montaJi</t>
  </si>
  <si>
    <t>d-25 pl milis montaJi</t>
  </si>
  <si>
    <t>სხვა მანქანები</t>
  </si>
  <si>
    <t>spec manqanebis gasarecx moedanTan saniaRvre arxis mowyoba</t>
  </si>
  <si>
    <t>წნევით სარეცხი აპარატი Karcher K 3  (1.601-812.0)</t>
  </si>
  <si>
    <t>inventaris SeZena montaJi</t>
  </si>
  <si>
    <t>1</t>
  </si>
  <si>
    <r>
      <t>wneviT sarecxi aparati</t>
    </r>
    <r>
      <rPr>
        <b/>
        <sz val="11"/>
        <rFont val="Calibri"/>
        <family val="2"/>
        <charset val="204"/>
        <scheme val="minor"/>
      </rPr>
      <t xml:space="preserve"> KARCHER K2</t>
    </r>
  </si>
  <si>
    <t>lokaluri ხ ა რ ჯ თ ა ღ რ ი ც ვ ხ ვ ა #4</t>
  </si>
  <si>
    <t xml:space="preserve">
   ბრენდი: Karcher
   მოდელი: K 3  (1.601-812.0)
   მაქსიმალური წნევა: 120 bar
   სიმძლავრე: 1600 W
   მაქსიმალური გამტარიანობა: 380 ლ/სთ
   მწარმოებლობა ფართობის მიხედვით: 25 m²/h
   გამოყენებადი წყლის მაქსიმალური ტემპერატურა: 40 °C
   სახელური მოწყობილობის გადასატანად
ფიზიკური მახასიათებლები:
მაღალი წნევის მილის სიგრძე: 6 მ
 ზომა: 275 x 279 x 803 მმ
 ფერი: ყვითელი / შავი
</t>
  </si>
  <si>
    <t>gare sanaTebis         montaJi</t>
  </si>
  <si>
    <t>#1</t>
  </si>
  <si>
    <t>safuZvlis  mowyoba RorRiT fraqciuli  (0-40) sisqiT 30sm</t>
  </si>
  <si>
    <t>#2</t>
  </si>
  <si>
    <t>gare sanaTebis montaJi</t>
  </si>
  <si>
    <t>#3</t>
  </si>
  <si>
    <t>betoni ბ.15</t>
  </si>
  <si>
    <r>
      <t xml:space="preserve">gare ganaTebis dekoratiuli (mtver-wyalgaumtari) lampionebis montaJi, dioduri sanaTis ori </t>
    </r>
    <r>
      <rPr>
        <sz val="11"/>
        <color rgb="FFFF0000"/>
        <rFont val="AcadNusx"/>
      </rPr>
      <t>1*50vat h=3,00-3,50m</t>
    </r>
  </si>
  <si>
    <r>
      <t xml:space="preserve">qviSis safaris mowyoba milis irgvliv </t>
    </r>
    <r>
      <rPr>
        <sz val="11"/>
        <rFont val="Arial"/>
        <family val="2"/>
        <charset val="204"/>
      </rPr>
      <t>(H=30</t>
    </r>
    <r>
      <rPr>
        <sz val="11"/>
        <rFont val="AcadNusx"/>
      </rPr>
      <t>sm</t>
    </r>
    <r>
      <rPr>
        <sz val="11"/>
        <rFont val="Arial"/>
        <family val="2"/>
        <charset val="204"/>
      </rPr>
      <t>.)</t>
    </r>
  </si>
  <si>
    <r>
      <t xml:space="preserve">Senobis wyalsadenis axali qselis SeWra arsebul qselSi  </t>
    </r>
    <r>
      <rPr>
        <sz val="11"/>
        <rFont val="AcadNusx"/>
      </rPr>
      <t>(makompleqtebeli nawilebiT)</t>
    </r>
  </si>
  <si>
    <r>
      <t xml:space="preserve">qviSis safaris mowyoba milis irgvliv </t>
    </r>
    <r>
      <rPr>
        <sz val="11"/>
        <rFont val="Arial"/>
        <family val="2"/>
        <charset val="204"/>
      </rPr>
      <t>(H=40</t>
    </r>
    <r>
      <rPr>
        <sz val="11"/>
        <rFont val="AcadNusx"/>
      </rPr>
      <t>sm</t>
    </r>
    <r>
      <rPr>
        <sz val="11"/>
        <rFont val="Arial"/>
        <family val="2"/>
        <charset val="204"/>
      </rPr>
      <t>.)</t>
    </r>
  </si>
  <si>
    <r>
      <t xml:space="preserve">plastmasis gofrirebuli milis Cadeba TxrilSi </t>
    </r>
    <r>
      <rPr>
        <b/>
        <sz val="11"/>
        <rFont val="Arial"/>
        <family val="2"/>
        <charset val="204"/>
      </rPr>
      <t>Ø</t>
    </r>
    <r>
      <rPr>
        <b/>
        <sz val="11"/>
        <rFont val="AcadNusx"/>
      </rPr>
      <t>150mm</t>
    </r>
  </si>
  <si>
    <r>
      <t xml:space="preserve">kanalizaciis pl.milis Cadeba TxrilSi </t>
    </r>
    <r>
      <rPr>
        <b/>
        <sz val="11"/>
        <rFont val="Arial"/>
        <family val="2"/>
        <charset val="204"/>
      </rPr>
      <t>Ø</t>
    </r>
    <r>
      <rPr>
        <b/>
        <sz val="11"/>
        <rFont val="AcadNusx"/>
      </rPr>
      <t>150mm</t>
    </r>
  </si>
  <si>
    <r>
      <t>anakrebi rk/betonis Wis montaJi</t>
    </r>
    <r>
      <rPr>
        <sz val="11"/>
        <rFont val="AcadNusx"/>
      </rPr>
      <t xml:space="preserve"> </t>
    </r>
  </si>
  <si>
    <r>
      <t>anakrebi Wis rgolebi</t>
    </r>
    <r>
      <rPr>
        <sz val="11"/>
        <rFont val="Calibri"/>
        <family val="2"/>
        <charset val="204"/>
        <scheme val="minor"/>
      </rPr>
      <t xml:space="preserve">  Ø</t>
    </r>
    <r>
      <rPr>
        <sz val="11"/>
        <rFont val="AcadNusx"/>
      </rPr>
      <t>1000mm;</t>
    </r>
    <r>
      <rPr>
        <sz val="11"/>
        <rFont val="Calibri"/>
        <family val="2"/>
        <charset val="204"/>
        <scheme val="minor"/>
      </rPr>
      <t xml:space="preserve"> H</t>
    </r>
    <r>
      <rPr>
        <sz val="11"/>
        <rFont val="AcadNusx"/>
      </rPr>
      <t>=1.0m</t>
    </r>
  </si>
  <si>
    <t>#4</t>
  </si>
  <si>
    <t>0.29</t>
  </si>
  <si>
    <r>
      <t>wneviT sarecxi aparati</t>
    </r>
    <r>
      <rPr>
        <b/>
        <sz val="11"/>
        <rFont val="Calibri"/>
        <family val="2"/>
        <charset val="204"/>
        <scheme val="minor"/>
      </rPr>
      <t xml:space="preserve"> </t>
    </r>
  </si>
  <si>
    <t>წნევით სარეცხი აპარატი</t>
  </si>
  <si>
    <t xml:space="preserve">
   ბრენდი: 
   მოდელი: 
   მაქსიმალური წნევა: 120 bar
   სიმძლავრე: 1600 W
   მაქსიმალური გამტარიანობა: 380 ლ/სთ
   მწარმოებლობა ფართობის მიხედვით: 25 m²/h
   გამოყენებადი წყლის მაქსიმალური ტემპერატურა: 40 °C
   სახელური მოწყობილობის გადასატანად
ფიზიკური მახასიათებლები:
მაღალი წნევის მილის სიგრძე: 6 მ
 ზომა: 275 x 279 x 803 მმ
 ფერი: ყვითელი / შავი
</t>
  </si>
  <si>
    <t>Senobis gare wyalsadenisa da kanalizaciis qselis montaJis samuSaoebi</t>
  </si>
  <si>
    <t>1.37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</si>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</sst>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₾_-;\-* #,##0.00\ _₾_-;_-* &quot;-&quot;??\ _₾_-;_-@_-"/>
    <numFmt numFmtId="164" formatCode="_(* #,##0.00_);_(* \(#,##0.00\);_(* &quot;-&quot;??_);_(@_)"/>
    <numFmt numFmtId="165" formatCode="0.0"/>
    <numFmt numFmtId="166" formatCode="0.000"/>
    <numFmt numFmtId="167" formatCode="_-* #,##0.00_р_._-;\-* #,##0.00_р_._-;_-* &quot;-&quot;??_р_._-;_-@_-"/>
    <numFmt numFmtId="168" formatCode="_-* #,##0.00\ _L_a_r_i_-;\-* #,##0.00\ _L_a_r_i_-;_-* &quot;-&quot;??\ _L_a_r_i_-;_-@_-"/>
    <numFmt numFmtId="169" formatCode="_-* #,##0.00_-;\-* #,##0.00_-;_-* &quot;-&quot;??_-;_-@_-"/>
    <numFmt numFmtId="170" formatCode="_-* #,##0.000_-;\-* #,##0.000_-;_-* &quot;-&quot;??_-;_-@_-"/>
    <numFmt numFmtId="171" formatCode="_-* #,##0.0000_-;\-* #,##0.0000_-;_-* &quot;-&quot;??_-;_-@_-"/>
    <numFmt numFmtId="172" formatCode="0.0000"/>
    <numFmt numFmtId="173" formatCode="0.00000"/>
  </numFmts>
  <fonts count="9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AcadNusx"/>
    </font>
    <font>
      <sz val="12"/>
      <color theme="1"/>
      <name val="AcadNusx"/>
    </font>
    <font>
      <sz val="12"/>
      <name val="AcadNusx"/>
    </font>
    <font>
      <b/>
      <sz val="14"/>
      <color theme="1"/>
      <name val="AcadNusx"/>
    </font>
    <font>
      <sz val="12"/>
      <color theme="1"/>
      <name val="Calibri"/>
      <family val="2"/>
      <charset val="204"/>
      <scheme val="minor"/>
    </font>
    <font>
      <sz val="10"/>
      <color theme="1"/>
      <name val="AcadNusx"/>
    </font>
    <font>
      <sz val="10"/>
      <name val="AcadNusx"/>
    </font>
    <font>
      <b/>
      <sz val="12"/>
      <name val="AcadNusx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1"/>
      <color theme="1"/>
      <name val="AcadNusx"/>
    </font>
    <font>
      <b/>
      <sz val="11"/>
      <color theme="1"/>
      <name val="AcadNusx"/>
    </font>
    <font>
      <sz val="12"/>
      <color rgb="FF000000"/>
      <name val="AcadNusx"/>
    </font>
    <font>
      <b/>
      <sz val="12"/>
      <color theme="1"/>
      <name val="AcadMtav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rgb="FFFF0000"/>
      <name val="AcadNusx"/>
    </font>
    <font>
      <b/>
      <sz val="10"/>
      <color theme="1"/>
      <name val="AcadNusx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AcadNusx"/>
    </font>
    <font>
      <sz val="10"/>
      <name val="Sylfae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b/>
      <sz val="10"/>
      <name val="AcadNusx"/>
    </font>
    <font>
      <sz val="11"/>
      <name val="Calibri"/>
      <family val="2"/>
      <charset val="204"/>
    </font>
    <font>
      <b/>
      <sz val="11"/>
      <name val="Calibri"/>
      <family val="2"/>
    </font>
    <font>
      <b/>
      <vertAlign val="superscript"/>
      <sz val="10"/>
      <name val="AcadNusx"/>
    </font>
    <font>
      <vertAlign val="superscript"/>
      <sz val="10"/>
      <name val="AcadNusx"/>
    </font>
    <font>
      <b/>
      <sz val="11"/>
      <name val="Calibri"/>
      <family val="2"/>
      <charset val="204"/>
    </font>
    <font>
      <sz val="10"/>
      <color rgb="FF000000"/>
      <name val="AcadNusx"/>
    </font>
    <font>
      <b/>
      <sz val="11"/>
      <color rgb="FF000000"/>
      <name val="AcadNusx"/>
    </font>
    <font>
      <sz val="10"/>
      <color rgb="FFFF0000"/>
      <name val="AcadNusx"/>
    </font>
    <font>
      <sz val="11"/>
      <color rgb="FF000000"/>
      <name val="AcadNusx"/>
    </font>
    <font>
      <sz val="12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name val="Sylfaen"/>
      <family val="1"/>
      <charset val="204"/>
    </font>
    <font>
      <sz val="11"/>
      <color rgb="FFFF0000"/>
      <name val="AcadNusx"/>
    </font>
    <font>
      <sz val="11"/>
      <color rgb="FFFF0000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Cambria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07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0" fontId="22" fillId="0" borderId="0"/>
    <xf numFmtId="0" fontId="24" fillId="0" borderId="0"/>
    <xf numFmtId="0" fontId="25" fillId="0" borderId="0"/>
    <xf numFmtId="0" fontId="30" fillId="0" borderId="0"/>
    <xf numFmtId="0" fontId="31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51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51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51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51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51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51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51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51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51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51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51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52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53" fillId="24" borderId="8" applyNumberFormat="0" applyAlignment="0" applyProtection="0"/>
    <xf numFmtId="0" fontId="35" fillId="24" borderId="8" applyNumberFormat="0" applyAlignment="0" applyProtection="0"/>
    <xf numFmtId="0" fontId="35" fillId="24" borderId="8" applyNumberFormat="0" applyAlignment="0" applyProtection="0"/>
    <xf numFmtId="0" fontId="35" fillId="24" borderId="8" applyNumberFormat="0" applyAlignment="0" applyProtection="0"/>
    <xf numFmtId="0" fontId="35" fillId="24" borderId="8" applyNumberFormat="0" applyAlignment="0" applyProtection="0"/>
    <xf numFmtId="0" fontId="35" fillId="24" borderId="8" applyNumberFormat="0" applyAlignment="0" applyProtection="0"/>
    <xf numFmtId="0" fontId="35" fillId="24" borderId="8" applyNumberFormat="0" applyAlignment="0" applyProtection="0"/>
    <xf numFmtId="0" fontId="35" fillId="24" borderId="8" applyNumberFormat="0" applyAlignment="0" applyProtection="0"/>
    <xf numFmtId="0" fontId="35" fillId="24" borderId="8" applyNumberFormat="0" applyAlignment="0" applyProtection="0"/>
    <xf numFmtId="0" fontId="35" fillId="24" borderId="8" applyNumberFormat="0" applyAlignment="0" applyProtection="0"/>
    <xf numFmtId="0" fontId="35" fillId="24" borderId="8" applyNumberFormat="0" applyAlignment="0" applyProtection="0"/>
    <xf numFmtId="0" fontId="35" fillId="24" borderId="8" applyNumberFormat="0" applyAlignment="0" applyProtection="0"/>
    <xf numFmtId="0" fontId="35" fillId="24" borderId="8" applyNumberFormat="0" applyAlignment="0" applyProtection="0"/>
    <xf numFmtId="0" fontId="35" fillId="24" borderId="8" applyNumberFormat="0" applyAlignment="0" applyProtection="0"/>
    <xf numFmtId="0" fontId="54" fillId="25" borderId="9" applyNumberFormat="0" applyAlignment="0" applyProtection="0"/>
    <xf numFmtId="0" fontId="36" fillId="25" borderId="9" applyNumberFormat="0" applyAlignment="0" applyProtection="0"/>
    <xf numFmtId="0" fontId="36" fillId="25" borderId="9" applyNumberFormat="0" applyAlignment="0" applyProtection="0"/>
    <xf numFmtId="0" fontId="36" fillId="25" borderId="9" applyNumberFormat="0" applyAlignment="0" applyProtection="0"/>
    <xf numFmtId="0" fontId="36" fillId="25" borderId="9" applyNumberFormat="0" applyAlignment="0" applyProtection="0"/>
    <xf numFmtId="0" fontId="36" fillId="25" borderId="9" applyNumberFormat="0" applyAlignment="0" applyProtection="0"/>
    <xf numFmtId="0" fontId="36" fillId="25" borderId="9" applyNumberFormat="0" applyAlignment="0" applyProtection="0"/>
    <xf numFmtId="0" fontId="36" fillId="25" borderId="9" applyNumberFormat="0" applyAlignment="0" applyProtection="0"/>
    <xf numFmtId="0" fontId="36" fillId="25" borderId="9" applyNumberFormat="0" applyAlignment="0" applyProtection="0"/>
    <xf numFmtId="0" fontId="36" fillId="25" borderId="9" applyNumberFormat="0" applyAlignment="0" applyProtection="0"/>
    <xf numFmtId="0" fontId="36" fillId="25" borderId="9" applyNumberFormat="0" applyAlignment="0" applyProtection="0"/>
    <xf numFmtId="0" fontId="36" fillId="25" borderId="9" applyNumberFormat="0" applyAlignment="0" applyProtection="0"/>
    <xf numFmtId="0" fontId="36" fillId="25" borderId="9" applyNumberFormat="0" applyAlignment="0" applyProtection="0"/>
    <xf numFmtId="0" fontId="36" fillId="25" borderId="9" applyNumberFormat="0" applyAlignment="0" applyProtection="0"/>
    <xf numFmtId="164" fontId="30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67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68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0" fillId="0" borderId="0" applyFont="0" applyFill="0" applyBorder="0" applyAlignment="0" applyProtection="0"/>
    <xf numFmtId="165" fontId="6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57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58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59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0" fillId="11" borderId="8" applyNumberFormat="0" applyAlignment="0" applyProtection="0"/>
    <xf numFmtId="0" fontId="42" fillId="11" borderId="8" applyNumberFormat="0" applyAlignment="0" applyProtection="0"/>
    <xf numFmtId="0" fontId="42" fillId="11" borderId="8" applyNumberFormat="0" applyAlignment="0" applyProtection="0"/>
    <xf numFmtId="0" fontId="42" fillId="11" borderId="8" applyNumberFormat="0" applyAlignment="0" applyProtection="0"/>
    <xf numFmtId="0" fontId="42" fillId="11" borderId="8" applyNumberFormat="0" applyAlignment="0" applyProtection="0"/>
    <xf numFmtId="0" fontId="42" fillId="11" borderId="8" applyNumberFormat="0" applyAlignment="0" applyProtection="0"/>
    <xf numFmtId="0" fontId="42" fillId="11" borderId="8" applyNumberFormat="0" applyAlignment="0" applyProtection="0"/>
    <xf numFmtId="0" fontId="42" fillId="11" borderId="8" applyNumberFormat="0" applyAlignment="0" applyProtection="0"/>
    <xf numFmtId="0" fontId="42" fillId="11" borderId="8" applyNumberFormat="0" applyAlignment="0" applyProtection="0"/>
    <xf numFmtId="0" fontId="42" fillId="11" borderId="8" applyNumberFormat="0" applyAlignment="0" applyProtection="0"/>
    <xf numFmtId="0" fontId="42" fillId="11" borderId="8" applyNumberFormat="0" applyAlignment="0" applyProtection="0"/>
    <xf numFmtId="0" fontId="42" fillId="11" borderId="8" applyNumberFormat="0" applyAlignment="0" applyProtection="0"/>
    <xf numFmtId="0" fontId="42" fillId="11" borderId="8" applyNumberFormat="0" applyAlignment="0" applyProtection="0"/>
    <xf numFmtId="0" fontId="42" fillId="11" borderId="8" applyNumberFormat="0" applyAlignment="0" applyProtection="0"/>
    <xf numFmtId="0" fontId="61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62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1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45" fillId="0" borderId="0"/>
    <xf numFmtId="0" fontId="30" fillId="0" borderId="0"/>
    <xf numFmtId="0" fontId="69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70" fillId="0" borderId="0"/>
    <xf numFmtId="0" fontId="22" fillId="0" borderId="0"/>
    <xf numFmtId="0" fontId="11" fillId="0" borderId="0"/>
    <xf numFmtId="0" fontId="24" fillId="0" borderId="0"/>
    <xf numFmtId="0" fontId="11" fillId="0" borderId="0"/>
    <xf numFmtId="0" fontId="24" fillId="0" borderId="0"/>
    <xf numFmtId="0" fontId="22" fillId="0" borderId="0"/>
    <xf numFmtId="0" fontId="68" fillId="0" borderId="0"/>
    <xf numFmtId="0" fontId="22" fillId="0" borderId="0"/>
    <xf numFmtId="0" fontId="68" fillId="0" borderId="0"/>
    <xf numFmtId="0" fontId="11" fillId="0" borderId="0"/>
    <xf numFmtId="0" fontId="11" fillId="0" borderId="0"/>
    <xf numFmtId="0" fontId="11" fillId="0" borderId="0"/>
    <xf numFmtId="0" fontId="6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7" borderId="14" applyNumberFormat="0" applyFont="0" applyAlignment="0" applyProtection="0"/>
    <xf numFmtId="0" fontId="22" fillId="27" borderId="14" applyNumberFormat="0" applyFont="0" applyAlignment="0" applyProtection="0"/>
    <xf numFmtId="0" fontId="22" fillId="27" borderId="14" applyNumberFormat="0" applyFont="0" applyAlignment="0" applyProtection="0"/>
    <xf numFmtId="0" fontId="22" fillId="27" borderId="14" applyNumberFormat="0" applyFont="0" applyAlignment="0" applyProtection="0"/>
    <xf numFmtId="0" fontId="22" fillId="27" borderId="14" applyNumberFormat="0" applyFont="0" applyAlignment="0" applyProtection="0"/>
    <xf numFmtId="0" fontId="22" fillId="27" borderId="14" applyNumberFormat="0" applyFont="0" applyAlignment="0" applyProtection="0"/>
    <xf numFmtId="0" fontId="22" fillId="27" borderId="14" applyNumberFormat="0" applyFont="0" applyAlignment="0" applyProtection="0"/>
    <xf numFmtId="0" fontId="22" fillId="27" borderId="14" applyNumberFormat="0" applyFont="0" applyAlignment="0" applyProtection="0"/>
    <xf numFmtId="0" fontId="22" fillId="27" borderId="14" applyNumberFormat="0" applyFont="0" applyAlignment="0" applyProtection="0"/>
    <xf numFmtId="0" fontId="22" fillId="27" borderId="14" applyNumberFormat="0" applyFont="0" applyAlignment="0" applyProtection="0"/>
    <xf numFmtId="0" fontId="22" fillId="27" borderId="14" applyNumberFormat="0" applyFont="0" applyAlignment="0" applyProtection="0"/>
    <xf numFmtId="0" fontId="22" fillId="27" borderId="14" applyNumberFormat="0" applyFont="0" applyAlignment="0" applyProtection="0"/>
    <xf numFmtId="0" fontId="22" fillId="27" borderId="14" applyNumberFormat="0" applyFont="0" applyAlignment="0" applyProtection="0"/>
    <xf numFmtId="0" fontId="22" fillId="27" borderId="14" applyNumberFormat="0" applyFont="0" applyAlignment="0" applyProtection="0"/>
    <xf numFmtId="0" fontId="63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7" fillId="0" borderId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5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6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0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11" fillId="0" borderId="0"/>
    <xf numFmtId="0" fontId="30" fillId="0" borderId="0"/>
    <xf numFmtId="0" fontId="22" fillId="0" borderId="0"/>
    <xf numFmtId="0" fontId="22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72" fillId="5" borderId="0" applyNumberFormat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7" fontId="3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357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2" fillId="0" borderId="1" xfId="4" applyNumberFormat="1" applyFont="1" applyFill="1" applyBorder="1" applyAlignment="1">
      <alignment horizontal="center" vertical="center" wrapText="1"/>
    </xf>
    <xf numFmtId="0" fontId="8" fillId="0" borderId="1" xfId="4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4" fillId="0" borderId="0" xfId="0" applyNumberFormat="1" applyFont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6" fillId="0" borderId="0" xfId="0" applyNumberFormat="1" applyFont="1"/>
    <xf numFmtId="0" fontId="12" fillId="0" borderId="1" xfId="3" applyNumberFormat="1" applyFont="1" applyFill="1" applyBorder="1" applyAlignment="1">
      <alignment horizontal="center" vertical="center" wrapText="1"/>
    </xf>
    <xf numFmtId="49" fontId="12" fillId="0" borderId="1" xfId="2" applyNumberFormat="1" applyFont="1" applyFill="1" applyBorder="1" applyAlignment="1" applyProtection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3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/>
    <xf numFmtId="0" fontId="73" fillId="0" borderId="1" xfId="0" applyNumberFormat="1" applyFont="1" applyFill="1" applyBorder="1" applyAlignment="1">
      <alignment horizontal="center" vertical="center" wrapText="1"/>
    </xf>
    <xf numFmtId="0" fontId="21" fillId="4" borderId="1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9" fillId="0" borderId="1" xfId="0" applyNumberFormat="1" applyFont="1" applyFill="1" applyBorder="1" applyAlignment="1">
      <alignment horizontal="left" vertical="center" wrapText="1"/>
    </xf>
    <xf numFmtId="49" fontId="8" fillId="0" borderId="1" xfId="2" applyNumberFormat="1" applyFont="1" applyFill="1" applyBorder="1" applyAlignment="1" applyProtection="1">
      <alignment horizontal="center" vertical="center" wrapText="1"/>
    </xf>
    <xf numFmtId="0" fontId="28" fillId="0" borderId="1" xfId="3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2" fontId="74" fillId="0" borderId="1" xfId="0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1" fillId="0" borderId="1" xfId="3" applyFont="1" applyFill="1" applyBorder="1" applyAlignment="1">
      <alignment horizontal="center" vertical="center" wrapText="1"/>
    </xf>
    <xf numFmtId="0" fontId="73" fillId="0" borderId="1" xfId="3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1" xfId="3" applyNumberFormat="1" applyFont="1" applyFill="1" applyBorder="1" applyAlignment="1">
      <alignment horizontal="center" vertical="center" wrapText="1"/>
    </xf>
    <xf numFmtId="0" fontId="88" fillId="0" borderId="1" xfId="3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wrapText="1"/>
    </xf>
    <xf numFmtId="0" fontId="12" fillId="0" borderId="3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 applyProtection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2" fontId="86" fillId="0" borderId="1" xfId="3" applyNumberFormat="1" applyFont="1" applyFill="1" applyBorder="1" applyAlignment="1">
      <alignment horizontal="center" vertical="center" wrapText="1"/>
    </xf>
    <xf numFmtId="172" fontId="89" fillId="0" borderId="1" xfId="3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88" fillId="0" borderId="1" xfId="3" applyFont="1" applyFill="1" applyBorder="1" applyAlignment="1">
      <alignment vertical="center" wrapText="1"/>
    </xf>
    <xf numFmtId="0" fontId="7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165" fontId="28" fillId="0" borderId="3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vertical="center" wrapText="1"/>
    </xf>
    <xf numFmtId="0" fontId="28" fillId="0" borderId="3" xfId="0" applyNumberFormat="1" applyFont="1" applyFill="1" applyBorder="1" applyAlignment="1">
      <alignment vertical="center" wrapTex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>
      <alignment horizontal="left" vertical="center" wrapText="1"/>
    </xf>
    <xf numFmtId="0" fontId="12" fillId="0" borderId="1" xfId="2" applyNumberFormat="1" applyFont="1" applyFill="1" applyBorder="1" applyAlignment="1" applyProtection="1">
      <alignment vertical="center" wrapText="1"/>
    </xf>
    <xf numFmtId="0" fontId="28" fillId="0" borderId="1" xfId="2" applyNumberFormat="1" applyFont="1" applyFill="1" applyBorder="1" applyAlignment="1" applyProtection="1">
      <alignment horizontal="left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2" fillId="0" borderId="1" xfId="5" applyFont="1" applyFill="1" applyBorder="1" applyAlignment="1">
      <alignment vertical="top" wrapText="1"/>
    </xf>
    <xf numFmtId="0" fontId="28" fillId="0" borderId="1" xfId="3" applyFont="1" applyFill="1" applyBorder="1" applyAlignment="1">
      <alignment vertical="center" wrapText="1"/>
    </xf>
    <xf numFmtId="0" fontId="84" fillId="0" borderId="1" xfId="0" applyFont="1" applyFill="1" applyBorder="1" applyAlignment="1">
      <alignment horizontal="center" vertical="center" wrapText="1"/>
    </xf>
    <xf numFmtId="0" fontId="28" fillId="0" borderId="1" xfId="4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2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2" applyNumberFormat="1" applyFont="1" applyFill="1" applyBorder="1" applyAlignment="1" applyProtection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vertical="center" wrapText="1"/>
    </xf>
    <xf numFmtId="0" fontId="8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4" fillId="0" borderId="1" xfId="0" applyFont="1" applyFill="1" applyBorder="1" applyAlignment="1">
      <alignment horizontal="center" vertical="center" wrapText="1"/>
    </xf>
    <xf numFmtId="49" fontId="73" fillId="0" borderId="1" xfId="0" applyNumberFormat="1" applyFont="1" applyFill="1" applyBorder="1" applyAlignment="1">
      <alignment horizontal="center" vertical="center" wrapText="1"/>
    </xf>
    <xf numFmtId="0" fontId="13" fillId="0" borderId="1" xfId="656" applyNumberFormat="1" applyFont="1" applyFill="1" applyBorder="1" applyAlignment="1">
      <alignment horizontal="center" vertical="center" wrapText="1"/>
    </xf>
    <xf numFmtId="0" fontId="12" fillId="0" borderId="1" xfId="738" applyNumberFormat="1" applyFont="1" applyFill="1" applyBorder="1" applyAlignment="1">
      <alignment horizontal="center" vertical="center" wrapText="1"/>
    </xf>
    <xf numFmtId="49" fontId="12" fillId="0" borderId="1" xfId="635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679" applyNumberFormat="1" applyFont="1" applyFill="1" applyBorder="1" applyAlignment="1">
      <alignment horizontal="center" vertical="center" wrapText="1"/>
    </xf>
    <xf numFmtId="0" fontId="12" fillId="0" borderId="1" xfId="632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1" xfId="635" applyNumberFormat="1" applyFont="1" applyFill="1" applyBorder="1" applyAlignment="1">
      <alignment horizontal="left" vertical="center" wrapText="1"/>
    </xf>
    <xf numFmtId="0" fontId="73" fillId="0" borderId="1" xfId="635" applyNumberFormat="1" applyFont="1" applyFill="1" applyBorder="1" applyAlignment="1">
      <alignment horizontal="center" vertical="center" wrapText="1"/>
    </xf>
    <xf numFmtId="0" fontId="12" fillId="0" borderId="3" xfId="635" applyNumberFormat="1" applyFont="1" applyFill="1" applyBorder="1" applyAlignment="1">
      <alignment horizontal="center" vertical="center" wrapText="1"/>
    </xf>
    <xf numFmtId="0" fontId="28" fillId="0" borderId="3" xfId="1" applyNumberFormat="1" applyFont="1" applyFill="1" applyBorder="1" applyAlignment="1">
      <alignment horizontal="center" vertical="center" wrapText="1"/>
    </xf>
    <xf numFmtId="0" fontId="4" fillId="0" borderId="1" xfId="635" applyNumberFormat="1" applyFont="1" applyFill="1" applyBorder="1" applyAlignment="1">
      <alignment horizontal="left" vertical="center" wrapText="1"/>
    </xf>
    <xf numFmtId="0" fontId="8" fillId="0" borderId="1" xfId="635" applyNumberFormat="1" applyFont="1" applyFill="1" applyBorder="1" applyAlignment="1">
      <alignment horizontal="center" vertical="center" wrapText="1"/>
    </xf>
    <xf numFmtId="2" fontId="12" fillId="0" borderId="3" xfId="1" applyNumberFormat="1" applyFont="1" applyFill="1" applyBorder="1" applyAlignment="1">
      <alignment horizontal="center" vertical="center" wrapText="1"/>
    </xf>
    <xf numFmtId="0" fontId="9" fillId="0" borderId="1" xfId="906" applyNumberFormat="1" applyFont="1" applyFill="1" applyBorder="1" applyAlignment="1">
      <alignment horizontal="left" vertical="center" wrapText="1"/>
    </xf>
    <xf numFmtId="0" fontId="28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0" fontId="9" fillId="0" borderId="1" xfId="683" applyNumberFormat="1" applyFont="1" applyFill="1" applyBorder="1" applyAlignment="1">
      <alignment horizontal="left" vertical="center" wrapText="1"/>
    </xf>
    <xf numFmtId="0" fontId="28" fillId="0" borderId="1" xfId="683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 applyProtection="1">
      <alignment horizontal="center" vertical="center" wrapText="1"/>
    </xf>
    <xf numFmtId="0" fontId="28" fillId="0" borderId="1" xfId="906" applyFont="1" applyFill="1" applyBorder="1" applyAlignment="1">
      <alignment horizontal="left" vertical="center" wrapText="1"/>
    </xf>
    <xf numFmtId="165" fontId="28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2" fillId="0" borderId="1" xfId="684" applyNumberFormat="1" applyFont="1" applyFill="1" applyBorder="1" applyAlignment="1">
      <alignment horizontal="center" vertical="center" wrapText="1"/>
    </xf>
    <xf numFmtId="0" fontId="28" fillId="0" borderId="1" xfId="635" applyNumberFormat="1" applyFont="1" applyFill="1" applyBorder="1" applyAlignment="1">
      <alignment horizontal="center" vertical="center" wrapText="1"/>
    </xf>
    <xf numFmtId="0" fontId="12" fillId="0" borderId="1" xfId="635" applyNumberFormat="1" applyFont="1" applyFill="1" applyBorder="1" applyAlignment="1">
      <alignment horizontal="center" vertical="center" wrapText="1"/>
    </xf>
    <xf numFmtId="0" fontId="12" fillId="0" borderId="1" xfId="506" applyNumberFormat="1" applyFont="1" applyFill="1" applyBorder="1" applyAlignment="1">
      <alignment horizontal="center" vertical="center" wrapText="1"/>
    </xf>
    <xf numFmtId="2" fontId="12" fillId="0" borderId="1" xfId="506" applyNumberFormat="1" applyFont="1" applyFill="1" applyBorder="1" applyAlignment="1">
      <alignment horizontal="center" vertical="center" wrapText="1"/>
    </xf>
    <xf numFmtId="0" fontId="12" fillId="0" borderId="1" xfId="684" applyNumberFormat="1" applyFont="1" applyFill="1" applyBorder="1" applyAlignment="1">
      <alignment horizontal="center" vertical="center" wrapText="1"/>
    </xf>
    <xf numFmtId="2" fontId="12" fillId="0" borderId="1" xfId="635" applyNumberFormat="1" applyFont="1" applyFill="1" applyBorder="1" applyAlignment="1">
      <alignment horizontal="center" vertical="center" wrapText="1"/>
    </xf>
    <xf numFmtId="0" fontId="73" fillId="0" borderId="1" xfId="683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vertical="center" wrapText="1"/>
    </xf>
    <xf numFmtId="0" fontId="4" fillId="0" borderId="1" xfId="635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166" fontId="28" fillId="0" borderId="1" xfId="0" applyNumberFormat="1" applyFont="1" applyFill="1" applyBorder="1" applyAlignment="1">
      <alignment horizontal="center" vertical="center" wrapText="1"/>
    </xf>
    <xf numFmtId="0" fontId="28" fillId="0" borderId="1" xfId="635" applyFont="1" applyFill="1" applyBorder="1" applyAlignment="1">
      <alignment vertical="center" wrapText="1"/>
    </xf>
    <xf numFmtId="0" fontId="73" fillId="0" borderId="1" xfId="635" applyFont="1" applyFill="1" applyBorder="1" applyAlignment="1">
      <alignment horizontal="center" vertical="center" wrapText="1"/>
    </xf>
    <xf numFmtId="165" fontId="28" fillId="0" borderId="1" xfId="635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28" fillId="0" borderId="1" xfId="635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vertical="center" wrapText="1"/>
    </xf>
    <xf numFmtId="0" fontId="28" fillId="0" borderId="2" xfId="0" applyNumberFormat="1" applyFont="1" applyFill="1" applyBorder="1" applyAlignment="1">
      <alignment vertical="center" wrapText="1"/>
    </xf>
    <xf numFmtId="0" fontId="88" fillId="0" borderId="1" xfId="0" applyNumberFormat="1" applyFont="1" applyFill="1" applyBorder="1" applyAlignment="1">
      <alignment vertical="center" wrapText="1"/>
    </xf>
    <xf numFmtId="0" fontId="81" fillId="0" borderId="1" xfId="0" applyNumberFormat="1" applyFont="1" applyFill="1" applyBorder="1" applyAlignment="1">
      <alignment horizontal="center" vertical="center" wrapText="1"/>
    </xf>
    <xf numFmtId="0" fontId="88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14" fillId="0" borderId="1" xfId="656" applyNumberFormat="1" applyFont="1" applyFill="1" applyBorder="1" applyAlignment="1">
      <alignment vertical="center" wrapText="1"/>
    </xf>
    <xf numFmtId="0" fontId="8" fillId="0" borderId="1" xfId="738" applyNumberFormat="1" applyFont="1" applyFill="1" applyBorder="1" applyAlignment="1">
      <alignment horizontal="center" vertical="center" wrapText="1"/>
    </xf>
    <xf numFmtId="0" fontId="14" fillId="0" borderId="1" xfId="656" applyNumberFormat="1" applyFont="1" applyFill="1" applyBorder="1" applyAlignment="1">
      <alignment horizontal="center" vertical="center" wrapText="1"/>
    </xf>
    <xf numFmtId="0" fontId="28" fillId="0" borderId="1" xfId="738" applyNumberFormat="1" applyFont="1" applyFill="1" applyBorder="1" applyAlignment="1">
      <alignment vertical="center" wrapText="1"/>
    </xf>
    <xf numFmtId="0" fontId="28" fillId="0" borderId="1" xfId="738" applyNumberFormat="1" applyFont="1" applyFill="1" applyBorder="1" applyAlignment="1">
      <alignment horizontal="center" vertical="center" wrapText="1"/>
    </xf>
    <xf numFmtId="0" fontId="28" fillId="0" borderId="1" xfId="679" applyNumberFormat="1" applyFont="1" applyFill="1" applyBorder="1" applyAlignment="1">
      <alignment vertical="center" wrapText="1"/>
    </xf>
    <xf numFmtId="0" fontId="28" fillId="0" borderId="1" xfId="679" applyNumberFormat="1" applyFont="1" applyFill="1" applyBorder="1" applyAlignment="1">
      <alignment horizontal="center" vertical="center" wrapText="1"/>
    </xf>
    <xf numFmtId="0" fontId="28" fillId="0" borderId="1" xfId="632" applyNumberFormat="1" applyFont="1" applyFill="1" applyBorder="1" applyAlignment="1">
      <alignment vertical="center" wrapText="1"/>
    </xf>
    <xf numFmtId="0" fontId="28" fillId="0" borderId="1" xfId="632" applyNumberFormat="1" applyFont="1" applyFill="1" applyBorder="1" applyAlignment="1">
      <alignment horizontal="center" vertical="center" wrapText="1"/>
    </xf>
    <xf numFmtId="0" fontId="8" fillId="0" borderId="1" xfId="635" applyFont="1" applyFill="1" applyBorder="1" applyAlignment="1">
      <alignment horizontal="center" vertical="center" wrapText="1"/>
    </xf>
    <xf numFmtId="0" fontId="28" fillId="0" borderId="1" xfId="2" applyNumberFormat="1" applyFont="1" applyFill="1" applyBorder="1" applyAlignment="1" applyProtection="1">
      <alignment horizontal="center" vertical="center" wrapText="1"/>
    </xf>
    <xf numFmtId="0" fontId="28" fillId="0" borderId="1" xfId="1" applyNumberFormat="1" applyFont="1" applyFill="1" applyBorder="1" applyAlignment="1" applyProtection="1">
      <alignment horizontal="center" vertical="center" wrapText="1"/>
    </xf>
    <xf numFmtId="0" fontId="73" fillId="0" borderId="1" xfId="0" applyFont="1" applyFill="1" applyBorder="1" applyAlignment="1">
      <alignment horizontal="center" vertical="center"/>
    </xf>
    <xf numFmtId="2" fontId="28" fillId="0" borderId="3" xfId="0" applyNumberFormat="1" applyFont="1" applyFill="1" applyBorder="1" applyAlignment="1">
      <alignment horizontal="center" vertical="center" wrapText="1"/>
    </xf>
    <xf numFmtId="0" fontId="28" fillId="0" borderId="1" xfId="648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167" fontId="12" fillId="0" borderId="1" xfId="484" applyFont="1" applyFill="1" applyBorder="1" applyAlignment="1" applyProtection="1">
      <alignment vertical="center"/>
    </xf>
    <xf numFmtId="0" fontId="12" fillId="0" borderId="2" xfId="635" applyNumberFormat="1" applyFont="1" applyFill="1" applyBorder="1" applyAlignment="1">
      <alignment horizontal="center" vertical="center" wrapText="1"/>
    </xf>
    <xf numFmtId="0" fontId="28" fillId="0" borderId="1" xfId="635" applyNumberFormat="1" applyFont="1" applyFill="1" applyBorder="1" applyAlignment="1">
      <alignment horizontal="left" vertical="center" wrapText="1"/>
    </xf>
    <xf numFmtId="0" fontId="28" fillId="0" borderId="1" xfId="906" applyNumberFormat="1" applyFont="1" applyFill="1" applyBorder="1" applyAlignment="1">
      <alignment horizontal="left" vertical="center" wrapText="1"/>
    </xf>
    <xf numFmtId="0" fontId="28" fillId="0" borderId="1" xfId="683" applyNumberFormat="1" applyFont="1" applyFill="1" applyBorder="1" applyAlignment="1">
      <alignment horizontal="left" vertical="center" wrapText="1"/>
    </xf>
    <xf numFmtId="0" fontId="12" fillId="0" borderId="1" xfId="635" applyNumberFormat="1" applyFont="1" applyFill="1" applyBorder="1" applyAlignment="1">
      <alignment horizontal="left" vertical="center" wrapText="1"/>
    </xf>
    <xf numFmtId="0" fontId="12" fillId="0" borderId="2" xfId="683" applyNumberFormat="1" applyFont="1" applyFill="1" applyBorder="1" applyAlignment="1">
      <alignment horizontal="center" vertical="center" wrapText="1"/>
    </xf>
    <xf numFmtId="0" fontId="8" fillId="0" borderId="1" xfId="797" applyFont="1" applyFill="1" applyBorder="1" applyAlignment="1">
      <alignment horizontal="center" vertical="center"/>
    </xf>
    <xf numFmtId="0" fontId="12" fillId="0" borderId="1" xfId="797" applyFont="1" applyFill="1" applyBorder="1" applyAlignment="1">
      <alignment horizontal="center" vertical="center"/>
    </xf>
    <xf numFmtId="166" fontId="12" fillId="0" borderId="1" xfId="797" applyNumberFormat="1" applyFont="1" applyFill="1" applyBorder="1" applyAlignment="1">
      <alignment horizontal="center" vertical="center"/>
    </xf>
    <xf numFmtId="0" fontId="12" fillId="0" borderId="1" xfId="635" applyNumberFormat="1" applyFont="1" applyFill="1" applyBorder="1" applyAlignment="1">
      <alignment vertical="center" wrapText="1"/>
    </xf>
    <xf numFmtId="49" fontId="28" fillId="0" borderId="1" xfId="1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635" applyFont="1" applyFill="1" applyBorder="1" applyAlignment="1">
      <alignment vertical="center" wrapText="1"/>
    </xf>
    <xf numFmtId="165" fontId="12" fillId="0" borderId="1" xfId="635" applyNumberFormat="1" applyFont="1" applyFill="1" applyBorder="1" applyAlignment="1">
      <alignment horizontal="center" vertical="center" wrapText="1"/>
    </xf>
    <xf numFmtId="166" fontId="12" fillId="0" borderId="3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2" fontId="12" fillId="0" borderId="3" xfId="635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172" fontId="12" fillId="0" borderId="3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73" fontId="12" fillId="0" borderId="1" xfId="0" applyNumberFormat="1" applyFont="1" applyFill="1" applyBorder="1" applyAlignment="1">
      <alignment horizontal="center" vertical="center" wrapText="1"/>
    </xf>
    <xf numFmtId="0" fontId="12" fillId="0" borderId="3" xfId="635" applyFont="1" applyFill="1" applyBorder="1" applyAlignment="1">
      <alignment vertical="center" wrapText="1"/>
    </xf>
    <xf numFmtId="0" fontId="8" fillId="0" borderId="1" xfId="684" applyFont="1" applyFill="1" applyBorder="1" applyAlignment="1">
      <alignment horizontal="center" vertical="center" wrapText="1"/>
    </xf>
    <xf numFmtId="2" fontId="12" fillId="0" borderId="1" xfId="684" applyNumberFormat="1" applyFont="1" applyFill="1" applyBorder="1" applyAlignment="1">
      <alignment horizontal="center" vertical="center" wrapText="1"/>
    </xf>
    <xf numFmtId="172" fontId="12" fillId="0" borderId="3" xfId="635" applyNumberFormat="1" applyFont="1" applyFill="1" applyBorder="1" applyAlignment="1">
      <alignment horizontal="center" vertical="center" wrapText="1"/>
    </xf>
    <xf numFmtId="165" fontId="12" fillId="0" borderId="3" xfId="635" applyNumberFormat="1" applyFont="1" applyFill="1" applyBorder="1" applyAlignment="1">
      <alignment horizontal="center" vertical="center" wrapText="1"/>
    </xf>
    <xf numFmtId="49" fontId="12" fillId="0" borderId="1" xfId="635" applyNumberFormat="1" applyFont="1" applyFill="1" applyBorder="1" applyAlignment="1">
      <alignment vertical="center" wrapText="1"/>
    </xf>
    <xf numFmtId="0" fontId="8" fillId="0" borderId="3" xfId="635" applyFont="1" applyFill="1" applyBorder="1" applyAlignment="1">
      <alignment horizontal="center" vertical="center" wrapText="1"/>
    </xf>
    <xf numFmtId="166" fontId="12" fillId="0" borderId="1" xfId="635" applyNumberFormat="1" applyFont="1" applyFill="1" applyBorder="1" applyAlignment="1">
      <alignment horizontal="center" vertical="center" wrapText="1"/>
    </xf>
    <xf numFmtId="0" fontId="12" fillId="0" borderId="1" xfId="796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vertical="center" wrapText="1"/>
    </xf>
    <xf numFmtId="2" fontId="12" fillId="0" borderId="1" xfId="796" applyNumberFormat="1" applyFont="1" applyFill="1" applyBorder="1" applyAlignment="1">
      <alignment horizontal="center" vertical="center" wrapText="1"/>
    </xf>
    <xf numFmtId="0" fontId="12" fillId="0" borderId="1" xfId="738" applyNumberFormat="1" applyFont="1" applyFill="1" applyBorder="1" applyAlignment="1">
      <alignment vertical="center" wrapText="1"/>
    </xf>
    <xf numFmtId="0" fontId="7" fillId="0" borderId="1" xfId="656" applyNumberFormat="1" applyFont="1" applyFill="1" applyBorder="1" applyAlignment="1">
      <alignment horizontal="center" vertical="center" wrapText="1"/>
    </xf>
    <xf numFmtId="0" fontId="12" fillId="0" borderId="1" xfId="797" applyNumberFormat="1" applyFont="1" applyFill="1" applyBorder="1" applyAlignment="1">
      <alignment horizontal="center" vertical="center" wrapText="1"/>
    </xf>
    <xf numFmtId="0" fontId="12" fillId="0" borderId="1" xfId="679" applyNumberFormat="1" applyFont="1" applyFill="1" applyBorder="1" applyAlignment="1">
      <alignment vertical="center" wrapText="1"/>
    </xf>
    <xf numFmtId="0" fontId="12" fillId="0" borderId="1" xfId="632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 applyProtection="1">
      <alignment vertical="center" wrapText="1"/>
    </xf>
    <xf numFmtId="49" fontId="80" fillId="0" borderId="1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49" fontId="79" fillId="0" borderId="6" xfId="0" applyNumberFormat="1" applyFont="1" applyFill="1" applyBorder="1" applyAlignment="1">
      <alignment horizontal="center" vertical="center" wrapText="1"/>
    </xf>
    <xf numFmtId="49" fontId="82" fillId="0" borderId="6" xfId="0" applyNumberFormat="1" applyFont="1" applyFill="1" applyBorder="1" applyAlignment="1">
      <alignment horizontal="center" vertical="center" wrapText="1"/>
    </xf>
    <xf numFmtId="0" fontId="82" fillId="0" borderId="6" xfId="0" applyNumberFormat="1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2" fontId="82" fillId="0" borderId="6" xfId="0" applyNumberFormat="1" applyFont="1" applyFill="1" applyBorder="1" applyAlignment="1">
      <alignment horizontal="center" vertical="center" wrapText="1"/>
    </xf>
    <xf numFmtId="49" fontId="80" fillId="0" borderId="3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49" fontId="79" fillId="0" borderId="7" xfId="0" applyNumberFormat="1" applyFont="1" applyFill="1" applyBorder="1" applyAlignment="1">
      <alignment horizontal="center" vertical="center" wrapText="1"/>
    </xf>
    <xf numFmtId="49" fontId="82" fillId="0" borderId="7" xfId="0" applyNumberFormat="1" applyFont="1" applyFill="1" applyBorder="1" applyAlignment="1">
      <alignment horizontal="center" vertical="center" wrapText="1"/>
    </xf>
    <xf numFmtId="0" fontId="82" fillId="0" borderId="7" xfId="0" applyNumberFormat="1" applyFont="1" applyFill="1" applyBorder="1" applyAlignment="1">
      <alignment horizontal="center" vertical="center" wrapText="1"/>
    </xf>
    <xf numFmtId="0" fontId="82" fillId="0" borderId="7" xfId="0" applyFont="1" applyFill="1" applyBorder="1" applyAlignment="1">
      <alignment horizontal="center" vertical="center" wrapText="1"/>
    </xf>
    <xf numFmtId="2" fontId="82" fillId="0" borderId="7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1" xfId="648" applyNumberFormat="1" applyFont="1" applyFill="1" applyBorder="1" applyAlignment="1">
      <alignment horizontal="center" vertical="center" wrapText="1"/>
    </xf>
    <xf numFmtId="0" fontId="12" fillId="0" borderId="1" xfId="904" applyNumberFormat="1" applyFont="1" applyFill="1" applyBorder="1" applyAlignment="1">
      <alignment horizontal="center" vertical="center" wrapText="1"/>
    </xf>
    <xf numFmtId="0" fontId="12" fillId="0" borderId="1" xfId="905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65" fontId="8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2" fillId="0" borderId="1" xfId="632" applyNumberFormat="1" applyFont="1" applyFill="1" applyBorder="1" applyAlignment="1">
      <alignment horizontal="center" vertical="center" wrapText="1"/>
    </xf>
    <xf numFmtId="0" fontId="12" fillId="0" borderId="1" xfId="635" applyNumberFormat="1" applyFont="1" applyFill="1" applyBorder="1" applyAlignment="1">
      <alignment horizontal="center" vertical="center" wrapText="1"/>
    </xf>
    <xf numFmtId="0" fontId="12" fillId="0" borderId="1" xfId="738" applyNumberFormat="1" applyFont="1" applyFill="1" applyBorder="1" applyAlignment="1">
      <alignment horizontal="center" vertical="center" wrapText="1"/>
    </xf>
    <xf numFmtId="49" fontId="12" fillId="0" borderId="1" xfId="635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67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3" fillId="0" borderId="1" xfId="656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4" fillId="0" borderId="1" xfId="0" applyFont="1" applyFill="1" applyBorder="1" applyAlignment="1">
      <alignment horizontal="center" vertical="center" wrapText="1"/>
    </xf>
    <xf numFmtId="0" fontId="78" fillId="0" borderId="1" xfId="0" applyFont="1" applyFill="1" applyBorder="1" applyAlignment="1">
      <alignment horizontal="center" vertical="center" wrapText="1"/>
    </xf>
    <xf numFmtId="0" fontId="75" fillId="0" borderId="2" xfId="0" applyFont="1" applyFill="1" applyBorder="1" applyAlignment="1">
      <alignment horizontal="center" vertical="center" wrapText="1"/>
    </xf>
    <xf numFmtId="0" fontId="75" fillId="0" borderId="3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0" fontId="28" fillId="0" borderId="4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2" fillId="0" borderId="2" xfId="635" applyNumberFormat="1" applyFont="1" applyFill="1" applyBorder="1" applyAlignment="1">
      <alignment horizontal="center" vertical="center" wrapText="1"/>
    </xf>
    <xf numFmtId="0" fontId="12" fillId="0" borderId="3" xfId="635" applyNumberFormat="1" applyFont="1" applyFill="1" applyBorder="1" applyAlignment="1">
      <alignment horizontal="center" vertical="center" wrapText="1"/>
    </xf>
    <xf numFmtId="0" fontId="12" fillId="0" borderId="4" xfId="635" applyNumberFormat="1" applyFont="1" applyFill="1" applyBorder="1" applyAlignment="1">
      <alignment horizontal="center" vertical="center" wrapText="1"/>
    </xf>
    <xf numFmtId="0" fontId="12" fillId="0" borderId="2" xfId="683" applyNumberFormat="1" applyFont="1" applyFill="1" applyBorder="1" applyAlignment="1">
      <alignment horizontal="center" vertical="center" wrapText="1"/>
    </xf>
    <xf numFmtId="0" fontId="12" fillId="0" borderId="4" xfId="683" applyNumberFormat="1" applyFont="1" applyFill="1" applyBorder="1" applyAlignment="1">
      <alignment horizontal="center" vertical="center" wrapText="1"/>
    </xf>
    <xf numFmtId="0" fontId="12" fillId="0" borderId="3" xfId="683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2" fillId="0" borderId="2" xfId="635" applyFont="1" applyFill="1" applyBorder="1" applyAlignment="1">
      <alignment horizontal="center" vertical="center" wrapText="1"/>
    </xf>
    <xf numFmtId="0" fontId="12" fillId="0" borderId="4" xfId="635" applyFont="1" applyFill="1" applyBorder="1" applyAlignment="1">
      <alignment horizontal="center" vertical="center" wrapText="1"/>
    </xf>
    <xf numFmtId="0" fontId="12" fillId="0" borderId="3" xfId="635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907">
    <cellStyle name="20% - Accent1" xfId="7"/>
    <cellStyle name="20% - Accent1 2" xfId="8"/>
    <cellStyle name="20% - Accent1 2 2" xfId="9"/>
    <cellStyle name="20% - Accent1 2 2 2" xfId="10"/>
    <cellStyle name="20% - Accent1 2 3" xfId="11"/>
    <cellStyle name="20% - Accent1 2 3 2" xfId="12"/>
    <cellStyle name="20% - Accent1 2 4" xfId="13"/>
    <cellStyle name="20% - Accent1 2 4 2" xfId="14"/>
    <cellStyle name="20% - Accent1 2 5" xfId="15"/>
    <cellStyle name="20% - Accent1 2 5 2" xfId="16"/>
    <cellStyle name="20% - Accent1 2 6" xfId="17"/>
    <cellStyle name="20% - Accent1 3" xfId="18"/>
    <cellStyle name="20% - Accent1 3 2" xfId="19"/>
    <cellStyle name="20% - Accent1 4" xfId="20"/>
    <cellStyle name="20% - Accent1 4 2" xfId="21"/>
    <cellStyle name="20% - Accent1 4 2 2" xfId="22"/>
    <cellStyle name="20% - Accent1 4 3" xfId="23"/>
    <cellStyle name="20% - Accent1 5" xfId="24"/>
    <cellStyle name="20% - Accent1 5 2" xfId="25"/>
    <cellStyle name="20% - Accent1 6" xfId="26"/>
    <cellStyle name="20% - Accent1 6 2" xfId="27"/>
    <cellStyle name="20% - Accent1 7" xfId="28"/>
    <cellStyle name="20% - Accent1 7 2" xfId="29"/>
    <cellStyle name="20% - Accent1_Q.W. ADMINISTRACIULI SENOBA" xfId="30"/>
    <cellStyle name="20% - Accent2" xfId="31"/>
    <cellStyle name="20% - Accent2 2" xfId="32"/>
    <cellStyle name="20% - Accent2 2 2" xfId="33"/>
    <cellStyle name="20% - Accent2 2 2 2" xfId="34"/>
    <cellStyle name="20% - Accent2 2 3" xfId="35"/>
    <cellStyle name="20% - Accent2 2 3 2" xfId="36"/>
    <cellStyle name="20% - Accent2 2 4" xfId="37"/>
    <cellStyle name="20% - Accent2 2 4 2" xfId="38"/>
    <cellStyle name="20% - Accent2 2 5" xfId="39"/>
    <cellStyle name="20% - Accent2 2 5 2" xfId="40"/>
    <cellStyle name="20% - Accent2 2 6" xfId="41"/>
    <cellStyle name="20% - Accent2 3" xfId="42"/>
    <cellStyle name="20% - Accent2 3 2" xfId="43"/>
    <cellStyle name="20% - Accent2 4" xfId="44"/>
    <cellStyle name="20% - Accent2 4 2" xfId="45"/>
    <cellStyle name="20% - Accent2 4 2 2" xfId="46"/>
    <cellStyle name="20% - Accent2 4 3" xfId="47"/>
    <cellStyle name="20% - Accent2 5" xfId="48"/>
    <cellStyle name="20% - Accent2 5 2" xfId="49"/>
    <cellStyle name="20% - Accent2 6" xfId="50"/>
    <cellStyle name="20% - Accent2 6 2" xfId="51"/>
    <cellStyle name="20% - Accent2 7" xfId="52"/>
    <cellStyle name="20% - Accent2 7 2" xfId="53"/>
    <cellStyle name="20% - Accent2_Q.W. ADMINISTRACIULI SENOBA" xfId="54"/>
    <cellStyle name="20% - Accent3" xfId="55"/>
    <cellStyle name="20% - Accent3 2" xfId="56"/>
    <cellStyle name="20% - Accent3 2 2" xfId="57"/>
    <cellStyle name="20% - Accent3 2 2 2" xfId="58"/>
    <cellStyle name="20% - Accent3 2 3" xfId="59"/>
    <cellStyle name="20% - Accent3 2 3 2" xfId="60"/>
    <cellStyle name="20% - Accent3 2 4" xfId="61"/>
    <cellStyle name="20% - Accent3 2 4 2" xfId="62"/>
    <cellStyle name="20% - Accent3 2 5" xfId="63"/>
    <cellStyle name="20% - Accent3 2 5 2" xfId="64"/>
    <cellStyle name="20% - Accent3 2 6" xfId="65"/>
    <cellStyle name="20% - Accent3 3" xfId="66"/>
    <cellStyle name="20% - Accent3 3 2" xfId="67"/>
    <cellStyle name="20% - Accent3 4" xfId="68"/>
    <cellStyle name="20% - Accent3 4 2" xfId="69"/>
    <cellStyle name="20% - Accent3 4 2 2" xfId="70"/>
    <cellStyle name="20% - Accent3 4 3" xfId="71"/>
    <cellStyle name="20% - Accent3 5" xfId="72"/>
    <cellStyle name="20% - Accent3 5 2" xfId="73"/>
    <cellStyle name="20% - Accent3 6" xfId="74"/>
    <cellStyle name="20% - Accent3 6 2" xfId="75"/>
    <cellStyle name="20% - Accent3 7" xfId="76"/>
    <cellStyle name="20% - Accent3 7 2" xfId="77"/>
    <cellStyle name="20% - Accent3_Q.W. ADMINISTRACIULI SENOBA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2 3 2" xfId="84"/>
    <cellStyle name="20% - Accent4 2 4" xfId="85"/>
    <cellStyle name="20% - Accent4 2 4 2" xfId="86"/>
    <cellStyle name="20% - Accent4 2 5" xfId="87"/>
    <cellStyle name="20% - Accent4 2 5 2" xfId="88"/>
    <cellStyle name="20% - Accent4 2 6" xfId="89"/>
    <cellStyle name="20% - Accent4 3" xfId="90"/>
    <cellStyle name="20% - Accent4 3 2" xfId="91"/>
    <cellStyle name="20% - Accent4 4" xfId="92"/>
    <cellStyle name="20% - Accent4 4 2" xfId="93"/>
    <cellStyle name="20% - Accent4 4 2 2" xfId="94"/>
    <cellStyle name="20% - Accent4 4 3" xfId="95"/>
    <cellStyle name="20% - Accent4 5" xfId="96"/>
    <cellStyle name="20% - Accent4 5 2" xfId="97"/>
    <cellStyle name="20% - Accent4 6" xfId="98"/>
    <cellStyle name="20% - Accent4 6 2" xfId="99"/>
    <cellStyle name="20% - Accent4 7" xfId="100"/>
    <cellStyle name="20% - Accent4 7 2" xfId="101"/>
    <cellStyle name="20% - Accent4_Q.W. ADMINISTRACIULI SENOBA" xfId="102"/>
    <cellStyle name="20% - Accent5" xfId="103"/>
    <cellStyle name="20% - Accent5 2" xfId="104"/>
    <cellStyle name="20% - Accent5 2 2" xfId="105"/>
    <cellStyle name="20% - Accent5 2 2 2" xfId="106"/>
    <cellStyle name="20% - Accent5 2 3" xfId="107"/>
    <cellStyle name="20% - Accent5 2 3 2" xfId="108"/>
    <cellStyle name="20% - Accent5 2 4" xfId="109"/>
    <cellStyle name="20% - Accent5 2 4 2" xfId="110"/>
    <cellStyle name="20% - Accent5 2 5" xfId="111"/>
    <cellStyle name="20% - Accent5 2 5 2" xfId="112"/>
    <cellStyle name="20% - Accent5 2 6" xfId="113"/>
    <cellStyle name="20% - Accent5 3" xfId="114"/>
    <cellStyle name="20% - Accent5 3 2" xfId="115"/>
    <cellStyle name="20% - Accent5 4" xfId="116"/>
    <cellStyle name="20% - Accent5 4 2" xfId="117"/>
    <cellStyle name="20% - Accent5 4 2 2" xfId="118"/>
    <cellStyle name="20% - Accent5 4 3" xfId="119"/>
    <cellStyle name="20% - Accent5 5" xfId="120"/>
    <cellStyle name="20% - Accent5 5 2" xfId="121"/>
    <cellStyle name="20% - Accent5 6" xfId="122"/>
    <cellStyle name="20% - Accent5 6 2" xfId="123"/>
    <cellStyle name="20% - Accent5 7" xfId="124"/>
    <cellStyle name="20% - Accent5 7 2" xfId="125"/>
    <cellStyle name="20% - Accent5_Q.W. ADMINISTRACIULI SENOBA" xfId="126"/>
    <cellStyle name="20% - Accent6" xfId="127"/>
    <cellStyle name="20% - Accent6 2" xfId="128"/>
    <cellStyle name="20% - Accent6 2 2" xfId="129"/>
    <cellStyle name="20% - Accent6 2 2 2" xfId="130"/>
    <cellStyle name="20% - Accent6 2 3" xfId="131"/>
    <cellStyle name="20% - Accent6 2 3 2" xfId="132"/>
    <cellStyle name="20% - Accent6 2 4" xfId="133"/>
    <cellStyle name="20% - Accent6 2 4 2" xfId="134"/>
    <cellStyle name="20% - Accent6 2 5" xfId="135"/>
    <cellStyle name="20% - Accent6 2 5 2" xfId="136"/>
    <cellStyle name="20% - Accent6 2 6" xfId="137"/>
    <cellStyle name="20% - Accent6 3" xfId="138"/>
    <cellStyle name="20% - Accent6 3 2" xfId="139"/>
    <cellStyle name="20% - Accent6 4" xfId="140"/>
    <cellStyle name="20% - Accent6 4 2" xfId="141"/>
    <cellStyle name="20% - Accent6 4 2 2" xfId="142"/>
    <cellStyle name="20% - Accent6 4 3" xfId="143"/>
    <cellStyle name="20% - Accent6 5" xfId="144"/>
    <cellStyle name="20% - Accent6 5 2" xfId="145"/>
    <cellStyle name="20% - Accent6 6" xfId="146"/>
    <cellStyle name="20% - Accent6 6 2" xfId="147"/>
    <cellStyle name="20% - Accent6 7" xfId="148"/>
    <cellStyle name="20% - Accent6 7 2" xfId="149"/>
    <cellStyle name="20% - Accent6_Q.W. ADMINISTRACIULI SENOBA" xfId="150"/>
    <cellStyle name="40% - Accent1" xfId="151"/>
    <cellStyle name="40% - Accent1 2" xfId="152"/>
    <cellStyle name="40% - Accent1 2 2" xfId="153"/>
    <cellStyle name="40% - Accent1 2 2 2" xfId="154"/>
    <cellStyle name="40% - Accent1 2 3" xfId="155"/>
    <cellStyle name="40% - Accent1 2 3 2" xfId="156"/>
    <cellStyle name="40% - Accent1 2 4" xfId="157"/>
    <cellStyle name="40% - Accent1 2 4 2" xfId="158"/>
    <cellStyle name="40% - Accent1 2 5" xfId="159"/>
    <cellStyle name="40% - Accent1 2 5 2" xfId="160"/>
    <cellStyle name="40% - Accent1 2 6" xfId="161"/>
    <cellStyle name="40% - Accent1 3" xfId="162"/>
    <cellStyle name="40% - Accent1 3 2" xfId="163"/>
    <cellStyle name="40% - Accent1 4" xfId="164"/>
    <cellStyle name="40% - Accent1 4 2" xfId="165"/>
    <cellStyle name="40% - Accent1 4 2 2" xfId="166"/>
    <cellStyle name="40% - Accent1 4 3" xfId="167"/>
    <cellStyle name="40% - Accent1 5" xfId="168"/>
    <cellStyle name="40% - Accent1 5 2" xfId="169"/>
    <cellStyle name="40% - Accent1 6" xfId="170"/>
    <cellStyle name="40% - Accent1 6 2" xfId="171"/>
    <cellStyle name="40% - Accent1 7" xfId="172"/>
    <cellStyle name="40% - Accent1 7 2" xfId="173"/>
    <cellStyle name="40% - Accent1_Q.W. ADMINISTRACIULI SENOBA" xfId="174"/>
    <cellStyle name="40% - Accent2" xfId="175"/>
    <cellStyle name="40% - Accent2 2" xfId="176"/>
    <cellStyle name="40% - Accent2 2 2" xfId="177"/>
    <cellStyle name="40% - Accent2 2 2 2" xfId="178"/>
    <cellStyle name="40% - Accent2 2 3" xfId="179"/>
    <cellStyle name="40% - Accent2 2 3 2" xfId="180"/>
    <cellStyle name="40% - Accent2 2 4" xfId="181"/>
    <cellStyle name="40% - Accent2 2 4 2" xfId="182"/>
    <cellStyle name="40% - Accent2 2 5" xfId="183"/>
    <cellStyle name="40% - Accent2 2 5 2" xfId="184"/>
    <cellStyle name="40% - Accent2 2 6" xfId="185"/>
    <cellStyle name="40% - Accent2 3" xfId="186"/>
    <cellStyle name="40% - Accent2 3 2" xfId="187"/>
    <cellStyle name="40% - Accent2 4" xfId="188"/>
    <cellStyle name="40% - Accent2 4 2" xfId="189"/>
    <cellStyle name="40% - Accent2 4 2 2" xfId="190"/>
    <cellStyle name="40% - Accent2 4 3" xfId="191"/>
    <cellStyle name="40% - Accent2 5" xfId="192"/>
    <cellStyle name="40% - Accent2 5 2" xfId="193"/>
    <cellStyle name="40% - Accent2 6" xfId="194"/>
    <cellStyle name="40% - Accent2 6 2" xfId="195"/>
    <cellStyle name="40% - Accent2 7" xfId="196"/>
    <cellStyle name="40% - Accent2 7 2" xfId="197"/>
    <cellStyle name="40% - Accent2_Q.W. ADMINISTRACIULI SENOBA" xfId="198"/>
    <cellStyle name="40% - Accent3" xfId="199"/>
    <cellStyle name="40% - Accent3 2" xfId="200"/>
    <cellStyle name="40% - Accent3 2 2" xfId="201"/>
    <cellStyle name="40% - Accent3 2 2 2" xfId="202"/>
    <cellStyle name="40% - Accent3 2 3" xfId="203"/>
    <cellStyle name="40% - Accent3 2 3 2" xfId="204"/>
    <cellStyle name="40% - Accent3 2 4" xfId="205"/>
    <cellStyle name="40% - Accent3 2 4 2" xfId="206"/>
    <cellStyle name="40% - Accent3 2 5" xfId="207"/>
    <cellStyle name="40% - Accent3 2 5 2" xfId="208"/>
    <cellStyle name="40% - Accent3 2 6" xfId="209"/>
    <cellStyle name="40% - Accent3 3" xfId="210"/>
    <cellStyle name="40% - Accent3 3 2" xfId="211"/>
    <cellStyle name="40% - Accent3 4" xfId="212"/>
    <cellStyle name="40% - Accent3 4 2" xfId="213"/>
    <cellStyle name="40% - Accent3 4 2 2" xfId="214"/>
    <cellStyle name="40% - Accent3 4 3" xfId="215"/>
    <cellStyle name="40% - Accent3 5" xfId="216"/>
    <cellStyle name="40% - Accent3 5 2" xfId="217"/>
    <cellStyle name="40% - Accent3 6" xfId="218"/>
    <cellStyle name="40% - Accent3 6 2" xfId="219"/>
    <cellStyle name="40% - Accent3 7" xfId="220"/>
    <cellStyle name="40% - Accent3 7 2" xfId="221"/>
    <cellStyle name="40% - Accent3_Q.W. ADMINISTRACIULI SENOBA" xfId="222"/>
    <cellStyle name="40% - Accent4" xfId="223"/>
    <cellStyle name="40% - Accent4 2" xfId="224"/>
    <cellStyle name="40% - Accent4 2 2" xfId="225"/>
    <cellStyle name="40% - Accent4 2 2 2" xfId="226"/>
    <cellStyle name="40% - Accent4 2 3" xfId="227"/>
    <cellStyle name="40% - Accent4 2 3 2" xfId="228"/>
    <cellStyle name="40% - Accent4 2 4" xfId="229"/>
    <cellStyle name="40% - Accent4 2 4 2" xfId="230"/>
    <cellStyle name="40% - Accent4 2 5" xfId="231"/>
    <cellStyle name="40% - Accent4 2 5 2" xfId="232"/>
    <cellStyle name="40% - Accent4 2 6" xfId="233"/>
    <cellStyle name="40% - Accent4 3" xfId="234"/>
    <cellStyle name="40% - Accent4 3 2" xfId="235"/>
    <cellStyle name="40% - Accent4 4" xfId="236"/>
    <cellStyle name="40% - Accent4 4 2" xfId="237"/>
    <cellStyle name="40% - Accent4 4 2 2" xfId="238"/>
    <cellStyle name="40% - Accent4 4 3" xfId="239"/>
    <cellStyle name="40% - Accent4 5" xfId="240"/>
    <cellStyle name="40% - Accent4 5 2" xfId="241"/>
    <cellStyle name="40% - Accent4 6" xfId="242"/>
    <cellStyle name="40% - Accent4 6 2" xfId="243"/>
    <cellStyle name="40% - Accent4 7" xfId="244"/>
    <cellStyle name="40% - Accent4 7 2" xfId="245"/>
    <cellStyle name="40% - Accent4_Q.W. ADMINISTRACIULI SENOBA" xfId="246"/>
    <cellStyle name="40% - Accent5" xfId="247"/>
    <cellStyle name="40% - Accent5 2" xfId="248"/>
    <cellStyle name="40% - Accent5 2 2" xfId="249"/>
    <cellStyle name="40% - Accent5 2 2 2" xfId="250"/>
    <cellStyle name="40% - Accent5 2 3" xfId="251"/>
    <cellStyle name="40% - Accent5 2 3 2" xfId="252"/>
    <cellStyle name="40% - Accent5 2 4" xfId="253"/>
    <cellStyle name="40% - Accent5 2 4 2" xfId="254"/>
    <cellStyle name="40% - Accent5 2 5" xfId="255"/>
    <cellStyle name="40% - Accent5 2 5 2" xfId="256"/>
    <cellStyle name="40% - Accent5 2 6" xfId="257"/>
    <cellStyle name="40% - Accent5 3" xfId="258"/>
    <cellStyle name="40% - Accent5 3 2" xfId="259"/>
    <cellStyle name="40% - Accent5 4" xfId="260"/>
    <cellStyle name="40% - Accent5 4 2" xfId="261"/>
    <cellStyle name="40% - Accent5 4 2 2" xfId="262"/>
    <cellStyle name="40% - Accent5 4 3" xfId="263"/>
    <cellStyle name="40% - Accent5 5" xfId="264"/>
    <cellStyle name="40% - Accent5 5 2" xfId="265"/>
    <cellStyle name="40% - Accent5 6" xfId="266"/>
    <cellStyle name="40% - Accent5 6 2" xfId="267"/>
    <cellStyle name="40% - Accent5 7" xfId="268"/>
    <cellStyle name="40% - Accent5 7 2" xfId="269"/>
    <cellStyle name="40% - Accent5_Q.W. ADMINISTRACIULI SENOBA" xfId="270"/>
    <cellStyle name="40% - Accent6" xfId="271"/>
    <cellStyle name="40% - Accent6 2" xfId="272"/>
    <cellStyle name="40% - Accent6 2 2" xfId="273"/>
    <cellStyle name="40% - Accent6 2 2 2" xfId="274"/>
    <cellStyle name="40% - Accent6 2 3" xfId="275"/>
    <cellStyle name="40% - Accent6 2 3 2" xfId="276"/>
    <cellStyle name="40% - Accent6 2 4" xfId="277"/>
    <cellStyle name="40% - Accent6 2 4 2" xfId="278"/>
    <cellStyle name="40% - Accent6 2 5" xfId="279"/>
    <cellStyle name="40% - Accent6 2 5 2" xfId="280"/>
    <cellStyle name="40% - Accent6 2 6" xfId="281"/>
    <cellStyle name="40% - Accent6 3" xfId="282"/>
    <cellStyle name="40% - Accent6 3 2" xfId="283"/>
    <cellStyle name="40% - Accent6 4" xfId="284"/>
    <cellStyle name="40% - Accent6 4 2" xfId="285"/>
    <cellStyle name="40% - Accent6 4 2 2" xfId="286"/>
    <cellStyle name="40% - Accent6 4 3" xfId="287"/>
    <cellStyle name="40% - Accent6 5" xfId="288"/>
    <cellStyle name="40% - Accent6 5 2" xfId="289"/>
    <cellStyle name="40% - Accent6 6" xfId="290"/>
    <cellStyle name="40% - Accent6 6 2" xfId="291"/>
    <cellStyle name="40% - Accent6 7" xfId="292"/>
    <cellStyle name="40% - Accent6 7 2" xfId="293"/>
    <cellStyle name="40% - Accent6_Q.W. ADMINISTRACIULI SENOBA" xfId="294"/>
    <cellStyle name="60% - Accent1" xfId="295"/>
    <cellStyle name="60% - Accent1 2" xfId="296"/>
    <cellStyle name="60% - Accent1 2 2" xfId="297"/>
    <cellStyle name="60% - Accent1 2 3" xfId="298"/>
    <cellStyle name="60% - Accent1 2 4" xfId="299"/>
    <cellStyle name="60% - Accent1 2 5" xfId="300"/>
    <cellStyle name="60% - Accent1 3" xfId="301"/>
    <cellStyle name="60% - Accent1 4" xfId="302"/>
    <cellStyle name="60% - Accent1 4 2" xfId="303"/>
    <cellStyle name="60% - Accent1 5" xfId="304"/>
    <cellStyle name="60% - Accent1 6" xfId="305"/>
    <cellStyle name="60% - Accent1 7" xfId="306"/>
    <cellStyle name="60% - Accent2" xfId="307"/>
    <cellStyle name="60% - Accent2 2" xfId="308"/>
    <cellStyle name="60% - Accent2 2 2" xfId="309"/>
    <cellStyle name="60% - Accent2 2 3" xfId="310"/>
    <cellStyle name="60% - Accent2 2 4" xfId="311"/>
    <cellStyle name="60% - Accent2 2 5" xfId="312"/>
    <cellStyle name="60% - Accent2 3" xfId="313"/>
    <cellStyle name="60% - Accent2 4" xfId="314"/>
    <cellStyle name="60% - Accent2 4 2" xfId="315"/>
    <cellStyle name="60% - Accent2 5" xfId="316"/>
    <cellStyle name="60% - Accent2 6" xfId="317"/>
    <cellStyle name="60% - Accent2 7" xfId="318"/>
    <cellStyle name="60% - Accent3" xfId="319"/>
    <cellStyle name="60% - Accent3 2" xfId="320"/>
    <cellStyle name="60% - Accent3 2 2" xfId="321"/>
    <cellStyle name="60% - Accent3 2 3" xfId="322"/>
    <cellStyle name="60% - Accent3 2 4" xfId="323"/>
    <cellStyle name="60% - Accent3 2 5" xfId="324"/>
    <cellStyle name="60% - Accent3 3" xfId="325"/>
    <cellStyle name="60% - Accent3 4" xfId="326"/>
    <cellStyle name="60% - Accent3 4 2" xfId="327"/>
    <cellStyle name="60% - Accent3 5" xfId="328"/>
    <cellStyle name="60% - Accent3 6" xfId="329"/>
    <cellStyle name="60% - Accent3 7" xfId="330"/>
    <cellStyle name="60% - Accent4" xfId="331"/>
    <cellStyle name="60% - Accent4 2" xfId="332"/>
    <cellStyle name="60% - Accent4 2 2" xfId="333"/>
    <cellStyle name="60% - Accent4 2 3" xfId="334"/>
    <cellStyle name="60% - Accent4 2 4" xfId="335"/>
    <cellStyle name="60% - Accent4 2 5" xfId="336"/>
    <cellStyle name="60% - Accent4 3" xfId="337"/>
    <cellStyle name="60% - Accent4 4" xfId="338"/>
    <cellStyle name="60% - Accent4 4 2" xfId="339"/>
    <cellStyle name="60% - Accent4 5" xfId="340"/>
    <cellStyle name="60% - Accent4 6" xfId="341"/>
    <cellStyle name="60% - Accent4 7" xfId="342"/>
    <cellStyle name="60% - Accent5" xfId="343"/>
    <cellStyle name="60% - Accent5 2" xfId="344"/>
    <cellStyle name="60% - Accent5 2 2" xfId="345"/>
    <cellStyle name="60% - Accent5 2 3" xfId="346"/>
    <cellStyle name="60% - Accent5 2 4" xfId="347"/>
    <cellStyle name="60% - Accent5 2 5" xfId="348"/>
    <cellStyle name="60% - Accent5 3" xfId="349"/>
    <cellStyle name="60% - Accent5 4" xfId="350"/>
    <cellStyle name="60% - Accent5 4 2" xfId="351"/>
    <cellStyle name="60% - Accent5 5" xfId="352"/>
    <cellStyle name="60% - Accent5 6" xfId="353"/>
    <cellStyle name="60% - Accent5 7" xfId="354"/>
    <cellStyle name="60% - Accent6" xfId="355"/>
    <cellStyle name="60% - Accent6 2" xfId="356"/>
    <cellStyle name="60% - Accent6 2 2" xfId="357"/>
    <cellStyle name="60% - Accent6 2 3" xfId="358"/>
    <cellStyle name="60% - Accent6 2 4" xfId="359"/>
    <cellStyle name="60% - Accent6 2 5" xfId="360"/>
    <cellStyle name="60% - Accent6 3" xfId="361"/>
    <cellStyle name="60% - Accent6 4" xfId="362"/>
    <cellStyle name="60% - Accent6 4 2" xfId="363"/>
    <cellStyle name="60% - Accent6 5" xfId="364"/>
    <cellStyle name="60% - Accent6 6" xfId="365"/>
    <cellStyle name="60% - Accent6 7" xfId="366"/>
    <cellStyle name="Accent1" xfId="367"/>
    <cellStyle name="Accent1 2" xfId="368"/>
    <cellStyle name="Accent1 2 2" xfId="369"/>
    <cellStyle name="Accent1 2 3" xfId="370"/>
    <cellStyle name="Accent1 2 4" xfId="371"/>
    <cellStyle name="Accent1 2 5" xfId="372"/>
    <cellStyle name="Accent1 3" xfId="373"/>
    <cellStyle name="Accent1 4" xfId="374"/>
    <cellStyle name="Accent1 4 2" xfId="375"/>
    <cellStyle name="Accent1 5" xfId="376"/>
    <cellStyle name="Accent1 6" xfId="377"/>
    <cellStyle name="Accent1 7" xfId="378"/>
    <cellStyle name="Accent2" xfId="379"/>
    <cellStyle name="Accent2 2" xfId="380"/>
    <cellStyle name="Accent2 2 2" xfId="381"/>
    <cellStyle name="Accent2 2 3" xfId="382"/>
    <cellStyle name="Accent2 2 4" xfId="383"/>
    <cellStyle name="Accent2 2 5" xfId="384"/>
    <cellStyle name="Accent2 3" xfId="385"/>
    <cellStyle name="Accent2 4" xfId="386"/>
    <cellStyle name="Accent2 4 2" xfId="387"/>
    <cellStyle name="Accent2 5" xfId="388"/>
    <cellStyle name="Accent2 6" xfId="389"/>
    <cellStyle name="Accent2 7" xfId="390"/>
    <cellStyle name="Accent3" xfId="391"/>
    <cellStyle name="Accent3 2" xfId="392"/>
    <cellStyle name="Accent3 2 2" xfId="393"/>
    <cellStyle name="Accent3 2 3" xfId="394"/>
    <cellStyle name="Accent3 2 4" xfId="395"/>
    <cellStyle name="Accent3 2 5" xfId="396"/>
    <cellStyle name="Accent3 3" xfId="397"/>
    <cellStyle name="Accent3 4" xfId="398"/>
    <cellStyle name="Accent3 4 2" xfId="399"/>
    <cellStyle name="Accent3 5" xfId="400"/>
    <cellStyle name="Accent3 6" xfId="401"/>
    <cellStyle name="Accent3 7" xfId="402"/>
    <cellStyle name="Accent4" xfId="403"/>
    <cellStyle name="Accent4 2" xfId="404"/>
    <cellStyle name="Accent4 2 2" xfId="405"/>
    <cellStyle name="Accent4 2 3" xfId="406"/>
    <cellStyle name="Accent4 2 4" xfId="407"/>
    <cellStyle name="Accent4 2 5" xfId="408"/>
    <cellStyle name="Accent4 3" xfId="409"/>
    <cellStyle name="Accent4 4" xfId="410"/>
    <cellStyle name="Accent4 4 2" xfId="411"/>
    <cellStyle name="Accent4 5" xfId="412"/>
    <cellStyle name="Accent4 6" xfId="413"/>
    <cellStyle name="Accent4 7" xfId="414"/>
    <cellStyle name="Accent5" xfId="415"/>
    <cellStyle name="Accent5 2" xfId="416"/>
    <cellStyle name="Accent5 2 2" xfId="417"/>
    <cellStyle name="Accent5 2 3" xfId="418"/>
    <cellStyle name="Accent5 2 4" xfId="419"/>
    <cellStyle name="Accent5 2 5" xfId="420"/>
    <cellStyle name="Accent5 3" xfId="421"/>
    <cellStyle name="Accent5 4" xfId="422"/>
    <cellStyle name="Accent5 4 2" xfId="423"/>
    <cellStyle name="Accent5 5" xfId="424"/>
    <cellStyle name="Accent5 6" xfId="425"/>
    <cellStyle name="Accent5 7" xfId="426"/>
    <cellStyle name="Accent6" xfId="427"/>
    <cellStyle name="Accent6 2" xfId="428"/>
    <cellStyle name="Accent6 2 2" xfId="429"/>
    <cellStyle name="Accent6 2 3" xfId="430"/>
    <cellStyle name="Accent6 2 4" xfId="431"/>
    <cellStyle name="Accent6 2 5" xfId="432"/>
    <cellStyle name="Accent6 3" xfId="433"/>
    <cellStyle name="Accent6 4" xfId="434"/>
    <cellStyle name="Accent6 4 2" xfId="435"/>
    <cellStyle name="Accent6 5" xfId="436"/>
    <cellStyle name="Accent6 6" xfId="437"/>
    <cellStyle name="Accent6 7" xfId="438"/>
    <cellStyle name="Bad" xfId="439"/>
    <cellStyle name="Bad 2" xfId="440"/>
    <cellStyle name="Bad 2 2" xfId="441"/>
    <cellStyle name="Bad 2 3" xfId="442"/>
    <cellStyle name="Bad 2 4" xfId="443"/>
    <cellStyle name="Bad 2 5" xfId="444"/>
    <cellStyle name="Bad 3" xfId="445"/>
    <cellStyle name="Bad 4" xfId="446"/>
    <cellStyle name="Bad 4 2" xfId="447"/>
    <cellStyle name="Bad 5" xfId="448"/>
    <cellStyle name="Bad 6" xfId="449"/>
    <cellStyle name="Bad 7" xfId="450"/>
    <cellStyle name="Calculation" xfId="451"/>
    <cellStyle name="Calculation 2" xfId="452"/>
    <cellStyle name="Calculation 2 2" xfId="453"/>
    <cellStyle name="Calculation 2 3" xfId="454"/>
    <cellStyle name="Calculation 2 4" xfId="455"/>
    <cellStyle name="Calculation 2 5" xfId="456"/>
    <cellStyle name="Calculation 2_anakia II etapi.xls sm. defeqturi" xfId="457"/>
    <cellStyle name="Calculation 3" xfId="458"/>
    <cellStyle name="Calculation 4" xfId="459"/>
    <cellStyle name="Calculation 4 2" xfId="460"/>
    <cellStyle name="Calculation 4_anakia II etapi.xls sm. defeqturi" xfId="461"/>
    <cellStyle name="Calculation 5" xfId="462"/>
    <cellStyle name="Calculation 6" xfId="463"/>
    <cellStyle name="Calculation 7" xfId="464"/>
    <cellStyle name="Check Cell" xfId="465"/>
    <cellStyle name="Check Cell 2" xfId="466"/>
    <cellStyle name="Check Cell 2 2" xfId="467"/>
    <cellStyle name="Check Cell 2 3" xfId="468"/>
    <cellStyle name="Check Cell 2 4" xfId="469"/>
    <cellStyle name="Check Cell 2 5" xfId="470"/>
    <cellStyle name="Check Cell 2_anakia II etapi.xls sm. defeqturi" xfId="471"/>
    <cellStyle name="Check Cell 3" xfId="472"/>
    <cellStyle name="Check Cell 4" xfId="473"/>
    <cellStyle name="Check Cell 4 2" xfId="474"/>
    <cellStyle name="Check Cell 4_anakia II etapi.xls sm. defeqturi" xfId="475"/>
    <cellStyle name="Check Cell 5" xfId="476"/>
    <cellStyle name="Check Cell 6" xfId="477"/>
    <cellStyle name="Check Cell 7" xfId="478"/>
    <cellStyle name="Comma" xfId="1" builtinId="3"/>
    <cellStyle name="Comma 10" xfId="480"/>
    <cellStyle name="Comma 10 2" xfId="481"/>
    <cellStyle name="Comma 11" xfId="482"/>
    <cellStyle name="Comma 12" xfId="483"/>
    <cellStyle name="Comma 12 2" xfId="484"/>
    <cellStyle name="Comma 12 3" xfId="485"/>
    <cellStyle name="Comma 12 4" xfId="486"/>
    <cellStyle name="Comma 12 5" xfId="487"/>
    <cellStyle name="Comma 12 6" xfId="488"/>
    <cellStyle name="Comma 12 7" xfId="489"/>
    <cellStyle name="Comma 12 8" xfId="490"/>
    <cellStyle name="Comma 13" xfId="491"/>
    <cellStyle name="Comma 14" xfId="492"/>
    <cellStyle name="Comma 15" xfId="493"/>
    <cellStyle name="Comma 15 2" xfId="494"/>
    <cellStyle name="Comma 16" xfId="495"/>
    <cellStyle name="Comma 17" xfId="496"/>
    <cellStyle name="Comma 17 2" xfId="497"/>
    <cellStyle name="Comma 18" xfId="498"/>
    <cellStyle name="Comma 19" xfId="499"/>
    <cellStyle name="Comma 2" xfId="500"/>
    <cellStyle name="Comma 2 2" xfId="501"/>
    <cellStyle name="Comma 2 2 2" xfId="502"/>
    <cellStyle name="Comma 2 2 3" xfId="503"/>
    <cellStyle name="Comma 2 3" xfId="504"/>
    <cellStyle name="Comma 20" xfId="505"/>
    <cellStyle name="Comma 3" xfId="506"/>
    <cellStyle name="Comma 4" xfId="507"/>
    <cellStyle name="Comma 5" xfId="508"/>
    <cellStyle name="Comma 6" xfId="509"/>
    <cellStyle name="Comma 7" xfId="510"/>
    <cellStyle name="Comma 8" xfId="511"/>
    <cellStyle name="Comma 9" xfId="512"/>
    <cellStyle name="Explanatory Text" xfId="513"/>
    <cellStyle name="Explanatory Text 2" xfId="514"/>
    <cellStyle name="Explanatory Text 2 2" xfId="515"/>
    <cellStyle name="Explanatory Text 2 3" xfId="516"/>
    <cellStyle name="Explanatory Text 2 4" xfId="517"/>
    <cellStyle name="Explanatory Text 2 5" xfId="518"/>
    <cellStyle name="Explanatory Text 3" xfId="519"/>
    <cellStyle name="Explanatory Text 4" xfId="520"/>
    <cellStyle name="Explanatory Text 4 2" xfId="521"/>
    <cellStyle name="Explanatory Text 5" xfId="522"/>
    <cellStyle name="Explanatory Text 6" xfId="523"/>
    <cellStyle name="Explanatory Text 7" xfId="524"/>
    <cellStyle name="Good" xfId="525"/>
    <cellStyle name="Good 2" xfId="526"/>
    <cellStyle name="Good 2 2" xfId="527"/>
    <cellStyle name="Good 2 3" xfId="528"/>
    <cellStyle name="Good 2 4" xfId="529"/>
    <cellStyle name="Good 2 5" xfId="530"/>
    <cellStyle name="Good 3" xfId="531"/>
    <cellStyle name="Good 4" xfId="532"/>
    <cellStyle name="Good 4 2" xfId="533"/>
    <cellStyle name="Good 5" xfId="534"/>
    <cellStyle name="Good 6" xfId="535"/>
    <cellStyle name="Good 7" xfId="536"/>
    <cellStyle name="Heading 1" xfId="537"/>
    <cellStyle name="Heading 1 2" xfId="538"/>
    <cellStyle name="Heading 1 2 2" xfId="539"/>
    <cellStyle name="Heading 1 2 3" xfId="540"/>
    <cellStyle name="Heading 1 2 4" xfId="541"/>
    <cellStyle name="Heading 1 2 5" xfId="542"/>
    <cellStyle name="Heading 1 2_anakia II etapi.xls sm. defeqturi" xfId="543"/>
    <cellStyle name="Heading 1 3" xfId="544"/>
    <cellStyle name="Heading 1 4" xfId="545"/>
    <cellStyle name="Heading 1 4 2" xfId="546"/>
    <cellStyle name="Heading 1 4_anakia II etapi.xls sm. defeqturi" xfId="547"/>
    <cellStyle name="Heading 1 5" xfId="548"/>
    <cellStyle name="Heading 1 6" xfId="549"/>
    <cellStyle name="Heading 1 7" xfId="550"/>
    <cellStyle name="Heading 2" xfId="551"/>
    <cellStyle name="Heading 2 2" xfId="552"/>
    <cellStyle name="Heading 2 2 2" xfId="553"/>
    <cellStyle name="Heading 2 2 3" xfId="554"/>
    <cellStyle name="Heading 2 2 4" xfId="555"/>
    <cellStyle name="Heading 2 2 5" xfId="556"/>
    <cellStyle name="Heading 2 2_anakia II etapi.xls sm. defeqturi" xfId="557"/>
    <cellStyle name="Heading 2 3" xfId="558"/>
    <cellStyle name="Heading 2 4" xfId="559"/>
    <cellStyle name="Heading 2 4 2" xfId="560"/>
    <cellStyle name="Heading 2 4_anakia II etapi.xls sm. defeqturi" xfId="561"/>
    <cellStyle name="Heading 2 5" xfId="562"/>
    <cellStyle name="Heading 2 6" xfId="563"/>
    <cellStyle name="Heading 2 7" xfId="564"/>
    <cellStyle name="Heading 3" xfId="565"/>
    <cellStyle name="Heading 3 2" xfId="566"/>
    <cellStyle name="Heading 3 2 2" xfId="567"/>
    <cellStyle name="Heading 3 2 3" xfId="568"/>
    <cellStyle name="Heading 3 2 4" xfId="569"/>
    <cellStyle name="Heading 3 2 5" xfId="570"/>
    <cellStyle name="Heading 3 2_anakia II etapi.xls sm. defeqturi" xfId="571"/>
    <cellStyle name="Heading 3 3" xfId="572"/>
    <cellStyle name="Heading 3 4" xfId="573"/>
    <cellStyle name="Heading 3 4 2" xfId="574"/>
    <cellStyle name="Heading 3 4_anakia II etapi.xls sm. defeqturi" xfId="575"/>
    <cellStyle name="Heading 3 5" xfId="576"/>
    <cellStyle name="Heading 3 6" xfId="577"/>
    <cellStyle name="Heading 3 7" xfId="578"/>
    <cellStyle name="Heading 4" xfId="579"/>
    <cellStyle name="Heading 4 2" xfId="580"/>
    <cellStyle name="Heading 4 2 2" xfId="581"/>
    <cellStyle name="Heading 4 2 3" xfId="582"/>
    <cellStyle name="Heading 4 2 4" xfId="583"/>
    <cellStyle name="Heading 4 2 5" xfId="584"/>
    <cellStyle name="Heading 4 3" xfId="585"/>
    <cellStyle name="Heading 4 4" xfId="586"/>
    <cellStyle name="Heading 4 4 2" xfId="587"/>
    <cellStyle name="Heading 4 5" xfId="588"/>
    <cellStyle name="Heading 4 6" xfId="589"/>
    <cellStyle name="Heading 4 7" xfId="590"/>
    <cellStyle name="Hyperlink 2" xfId="591"/>
    <cellStyle name="Input" xfId="592"/>
    <cellStyle name="Input 2" xfId="593"/>
    <cellStyle name="Input 2 2" xfId="594"/>
    <cellStyle name="Input 2 3" xfId="595"/>
    <cellStyle name="Input 2 4" xfId="596"/>
    <cellStyle name="Input 2 5" xfId="597"/>
    <cellStyle name="Input 2_anakia II etapi.xls sm. defeqturi" xfId="598"/>
    <cellStyle name="Input 3" xfId="599"/>
    <cellStyle name="Input 4" xfId="600"/>
    <cellStyle name="Input 4 2" xfId="601"/>
    <cellStyle name="Input 4_anakia II etapi.xls sm. defeqturi" xfId="602"/>
    <cellStyle name="Input 5" xfId="603"/>
    <cellStyle name="Input 6" xfId="604"/>
    <cellStyle name="Input 7" xfId="605"/>
    <cellStyle name="Linked Cell" xfId="606"/>
    <cellStyle name="Linked Cell 2" xfId="607"/>
    <cellStyle name="Linked Cell 2 2" xfId="608"/>
    <cellStyle name="Linked Cell 2 3" xfId="609"/>
    <cellStyle name="Linked Cell 2 4" xfId="610"/>
    <cellStyle name="Linked Cell 2 5" xfId="611"/>
    <cellStyle name="Linked Cell 2_anakia II etapi.xls sm. defeqturi" xfId="612"/>
    <cellStyle name="Linked Cell 3" xfId="613"/>
    <cellStyle name="Linked Cell 4" xfId="614"/>
    <cellStyle name="Linked Cell 4 2" xfId="615"/>
    <cellStyle name="Linked Cell 4_anakia II etapi.xls sm. defeqturi" xfId="616"/>
    <cellStyle name="Linked Cell 5" xfId="617"/>
    <cellStyle name="Linked Cell 6" xfId="618"/>
    <cellStyle name="Linked Cell 7" xfId="619"/>
    <cellStyle name="Neutral" xfId="620"/>
    <cellStyle name="Neutral 2" xfId="621"/>
    <cellStyle name="Neutral 2 2" xfId="622"/>
    <cellStyle name="Neutral 2 3" xfId="623"/>
    <cellStyle name="Neutral 2 4" xfId="624"/>
    <cellStyle name="Neutral 2 5" xfId="625"/>
    <cellStyle name="Neutral 3" xfId="626"/>
    <cellStyle name="Neutral 4" xfId="627"/>
    <cellStyle name="Neutral 4 2" xfId="628"/>
    <cellStyle name="Neutral 5" xfId="629"/>
    <cellStyle name="Neutral 6" xfId="630"/>
    <cellStyle name="Neutral 7" xfId="631"/>
    <cellStyle name="Normal" xfId="0" builtinId="0"/>
    <cellStyle name="Normal 10" xfId="632"/>
    <cellStyle name="Normal 10 2" xfId="633"/>
    <cellStyle name="Normal 11" xfId="634"/>
    <cellStyle name="Normal 11 2" xfId="635"/>
    <cellStyle name="Normal 11 2 2" xfId="636"/>
    <cellStyle name="Normal 11 3" xfId="637"/>
    <cellStyle name="Normal 11_GAZI-2010" xfId="638"/>
    <cellStyle name="Normal 12" xfId="639"/>
    <cellStyle name="Normal 12 2" xfId="640"/>
    <cellStyle name="Normal 12_gazis gare qseli" xfId="641"/>
    <cellStyle name="Normal 13" xfId="642"/>
    <cellStyle name="Normal 13 2" xfId="643"/>
    <cellStyle name="Normal 13 2 2" xfId="644"/>
    <cellStyle name="Normal 13 2 3" xfId="645"/>
    <cellStyle name="Normal 13 3" xfId="646"/>
    <cellStyle name="Normal 13 3 2" xfId="647"/>
    <cellStyle name="Normal 13 3 3" xfId="648"/>
    <cellStyle name="Normal 13 3 3 2" xfId="649"/>
    <cellStyle name="Normal 13 3 3 3" xfId="650"/>
    <cellStyle name="Normal 13 3 4" xfId="651"/>
    <cellStyle name="Normal 13 3 5" xfId="652"/>
    <cellStyle name="Normal 13 4" xfId="653"/>
    <cellStyle name="Normal 13 5" xfId="654"/>
    <cellStyle name="Normal 13 5 2" xfId="655"/>
    <cellStyle name="Normal 13 5 3" xfId="656"/>
    <cellStyle name="Normal 13 5 3 2" xfId="657"/>
    <cellStyle name="Normal 13 5 3 3" xfId="658"/>
    <cellStyle name="Normal 13 5 3 4" xfId="659"/>
    <cellStyle name="Normal 13 5 4" xfId="660"/>
    <cellStyle name="Normal 13 6" xfId="661"/>
    <cellStyle name="Normal 13 7" xfId="662"/>
    <cellStyle name="Normal 13 8" xfId="663"/>
    <cellStyle name="Normal 13_# 6-1 27.01.12 - копия (1)" xfId="664"/>
    <cellStyle name="Normal 14" xfId="665"/>
    <cellStyle name="Normal 14 2" xfId="666"/>
    <cellStyle name="Normal 14 3" xfId="667"/>
    <cellStyle name="Normal 14 3 2" xfId="668"/>
    <cellStyle name="Normal 14 4" xfId="669"/>
    <cellStyle name="Normal 14 5" xfId="670"/>
    <cellStyle name="Normal 14 6" xfId="671"/>
    <cellStyle name="Normal 14_anakia II etapi.xls sm. defeqturi" xfId="672"/>
    <cellStyle name="Normal 15" xfId="673"/>
    <cellStyle name="Normal 16" xfId="674"/>
    <cellStyle name="Normal 16 2" xfId="675"/>
    <cellStyle name="Normal 16 3" xfId="676"/>
    <cellStyle name="Normal 16 4" xfId="677"/>
    <cellStyle name="Normal 16_# 6-1 27.01.12 - копия (1)" xfId="678"/>
    <cellStyle name="Normal 17" xfId="679"/>
    <cellStyle name="Normal 18" xfId="680"/>
    <cellStyle name="Normal 19" xfId="681"/>
    <cellStyle name="Normal 2" xfId="5"/>
    <cellStyle name="Normal 2 10" xfId="683"/>
    <cellStyle name="Normal 2 11" xfId="684"/>
    <cellStyle name="Normal 2 12" xfId="682"/>
    <cellStyle name="Normal 2 2" xfId="685"/>
    <cellStyle name="Normal 2 2 2" xfId="686"/>
    <cellStyle name="Normal 2 2 3" xfId="687"/>
    <cellStyle name="Normal 2 2 4" xfId="688"/>
    <cellStyle name="Normal 2 2 5" xfId="689"/>
    <cellStyle name="Normal 2 2 6" xfId="690"/>
    <cellStyle name="Normal 2 2 7" xfId="691"/>
    <cellStyle name="Normal 2 2_2D4CD000" xfId="692"/>
    <cellStyle name="Normal 2 3" xfId="693"/>
    <cellStyle name="Normal 2 4" xfId="694"/>
    <cellStyle name="Normal 2 5" xfId="695"/>
    <cellStyle name="Normal 2 6" xfId="696"/>
    <cellStyle name="Normal 2 7" xfId="697"/>
    <cellStyle name="Normal 2 7 2" xfId="698"/>
    <cellStyle name="Normal 2 7 3" xfId="699"/>
    <cellStyle name="Normal 2 7_anakia II etapi.xls sm. defeqturi" xfId="700"/>
    <cellStyle name="Normal 2 8" xfId="701"/>
    <cellStyle name="Normal 2 9" xfId="702"/>
    <cellStyle name="Normal 2_anakia II etapi.xls sm. defeqturi" xfId="703"/>
    <cellStyle name="Normal 20" xfId="704"/>
    <cellStyle name="Normal 21" xfId="705"/>
    <cellStyle name="Normal 22" xfId="706"/>
    <cellStyle name="Normal 23" xfId="707"/>
    <cellStyle name="Normal 24" xfId="708"/>
    <cellStyle name="Normal 25" xfId="709"/>
    <cellStyle name="Normal 26" xfId="710"/>
    <cellStyle name="Normal 27" xfId="711"/>
    <cellStyle name="Normal 28" xfId="712"/>
    <cellStyle name="Normal 29" xfId="713"/>
    <cellStyle name="Normal 29 2" xfId="714"/>
    <cellStyle name="Normal 3" xfId="2"/>
    <cellStyle name="Normal 3 2" xfId="715"/>
    <cellStyle name="Normal 3 2 2" xfId="716"/>
    <cellStyle name="Normal 3 2_anakia II etapi.xls sm. defeqturi" xfId="717"/>
    <cellStyle name="Normal 3 3" xfId="718"/>
    <cellStyle name="Normal 30" xfId="719"/>
    <cellStyle name="Normal 30 2" xfId="720"/>
    <cellStyle name="Normal 31" xfId="721"/>
    <cellStyle name="Normal 32" xfId="722"/>
    <cellStyle name="Normal 32 2" xfId="723"/>
    <cellStyle name="Normal 32 2 2" xfId="724"/>
    <cellStyle name="Normal 32 3" xfId="725"/>
    <cellStyle name="Normal 32 3 2" xfId="726"/>
    <cellStyle name="Normal 32 3 2 2" xfId="727"/>
    <cellStyle name="Normal 32 4" xfId="728"/>
    <cellStyle name="Normal 32_# 6-1 27.01.12 - копия (1)" xfId="729"/>
    <cellStyle name="Normal 33" xfId="730"/>
    <cellStyle name="Normal 33 2" xfId="731"/>
    <cellStyle name="Normal 34" xfId="732"/>
    <cellStyle name="Normal 35" xfId="733"/>
    <cellStyle name="Normal 35 2" xfId="734"/>
    <cellStyle name="Normal 35 3" xfId="735"/>
    <cellStyle name="Normal 36" xfId="736"/>
    <cellStyle name="Normal 36 2" xfId="737"/>
    <cellStyle name="Normal 36 2 2" xfId="738"/>
    <cellStyle name="Normal 36 2 3" xfId="739"/>
    <cellStyle name="Normal 36 2 4" xfId="740"/>
    <cellStyle name="Normal 36 3" xfId="741"/>
    <cellStyle name="Normal 36 4" xfId="742"/>
    <cellStyle name="Normal 37" xfId="743"/>
    <cellStyle name="Normal 37 2" xfId="744"/>
    <cellStyle name="Normal 38" xfId="745"/>
    <cellStyle name="Normal 38 2" xfId="746"/>
    <cellStyle name="Normal 38 2 2" xfId="747"/>
    <cellStyle name="Normal 38 3" xfId="748"/>
    <cellStyle name="Normal 38 3 2" xfId="749"/>
    <cellStyle name="Normal 38 4" xfId="750"/>
    <cellStyle name="Normal 39" xfId="751"/>
    <cellStyle name="Normal 39 2" xfId="752"/>
    <cellStyle name="Normal 4" xfId="753"/>
    <cellStyle name="Normal 4 2" xfId="754"/>
    <cellStyle name="Normal 4 3" xfId="755"/>
    <cellStyle name="Normal 40" xfId="756"/>
    <cellStyle name="Normal 40 2" xfId="757"/>
    <cellStyle name="Normal 40 3" xfId="758"/>
    <cellStyle name="Normal 41" xfId="759"/>
    <cellStyle name="Normal 41 2" xfId="760"/>
    <cellStyle name="Normal 42" xfId="761"/>
    <cellStyle name="Normal 42 2" xfId="762"/>
    <cellStyle name="Normal 42 3" xfId="763"/>
    <cellStyle name="Normal 43" xfId="764"/>
    <cellStyle name="Normal 44" xfId="765"/>
    <cellStyle name="Normal 45" xfId="766"/>
    <cellStyle name="Normal 46" xfId="767"/>
    <cellStyle name="Normal 47" xfId="768"/>
    <cellStyle name="Normal 47 2" xfId="769"/>
    <cellStyle name="Normal 47 3" xfId="770"/>
    <cellStyle name="Normal 47 3 2" xfId="771"/>
    <cellStyle name="Normal 47 3 3" xfId="772"/>
    <cellStyle name="Normal 47 4" xfId="773"/>
    <cellStyle name="Normal 5" xfId="774"/>
    <cellStyle name="Normal 5 2" xfId="775"/>
    <cellStyle name="Normal 5 2 2" xfId="776"/>
    <cellStyle name="Normal 5 3" xfId="777"/>
    <cellStyle name="Normal 5 4" xfId="778"/>
    <cellStyle name="Normal 5 4 2" xfId="779"/>
    <cellStyle name="Normal 5 4 3" xfId="780"/>
    <cellStyle name="Normal 5 5" xfId="781"/>
    <cellStyle name="Normal 5_Copy of SAN2010" xfId="782"/>
    <cellStyle name="Normal 6" xfId="783"/>
    <cellStyle name="Normal 7" xfId="784"/>
    <cellStyle name="Normal 75" xfId="785"/>
    <cellStyle name="Normal 8" xfId="786"/>
    <cellStyle name="Normal 8 2" xfId="787"/>
    <cellStyle name="Normal 8_2D4CD000" xfId="788"/>
    <cellStyle name="Normal 9" xfId="789"/>
    <cellStyle name="Normal 9 2" xfId="790"/>
    <cellStyle name="Normal 9 2 2" xfId="791"/>
    <cellStyle name="Normal 9 2 3" xfId="792"/>
    <cellStyle name="Normal 9 2 4" xfId="793"/>
    <cellStyle name="Normal 9 2_anakia II etapi.xls sm. defeqturi" xfId="794"/>
    <cellStyle name="Normal 9_2D4CD000" xfId="795"/>
    <cellStyle name="Normal_gare wyalsadfenigagarini 10" xfId="796"/>
    <cellStyle name="Normal_gare wyalsadfenigagarini 2 2" xfId="797"/>
    <cellStyle name="Normal_gare wyalsadfenigagarini_SUSTI DENEBI_axalqalaqis skola " xfId="905"/>
    <cellStyle name="Normal_qavtarazis mravalfunqciuri kompleqsis xarjTaRricxva" xfId="4"/>
    <cellStyle name="Normal_SUSTI DENEBI" xfId="904"/>
    <cellStyle name="Note" xfId="798"/>
    <cellStyle name="Note 2" xfId="799"/>
    <cellStyle name="Note 2 2" xfId="800"/>
    <cellStyle name="Note 2 3" xfId="801"/>
    <cellStyle name="Note 2 4" xfId="802"/>
    <cellStyle name="Note 2 5" xfId="803"/>
    <cellStyle name="Note 2_anakia II etapi.xls sm. defeqturi" xfId="804"/>
    <cellStyle name="Note 3" xfId="805"/>
    <cellStyle name="Note 4" xfId="806"/>
    <cellStyle name="Note 4 2" xfId="807"/>
    <cellStyle name="Note 4_anakia II etapi.xls sm. defeqturi" xfId="808"/>
    <cellStyle name="Note 5" xfId="809"/>
    <cellStyle name="Note 6" xfId="810"/>
    <cellStyle name="Note 7" xfId="811"/>
    <cellStyle name="Output" xfId="812"/>
    <cellStyle name="Output 2" xfId="813"/>
    <cellStyle name="Output 2 2" xfId="814"/>
    <cellStyle name="Output 2 3" xfId="815"/>
    <cellStyle name="Output 2 4" xfId="816"/>
    <cellStyle name="Output 2 5" xfId="817"/>
    <cellStyle name="Output 2_anakia II etapi.xls sm. defeqturi" xfId="818"/>
    <cellStyle name="Output 3" xfId="819"/>
    <cellStyle name="Output 4" xfId="820"/>
    <cellStyle name="Output 4 2" xfId="821"/>
    <cellStyle name="Output 4_anakia II etapi.xls sm. defeqturi" xfId="822"/>
    <cellStyle name="Output 5" xfId="823"/>
    <cellStyle name="Output 6" xfId="824"/>
    <cellStyle name="Output 7" xfId="825"/>
    <cellStyle name="Percent 2" xfId="826"/>
    <cellStyle name="Percent 3" xfId="827"/>
    <cellStyle name="Percent 3 2" xfId="828"/>
    <cellStyle name="Percent 4" xfId="829"/>
    <cellStyle name="Percent 5" xfId="830"/>
    <cellStyle name="Percent 6" xfId="831"/>
    <cellStyle name="Style 1" xfId="832"/>
    <cellStyle name="Title" xfId="833"/>
    <cellStyle name="Title 2" xfId="834"/>
    <cellStyle name="Title 2 2" xfId="835"/>
    <cellStyle name="Title 2 3" xfId="836"/>
    <cellStyle name="Title 2 4" xfId="837"/>
    <cellStyle name="Title 2 5" xfId="838"/>
    <cellStyle name="Title 3" xfId="839"/>
    <cellStyle name="Title 4" xfId="840"/>
    <cellStyle name="Title 4 2" xfId="841"/>
    <cellStyle name="Title 5" xfId="842"/>
    <cellStyle name="Title 6" xfId="843"/>
    <cellStyle name="Title 7" xfId="844"/>
    <cellStyle name="Total" xfId="845"/>
    <cellStyle name="Total 2" xfId="846"/>
    <cellStyle name="Total 2 2" xfId="847"/>
    <cellStyle name="Total 2 3" xfId="848"/>
    <cellStyle name="Total 2 4" xfId="849"/>
    <cellStyle name="Total 2 5" xfId="850"/>
    <cellStyle name="Total 2_anakia II etapi.xls sm. defeqturi" xfId="851"/>
    <cellStyle name="Total 3" xfId="852"/>
    <cellStyle name="Total 4" xfId="853"/>
    <cellStyle name="Total 4 2" xfId="854"/>
    <cellStyle name="Total 4_anakia II etapi.xls sm. defeqturi" xfId="855"/>
    <cellStyle name="Total 5" xfId="856"/>
    <cellStyle name="Total 6" xfId="857"/>
    <cellStyle name="Total 7" xfId="858"/>
    <cellStyle name="Warning Text" xfId="859"/>
    <cellStyle name="Warning Text 2" xfId="860"/>
    <cellStyle name="Warning Text 2 2" xfId="861"/>
    <cellStyle name="Warning Text 2 3" xfId="862"/>
    <cellStyle name="Warning Text 2 4" xfId="863"/>
    <cellStyle name="Warning Text 2 5" xfId="864"/>
    <cellStyle name="Warning Text 3" xfId="865"/>
    <cellStyle name="Warning Text 4" xfId="866"/>
    <cellStyle name="Warning Text 4 2" xfId="867"/>
    <cellStyle name="Warning Text 5" xfId="868"/>
    <cellStyle name="Warning Text 6" xfId="869"/>
    <cellStyle name="Warning Text 7" xfId="870"/>
    <cellStyle name="Обычный 10" xfId="871"/>
    <cellStyle name="Обычный 10 2" xfId="872"/>
    <cellStyle name="Обычный 11" xfId="6"/>
    <cellStyle name="Обычный 2" xfId="3"/>
    <cellStyle name="Обычный 2 2" xfId="873"/>
    <cellStyle name="Обычный 3" xfId="874"/>
    <cellStyle name="Обычный 3 2" xfId="875"/>
    <cellStyle name="Обычный 3 3" xfId="876"/>
    <cellStyle name="Обычный 4" xfId="877"/>
    <cellStyle name="Обычный 4 2" xfId="878"/>
    <cellStyle name="Обычный 4 3" xfId="879"/>
    <cellStyle name="Обычный 4 4" xfId="880"/>
    <cellStyle name="Обычный 5" xfId="881"/>
    <cellStyle name="Обычный 5 2" xfId="882"/>
    <cellStyle name="Обычный 5 2 2" xfId="883"/>
    <cellStyle name="Обычный 5 3" xfId="884"/>
    <cellStyle name="Обычный 5 4" xfId="885"/>
    <cellStyle name="Обычный 5 4 2" xfId="886"/>
    <cellStyle name="Обычный 5 5" xfId="887"/>
    <cellStyle name="Обычный 6" xfId="888"/>
    <cellStyle name="Обычный 6 2" xfId="889"/>
    <cellStyle name="Обычный 7" xfId="890"/>
    <cellStyle name="Обычный 8" xfId="891"/>
    <cellStyle name="Обычный 8 2" xfId="892"/>
    <cellStyle name="Обычный 9" xfId="893"/>
    <cellStyle name="Обычный_ELEQ_SUSTI DENEBI_axalqalaqis skola " xfId="903"/>
    <cellStyle name="Обычный_Лист1" xfId="906"/>
    <cellStyle name="Плохой 2" xfId="894"/>
    <cellStyle name="Процентный 2" xfId="895"/>
    <cellStyle name="Процентный 3" xfId="896"/>
    <cellStyle name="Процентный 3 2" xfId="897"/>
    <cellStyle name="Финансовый 2" xfId="898"/>
    <cellStyle name="Финансовый 2 2" xfId="899"/>
    <cellStyle name="Финансовый 3" xfId="900"/>
    <cellStyle name="Финансовый 4" xfId="901"/>
    <cellStyle name="Финансовый 5" xfId="902"/>
    <cellStyle name="Финансовый 6" xfId="479"/>
  </cellStyles>
  <dxfs count="0"/>
  <tableStyles count="0" defaultTableStyle="TableStyleMedium9" defaultPivotStyle="PivotStyleLight16"/>
  <colors>
    <mruColors>
      <color rgb="FFFFCCFF"/>
      <color rgb="FFFF66FF"/>
      <color rgb="FF00FF99"/>
      <color rgb="FF9900FF"/>
      <color rgb="FFFED2A2"/>
      <color rgb="FF6666FF"/>
      <color rgb="FFFF99FF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2"/>
  <sheetViews>
    <sheetView tabSelected="1" zoomScaleNormal="100" workbookViewId="0">
      <selection sqref="A1:F1"/>
    </sheetView>
  </sheetViews>
  <sheetFormatPr defaultColWidth="8.85546875" defaultRowHeight="15" x14ac:dyDescent="0.25"/>
  <cols>
    <col min="1" max="1" width="5.85546875" style="7" customWidth="1"/>
    <col min="2" max="2" width="42.28515625" style="7" customWidth="1"/>
    <col min="3" max="4" width="15" style="7" customWidth="1"/>
    <col min="5" max="5" width="15.7109375" style="7" customWidth="1"/>
    <col min="6" max="6" width="16.28515625" style="7" customWidth="1"/>
    <col min="7" max="16384" width="8.85546875" style="7"/>
  </cols>
  <sheetData>
    <row r="1" spans="1:6" ht="25.15" customHeight="1" x14ac:dyDescent="0.25">
      <c r="A1" s="293" t="s">
        <v>40</v>
      </c>
      <c r="B1" s="293"/>
      <c r="C1" s="293"/>
      <c r="D1" s="293"/>
      <c r="E1" s="293"/>
      <c r="F1" s="293"/>
    </row>
    <row r="2" spans="1:6" ht="16.5" x14ac:dyDescent="0.25">
      <c r="A2" s="8"/>
      <c r="B2" s="8"/>
      <c r="C2" s="8"/>
      <c r="D2" s="8"/>
      <c r="E2" s="8"/>
      <c r="F2" s="8"/>
    </row>
    <row r="3" spans="1:6" ht="67.900000000000006" customHeight="1" x14ac:dyDescent="0.25">
      <c r="A3" s="293" t="s">
        <v>247</v>
      </c>
      <c r="B3" s="293"/>
      <c r="C3" s="293"/>
      <c r="D3" s="293"/>
      <c r="E3" s="293"/>
      <c r="F3" s="293"/>
    </row>
    <row r="4" spans="1:6" ht="16.5" x14ac:dyDescent="0.25">
      <c r="A4" s="184"/>
      <c r="B4" s="184"/>
      <c r="C4" s="184"/>
      <c r="D4" s="184"/>
      <c r="E4" s="184"/>
      <c r="F4" s="184"/>
    </row>
    <row r="5" spans="1:6" ht="16.5" customHeight="1" x14ac:dyDescent="0.25">
      <c r="A5" s="294" t="s">
        <v>0</v>
      </c>
      <c r="B5" s="294" t="s">
        <v>41</v>
      </c>
      <c r="C5" s="294" t="s">
        <v>42</v>
      </c>
      <c r="D5" s="294"/>
      <c r="E5" s="294"/>
      <c r="F5" s="294"/>
    </row>
    <row r="6" spans="1:6" ht="33" x14ac:dyDescent="0.25">
      <c r="A6" s="294"/>
      <c r="B6" s="294"/>
      <c r="C6" s="12" t="s">
        <v>43</v>
      </c>
      <c r="D6" s="12" t="s">
        <v>44</v>
      </c>
      <c r="E6" s="12" t="s">
        <v>45</v>
      </c>
      <c r="F6" s="12" t="s">
        <v>49</v>
      </c>
    </row>
    <row r="7" spans="1:6" ht="16.5" x14ac:dyDescent="0.25">
      <c r="A7" s="12">
        <v>1</v>
      </c>
      <c r="B7" s="12">
        <v>3</v>
      </c>
      <c r="C7" s="12">
        <v>4</v>
      </c>
      <c r="D7" s="12">
        <v>5</v>
      </c>
      <c r="E7" s="12">
        <v>6</v>
      </c>
      <c r="F7" s="12">
        <v>7</v>
      </c>
    </row>
    <row r="8" spans="1:6" ht="31.5" x14ac:dyDescent="0.25">
      <c r="A8" s="12">
        <v>1</v>
      </c>
      <c r="B8" s="137" t="s">
        <v>128</v>
      </c>
      <c r="C8" s="185"/>
      <c r="D8" s="185"/>
      <c r="E8" s="185"/>
      <c r="F8" s="185"/>
    </row>
    <row r="9" spans="1:6" ht="16.5" x14ac:dyDescent="0.25">
      <c r="A9" s="12">
        <v>2</v>
      </c>
      <c r="B9" s="137" t="s">
        <v>200</v>
      </c>
      <c r="C9" s="185"/>
      <c r="D9" s="185"/>
      <c r="E9" s="185"/>
      <c r="F9" s="185"/>
    </row>
    <row r="10" spans="1:6" ht="47.25" x14ac:dyDescent="0.25">
      <c r="A10" s="12">
        <v>3</v>
      </c>
      <c r="B10" s="137" t="s">
        <v>312</v>
      </c>
      <c r="C10" s="185"/>
      <c r="D10" s="185"/>
      <c r="E10" s="185"/>
      <c r="F10" s="185"/>
    </row>
    <row r="11" spans="1:6" ht="16.5" x14ac:dyDescent="0.25">
      <c r="A11" s="12">
        <v>4</v>
      </c>
      <c r="B11" s="137" t="s">
        <v>287</v>
      </c>
      <c r="C11" s="185"/>
      <c r="D11" s="185"/>
      <c r="E11" s="185"/>
      <c r="F11" s="185"/>
    </row>
    <row r="12" spans="1:6" ht="16.5" x14ac:dyDescent="0.25">
      <c r="A12" s="12"/>
      <c r="B12" s="137"/>
      <c r="C12" s="185"/>
      <c r="D12" s="185"/>
      <c r="E12" s="185"/>
      <c r="F12" s="185"/>
    </row>
    <row r="13" spans="1:6" ht="16.5" x14ac:dyDescent="0.25">
      <c r="A13" s="12"/>
      <c r="B13" s="12"/>
      <c r="C13" s="185"/>
      <c r="D13" s="185"/>
      <c r="E13" s="185"/>
      <c r="F13" s="185"/>
    </row>
    <row r="14" spans="1:6" ht="17.25" x14ac:dyDescent="0.25">
      <c r="A14" s="12"/>
      <c r="B14" s="146" t="s">
        <v>46</v>
      </c>
      <c r="C14" s="186"/>
      <c r="D14" s="185"/>
      <c r="E14" s="185"/>
      <c r="F14" s="186"/>
    </row>
    <row r="15" spans="1:6" ht="16.5" x14ac:dyDescent="0.25">
      <c r="A15" s="12"/>
      <c r="B15" s="12" t="s">
        <v>12</v>
      </c>
      <c r="C15" s="187">
        <v>0.03</v>
      </c>
      <c r="D15" s="185"/>
      <c r="E15" s="185"/>
      <c r="F15" s="185"/>
    </row>
    <row r="16" spans="1:6" ht="16.5" x14ac:dyDescent="0.25">
      <c r="A16" s="12"/>
      <c r="B16" s="12"/>
      <c r="C16" s="185"/>
      <c r="D16" s="185"/>
      <c r="E16" s="185"/>
      <c r="F16" s="185"/>
    </row>
    <row r="17" spans="1:6" ht="16.5" x14ac:dyDescent="0.25">
      <c r="A17" s="12"/>
      <c r="B17" s="12" t="s">
        <v>47</v>
      </c>
      <c r="C17" s="187">
        <v>0.18</v>
      </c>
      <c r="D17" s="185"/>
      <c r="E17" s="185"/>
      <c r="F17" s="185"/>
    </row>
    <row r="18" spans="1:6" ht="17.25" x14ac:dyDescent="0.25">
      <c r="A18" s="9"/>
      <c r="B18" s="2" t="s">
        <v>48</v>
      </c>
      <c r="C18" s="10"/>
      <c r="D18" s="10"/>
      <c r="E18" s="10"/>
      <c r="F18" s="15"/>
    </row>
    <row r="19" spans="1:6" ht="10.9" customHeight="1" x14ac:dyDescent="0.25">
      <c r="A19" s="8"/>
      <c r="B19" s="8"/>
      <c r="C19" s="8"/>
      <c r="D19" s="8"/>
      <c r="E19" s="8"/>
      <c r="F19" s="8"/>
    </row>
    <row r="20" spans="1:6" ht="17.25" x14ac:dyDescent="0.25">
      <c r="A20" s="8"/>
      <c r="B20" s="34"/>
      <c r="C20" s="292"/>
      <c r="D20" s="292"/>
      <c r="E20" s="8"/>
      <c r="F20" s="8"/>
    </row>
    <row r="21" spans="1:6" ht="16.5" x14ac:dyDescent="0.25">
      <c r="B21" s="13"/>
    </row>
    <row r="22" spans="1:6" ht="17.25" x14ac:dyDescent="0.25">
      <c r="B22" s="37"/>
    </row>
  </sheetData>
  <mergeCells count="6">
    <mergeCell ref="C20:D20"/>
    <mergeCell ref="A1:F1"/>
    <mergeCell ref="A3:F3"/>
    <mergeCell ref="A5:A6"/>
    <mergeCell ref="B5:B6"/>
    <mergeCell ref="C5:F5"/>
  </mergeCells>
  <pageMargins left="0.70866141732283472" right="0.70866141732283472" top="0.27559055118110237" bottom="0.23622047244094491" header="0.19685039370078741" footer="0.19685039370078741"/>
  <pageSetup paperSize="9" orientation="landscape" r:id="rId1"/>
  <headerFooter>
    <oddHeader>&amp;R&amp;N--&amp;P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FF"/>
  </sheetPr>
  <dimension ref="A1:L235"/>
  <sheetViews>
    <sheetView zoomScaleNormal="100" workbookViewId="0">
      <selection sqref="A1:L1"/>
    </sheetView>
  </sheetViews>
  <sheetFormatPr defaultColWidth="8.85546875" defaultRowHeight="15.75" x14ac:dyDescent="0.25"/>
  <cols>
    <col min="1" max="1" width="6.28515625" style="25" customWidth="1"/>
    <col min="2" max="2" width="30.5703125" style="20" customWidth="1"/>
    <col min="3" max="3" width="6.42578125" style="32" customWidth="1"/>
    <col min="4" max="4" width="8" style="25" customWidth="1"/>
    <col min="5" max="5" width="11.28515625" style="25" bestFit="1" customWidth="1"/>
    <col min="6" max="6" width="9.140625" style="25" customWidth="1"/>
    <col min="7" max="7" width="11" style="25" customWidth="1"/>
    <col min="8" max="8" width="7" style="25" customWidth="1"/>
    <col min="9" max="9" width="10.42578125" style="25" customWidth="1"/>
    <col min="10" max="10" width="6.7109375" style="25" customWidth="1"/>
    <col min="11" max="11" width="12.7109375" style="25" customWidth="1"/>
    <col min="12" max="12" width="12.140625" style="25" customWidth="1"/>
    <col min="13" max="16384" width="8.85546875" style="7"/>
  </cols>
  <sheetData>
    <row r="1" spans="1:12" ht="77.45" customHeight="1" x14ac:dyDescent="0.25">
      <c r="A1" s="293" t="s">
        <v>247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17.25" x14ac:dyDescent="0.25">
      <c r="A2" s="22"/>
      <c r="B2" s="56"/>
      <c r="C2" s="61"/>
      <c r="D2" s="22"/>
      <c r="E2" s="22"/>
      <c r="F2" s="22"/>
      <c r="G2" s="22"/>
      <c r="H2" s="22"/>
      <c r="I2" s="22"/>
      <c r="J2" s="22"/>
      <c r="K2" s="22"/>
      <c r="L2" s="22"/>
    </row>
    <row r="3" spans="1:12" ht="17.25" x14ac:dyDescent="0.25">
      <c r="A3" s="293" t="s">
        <v>17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1:12" ht="17.25" x14ac:dyDescent="0.25">
      <c r="A4" s="22"/>
      <c r="B4" s="56"/>
      <c r="C4" s="61"/>
      <c r="D4" s="22"/>
      <c r="E4" s="22"/>
      <c r="F4" s="22"/>
      <c r="G4" s="22"/>
      <c r="H4" s="22"/>
      <c r="I4" s="22"/>
      <c r="J4" s="22"/>
      <c r="K4" s="22"/>
      <c r="L4" s="22"/>
    </row>
    <row r="5" spans="1:12" ht="17.25" x14ac:dyDescent="0.25">
      <c r="A5" s="293" t="s">
        <v>128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</row>
    <row r="7" spans="1:12" ht="40.9" customHeight="1" x14ac:dyDescent="0.25">
      <c r="A7" s="310" t="s">
        <v>0</v>
      </c>
      <c r="B7" s="312" t="s">
        <v>1</v>
      </c>
      <c r="C7" s="314" t="s">
        <v>2</v>
      </c>
      <c r="D7" s="310" t="s">
        <v>3</v>
      </c>
      <c r="E7" s="310" t="s">
        <v>4</v>
      </c>
      <c r="F7" s="307" t="s">
        <v>5</v>
      </c>
      <c r="G7" s="308"/>
      <c r="H7" s="307" t="s">
        <v>6</v>
      </c>
      <c r="I7" s="308"/>
      <c r="J7" s="307" t="s">
        <v>29</v>
      </c>
      <c r="K7" s="308"/>
      <c r="L7" s="310" t="s">
        <v>7</v>
      </c>
    </row>
    <row r="8" spans="1:12" ht="47.25" x14ac:dyDescent="0.25">
      <c r="A8" s="311"/>
      <c r="B8" s="313"/>
      <c r="C8" s="315"/>
      <c r="D8" s="311"/>
      <c r="E8" s="311"/>
      <c r="F8" s="60" t="s">
        <v>8</v>
      </c>
      <c r="G8" s="60" t="s">
        <v>9</v>
      </c>
      <c r="H8" s="60" t="s">
        <v>8</v>
      </c>
      <c r="I8" s="60" t="s">
        <v>9</v>
      </c>
      <c r="J8" s="60" t="s">
        <v>8</v>
      </c>
      <c r="K8" s="60" t="s">
        <v>9</v>
      </c>
      <c r="L8" s="311"/>
    </row>
    <row r="9" spans="1:12" ht="16.5" x14ac:dyDescent="0.25">
      <c r="A9" s="60">
        <v>1</v>
      </c>
      <c r="B9" s="57">
        <v>3</v>
      </c>
      <c r="C9" s="59">
        <v>4</v>
      </c>
      <c r="D9" s="60">
        <v>5</v>
      </c>
      <c r="E9" s="60">
        <v>6</v>
      </c>
      <c r="F9" s="60">
        <v>7</v>
      </c>
      <c r="G9" s="60">
        <v>8</v>
      </c>
      <c r="H9" s="60">
        <v>9</v>
      </c>
      <c r="I9" s="60">
        <v>10</v>
      </c>
      <c r="J9" s="60">
        <v>11</v>
      </c>
      <c r="K9" s="60">
        <v>12</v>
      </c>
      <c r="L9" s="60">
        <v>13</v>
      </c>
    </row>
    <row r="10" spans="1:12" ht="16.5" x14ac:dyDescent="0.25">
      <c r="A10" s="90"/>
      <c r="B10" s="90" t="s">
        <v>266</v>
      </c>
      <c r="C10" s="91"/>
      <c r="D10" s="90"/>
      <c r="E10" s="90"/>
      <c r="F10" s="137"/>
      <c r="G10" s="68"/>
      <c r="H10" s="137"/>
      <c r="I10" s="68"/>
      <c r="J10" s="137"/>
      <c r="K10" s="68"/>
      <c r="L10" s="68"/>
    </row>
    <row r="11" spans="1:12" ht="66" x14ac:dyDescent="0.25">
      <c r="A11" s="296">
        <v>1.1000000000000001</v>
      </c>
      <c r="B11" s="23" t="s">
        <v>262</v>
      </c>
      <c r="C11" s="145" t="s">
        <v>20</v>
      </c>
      <c r="D11" s="137"/>
      <c r="E11" s="90">
        <f>25*0.2*1.5</f>
        <v>7.5</v>
      </c>
      <c r="F11" s="137"/>
      <c r="G11" s="68"/>
      <c r="H11" s="137"/>
      <c r="I11" s="68"/>
      <c r="J11" s="137"/>
      <c r="K11" s="68"/>
      <c r="L11" s="68"/>
    </row>
    <row r="12" spans="1:12" x14ac:dyDescent="0.25">
      <c r="A12" s="299"/>
      <c r="B12" s="83" t="s">
        <v>53</v>
      </c>
      <c r="C12" s="226" t="s">
        <v>28</v>
      </c>
      <c r="D12" s="227">
        <v>7.3</v>
      </c>
      <c r="E12" s="228">
        <f>E11*D12</f>
        <v>54.75</v>
      </c>
      <c r="F12" s="64"/>
      <c r="G12" s="68"/>
      <c r="H12" s="64"/>
      <c r="I12" s="68"/>
      <c r="J12" s="64"/>
      <c r="K12" s="68"/>
      <c r="L12" s="68"/>
    </row>
    <row r="13" spans="1:12" x14ac:dyDescent="0.25">
      <c r="A13" s="297"/>
      <c r="B13" s="83" t="s">
        <v>27</v>
      </c>
      <c r="C13" s="226" t="s">
        <v>24</v>
      </c>
      <c r="D13" s="227">
        <v>3.7</v>
      </c>
      <c r="E13" s="228">
        <f>D13*E11</f>
        <v>27.75</v>
      </c>
      <c r="F13" s="64"/>
      <c r="G13" s="68"/>
      <c r="H13" s="64"/>
      <c r="I13" s="68"/>
      <c r="J13" s="64"/>
      <c r="K13" s="68"/>
      <c r="L13" s="68"/>
    </row>
    <row r="14" spans="1:12" ht="82.5" x14ac:dyDescent="0.25">
      <c r="A14" s="296">
        <v>1.2</v>
      </c>
      <c r="B14" s="105" t="s">
        <v>270</v>
      </c>
      <c r="C14" s="21" t="s">
        <v>23</v>
      </c>
      <c r="D14" s="138"/>
      <c r="E14" s="90">
        <f>E11*2.4</f>
        <v>18</v>
      </c>
      <c r="F14" s="137"/>
      <c r="G14" s="68"/>
      <c r="H14" s="137"/>
      <c r="I14" s="68"/>
      <c r="J14" s="68"/>
      <c r="K14" s="68"/>
      <c r="L14" s="68"/>
    </row>
    <row r="15" spans="1:12" ht="27" x14ac:dyDescent="0.25">
      <c r="A15" s="297"/>
      <c r="B15" s="106" t="s">
        <v>31</v>
      </c>
      <c r="C15" s="54" t="s">
        <v>28</v>
      </c>
      <c r="D15" s="104">
        <v>3.2429999999999999</v>
      </c>
      <c r="E15" s="70">
        <f>E14*D15</f>
        <v>58.373999999999995</v>
      </c>
      <c r="F15" s="70"/>
      <c r="G15" s="68"/>
      <c r="H15" s="159"/>
      <c r="I15" s="68"/>
      <c r="J15" s="68"/>
      <c r="K15" s="68"/>
      <c r="L15" s="68"/>
    </row>
    <row r="16" spans="1:12" ht="66" x14ac:dyDescent="0.25">
      <c r="A16" s="301">
        <v>1.3</v>
      </c>
      <c r="B16" s="107" t="s">
        <v>269</v>
      </c>
      <c r="C16" s="39" t="s">
        <v>23</v>
      </c>
      <c r="D16" s="44"/>
      <c r="E16" s="23">
        <f>E11*2.4</f>
        <v>18</v>
      </c>
      <c r="F16" s="70"/>
      <c r="G16" s="68"/>
      <c r="H16" s="70"/>
      <c r="I16" s="68"/>
      <c r="J16" s="70"/>
      <c r="K16" s="68"/>
      <c r="L16" s="68"/>
    </row>
    <row r="17" spans="1:12" ht="27" x14ac:dyDescent="0.25">
      <c r="A17" s="301"/>
      <c r="B17" s="104" t="s">
        <v>34</v>
      </c>
      <c r="C17" s="54" t="s">
        <v>28</v>
      </c>
      <c r="D17" s="44">
        <v>0.53</v>
      </c>
      <c r="E17" s="79">
        <f>E16*D17</f>
        <v>9.5400000000000009</v>
      </c>
      <c r="F17" s="70"/>
      <c r="G17" s="68"/>
      <c r="H17" s="159"/>
      <c r="I17" s="68"/>
      <c r="J17" s="70"/>
      <c r="K17" s="68"/>
      <c r="L17" s="68"/>
    </row>
    <row r="18" spans="1:12" ht="33" x14ac:dyDescent="0.25">
      <c r="A18" s="301"/>
      <c r="B18" s="108" t="s">
        <v>271</v>
      </c>
      <c r="C18" s="39" t="s">
        <v>23</v>
      </c>
      <c r="D18" s="44"/>
      <c r="E18" s="23">
        <f>E16</f>
        <v>18</v>
      </c>
      <c r="F18" s="70"/>
      <c r="G18" s="68"/>
      <c r="H18" s="70"/>
      <c r="I18" s="68"/>
      <c r="J18" s="70"/>
      <c r="K18" s="68"/>
      <c r="L18" s="68"/>
    </row>
    <row r="19" spans="1:12" ht="132" x14ac:dyDescent="0.25">
      <c r="A19" s="137">
        <v>2</v>
      </c>
      <c r="B19" s="175" t="s">
        <v>263</v>
      </c>
      <c r="C19" s="145" t="s">
        <v>16</v>
      </c>
      <c r="D19" s="137"/>
      <c r="E19" s="137">
        <v>3</v>
      </c>
      <c r="F19" s="137"/>
      <c r="G19" s="68"/>
      <c r="H19" s="137"/>
      <c r="I19" s="68"/>
      <c r="J19" s="137"/>
      <c r="K19" s="68"/>
      <c r="L19" s="68"/>
    </row>
    <row r="20" spans="1:12" ht="33" x14ac:dyDescent="0.25">
      <c r="A20" s="137">
        <v>3</v>
      </c>
      <c r="B20" s="175" t="s">
        <v>264</v>
      </c>
      <c r="C20" s="145" t="s">
        <v>21</v>
      </c>
      <c r="D20" s="137"/>
      <c r="E20" s="90">
        <f>25*35</f>
        <v>875</v>
      </c>
      <c r="F20" s="137"/>
      <c r="G20" s="68"/>
      <c r="H20" s="137"/>
      <c r="I20" s="68"/>
      <c r="J20" s="137"/>
      <c r="K20" s="68"/>
      <c r="L20" s="68"/>
    </row>
    <row r="21" spans="1:12" ht="27" x14ac:dyDescent="0.25">
      <c r="A21" s="137"/>
      <c r="B21" s="104" t="s">
        <v>34</v>
      </c>
      <c r="C21" s="54" t="s">
        <v>28</v>
      </c>
      <c r="D21" s="137">
        <v>0.129</v>
      </c>
      <c r="E21" s="90">
        <f>E20*D21</f>
        <v>112.875</v>
      </c>
      <c r="F21" s="137"/>
      <c r="G21" s="68"/>
      <c r="H21" s="137"/>
      <c r="I21" s="68"/>
      <c r="J21" s="137"/>
      <c r="K21" s="68"/>
      <c r="L21" s="68"/>
    </row>
    <row r="22" spans="1:12" ht="33" x14ac:dyDescent="0.25">
      <c r="A22" s="137">
        <v>4</v>
      </c>
      <c r="B22" s="90" t="s">
        <v>180</v>
      </c>
      <c r="C22" s="91" t="s">
        <v>11</v>
      </c>
      <c r="D22" s="90"/>
      <c r="E22" s="90">
        <f>35+25+35+25</f>
        <v>120</v>
      </c>
      <c r="F22" s="137"/>
      <c r="G22" s="68"/>
      <c r="H22" s="137"/>
      <c r="I22" s="68"/>
      <c r="J22" s="137"/>
      <c r="K22" s="68"/>
      <c r="L22" s="68"/>
    </row>
    <row r="23" spans="1:12" ht="66" hidden="1" x14ac:dyDescent="0.25">
      <c r="A23" s="90">
        <v>1.1000000000000001</v>
      </c>
      <c r="B23" s="175" t="s">
        <v>181</v>
      </c>
      <c r="C23" s="91" t="s">
        <v>11</v>
      </c>
      <c r="D23" s="90"/>
      <c r="E23" s="90">
        <v>0</v>
      </c>
      <c r="F23" s="137"/>
      <c r="G23" s="68"/>
      <c r="H23" s="137"/>
      <c r="I23" s="68"/>
      <c r="J23" s="137"/>
      <c r="K23" s="68"/>
      <c r="L23" s="68"/>
    </row>
    <row r="24" spans="1:12" ht="49.5" hidden="1" x14ac:dyDescent="0.25">
      <c r="A24" s="323">
        <v>1</v>
      </c>
      <c r="B24" s="84" t="s">
        <v>182</v>
      </c>
      <c r="C24" s="133" t="s">
        <v>103</v>
      </c>
      <c r="D24" s="46"/>
      <c r="E24" s="90">
        <f>0.5*0.9*E23</f>
        <v>0</v>
      </c>
      <c r="F24" s="71"/>
      <c r="G24" s="68"/>
      <c r="H24" s="71"/>
      <c r="I24" s="68"/>
      <c r="J24" s="71"/>
      <c r="K24" s="68"/>
      <c r="L24" s="68"/>
    </row>
    <row r="25" spans="1:12" hidden="1" x14ac:dyDescent="0.25">
      <c r="A25" s="323"/>
      <c r="B25" s="229" t="s">
        <v>26</v>
      </c>
      <c r="C25" s="152" t="s">
        <v>103</v>
      </c>
      <c r="D25" s="149">
        <v>2.06</v>
      </c>
      <c r="E25" s="149">
        <f>D25*E24</f>
        <v>0</v>
      </c>
      <c r="F25" s="77"/>
      <c r="G25" s="68"/>
      <c r="H25" s="153"/>
      <c r="I25" s="68"/>
      <c r="J25" s="78"/>
      <c r="K25" s="68"/>
      <c r="L25" s="68"/>
    </row>
    <row r="26" spans="1:12" ht="16.5" hidden="1" x14ac:dyDescent="0.25">
      <c r="A26" s="324">
        <v>3</v>
      </c>
      <c r="B26" s="84" t="s">
        <v>90</v>
      </c>
      <c r="C26" s="133" t="s">
        <v>84</v>
      </c>
      <c r="D26" s="45">
        <v>1.65</v>
      </c>
      <c r="E26" s="230">
        <f>D26*E24</f>
        <v>0</v>
      </c>
      <c r="F26" s="71"/>
      <c r="G26" s="68"/>
      <c r="H26" s="71"/>
      <c r="I26" s="68"/>
      <c r="J26" s="72"/>
      <c r="K26" s="68"/>
      <c r="L26" s="68"/>
    </row>
    <row r="27" spans="1:12" hidden="1" x14ac:dyDescent="0.25">
      <c r="A27" s="325"/>
      <c r="B27" s="109" t="s">
        <v>89</v>
      </c>
      <c r="C27" s="39" t="s">
        <v>23</v>
      </c>
      <c r="D27" s="44"/>
      <c r="E27" s="138">
        <f>E26</f>
        <v>0</v>
      </c>
      <c r="F27" s="70"/>
      <c r="G27" s="68"/>
      <c r="H27" s="70"/>
      <c r="I27" s="68"/>
      <c r="J27" s="70"/>
      <c r="K27" s="68"/>
      <c r="L27" s="68"/>
    </row>
    <row r="28" spans="1:12" ht="99" hidden="1" x14ac:dyDescent="0.25">
      <c r="A28" s="296">
        <v>4</v>
      </c>
      <c r="B28" s="84" t="s">
        <v>184</v>
      </c>
      <c r="C28" s="133" t="s">
        <v>102</v>
      </c>
      <c r="D28" s="45"/>
      <c r="E28" s="23">
        <f>0.5*0.1*E23</f>
        <v>0</v>
      </c>
      <c r="F28" s="71"/>
      <c r="G28" s="68"/>
      <c r="H28" s="71"/>
      <c r="I28" s="68"/>
      <c r="J28" s="71"/>
      <c r="K28" s="68"/>
      <c r="L28" s="68"/>
    </row>
    <row r="29" spans="1:12" hidden="1" x14ac:dyDescent="0.25">
      <c r="A29" s="299"/>
      <c r="B29" s="83" t="s">
        <v>53</v>
      </c>
      <c r="C29" s="21" t="s">
        <v>63</v>
      </c>
      <c r="D29" s="46">
        <v>0.89</v>
      </c>
      <c r="E29" s="138">
        <f>D29*E28</f>
        <v>0</v>
      </c>
      <c r="F29" s="131"/>
      <c r="G29" s="68"/>
      <c r="H29" s="72"/>
      <c r="I29" s="68"/>
      <c r="J29" s="72"/>
      <c r="K29" s="68"/>
      <c r="L29" s="68"/>
    </row>
    <row r="30" spans="1:12" hidden="1" x14ac:dyDescent="0.25">
      <c r="A30" s="299"/>
      <c r="B30" s="83" t="s">
        <v>27</v>
      </c>
      <c r="C30" s="231" t="s">
        <v>24</v>
      </c>
      <c r="D30" s="46">
        <v>0.37</v>
      </c>
      <c r="E30" s="138">
        <f>D30*E28</f>
        <v>0</v>
      </c>
      <c r="F30" s="131"/>
      <c r="G30" s="68"/>
      <c r="H30" s="72"/>
      <c r="I30" s="68"/>
      <c r="J30" s="72"/>
      <c r="K30" s="68"/>
      <c r="L30" s="68"/>
    </row>
    <row r="31" spans="1:12" hidden="1" x14ac:dyDescent="0.25">
      <c r="A31" s="299"/>
      <c r="B31" s="83" t="s">
        <v>85</v>
      </c>
      <c r="C31" s="21" t="s">
        <v>103</v>
      </c>
      <c r="D31" s="46">
        <v>1.1499999999999999</v>
      </c>
      <c r="E31" s="138">
        <f>D31*E28</f>
        <v>0</v>
      </c>
      <c r="F31" s="131"/>
      <c r="G31" s="68"/>
      <c r="H31" s="72"/>
      <c r="I31" s="68"/>
      <c r="J31" s="72"/>
      <c r="K31" s="68"/>
      <c r="L31" s="68"/>
    </row>
    <row r="32" spans="1:12" hidden="1" x14ac:dyDescent="0.25">
      <c r="A32" s="297"/>
      <c r="B32" s="83" t="s">
        <v>33</v>
      </c>
      <c r="C32" s="232" t="s">
        <v>24</v>
      </c>
      <c r="D32" s="46">
        <v>0.02</v>
      </c>
      <c r="E32" s="138">
        <f>D32*E28</f>
        <v>0</v>
      </c>
      <c r="F32" s="131"/>
      <c r="G32" s="68"/>
      <c r="H32" s="72"/>
      <c r="I32" s="68"/>
      <c r="J32" s="72"/>
      <c r="K32" s="68"/>
      <c r="L32" s="68"/>
    </row>
    <row r="33" spans="1:12" ht="33" hidden="1" x14ac:dyDescent="0.25">
      <c r="A33" s="296">
        <v>5</v>
      </c>
      <c r="B33" s="175" t="s">
        <v>183</v>
      </c>
      <c r="C33" s="145" t="s">
        <v>20</v>
      </c>
      <c r="D33" s="137"/>
      <c r="E33" s="90">
        <f>(0.5*0.5+0.2*(2+0.3))*E23</f>
        <v>0</v>
      </c>
      <c r="F33" s="137"/>
      <c r="G33" s="68"/>
      <c r="H33" s="137"/>
      <c r="I33" s="68"/>
      <c r="J33" s="137"/>
      <c r="K33" s="68"/>
      <c r="L33" s="68"/>
    </row>
    <row r="34" spans="1:12" hidden="1" x14ac:dyDescent="0.25">
      <c r="A34" s="299"/>
      <c r="B34" s="83" t="s">
        <v>53</v>
      </c>
      <c r="C34" s="21" t="s">
        <v>63</v>
      </c>
      <c r="D34" s="46" t="s">
        <v>185</v>
      </c>
      <c r="E34" s="138" t="e">
        <f>D34*E33</f>
        <v>#VALUE!</v>
      </c>
      <c r="F34" s="131"/>
      <c r="G34" s="68"/>
      <c r="H34" s="72"/>
      <c r="I34" s="68"/>
      <c r="J34" s="72"/>
      <c r="K34" s="68"/>
      <c r="L34" s="68"/>
    </row>
    <row r="35" spans="1:12" hidden="1" x14ac:dyDescent="0.25">
      <c r="A35" s="299"/>
      <c r="B35" s="83" t="s">
        <v>27</v>
      </c>
      <c r="C35" s="231" t="s">
        <v>24</v>
      </c>
      <c r="D35" s="46" t="s">
        <v>186</v>
      </c>
      <c r="E35" s="138" t="e">
        <f>D35*E33</f>
        <v>#VALUE!</v>
      </c>
      <c r="F35" s="131"/>
      <c r="G35" s="68"/>
      <c r="H35" s="72"/>
      <c r="I35" s="68"/>
      <c r="J35" s="72"/>
      <c r="K35" s="68"/>
      <c r="L35" s="68"/>
    </row>
    <row r="36" spans="1:12" hidden="1" x14ac:dyDescent="0.25">
      <c r="A36" s="299"/>
      <c r="B36" s="176" t="s">
        <v>187</v>
      </c>
      <c r="C36" s="145" t="s">
        <v>20</v>
      </c>
      <c r="D36" s="137">
        <v>1.0149999999999999</v>
      </c>
      <c r="E36" s="137">
        <f>E33*D36</f>
        <v>0</v>
      </c>
      <c r="F36" s="137"/>
      <c r="G36" s="68"/>
      <c r="H36" s="137"/>
      <c r="I36" s="68"/>
      <c r="J36" s="137"/>
      <c r="K36" s="68"/>
      <c r="L36" s="68"/>
    </row>
    <row r="37" spans="1:12" hidden="1" x14ac:dyDescent="0.25">
      <c r="A37" s="299"/>
      <c r="B37" s="176" t="s">
        <v>168</v>
      </c>
      <c r="C37" s="145" t="s">
        <v>21</v>
      </c>
      <c r="D37" s="137">
        <v>1.84</v>
      </c>
      <c r="E37" s="137">
        <f>E33*D37</f>
        <v>0</v>
      </c>
      <c r="F37" s="137"/>
      <c r="G37" s="68"/>
      <c r="H37" s="137"/>
      <c r="I37" s="68"/>
      <c r="J37" s="137"/>
      <c r="K37" s="68"/>
      <c r="L37" s="68"/>
    </row>
    <row r="38" spans="1:12" hidden="1" x14ac:dyDescent="0.25">
      <c r="A38" s="299"/>
      <c r="B38" s="83" t="s">
        <v>93</v>
      </c>
      <c r="C38" s="27" t="s">
        <v>103</v>
      </c>
      <c r="D38" s="233">
        <f>(0.34+3.91)/100</f>
        <v>4.2500000000000003E-2</v>
      </c>
      <c r="E38" s="142">
        <f>E33*D38</f>
        <v>0</v>
      </c>
      <c r="F38" s="72"/>
      <c r="G38" s="68"/>
      <c r="H38" s="137"/>
      <c r="I38" s="68"/>
      <c r="J38" s="137"/>
      <c r="K38" s="68"/>
      <c r="L38" s="68"/>
    </row>
    <row r="39" spans="1:12" hidden="1" x14ac:dyDescent="0.25">
      <c r="A39" s="299"/>
      <c r="B39" s="176" t="s">
        <v>188</v>
      </c>
      <c r="C39" s="145" t="s">
        <v>65</v>
      </c>
      <c r="D39" s="137">
        <v>2.2000000000000002</v>
      </c>
      <c r="E39" s="137">
        <f>E33*D39</f>
        <v>0</v>
      </c>
      <c r="F39" s="137"/>
      <c r="G39" s="68"/>
      <c r="H39" s="137"/>
      <c r="I39" s="68"/>
      <c r="J39" s="137"/>
      <c r="K39" s="68"/>
      <c r="L39" s="68"/>
    </row>
    <row r="40" spans="1:12" hidden="1" x14ac:dyDescent="0.25">
      <c r="A40" s="299"/>
      <c r="B40" s="176" t="s">
        <v>139</v>
      </c>
      <c r="C40" s="145" t="s">
        <v>65</v>
      </c>
      <c r="D40" s="137">
        <v>1</v>
      </c>
      <c r="E40" s="137">
        <f>E33*D40</f>
        <v>0</v>
      </c>
      <c r="F40" s="137"/>
      <c r="G40" s="68"/>
      <c r="H40" s="137"/>
      <c r="I40" s="68"/>
      <c r="J40" s="137"/>
      <c r="K40" s="68"/>
      <c r="L40" s="68"/>
    </row>
    <row r="41" spans="1:12" hidden="1" x14ac:dyDescent="0.25">
      <c r="A41" s="299"/>
      <c r="B41" s="85" t="s">
        <v>192</v>
      </c>
      <c r="C41" s="40" t="s">
        <v>84</v>
      </c>
      <c r="D41" s="47"/>
      <c r="E41" s="74">
        <v>0</v>
      </c>
      <c r="F41" s="73"/>
      <c r="G41" s="68"/>
      <c r="H41" s="137"/>
      <c r="I41" s="68"/>
      <c r="J41" s="137"/>
      <c r="K41" s="68"/>
      <c r="L41" s="68"/>
    </row>
    <row r="42" spans="1:12" hidden="1" x14ac:dyDescent="0.25">
      <c r="A42" s="299"/>
      <c r="B42" s="85" t="s">
        <v>193</v>
      </c>
      <c r="C42" s="40" t="s">
        <v>84</v>
      </c>
      <c r="D42" s="47"/>
      <c r="E42" s="74">
        <v>0</v>
      </c>
      <c r="F42" s="73"/>
      <c r="G42" s="68"/>
      <c r="H42" s="137"/>
      <c r="I42" s="68"/>
      <c r="J42" s="137"/>
      <c r="K42" s="68"/>
      <c r="L42" s="68"/>
    </row>
    <row r="43" spans="1:12" hidden="1" x14ac:dyDescent="0.25">
      <c r="A43" s="297"/>
      <c r="B43" s="176" t="s">
        <v>30</v>
      </c>
      <c r="C43" s="145"/>
      <c r="D43" s="137">
        <v>0.46</v>
      </c>
      <c r="E43" s="137">
        <f>E33*D43</f>
        <v>0</v>
      </c>
      <c r="F43" s="137"/>
      <c r="G43" s="68"/>
      <c r="H43" s="137"/>
      <c r="I43" s="68"/>
      <c r="J43" s="137"/>
      <c r="K43" s="68"/>
      <c r="L43" s="68"/>
    </row>
    <row r="44" spans="1:12" ht="49.5" hidden="1" x14ac:dyDescent="0.25">
      <c r="A44" s="296">
        <v>6</v>
      </c>
      <c r="B44" s="84" t="s">
        <v>189</v>
      </c>
      <c r="C44" s="133" t="s">
        <v>92</v>
      </c>
      <c r="D44" s="46"/>
      <c r="E44" s="23">
        <f>(2+0.2+2)*E23</f>
        <v>0</v>
      </c>
      <c r="F44" s="137"/>
      <c r="G44" s="68"/>
      <c r="H44" s="137"/>
      <c r="I44" s="68"/>
      <c r="J44" s="68"/>
      <c r="K44" s="68"/>
      <c r="L44" s="68"/>
    </row>
    <row r="45" spans="1:12" hidden="1" x14ac:dyDescent="0.25">
      <c r="A45" s="299"/>
      <c r="B45" s="110" t="s">
        <v>53</v>
      </c>
      <c r="C45" s="40" t="s">
        <v>63</v>
      </c>
      <c r="D45" s="47">
        <v>0.93</v>
      </c>
      <c r="E45" s="43">
        <f>D45*E44</f>
        <v>0</v>
      </c>
      <c r="F45" s="137"/>
      <c r="G45" s="68"/>
      <c r="H45" s="68"/>
      <c r="I45" s="68"/>
      <c r="J45" s="68"/>
      <c r="K45" s="68"/>
      <c r="L45" s="68"/>
    </row>
    <row r="46" spans="1:12" hidden="1" x14ac:dyDescent="0.25">
      <c r="A46" s="299"/>
      <c r="B46" s="110" t="s">
        <v>129</v>
      </c>
      <c r="C46" s="40" t="s">
        <v>83</v>
      </c>
      <c r="D46" s="47">
        <v>2.4E-2</v>
      </c>
      <c r="E46" s="43">
        <f>D46*E44</f>
        <v>0</v>
      </c>
      <c r="F46" s="137"/>
      <c r="G46" s="68"/>
      <c r="H46" s="137"/>
      <c r="I46" s="68"/>
      <c r="J46" s="68"/>
      <c r="K46" s="68"/>
      <c r="L46" s="68"/>
    </row>
    <row r="47" spans="1:12" hidden="1" x14ac:dyDescent="0.25">
      <c r="A47" s="299"/>
      <c r="B47" s="110" t="s">
        <v>27</v>
      </c>
      <c r="C47" s="40" t="s">
        <v>24</v>
      </c>
      <c r="D47" s="47">
        <v>2.5999999999999999E-2</v>
      </c>
      <c r="E47" s="43">
        <f>D47*E44</f>
        <v>0</v>
      </c>
      <c r="F47" s="137"/>
      <c r="G47" s="68"/>
      <c r="H47" s="137"/>
      <c r="I47" s="68"/>
      <c r="J47" s="68"/>
      <c r="K47" s="68"/>
      <c r="L47" s="68"/>
    </row>
    <row r="48" spans="1:12" ht="31.5" hidden="1" x14ac:dyDescent="0.25">
      <c r="A48" s="297"/>
      <c r="B48" s="110" t="s">
        <v>98</v>
      </c>
      <c r="C48" s="40" t="s">
        <v>103</v>
      </c>
      <c r="D48" s="47" t="s">
        <v>100</v>
      </c>
      <c r="E48" s="43" t="e">
        <f>D48*E44</f>
        <v>#VALUE!</v>
      </c>
      <c r="F48" s="137"/>
      <c r="G48" s="68"/>
      <c r="H48" s="137"/>
      <c r="I48" s="68"/>
      <c r="J48" s="68"/>
      <c r="K48" s="68"/>
      <c r="L48" s="68"/>
    </row>
    <row r="49" spans="1:12" ht="49.5" hidden="1" x14ac:dyDescent="0.25">
      <c r="A49" s="296">
        <v>7</v>
      </c>
      <c r="B49" s="84" t="s">
        <v>190</v>
      </c>
      <c r="C49" s="133" t="s">
        <v>92</v>
      </c>
      <c r="D49" s="46"/>
      <c r="E49" s="23">
        <f>E44</f>
        <v>0</v>
      </c>
      <c r="F49" s="137"/>
      <c r="G49" s="68"/>
      <c r="H49" s="137"/>
      <c r="I49" s="68"/>
      <c r="J49" s="137"/>
      <c r="K49" s="68"/>
      <c r="L49" s="68"/>
    </row>
    <row r="50" spans="1:12" hidden="1" x14ac:dyDescent="0.25">
      <c r="A50" s="299"/>
      <c r="B50" s="176" t="s">
        <v>26</v>
      </c>
      <c r="C50" s="145" t="s">
        <v>63</v>
      </c>
      <c r="D50" s="137">
        <f>25/100</f>
        <v>0.25</v>
      </c>
      <c r="E50" s="137">
        <f>E49*D50</f>
        <v>0</v>
      </c>
      <c r="F50" s="137"/>
      <c r="G50" s="68"/>
      <c r="H50" s="68"/>
      <c r="I50" s="68"/>
      <c r="J50" s="137"/>
      <c r="K50" s="68"/>
      <c r="L50" s="68"/>
    </row>
    <row r="51" spans="1:12" hidden="1" x14ac:dyDescent="0.25">
      <c r="A51" s="299"/>
      <c r="B51" s="110" t="s">
        <v>27</v>
      </c>
      <c r="C51" s="40" t="s">
        <v>24</v>
      </c>
      <c r="D51" s="47">
        <v>2.5999999999999999E-2</v>
      </c>
      <c r="E51" s="144">
        <f>E49*D51</f>
        <v>0</v>
      </c>
      <c r="F51" s="137"/>
      <c r="G51" s="68"/>
      <c r="H51" s="137"/>
      <c r="I51" s="68"/>
      <c r="J51" s="68"/>
      <c r="K51" s="68"/>
      <c r="L51" s="68"/>
    </row>
    <row r="52" spans="1:12" hidden="1" x14ac:dyDescent="0.25">
      <c r="A52" s="299"/>
      <c r="B52" s="176" t="s">
        <v>61</v>
      </c>
      <c r="C52" s="145" t="s">
        <v>20</v>
      </c>
      <c r="D52" s="137">
        <v>0.01</v>
      </c>
      <c r="E52" s="137">
        <f>E49*D52</f>
        <v>0</v>
      </c>
      <c r="F52" s="137"/>
      <c r="G52" s="68"/>
      <c r="H52" s="137"/>
      <c r="I52" s="68"/>
      <c r="J52" s="137"/>
      <c r="K52" s="68"/>
      <c r="L52" s="68"/>
    </row>
    <row r="53" spans="1:12" hidden="1" x14ac:dyDescent="0.25">
      <c r="A53" s="297"/>
      <c r="B53" s="176" t="s">
        <v>30</v>
      </c>
      <c r="C53" s="145" t="s">
        <v>24</v>
      </c>
      <c r="D53" s="137">
        <f>0.396/100</f>
        <v>3.96E-3</v>
      </c>
      <c r="E53" s="137">
        <f>E49*D53</f>
        <v>0</v>
      </c>
      <c r="F53" s="137"/>
      <c r="G53" s="68"/>
      <c r="H53" s="137"/>
      <c r="I53" s="68"/>
      <c r="J53" s="137"/>
      <c r="K53" s="68"/>
      <c r="L53" s="68"/>
    </row>
    <row r="54" spans="1:12" ht="66" hidden="1" x14ac:dyDescent="0.25">
      <c r="A54" s="129">
        <v>8</v>
      </c>
      <c r="B54" s="175" t="s">
        <v>191</v>
      </c>
      <c r="C54" s="145" t="s">
        <v>21</v>
      </c>
      <c r="D54" s="137"/>
      <c r="E54" s="90">
        <f>E49</f>
        <v>0</v>
      </c>
      <c r="F54" s="137"/>
      <c r="G54" s="68"/>
      <c r="H54" s="137"/>
      <c r="I54" s="68"/>
      <c r="J54" s="137"/>
      <c r="K54" s="68"/>
      <c r="L54" s="68"/>
    </row>
    <row r="55" spans="1:12" hidden="1" x14ac:dyDescent="0.25">
      <c r="A55" s="129"/>
      <c r="B55" s="110" t="s">
        <v>53</v>
      </c>
      <c r="C55" s="40" t="s">
        <v>63</v>
      </c>
      <c r="D55" s="47">
        <v>0.65800000000000003</v>
      </c>
      <c r="E55" s="43">
        <f>D55*E54</f>
        <v>0</v>
      </c>
      <c r="F55" s="137"/>
      <c r="G55" s="68"/>
      <c r="H55" s="68"/>
      <c r="I55" s="68"/>
      <c r="J55" s="68"/>
      <c r="K55" s="68"/>
      <c r="L55" s="68"/>
    </row>
    <row r="56" spans="1:12" hidden="1" x14ac:dyDescent="0.25">
      <c r="A56" s="129"/>
      <c r="B56" s="110" t="s">
        <v>27</v>
      </c>
      <c r="C56" s="40" t="s">
        <v>24</v>
      </c>
      <c r="D56" s="47">
        <v>0.01</v>
      </c>
      <c r="E56" s="43">
        <f>D56*E54</f>
        <v>0</v>
      </c>
      <c r="F56" s="137"/>
      <c r="G56" s="68"/>
      <c r="H56" s="137"/>
      <c r="I56" s="68"/>
      <c r="J56" s="68"/>
      <c r="K56" s="68"/>
      <c r="L56" s="68"/>
    </row>
    <row r="57" spans="1:12" hidden="1" x14ac:dyDescent="0.25">
      <c r="A57" s="129"/>
      <c r="B57" s="110" t="s">
        <v>97</v>
      </c>
      <c r="C57" s="40" t="s">
        <v>65</v>
      </c>
      <c r="D57" s="47">
        <v>0.45</v>
      </c>
      <c r="E57" s="43">
        <f>D57*E54</f>
        <v>0</v>
      </c>
      <c r="F57" s="137"/>
      <c r="G57" s="68"/>
      <c r="H57" s="137"/>
      <c r="I57" s="68"/>
      <c r="J57" s="68"/>
      <c r="K57" s="68"/>
      <c r="L57" s="68"/>
    </row>
    <row r="58" spans="1:12" hidden="1" x14ac:dyDescent="0.25">
      <c r="A58" s="129"/>
      <c r="B58" s="110" t="s">
        <v>33</v>
      </c>
      <c r="C58" s="40" t="s">
        <v>24</v>
      </c>
      <c r="D58" s="47">
        <v>1.2999999999999999E-3</v>
      </c>
      <c r="E58" s="43">
        <f>D58*E54</f>
        <v>0</v>
      </c>
      <c r="F58" s="137"/>
      <c r="G58" s="68"/>
      <c r="H58" s="137"/>
      <c r="I58" s="68"/>
      <c r="J58" s="68"/>
      <c r="K58" s="68"/>
      <c r="L58" s="68"/>
    </row>
    <row r="59" spans="1:12" ht="49.5" x14ac:dyDescent="0.25">
      <c r="A59" s="90"/>
      <c r="B59" s="175" t="s">
        <v>196</v>
      </c>
      <c r="C59" s="91" t="s">
        <v>11</v>
      </c>
      <c r="D59" s="90"/>
      <c r="E59" s="90">
        <f>E22</f>
        <v>120</v>
      </c>
      <c r="F59" s="137"/>
      <c r="G59" s="68"/>
      <c r="H59" s="137"/>
      <c r="I59" s="68"/>
      <c r="J59" s="137"/>
      <c r="K59" s="68"/>
      <c r="L59" s="68"/>
    </row>
    <row r="60" spans="1:12" ht="66" x14ac:dyDescent="0.25">
      <c r="A60" s="296">
        <v>4.0999999999999996</v>
      </c>
      <c r="B60" s="175" t="s">
        <v>131</v>
      </c>
      <c r="C60" s="145" t="s">
        <v>20</v>
      </c>
      <c r="D60" s="137"/>
      <c r="E60" s="90">
        <f>0.25*0.4*E59</f>
        <v>12</v>
      </c>
      <c r="F60" s="137"/>
      <c r="G60" s="68"/>
      <c r="H60" s="137"/>
      <c r="I60" s="68"/>
      <c r="J60" s="137"/>
      <c r="K60" s="68"/>
      <c r="L60" s="68"/>
    </row>
    <row r="61" spans="1:12" x14ac:dyDescent="0.25">
      <c r="A61" s="297"/>
      <c r="B61" s="229" t="s">
        <v>26</v>
      </c>
      <c r="C61" s="152" t="s">
        <v>103</v>
      </c>
      <c r="D61" s="149">
        <v>2.06</v>
      </c>
      <c r="E61" s="149">
        <f>D61*E60</f>
        <v>24.72</v>
      </c>
      <c r="F61" s="77"/>
      <c r="G61" s="68"/>
      <c r="H61" s="153"/>
      <c r="I61" s="68"/>
      <c r="J61" s="137"/>
      <c r="K61" s="68"/>
      <c r="L61" s="68"/>
    </row>
    <row r="62" spans="1:12" ht="49.5" x14ac:dyDescent="0.25">
      <c r="A62" s="296">
        <v>4.2</v>
      </c>
      <c r="B62" s="175" t="s">
        <v>130</v>
      </c>
      <c r="C62" s="145" t="s">
        <v>20</v>
      </c>
      <c r="D62" s="137"/>
      <c r="E62" s="90">
        <f>0.25*0.1*E59</f>
        <v>3</v>
      </c>
      <c r="F62" s="137"/>
      <c r="G62" s="68"/>
      <c r="H62" s="137"/>
      <c r="I62" s="68"/>
      <c r="J62" s="137"/>
      <c r="K62" s="68"/>
      <c r="L62" s="68"/>
    </row>
    <row r="63" spans="1:12" x14ac:dyDescent="0.25">
      <c r="A63" s="299"/>
      <c r="B63" s="83" t="s">
        <v>53</v>
      </c>
      <c r="C63" s="226" t="s">
        <v>28</v>
      </c>
      <c r="D63" s="227">
        <v>0.89</v>
      </c>
      <c r="E63" s="228">
        <f>E62*D63</f>
        <v>2.67</v>
      </c>
      <c r="F63" s="64"/>
      <c r="G63" s="68"/>
      <c r="H63" s="64"/>
      <c r="I63" s="68"/>
      <c r="J63" s="64"/>
      <c r="K63" s="68"/>
      <c r="L63" s="68"/>
    </row>
    <row r="64" spans="1:12" x14ac:dyDescent="0.25">
      <c r="A64" s="299"/>
      <c r="B64" s="83" t="s">
        <v>27</v>
      </c>
      <c r="C64" s="226" t="s">
        <v>24</v>
      </c>
      <c r="D64" s="227">
        <v>0.37</v>
      </c>
      <c r="E64" s="228">
        <f>D64*E62</f>
        <v>1.1099999999999999</v>
      </c>
      <c r="F64" s="64"/>
      <c r="G64" s="68"/>
      <c r="H64" s="64"/>
      <c r="I64" s="68"/>
      <c r="J64" s="64"/>
      <c r="K64" s="68"/>
      <c r="L64" s="68"/>
    </row>
    <row r="65" spans="1:12" x14ac:dyDescent="0.25">
      <c r="A65" s="299"/>
      <c r="B65" s="234" t="s">
        <v>85</v>
      </c>
      <c r="C65" s="194" t="s">
        <v>103</v>
      </c>
      <c r="D65" s="227">
        <v>1.1499999999999999</v>
      </c>
      <c r="E65" s="228">
        <f>D65*E62</f>
        <v>3.4499999999999997</v>
      </c>
      <c r="F65" s="64"/>
      <c r="G65" s="68"/>
      <c r="H65" s="64"/>
      <c r="I65" s="68"/>
      <c r="J65" s="64"/>
      <c r="K65" s="68"/>
      <c r="L65" s="68"/>
    </row>
    <row r="66" spans="1:12" x14ac:dyDescent="0.25">
      <c r="A66" s="299"/>
      <c r="B66" s="83" t="s">
        <v>30</v>
      </c>
      <c r="C66" s="226" t="s">
        <v>24</v>
      </c>
      <c r="D66" s="227">
        <v>0.02</v>
      </c>
      <c r="E66" s="228">
        <f>D66*E62</f>
        <v>0.06</v>
      </c>
      <c r="F66" s="131"/>
      <c r="G66" s="68"/>
      <c r="H66" s="72"/>
      <c r="I66" s="68"/>
      <c r="J66" s="64"/>
      <c r="K66" s="68"/>
      <c r="L66" s="68"/>
    </row>
    <row r="67" spans="1:12" ht="49.5" x14ac:dyDescent="0.25">
      <c r="A67" s="296">
        <v>4.3</v>
      </c>
      <c r="B67" s="175" t="s">
        <v>132</v>
      </c>
      <c r="C67" s="62" t="s">
        <v>20</v>
      </c>
      <c r="D67" s="131"/>
      <c r="E67" s="189">
        <f>0.25*(0.4+0.2)*E59</f>
        <v>18.000000000000004</v>
      </c>
      <c r="F67" s="64"/>
      <c r="G67" s="68"/>
      <c r="H67" s="64"/>
      <c r="I67" s="68"/>
      <c r="J67" s="64"/>
      <c r="K67" s="68"/>
      <c r="L67" s="68"/>
    </row>
    <row r="68" spans="1:12" x14ac:dyDescent="0.25">
      <c r="A68" s="299"/>
      <c r="B68" s="110" t="s">
        <v>53</v>
      </c>
      <c r="C68" s="65" t="s">
        <v>63</v>
      </c>
      <c r="D68" s="69">
        <v>3.78</v>
      </c>
      <c r="E68" s="81">
        <f>D68*E67</f>
        <v>68.040000000000006</v>
      </c>
      <c r="F68" s="137"/>
      <c r="G68" s="68"/>
      <c r="H68" s="68"/>
      <c r="I68" s="68"/>
      <c r="J68" s="137"/>
      <c r="K68" s="68"/>
      <c r="L68" s="68"/>
    </row>
    <row r="69" spans="1:12" x14ac:dyDescent="0.25">
      <c r="A69" s="299"/>
      <c r="B69" s="110" t="s">
        <v>27</v>
      </c>
      <c r="C69" s="65" t="s">
        <v>24</v>
      </c>
      <c r="D69" s="69">
        <v>0.92</v>
      </c>
      <c r="E69" s="81">
        <f>D69*E67</f>
        <v>16.560000000000002</v>
      </c>
      <c r="F69" s="137"/>
      <c r="G69" s="68"/>
      <c r="H69" s="137"/>
      <c r="I69" s="68"/>
      <c r="J69" s="68"/>
      <c r="K69" s="68"/>
      <c r="L69" s="68"/>
    </row>
    <row r="70" spans="1:12" x14ac:dyDescent="0.25">
      <c r="A70" s="299"/>
      <c r="B70" s="110" t="s">
        <v>59</v>
      </c>
      <c r="C70" s="65" t="s">
        <v>103</v>
      </c>
      <c r="D70" s="69">
        <v>1.0149999999999999</v>
      </c>
      <c r="E70" s="81">
        <f>D70*E67</f>
        <v>18.270000000000003</v>
      </c>
      <c r="F70" s="137"/>
      <c r="G70" s="68"/>
      <c r="H70" s="137"/>
      <c r="I70" s="68"/>
      <c r="J70" s="137"/>
      <c r="K70" s="68"/>
      <c r="L70" s="68"/>
    </row>
    <row r="71" spans="1:12" x14ac:dyDescent="0.25">
      <c r="A71" s="299"/>
      <c r="B71" s="110" t="s">
        <v>86</v>
      </c>
      <c r="C71" s="65" t="s">
        <v>92</v>
      </c>
      <c r="D71" s="69">
        <v>0.70299999999999996</v>
      </c>
      <c r="E71" s="81">
        <f>D71*E67</f>
        <v>12.654000000000002</v>
      </c>
      <c r="F71" s="137"/>
      <c r="G71" s="68"/>
      <c r="H71" s="137"/>
      <c r="I71" s="68"/>
      <c r="J71" s="137"/>
      <c r="K71" s="68"/>
      <c r="L71" s="68"/>
    </row>
    <row r="72" spans="1:12" s="26" customFormat="1" x14ac:dyDescent="0.25">
      <c r="A72" s="299"/>
      <c r="B72" s="110" t="s">
        <v>87</v>
      </c>
      <c r="C72" s="65" t="s">
        <v>103</v>
      </c>
      <c r="D72" s="69">
        <v>1.14E-2</v>
      </c>
      <c r="E72" s="81">
        <f>D72*E67</f>
        <v>0.20520000000000005</v>
      </c>
      <c r="F72" s="137"/>
      <c r="G72" s="68"/>
      <c r="H72" s="137"/>
      <c r="I72" s="68"/>
      <c r="J72" s="137"/>
      <c r="K72" s="68"/>
      <c r="L72" s="68"/>
    </row>
    <row r="73" spans="1:12" s="26" customFormat="1" x14ac:dyDescent="0.25">
      <c r="A73" s="299"/>
      <c r="B73" s="85" t="s">
        <v>272</v>
      </c>
      <c r="C73" s="66" t="s">
        <v>84</v>
      </c>
      <c r="D73" s="69">
        <v>1.03</v>
      </c>
      <c r="E73" s="82">
        <f>6*E59*0.617*D73/1000</f>
        <v>0.45756720000000001</v>
      </c>
      <c r="F73" s="137"/>
      <c r="G73" s="68"/>
      <c r="H73" s="137"/>
      <c r="I73" s="68"/>
      <c r="J73" s="137"/>
      <c r="K73" s="68"/>
      <c r="L73" s="68"/>
    </row>
    <row r="74" spans="1:12" s="26" customFormat="1" x14ac:dyDescent="0.25">
      <c r="A74" s="299"/>
      <c r="B74" s="85" t="s">
        <v>273</v>
      </c>
      <c r="C74" s="66" t="s">
        <v>84</v>
      </c>
      <c r="D74" s="69">
        <v>1.03</v>
      </c>
      <c r="E74" s="82">
        <f>(0.25+0.6)*2*(E59/0.15)*0.395*D74/1000</f>
        <v>0.55331600000000003</v>
      </c>
      <c r="F74" s="137"/>
      <c r="G74" s="68"/>
      <c r="H74" s="137"/>
      <c r="I74" s="68"/>
      <c r="J74" s="137"/>
      <c r="K74" s="68"/>
      <c r="L74" s="68"/>
    </row>
    <row r="75" spans="1:12" s="26" customFormat="1" x14ac:dyDescent="0.25">
      <c r="A75" s="297"/>
      <c r="B75" s="110" t="s">
        <v>33</v>
      </c>
      <c r="C75" s="65" t="s">
        <v>24</v>
      </c>
      <c r="D75" s="69">
        <v>0.6</v>
      </c>
      <c r="E75" s="81">
        <f>D75*E67</f>
        <v>10.800000000000002</v>
      </c>
      <c r="F75" s="137"/>
      <c r="G75" s="68"/>
      <c r="H75" s="137"/>
      <c r="I75" s="68"/>
      <c r="J75" s="137"/>
      <c r="K75" s="68"/>
      <c r="L75" s="68"/>
    </row>
    <row r="76" spans="1:12" ht="16.5" x14ac:dyDescent="0.25">
      <c r="A76" s="296">
        <v>4.4000000000000004</v>
      </c>
      <c r="B76" s="190" t="s">
        <v>133</v>
      </c>
      <c r="C76" s="191" t="s">
        <v>64</v>
      </c>
      <c r="D76" s="169"/>
      <c r="E76" s="192">
        <f>E59</f>
        <v>120</v>
      </c>
      <c r="F76" s="137"/>
      <c r="G76" s="68"/>
      <c r="H76" s="137"/>
      <c r="I76" s="68"/>
      <c r="J76" s="137"/>
      <c r="K76" s="68"/>
      <c r="L76" s="68"/>
    </row>
    <row r="77" spans="1:12" ht="27" x14ac:dyDescent="0.25">
      <c r="A77" s="299"/>
      <c r="B77" s="235" t="s">
        <v>26</v>
      </c>
      <c r="C77" s="62" t="s">
        <v>28</v>
      </c>
      <c r="D77" s="169">
        <f>173*0.01</f>
        <v>1.73</v>
      </c>
      <c r="E77" s="236">
        <f>E76*D77</f>
        <v>207.6</v>
      </c>
      <c r="F77" s="137"/>
      <c r="G77" s="68"/>
      <c r="H77" s="68"/>
      <c r="I77" s="68"/>
      <c r="J77" s="137"/>
      <c r="K77" s="68"/>
      <c r="L77" s="68"/>
    </row>
    <row r="78" spans="1:12" ht="31.5" x14ac:dyDescent="0.25">
      <c r="A78" s="299"/>
      <c r="B78" s="83" t="s">
        <v>134</v>
      </c>
      <c r="C78" s="62" t="s">
        <v>83</v>
      </c>
      <c r="D78" s="237">
        <f>20.5/100</f>
        <v>0.20499999999999999</v>
      </c>
      <c r="E78" s="238">
        <f>E76*D78</f>
        <v>24.599999999999998</v>
      </c>
      <c r="F78" s="137"/>
      <c r="G78" s="68"/>
      <c r="H78" s="137"/>
      <c r="I78" s="68"/>
      <c r="J78" s="137"/>
      <c r="K78" s="68"/>
      <c r="L78" s="68"/>
    </row>
    <row r="79" spans="1:12" x14ac:dyDescent="0.25">
      <c r="A79" s="299"/>
      <c r="B79" s="83" t="s">
        <v>27</v>
      </c>
      <c r="C79" s="62" t="s">
        <v>24</v>
      </c>
      <c r="D79" s="237">
        <f>6*0.01</f>
        <v>0.06</v>
      </c>
      <c r="E79" s="238">
        <f>E76*D79</f>
        <v>7.1999999999999993</v>
      </c>
      <c r="F79" s="137"/>
      <c r="G79" s="68"/>
      <c r="H79" s="137"/>
      <c r="I79" s="68"/>
      <c r="J79" s="68"/>
      <c r="K79" s="68"/>
      <c r="L79" s="68"/>
    </row>
    <row r="80" spans="1:12" x14ac:dyDescent="0.25">
      <c r="A80" s="299"/>
      <c r="B80" s="83" t="s">
        <v>135</v>
      </c>
      <c r="C80" s="62" t="s">
        <v>16</v>
      </c>
      <c r="D80" s="237">
        <f>33.3*0.01</f>
        <v>0.33299999999999996</v>
      </c>
      <c r="E80" s="238">
        <f>E76*D80</f>
        <v>39.959999999999994</v>
      </c>
      <c r="F80" s="137"/>
      <c r="G80" s="68"/>
      <c r="H80" s="137"/>
      <c r="I80" s="68"/>
      <c r="J80" s="137"/>
      <c r="K80" s="68"/>
      <c r="L80" s="68"/>
    </row>
    <row r="81" spans="1:12" x14ac:dyDescent="0.25">
      <c r="A81" s="299"/>
      <c r="B81" s="193" t="s">
        <v>274</v>
      </c>
      <c r="C81" s="194" t="s">
        <v>103</v>
      </c>
      <c r="D81" s="237">
        <f>1.41*0.01</f>
        <v>1.41E-2</v>
      </c>
      <c r="E81" s="238">
        <f>E76*D81</f>
        <v>1.6919999999999999</v>
      </c>
      <c r="F81" s="137"/>
      <c r="G81" s="68"/>
      <c r="H81" s="137"/>
      <c r="I81" s="68"/>
      <c r="J81" s="137"/>
      <c r="K81" s="68"/>
      <c r="L81" s="68"/>
    </row>
    <row r="82" spans="1:12" x14ac:dyDescent="0.25">
      <c r="A82" s="299"/>
      <c r="B82" s="235" t="s">
        <v>136</v>
      </c>
      <c r="C82" s="211" t="str">
        <f>C76</f>
        <v>grZ.m.</v>
      </c>
      <c r="D82" s="239">
        <v>1</v>
      </c>
      <c r="E82" s="236">
        <f>E76*D82</f>
        <v>120</v>
      </c>
      <c r="F82" s="137"/>
      <c r="G82" s="68"/>
      <c r="H82" s="137"/>
      <c r="I82" s="68"/>
      <c r="J82" s="137"/>
      <c r="K82" s="68"/>
      <c r="L82" s="68"/>
    </row>
    <row r="83" spans="1:12" ht="31.5" x14ac:dyDescent="0.25">
      <c r="A83" s="299"/>
      <c r="B83" s="193" t="s">
        <v>137</v>
      </c>
      <c r="C83" s="62" t="s">
        <v>65</v>
      </c>
      <c r="D83" s="240">
        <f>0.002*1000*0.01</f>
        <v>0.02</v>
      </c>
      <c r="E83" s="237">
        <f>E76*D83</f>
        <v>2.4</v>
      </c>
      <c r="F83" s="138"/>
      <c r="G83" s="68"/>
      <c r="H83" s="137"/>
      <c r="I83" s="68"/>
      <c r="J83" s="137"/>
      <c r="K83" s="68"/>
      <c r="L83" s="68"/>
    </row>
    <row r="84" spans="1:12" x14ac:dyDescent="0.25">
      <c r="A84" s="297"/>
      <c r="B84" s="83" t="s">
        <v>33</v>
      </c>
      <c r="C84" s="62" t="s">
        <v>24</v>
      </c>
      <c r="D84" s="240">
        <f>6*0.01</f>
        <v>0.06</v>
      </c>
      <c r="E84" s="238">
        <f>E76*D84</f>
        <v>7.1999999999999993</v>
      </c>
      <c r="F84" s="137"/>
      <c r="G84" s="68"/>
      <c r="H84" s="137"/>
      <c r="I84" s="68"/>
      <c r="J84" s="137"/>
      <c r="K84" s="68"/>
      <c r="L84" s="68"/>
    </row>
    <row r="85" spans="1:12" ht="48.75" x14ac:dyDescent="0.25">
      <c r="A85" s="296">
        <v>4.5</v>
      </c>
      <c r="B85" s="84" t="s">
        <v>275</v>
      </c>
      <c r="C85" s="86" t="s">
        <v>16</v>
      </c>
      <c r="D85" s="72"/>
      <c r="E85" s="71">
        <v>2</v>
      </c>
      <c r="F85" s="137"/>
      <c r="G85" s="68"/>
      <c r="H85" s="137"/>
      <c r="I85" s="68"/>
      <c r="J85" s="137"/>
      <c r="K85" s="68"/>
      <c r="L85" s="68"/>
    </row>
    <row r="86" spans="1:12" ht="27" x14ac:dyDescent="0.25">
      <c r="A86" s="299"/>
      <c r="B86" s="193" t="s">
        <v>26</v>
      </c>
      <c r="C86" s="62" t="s">
        <v>28</v>
      </c>
      <c r="D86" s="240">
        <f>1720*0.01</f>
        <v>17.2</v>
      </c>
      <c r="E86" s="72">
        <f>E85*D86</f>
        <v>34.4</v>
      </c>
      <c r="F86" s="137"/>
      <c r="G86" s="68"/>
      <c r="H86" s="68"/>
      <c r="I86" s="68"/>
      <c r="J86" s="137"/>
      <c r="K86" s="68"/>
      <c r="L86" s="68"/>
    </row>
    <row r="87" spans="1:12" ht="31.5" x14ac:dyDescent="0.25">
      <c r="A87" s="299"/>
      <c r="B87" s="83" t="s">
        <v>134</v>
      </c>
      <c r="C87" s="62" t="s">
        <v>83</v>
      </c>
      <c r="D87" s="237">
        <f>91.3/100</f>
        <v>0.91299999999999992</v>
      </c>
      <c r="E87" s="238">
        <f>E85*D87</f>
        <v>1.8259999999999998</v>
      </c>
      <c r="F87" s="137"/>
      <c r="G87" s="68"/>
      <c r="H87" s="137"/>
      <c r="I87" s="68"/>
      <c r="J87" s="137"/>
      <c r="K87" s="68"/>
      <c r="L87" s="68"/>
    </row>
    <row r="88" spans="1:12" x14ac:dyDescent="0.25">
      <c r="A88" s="299"/>
      <c r="B88" s="83" t="s">
        <v>27</v>
      </c>
      <c r="C88" s="62" t="s">
        <v>24</v>
      </c>
      <c r="D88" s="237">
        <f>70*0.01</f>
        <v>0.70000000000000007</v>
      </c>
      <c r="E88" s="238">
        <f>E85*D88</f>
        <v>1.4000000000000001</v>
      </c>
      <c r="F88" s="137"/>
      <c r="G88" s="68"/>
      <c r="H88" s="137"/>
      <c r="I88" s="68"/>
      <c r="J88" s="68"/>
      <c r="K88" s="68"/>
      <c r="L88" s="68"/>
    </row>
    <row r="89" spans="1:12" ht="31.5" x14ac:dyDescent="0.25">
      <c r="A89" s="299"/>
      <c r="B89" s="193" t="s">
        <v>175</v>
      </c>
      <c r="C89" s="194" t="s">
        <v>92</v>
      </c>
      <c r="D89" s="240"/>
      <c r="E89" s="72">
        <f>4*2*E85</f>
        <v>16</v>
      </c>
      <c r="F89" s="137"/>
      <c r="G89" s="68"/>
      <c r="H89" s="137"/>
      <c r="I89" s="68"/>
      <c r="J89" s="137"/>
      <c r="K89" s="68"/>
      <c r="L89" s="68"/>
    </row>
    <row r="90" spans="1:12" x14ac:dyDescent="0.25">
      <c r="A90" s="299"/>
      <c r="B90" s="193" t="s">
        <v>274</v>
      </c>
      <c r="C90" s="194" t="s">
        <v>103</v>
      </c>
      <c r="D90" s="237">
        <f>29.7*0.01</f>
        <v>0.29699999999999999</v>
      </c>
      <c r="E90" s="238">
        <f>D90*E85</f>
        <v>0.59399999999999997</v>
      </c>
      <c r="F90" s="137"/>
      <c r="G90" s="68"/>
      <c r="H90" s="137"/>
      <c r="I90" s="68"/>
      <c r="J90" s="137"/>
      <c r="K90" s="68"/>
      <c r="L90" s="68"/>
    </row>
    <row r="91" spans="1:12" ht="31.5" x14ac:dyDescent="0.25">
      <c r="A91" s="299"/>
      <c r="B91" s="193" t="s">
        <v>138</v>
      </c>
      <c r="C91" s="194" t="s">
        <v>91</v>
      </c>
      <c r="D91" s="241">
        <f>0.16*0.01</f>
        <v>1.6000000000000001E-3</v>
      </c>
      <c r="E91" s="242">
        <f>D91*E85</f>
        <v>3.2000000000000002E-3</v>
      </c>
      <c r="F91" s="137"/>
      <c r="G91" s="68"/>
      <c r="H91" s="137"/>
      <c r="I91" s="68"/>
      <c r="J91" s="137"/>
      <c r="K91" s="68"/>
      <c r="L91" s="68"/>
    </row>
    <row r="92" spans="1:12" x14ac:dyDescent="0.25">
      <c r="A92" s="299"/>
      <c r="B92" s="193" t="s">
        <v>139</v>
      </c>
      <c r="C92" s="194" t="s">
        <v>65</v>
      </c>
      <c r="D92" s="237">
        <v>0.2</v>
      </c>
      <c r="E92" s="243">
        <f>E85*D92</f>
        <v>0.4</v>
      </c>
      <c r="F92" s="137"/>
      <c r="G92" s="68"/>
      <c r="H92" s="137"/>
      <c r="I92" s="68"/>
      <c r="J92" s="137"/>
      <c r="K92" s="68"/>
      <c r="L92" s="68"/>
    </row>
    <row r="93" spans="1:12" x14ac:dyDescent="0.25">
      <c r="A93" s="297"/>
      <c r="B93" s="83" t="s">
        <v>33</v>
      </c>
      <c r="C93" s="62" t="s">
        <v>24</v>
      </c>
      <c r="D93" s="240">
        <f>20*0.01</f>
        <v>0.2</v>
      </c>
      <c r="E93" s="238">
        <f>E85*D93</f>
        <v>0.4</v>
      </c>
      <c r="F93" s="137"/>
      <c r="G93" s="68"/>
      <c r="H93" s="137"/>
      <c r="I93" s="68"/>
      <c r="J93" s="137"/>
      <c r="K93" s="68"/>
      <c r="L93" s="68"/>
    </row>
    <row r="94" spans="1:12" ht="33" x14ac:dyDescent="0.25">
      <c r="A94" s="296">
        <v>4.5999999999999996</v>
      </c>
      <c r="B94" s="84" t="s">
        <v>174</v>
      </c>
      <c r="C94" s="86" t="s">
        <v>16</v>
      </c>
      <c r="D94" s="72"/>
      <c r="E94" s="71">
        <v>1</v>
      </c>
      <c r="F94" s="137"/>
      <c r="G94" s="68"/>
      <c r="H94" s="137"/>
      <c r="I94" s="68"/>
      <c r="J94" s="137"/>
      <c r="K94" s="68"/>
      <c r="L94" s="68"/>
    </row>
    <row r="95" spans="1:12" ht="27" x14ac:dyDescent="0.25">
      <c r="A95" s="299"/>
      <c r="B95" s="193" t="s">
        <v>26</v>
      </c>
      <c r="C95" s="62" t="s">
        <v>28</v>
      </c>
      <c r="D95" s="240">
        <f>733*0.01</f>
        <v>7.33</v>
      </c>
      <c r="E95" s="72">
        <f>E94*D95</f>
        <v>7.33</v>
      </c>
      <c r="F95" s="137"/>
      <c r="G95" s="68"/>
      <c r="H95" s="68"/>
      <c r="I95" s="68"/>
      <c r="J95" s="137"/>
      <c r="K95" s="68"/>
      <c r="L95" s="68"/>
    </row>
    <row r="96" spans="1:12" x14ac:dyDescent="0.25">
      <c r="A96" s="299"/>
      <c r="B96" s="83" t="s">
        <v>27</v>
      </c>
      <c r="C96" s="62" t="s">
        <v>24</v>
      </c>
      <c r="D96" s="237">
        <f>11*0.01</f>
        <v>0.11</v>
      </c>
      <c r="E96" s="238">
        <f>E94*D96</f>
        <v>0.11</v>
      </c>
      <c r="F96" s="137"/>
      <c r="G96" s="68"/>
      <c r="H96" s="137"/>
      <c r="I96" s="68"/>
      <c r="J96" s="68"/>
      <c r="K96" s="68"/>
      <c r="L96" s="68"/>
    </row>
    <row r="97" spans="1:12" ht="31.5" x14ac:dyDescent="0.25">
      <c r="A97" s="299"/>
      <c r="B97" s="193" t="s">
        <v>99</v>
      </c>
      <c r="C97" s="194" t="s">
        <v>92</v>
      </c>
      <c r="D97" s="240"/>
      <c r="E97" s="72">
        <f>2.5*2*E94</f>
        <v>5</v>
      </c>
      <c r="F97" s="137"/>
      <c r="G97" s="68"/>
      <c r="H97" s="137"/>
      <c r="I97" s="68"/>
      <c r="J97" s="137"/>
      <c r="K97" s="68"/>
      <c r="L97" s="68"/>
    </row>
    <row r="98" spans="1:12" x14ac:dyDescent="0.25">
      <c r="A98" s="299"/>
      <c r="B98" s="193" t="s">
        <v>274</v>
      </c>
      <c r="C98" s="194" t="s">
        <v>103</v>
      </c>
      <c r="D98" s="237">
        <f>5.1*0.01</f>
        <v>5.0999999999999997E-2</v>
      </c>
      <c r="E98" s="238">
        <f>D98*E94</f>
        <v>5.0999999999999997E-2</v>
      </c>
      <c r="F98" s="137"/>
      <c r="G98" s="68"/>
      <c r="H98" s="137"/>
      <c r="I98" s="68"/>
      <c r="J98" s="137"/>
      <c r="K98" s="68"/>
      <c r="L98" s="68"/>
    </row>
    <row r="99" spans="1:12" x14ac:dyDescent="0.25">
      <c r="A99" s="299"/>
      <c r="B99" s="193" t="s">
        <v>139</v>
      </c>
      <c r="C99" s="194" t="s">
        <v>65</v>
      </c>
      <c r="D99" s="237">
        <v>0.2</v>
      </c>
      <c r="E99" s="244">
        <f>E94*D99</f>
        <v>0.2</v>
      </c>
      <c r="F99" s="137"/>
      <c r="G99" s="68"/>
      <c r="H99" s="137"/>
      <c r="I99" s="68"/>
      <c r="J99" s="137"/>
      <c r="K99" s="68"/>
      <c r="L99" s="68"/>
    </row>
    <row r="100" spans="1:12" x14ac:dyDescent="0.25">
      <c r="A100" s="297"/>
      <c r="B100" s="83" t="s">
        <v>33</v>
      </c>
      <c r="C100" s="62" t="s">
        <v>24</v>
      </c>
      <c r="D100" s="240">
        <f>2*0.01</f>
        <v>0.02</v>
      </c>
      <c r="E100" s="240">
        <f>E94*D100</f>
        <v>0.02</v>
      </c>
      <c r="F100" s="137"/>
      <c r="G100" s="68"/>
      <c r="H100" s="137"/>
      <c r="I100" s="68"/>
      <c r="J100" s="137"/>
      <c r="K100" s="68"/>
      <c r="L100" s="68"/>
    </row>
    <row r="101" spans="1:12" ht="49.5" x14ac:dyDescent="0.25">
      <c r="A101" s="296">
        <v>4.7</v>
      </c>
      <c r="B101" s="190" t="s">
        <v>140</v>
      </c>
      <c r="C101" s="191" t="s">
        <v>96</v>
      </c>
      <c r="D101" s="169"/>
      <c r="E101" s="195">
        <f>E59*2+E89+E97</f>
        <v>261</v>
      </c>
      <c r="F101" s="137"/>
      <c r="G101" s="68"/>
      <c r="H101" s="137"/>
      <c r="I101" s="68"/>
      <c r="J101" s="137"/>
      <c r="K101" s="68"/>
      <c r="L101" s="68"/>
    </row>
    <row r="102" spans="1:12" ht="27" x14ac:dyDescent="0.25">
      <c r="A102" s="299"/>
      <c r="B102" s="245" t="s">
        <v>26</v>
      </c>
      <c r="C102" s="246" t="s">
        <v>28</v>
      </c>
      <c r="D102" s="237">
        <f>68*0.01</f>
        <v>0.68</v>
      </c>
      <c r="E102" s="247">
        <f>E101*D102</f>
        <v>177.48000000000002</v>
      </c>
      <c r="F102" s="137"/>
      <c r="G102" s="68"/>
      <c r="H102" s="68"/>
      <c r="I102" s="68"/>
      <c r="J102" s="137"/>
      <c r="K102" s="68"/>
      <c r="L102" s="68"/>
    </row>
    <row r="103" spans="1:12" x14ac:dyDescent="0.25">
      <c r="A103" s="299"/>
      <c r="B103" s="235" t="s">
        <v>27</v>
      </c>
      <c r="C103" s="211" t="s">
        <v>24</v>
      </c>
      <c r="D103" s="248">
        <f>0.03*0.01</f>
        <v>2.9999999999999997E-4</v>
      </c>
      <c r="E103" s="249">
        <f>E101*D103</f>
        <v>7.8299999999999995E-2</v>
      </c>
      <c r="F103" s="137"/>
      <c r="G103" s="68"/>
      <c r="H103" s="137"/>
      <c r="I103" s="68"/>
      <c r="J103" s="68"/>
      <c r="K103" s="68"/>
      <c r="L103" s="68"/>
    </row>
    <row r="104" spans="1:12" x14ac:dyDescent="0.25">
      <c r="A104" s="299"/>
      <c r="B104" s="250" t="s">
        <v>126</v>
      </c>
      <c r="C104" s="251" t="s">
        <v>65</v>
      </c>
      <c r="D104" s="252">
        <v>0.253</v>
      </c>
      <c r="E104" s="236">
        <f>D104*E101</f>
        <v>66.033000000000001</v>
      </c>
      <c r="F104" s="137"/>
      <c r="G104" s="68"/>
      <c r="H104" s="137"/>
      <c r="I104" s="68"/>
      <c r="J104" s="137"/>
      <c r="K104" s="68"/>
      <c r="L104" s="68"/>
    </row>
    <row r="105" spans="1:12" x14ac:dyDescent="0.25">
      <c r="A105" s="299"/>
      <c r="B105" s="250" t="s">
        <v>127</v>
      </c>
      <c r="C105" s="251" t="s">
        <v>65</v>
      </c>
      <c r="D105" s="252">
        <v>2.7E-2</v>
      </c>
      <c r="E105" s="236">
        <f>D105*E101</f>
        <v>7.0469999999999997</v>
      </c>
      <c r="F105" s="137"/>
      <c r="G105" s="68"/>
      <c r="H105" s="137"/>
      <c r="I105" s="68"/>
      <c r="J105" s="137"/>
      <c r="K105" s="68"/>
      <c r="L105" s="68"/>
    </row>
    <row r="106" spans="1:12" x14ac:dyDescent="0.25">
      <c r="A106" s="297"/>
      <c r="B106" s="235" t="s">
        <v>33</v>
      </c>
      <c r="C106" s="211" t="s">
        <v>24</v>
      </c>
      <c r="D106" s="248">
        <v>1.9E-3</v>
      </c>
      <c r="E106" s="249">
        <f>E101*D106</f>
        <v>0.49590000000000001</v>
      </c>
      <c r="F106" s="137"/>
      <c r="G106" s="68"/>
      <c r="H106" s="137"/>
      <c r="I106" s="68"/>
      <c r="J106" s="137"/>
      <c r="K106" s="68"/>
      <c r="L106" s="68"/>
    </row>
    <row r="107" spans="1:12" ht="33" x14ac:dyDescent="0.25">
      <c r="A107" s="39">
        <v>5</v>
      </c>
      <c r="B107" s="90" t="s">
        <v>141</v>
      </c>
      <c r="C107" s="91" t="s">
        <v>11</v>
      </c>
      <c r="D107" s="90"/>
      <c r="E107" s="90">
        <f>23.5+1.7+16+8+8+4.2+(16.8+14.5+10.3)</f>
        <v>103</v>
      </c>
      <c r="F107" s="137"/>
      <c r="G107" s="68"/>
      <c r="H107" s="137"/>
      <c r="I107" s="68"/>
      <c r="J107" s="137"/>
      <c r="K107" s="68"/>
      <c r="L107" s="68"/>
    </row>
    <row r="108" spans="1:12" ht="66" x14ac:dyDescent="0.25">
      <c r="A108" s="296">
        <v>5.0999999999999996</v>
      </c>
      <c r="B108" s="175" t="s">
        <v>131</v>
      </c>
      <c r="C108" s="145" t="s">
        <v>20</v>
      </c>
      <c r="D108" s="137"/>
      <c r="E108" s="90">
        <f>0.1*0.15*E107</f>
        <v>1.5449999999999999</v>
      </c>
      <c r="F108" s="137"/>
      <c r="G108" s="68"/>
      <c r="H108" s="137"/>
      <c r="I108" s="68"/>
      <c r="J108" s="137"/>
      <c r="K108" s="68"/>
      <c r="L108" s="68"/>
    </row>
    <row r="109" spans="1:12" x14ac:dyDescent="0.25">
      <c r="A109" s="297"/>
      <c r="B109" s="229" t="s">
        <v>26</v>
      </c>
      <c r="C109" s="152" t="s">
        <v>103</v>
      </c>
      <c r="D109" s="149">
        <v>2.06</v>
      </c>
      <c r="E109" s="149">
        <f>D109*E108</f>
        <v>3.1827000000000001</v>
      </c>
      <c r="F109" s="77"/>
      <c r="G109" s="68"/>
      <c r="H109" s="153"/>
      <c r="I109" s="68"/>
      <c r="J109" s="137"/>
      <c r="K109" s="68"/>
      <c r="L109" s="68"/>
    </row>
    <row r="110" spans="1:12" ht="49.5" x14ac:dyDescent="0.25">
      <c r="A110" s="321">
        <v>5.2</v>
      </c>
      <c r="B110" s="84" t="s">
        <v>145</v>
      </c>
      <c r="C110" s="86" t="s">
        <v>64</v>
      </c>
      <c r="D110" s="89"/>
      <c r="E110" s="189">
        <f>E107</f>
        <v>103</v>
      </c>
      <c r="F110" s="137"/>
      <c r="G110" s="68"/>
      <c r="H110" s="137"/>
      <c r="I110" s="68"/>
      <c r="J110" s="137"/>
      <c r="K110" s="68"/>
      <c r="L110" s="68"/>
    </row>
    <row r="111" spans="1:12" x14ac:dyDescent="0.25">
      <c r="A111" s="321"/>
      <c r="B111" s="83" t="s">
        <v>79</v>
      </c>
      <c r="C111" s="62" t="s">
        <v>63</v>
      </c>
      <c r="D111" s="131">
        <v>0.74</v>
      </c>
      <c r="E111" s="72">
        <f>D111*E110</f>
        <v>76.22</v>
      </c>
      <c r="F111" s="137"/>
      <c r="G111" s="68"/>
      <c r="H111" s="68"/>
      <c r="I111" s="68"/>
      <c r="J111" s="137"/>
      <c r="K111" s="68"/>
      <c r="L111" s="68"/>
    </row>
    <row r="112" spans="1:12" x14ac:dyDescent="0.25">
      <c r="A112" s="321"/>
      <c r="B112" s="83" t="s">
        <v>27</v>
      </c>
      <c r="C112" s="62" t="s">
        <v>83</v>
      </c>
      <c r="D112" s="131">
        <f>0.71*0.01</f>
        <v>7.0999999999999995E-3</v>
      </c>
      <c r="E112" s="72">
        <f>D112*E110</f>
        <v>0.73129999999999995</v>
      </c>
      <c r="F112" s="137"/>
      <c r="G112" s="68"/>
      <c r="H112" s="137"/>
      <c r="I112" s="68"/>
      <c r="J112" s="68"/>
      <c r="K112" s="68"/>
      <c r="L112" s="68"/>
    </row>
    <row r="113" spans="1:12" ht="31.5" x14ac:dyDescent="0.25">
      <c r="A113" s="321"/>
      <c r="B113" s="83" t="s">
        <v>146</v>
      </c>
      <c r="C113" s="62" t="s">
        <v>64</v>
      </c>
      <c r="D113" s="131">
        <v>1</v>
      </c>
      <c r="E113" s="72">
        <f>D113*E110</f>
        <v>103</v>
      </c>
      <c r="F113" s="137"/>
      <c r="G113" s="68"/>
      <c r="H113" s="137"/>
      <c r="I113" s="68"/>
      <c r="J113" s="137"/>
      <c r="K113" s="68"/>
      <c r="L113" s="68"/>
    </row>
    <row r="114" spans="1:12" x14ac:dyDescent="0.25">
      <c r="A114" s="321"/>
      <c r="B114" s="111" t="s">
        <v>147</v>
      </c>
      <c r="C114" s="62" t="s">
        <v>103</v>
      </c>
      <c r="D114" s="131">
        <f>5.9*0.01</f>
        <v>5.9000000000000004E-2</v>
      </c>
      <c r="E114" s="72">
        <f>E110*D114</f>
        <v>6.077</v>
      </c>
      <c r="F114" s="137"/>
      <c r="G114" s="68"/>
      <c r="H114" s="137"/>
      <c r="I114" s="68"/>
      <c r="J114" s="137"/>
      <c r="K114" s="68"/>
      <c r="L114" s="68"/>
    </row>
    <row r="115" spans="1:12" ht="31.5" x14ac:dyDescent="0.25">
      <c r="A115" s="321"/>
      <c r="B115" s="83" t="s">
        <v>148</v>
      </c>
      <c r="C115" s="62" t="s">
        <v>103</v>
      </c>
      <c r="D115" s="131">
        <f>0.06*0.01</f>
        <v>5.9999999999999995E-4</v>
      </c>
      <c r="E115" s="72">
        <f>D115*E110</f>
        <v>6.1799999999999994E-2</v>
      </c>
      <c r="F115" s="137"/>
      <c r="G115" s="68"/>
      <c r="H115" s="137"/>
      <c r="I115" s="68"/>
      <c r="J115" s="137"/>
      <c r="K115" s="68"/>
      <c r="L115" s="68"/>
    </row>
    <row r="116" spans="1:12" x14ac:dyDescent="0.25">
      <c r="A116" s="321"/>
      <c r="B116" s="83" t="s">
        <v>33</v>
      </c>
      <c r="C116" s="62" t="s">
        <v>24</v>
      </c>
      <c r="D116" s="131">
        <f>9.6*0.01</f>
        <v>9.6000000000000002E-2</v>
      </c>
      <c r="E116" s="72">
        <f>D116*E110</f>
        <v>9.8879999999999999</v>
      </c>
      <c r="F116" s="137"/>
      <c r="G116" s="68"/>
      <c r="H116" s="137"/>
      <c r="I116" s="68"/>
      <c r="J116" s="137"/>
      <c r="K116" s="68"/>
      <c r="L116" s="68"/>
    </row>
    <row r="117" spans="1:12" ht="49.5" x14ac:dyDescent="0.25">
      <c r="A117" s="322">
        <v>5.3</v>
      </c>
      <c r="B117" s="84" t="s">
        <v>149</v>
      </c>
      <c r="C117" s="86" t="s">
        <v>102</v>
      </c>
      <c r="D117" s="131"/>
      <c r="E117" s="189">
        <f>0.07*0.1*E107</f>
        <v>0.72100000000000009</v>
      </c>
      <c r="F117" s="137"/>
      <c r="G117" s="68"/>
      <c r="H117" s="137"/>
      <c r="I117" s="68"/>
      <c r="J117" s="137"/>
      <c r="K117" s="68"/>
      <c r="L117" s="68"/>
    </row>
    <row r="118" spans="1:12" x14ac:dyDescent="0.25">
      <c r="A118" s="322"/>
      <c r="B118" s="83" t="s">
        <v>53</v>
      </c>
      <c r="C118" s="226" t="s">
        <v>28</v>
      </c>
      <c r="D118" s="227">
        <v>0.89</v>
      </c>
      <c r="E118" s="228">
        <f>E117*D118</f>
        <v>0.64169000000000009</v>
      </c>
      <c r="F118" s="64"/>
      <c r="G118" s="68"/>
      <c r="H118" s="64"/>
      <c r="I118" s="68"/>
      <c r="J118" s="64"/>
      <c r="K118" s="68"/>
      <c r="L118" s="68"/>
    </row>
    <row r="119" spans="1:12" x14ac:dyDescent="0.25">
      <c r="A119" s="322"/>
      <c r="B119" s="83" t="s">
        <v>27</v>
      </c>
      <c r="C119" s="226" t="s">
        <v>24</v>
      </c>
      <c r="D119" s="227">
        <v>0.37</v>
      </c>
      <c r="E119" s="228">
        <f>D119*E117</f>
        <v>0.26677000000000001</v>
      </c>
      <c r="F119" s="64"/>
      <c r="G119" s="68"/>
      <c r="H119" s="64"/>
      <c r="I119" s="68"/>
      <c r="J119" s="64"/>
      <c r="K119" s="68"/>
      <c r="L119" s="68"/>
    </row>
    <row r="120" spans="1:12" x14ac:dyDescent="0.25">
      <c r="A120" s="322"/>
      <c r="B120" s="234" t="s">
        <v>85</v>
      </c>
      <c r="C120" s="194" t="s">
        <v>103</v>
      </c>
      <c r="D120" s="227">
        <v>1.1499999999999999</v>
      </c>
      <c r="E120" s="228">
        <f>D120*E117</f>
        <v>0.82915000000000005</v>
      </c>
      <c r="F120" s="64"/>
      <c r="G120" s="68"/>
      <c r="H120" s="64"/>
      <c r="I120" s="68"/>
      <c r="J120" s="64"/>
      <c r="K120" s="68"/>
      <c r="L120" s="68"/>
    </row>
    <row r="121" spans="1:12" x14ac:dyDescent="0.25">
      <c r="A121" s="322"/>
      <c r="B121" s="83" t="s">
        <v>30</v>
      </c>
      <c r="C121" s="226" t="s">
        <v>24</v>
      </c>
      <c r="D121" s="227">
        <v>0.02</v>
      </c>
      <c r="E121" s="228">
        <f>D121*E117</f>
        <v>1.4420000000000002E-2</v>
      </c>
      <c r="F121" s="131"/>
      <c r="G121" s="68"/>
      <c r="H121" s="72"/>
      <c r="I121" s="68"/>
      <c r="J121" s="64"/>
      <c r="K121" s="68"/>
      <c r="L121" s="68"/>
    </row>
    <row r="122" spans="1:12" ht="66" x14ac:dyDescent="0.25">
      <c r="A122" s="318">
        <v>5.4</v>
      </c>
      <c r="B122" s="112" t="s">
        <v>150</v>
      </c>
      <c r="C122" s="67" t="s">
        <v>102</v>
      </c>
      <c r="D122" s="55"/>
      <c r="E122" s="90">
        <f>0.1*0.1*E107</f>
        <v>1.0300000000000002</v>
      </c>
      <c r="F122" s="137"/>
      <c r="G122" s="68"/>
      <c r="H122" s="137"/>
      <c r="I122" s="68"/>
      <c r="J122" s="137"/>
      <c r="K122" s="68"/>
      <c r="L122" s="68"/>
    </row>
    <row r="123" spans="1:12" x14ac:dyDescent="0.25">
      <c r="A123" s="319"/>
      <c r="B123" s="110" t="s">
        <v>53</v>
      </c>
      <c r="C123" s="40" t="s">
        <v>63</v>
      </c>
      <c r="D123" s="47" t="s">
        <v>313</v>
      </c>
      <c r="E123" s="47">
        <f>E122*D123</f>
        <v>1.4111000000000005</v>
      </c>
      <c r="F123" s="73"/>
      <c r="G123" s="68"/>
      <c r="H123" s="73"/>
      <c r="I123" s="68"/>
      <c r="J123" s="73"/>
      <c r="K123" s="68"/>
      <c r="L123" s="68"/>
    </row>
    <row r="124" spans="1:12" x14ac:dyDescent="0.25">
      <c r="A124" s="319"/>
      <c r="B124" s="83" t="s">
        <v>27</v>
      </c>
      <c r="C124" s="231" t="s">
        <v>24</v>
      </c>
      <c r="D124" s="47" t="s">
        <v>151</v>
      </c>
      <c r="E124" s="47" t="s">
        <v>308</v>
      </c>
      <c r="F124" s="73"/>
      <c r="G124" s="68"/>
      <c r="H124" s="73"/>
      <c r="I124" s="68"/>
      <c r="J124" s="73"/>
      <c r="K124" s="68"/>
      <c r="L124" s="68"/>
    </row>
    <row r="125" spans="1:12" x14ac:dyDescent="0.25">
      <c r="A125" s="319"/>
      <c r="B125" s="110" t="s">
        <v>94</v>
      </c>
      <c r="C125" s="40" t="s">
        <v>103</v>
      </c>
      <c r="D125" s="47" t="s">
        <v>152</v>
      </c>
      <c r="E125" s="43">
        <v>1.05</v>
      </c>
      <c r="F125" s="73"/>
      <c r="G125" s="68"/>
      <c r="H125" s="73"/>
      <c r="I125" s="68"/>
      <c r="J125" s="73"/>
      <c r="K125" s="68"/>
      <c r="L125" s="68"/>
    </row>
    <row r="126" spans="1:12" x14ac:dyDescent="0.25">
      <c r="A126" s="320"/>
      <c r="B126" s="83" t="s">
        <v>33</v>
      </c>
      <c r="C126" s="232" t="s">
        <v>24</v>
      </c>
      <c r="D126" s="47" t="s">
        <v>153</v>
      </c>
      <c r="E126" s="43">
        <v>0.63859999999999995</v>
      </c>
      <c r="F126" s="73"/>
      <c r="G126" s="68"/>
      <c r="H126" s="73"/>
      <c r="I126" s="68"/>
      <c r="J126" s="73"/>
      <c r="K126" s="68"/>
      <c r="L126" s="68"/>
    </row>
    <row r="127" spans="1:12" ht="33" x14ac:dyDescent="0.25">
      <c r="A127" s="39">
        <v>6</v>
      </c>
      <c r="B127" s="90" t="s">
        <v>154</v>
      </c>
      <c r="C127" s="91" t="s">
        <v>21</v>
      </c>
      <c r="D127" s="90"/>
      <c r="E127" s="90">
        <f>229-23*4</f>
        <v>137</v>
      </c>
      <c r="F127" s="137"/>
      <c r="G127" s="68"/>
      <c r="H127" s="137"/>
      <c r="I127" s="68"/>
      <c r="J127" s="137"/>
      <c r="K127" s="68"/>
      <c r="L127" s="68"/>
    </row>
    <row r="128" spans="1:12" ht="33" x14ac:dyDescent="0.25">
      <c r="A128" s="298">
        <v>6.1</v>
      </c>
      <c r="B128" s="175" t="s">
        <v>155</v>
      </c>
      <c r="C128" s="145" t="s">
        <v>20</v>
      </c>
      <c r="D128" s="137"/>
      <c r="E128" s="90">
        <f>E127*0.2</f>
        <v>27.400000000000002</v>
      </c>
      <c r="F128" s="137"/>
      <c r="G128" s="68"/>
      <c r="H128" s="137"/>
      <c r="I128" s="68"/>
      <c r="J128" s="137"/>
      <c r="K128" s="68"/>
      <c r="L128" s="68"/>
    </row>
    <row r="129" spans="1:12" ht="27" x14ac:dyDescent="0.25">
      <c r="A129" s="298"/>
      <c r="B129" s="176" t="s">
        <v>26</v>
      </c>
      <c r="C129" s="145" t="s">
        <v>28</v>
      </c>
      <c r="D129" s="137">
        <v>3.52</v>
      </c>
      <c r="E129" s="137">
        <f>E128*D129</f>
        <v>96.448000000000008</v>
      </c>
      <c r="F129" s="137"/>
      <c r="G129" s="68"/>
      <c r="H129" s="68"/>
      <c r="I129" s="68"/>
      <c r="J129" s="137"/>
      <c r="K129" s="68"/>
      <c r="L129" s="68"/>
    </row>
    <row r="130" spans="1:12" x14ac:dyDescent="0.25">
      <c r="A130" s="298"/>
      <c r="B130" s="176" t="s">
        <v>27</v>
      </c>
      <c r="C130" s="145" t="s">
        <v>24</v>
      </c>
      <c r="D130" s="137">
        <v>1.06</v>
      </c>
      <c r="E130" s="137">
        <f>E128*D130</f>
        <v>29.044000000000004</v>
      </c>
      <c r="F130" s="137"/>
      <c r="G130" s="68"/>
      <c r="H130" s="137"/>
      <c r="I130" s="68"/>
      <c r="J130" s="68"/>
      <c r="K130" s="68"/>
      <c r="L130" s="68"/>
    </row>
    <row r="131" spans="1:12" x14ac:dyDescent="0.25">
      <c r="A131" s="298"/>
      <c r="B131" s="176" t="s">
        <v>85</v>
      </c>
      <c r="C131" s="145" t="s">
        <v>20</v>
      </c>
      <c r="D131" s="137">
        <f>0.18+0.09+0.97</f>
        <v>1.24</v>
      </c>
      <c r="E131" s="137">
        <f>E128*D131</f>
        <v>33.975999999999999</v>
      </c>
      <c r="F131" s="137"/>
      <c r="G131" s="68"/>
      <c r="H131" s="137"/>
      <c r="I131" s="68"/>
      <c r="J131" s="137"/>
      <c r="K131" s="68"/>
      <c r="L131" s="68"/>
    </row>
    <row r="132" spans="1:12" x14ac:dyDescent="0.25">
      <c r="A132" s="298"/>
      <c r="B132" s="176" t="s">
        <v>33</v>
      </c>
      <c r="C132" s="145" t="s">
        <v>24</v>
      </c>
      <c r="D132" s="137">
        <v>0.02</v>
      </c>
      <c r="E132" s="137">
        <f>E128*D132</f>
        <v>0.54800000000000004</v>
      </c>
      <c r="F132" s="137"/>
      <c r="G132" s="68"/>
      <c r="H132" s="137"/>
      <c r="I132" s="68"/>
      <c r="J132" s="137"/>
      <c r="K132" s="68"/>
      <c r="L132" s="68"/>
    </row>
    <row r="133" spans="1:12" ht="27" x14ac:dyDescent="0.25">
      <c r="A133" s="298">
        <v>6.2</v>
      </c>
      <c r="B133" s="196" t="s">
        <v>156</v>
      </c>
      <c r="C133" s="30" t="s">
        <v>157</v>
      </c>
      <c r="D133" s="138">
        <f>E127/100</f>
        <v>1.37</v>
      </c>
      <c r="E133" s="23">
        <f>E127/100</f>
        <v>1.37</v>
      </c>
      <c r="F133" s="253"/>
      <c r="G133" s="68"/>
      <c r="H133" s="253"/>
      <c r="I133" s="68"/>
      <c r="J133" s="253"/>
      <c r="K133" s="68"/>
      <c r="L133" s="68"/>
    </row>
    <row r="134" spans="1:12" ht="27" x14ac:dyDescent="0.25">
      <c r="A134" s="298"/>
      <c r="B134" s="254" t="s">
        <v>79</v>
      </c>
      <c r="C134" s="30" t="s">
        <v>28</v>
      </c>
      <c r="D134" s="138">
        <v>19.7</v>
      </c>
      <c r="E134" s="138">
        <f>E133*D134</f>
        <v>26.989000000000001</v>
      </c>
      <c r="F134" s="138"/>
      <c r="G134" s="68"/>
      <c r="H134" s="255"/>
      <c r="I134" s="68"/>
      <c r="J134" s="253"/>
      <c r="K134" s="68"/>
      <c r="L134" s="68"/>
    </row>
    <row r="135" spans="1:12" x14ac:dyDescent="0.25">
      <c r="A135" s="298"/>
      <c r="B135" s="254" t="s">
        <v>158</v>
      </c>
      <c r="C135" s="30" t="s">
        <v>95</v>
      </c>
      <c r="D135" s="138">
        <v>110</v>
      </c>
      <c r="E135" s="138">
        <f>E133*D135</f>
        <v>150.70000000000002</v>
      </c>
      <c r="F135" s="253"/>
      <c r="G135" s="68"/>
      <c r="H135" s="138"/>
      <c r="I135" s="68"/>
      <c r="J135" s="253"/>
      <c r="K135" s="68"/>
      <c r="L135" s="68"/>
    </row>
    <row r="136" spans="1:12" x14ac:dyDescent="0.25">
      <c r="A136" s="298"/>
      <c r="B136" s="254" t="s">
        <v>82</v>
      </c>
      <c r="C136" s="30" t="s">
        <v>24</v>
      </c>
      <c r="D136" s="138">
        <v>7.2</v>
      </c>
      <c r="E136" s="138">
        <f>E133*D136</f>
        <v>9.8640000000000008</v>
      </c>
      <c r="F136" s="253"/>
      <c r="G136" s="68"/>
      <c r="H136" s="138"/>
      <c r="I136" s="68"/>
      <c r="J136" s="253"/>
      <c r="K136" s="68"/>
      <c r="L136" s="68"/>
    </row>
    <row r="137" spans="1:12" ht="33" x14ac:dyDescent="0.25">
      <c r="A137" s="298">
        <v>6.3</v>
      </c>
      <c r="B137" s="197" t="s">
        <v>197</v>
      </c>
      <c r="C137" s="30" t="s">
        <v>21</v>
      </c>
      <c r="D137" s="138"/>
      <c r="E137" s="23">
        <f>E127</f>
        <v>137</v>
      </c>
      <c r="F137" s="253"/>
      <c r="G137" s="68"/>
      <c r="H137" s="138"/>
      <c r="I137" s="68"/>
      <c r="J137" s="253"/>
      <c r="K137" s="68"/>
      <c r="L137" s="68"/>
    </row>
    <row r="138" spans="1:12" ht="16.5" x14ac:dyDescent="0.25">
      <c r="A138" s="298"/>
      <c r="B138" s="97"/>
      <c r="C138" s="30" t="s">
        <v>20</v>
      </c>
      <c r="D138" s="138"/>
      <c r="E138" s="23">
        <f>E137*0.15</f>
        <v>20.55</v>
      </c>
      <c r="F138" s="253"/>
      <c r="G138" s="68"/>
      <c r="H138" s="138"/>
      <c r="I138" s="68"/>
      <c r="J138" s="253"/>
      <c r="K138" s="68"/>
      <c r="L138" s="68"/>
    </row>
    <row r="139" spans="1:12" ht="27" x14ac:dyDescent="0.25">
      <c r="A139" s="298"/>
      <c r="B139" s="254" t="s">
        <v>26</v>
      </c>
      <c r="C139" s="145" t="s">
        <v>28</v>
      </c>
      <c r="D139" s="137">
        <v>2.9</v>
      </c>
      <c r="E139" s="137">
        <f>E138*D139</f>
        <v>59.594999999999999</v>
      </c>
      <c r="F139" s="137"/>
      <c r="G139" s="68"/>
      <c r="H139" s="68"/>
      <c r="I139" s="68"/>
      <c r="J139" s="253"/>
      <c r="K139" s="68"/>
      <c r="L139" s="68"/>
    </row>
    <row r="140" spans="1:12" x14ac:dyDescent="0.25">
      <c r="A140" s="298"/>
      <c r="B140" s="254" t="s">
        <v>32</v>
      </c>
      <c r="C140" s="145" t="s">
        <v>24</v>
      </c>
      <c r="D140" s="137">
        <v>0</v>
      </c>
      <c r="E140" s="137">
        <f>E138*D140</f>
        <v>0</v>
      </c>
      <c r="F140" s="137"/>
      <c r="G140" s="68"/>
      <c r="H140" s="137"/>
      <c r="I140" s="68"/>
      <c r="J140" s="255"/>
      <c r="K140" s="68"/>
      <c r="L140" s="68"/>
    </row>
    <row r="141" spans="1:12" x14ac:dyDescent="0.25">
      <c r="A141" s="298"/>
      <c r="B141" s="254" t="s">
        <v>59</v>
      </c>
      <c r="C141" s="30" t="s">
        <v>20</v>
      </c>
      <c r="D141" s="138">
        <v>1.02</v>
      </c>
      <c r="E141" s="138">
        <f>E138*D141</f>
        <v>20.961000000000002</v>
      </c>
      <c r="F141" s="253"/>
      <c r="G141" s="68"/>
      <c r="H141" s="138"/>
      <c r="I141" s="68"/>
      <c r="J141" s="253"/>
      <c r="K141" s="68"/>
      <c r="L141" s="68"/>
    </row>
    <row r="142" spans="1:12" ht="31.5" x14ac:dyDescent="0.25">
      <c r="A142" s="298"/>
      <c r="B142" s="198" t="s">
        <v>198</v>
      </c>
      <c r="C142" s="199" t="s">
        <v>23</v>
      </c>
      <c r="D142" s="200">
        <v>1.03</v>
      </c>
      <c r="E142" s="200">
        <f>E137*8*2*1*2*D142*0.222/1000</f>
        <v>1.00244544</v>
      </c>
      <c r="F142" s="137"/>
      <c r="G142" s="68"/>
      <c r="H142" s="138"/>
      <c r="I142" s="68"/>
      <c r="J142" s="253"/>
      <c r="K142" s="68"/>
      <c r="L142" s="68"/>
    </row>
    <row r="143" spans="1:12" x14ac:dyDescent="0.25">
      <c r="A143" s="298"/>
      <c r="B143" s="254" t="s">
        <v>82</v>
      </c>
      <c r="C143" s="30" t="s">
        <v>24</v>
      </c>
      <c r="D143" s="138">
        <v>0.88</v>
      </c>
      <c r="E143" s="138">
        <f>E138*D143</f>
        <v>18.084</v>
      </c>
      <c r="F143" s="253"/>
      <c r="G143" s="68"/>
      <c r="H143" s="138"/>
      <c r="I143" s="68"/>
      <c r="J143" s="253"/>
      <c r="K143" s="68"/>
      <c r="L143" s="68"/>
    </row>
    <row r="144" spans="1:12" ht="49.5" x14ac:dyDescent="0.25">
      <c r="A144" s="298">
        <v>6.4</v>
      </c>
      <c r="B144" s="175" t="s">
        <v>199</v>
      </c>
      <c r="C144" s="145" t="s">
        <v>57</v>
      </c>
      <c r="D144" s="137"/>
      <c r="E144" s="90">
        <f>E127/100</f>
        <v>1.37</v>
      </c>
      <c r="F144" s="137"/>
      <c r="G144" s="68"/>
      <c r="H144" s="137"/>
      <c r="I144" s="68"/>
      <c r="J144" s="137"/>
      <c r="K144" s="68"/>
      <c r="L144" s="68"/>
    </row>
    <row r="145" spans="1:12" ht="27" x14ac:dyDescent="0.25">
      <c r="A145" s="298"/>
      <c r="B145" s="176" t="s">
        <v>26</v>
      </c>
      <c r="C145" s="145" t="s">
        <v>28</v>
      </c>
      <c r="D145" s="137">
        <v>77.900000000000006</v>
      </c>
      <c r="E145" s="137">
        <f>E144*D145</f>
        <v>106.72300000000001</v>
      </c>
      <c r="F145" s="137"/>
      <c r="G145" s="68"/>
      <c r="H145" s="68"/>
      <c r="I145" s="68"/>
      <c r="J145" s="137"/>
      <c r="K145" s="68"/>
      <c r="L145" s="68"/>
    </row>
    <row r="146" spans="1:12" x14ac:dyDescent="0.25">
      <c r="A146" s="298"/>
      <c r="B146" s="176" t="s">
        <v>32</v>
      </c>
      <c r="C146" s="145" t="s">
        <v>24</v>
      </c>
      <c r="D146" s="137">
        <v>10.4</v>
      </c>
      <c r="E146" s="137">
        <f>E144*D146</f>
        <v>14.248000000000001</v>
      </c>
      <c r="F146" s="137"/>
      <c r="G146" s="68"/>
      <c r="H146" s="137"/>
      <c r="I146" s="68"/>
      <c r="J146" s="68"/>
      <c r="K146" s="68"/>
      <c r="L146" s="68"/>
    </row>
    <row r="147" spans="1:12" ht="31.5" x14ac:dyDescent="0.25">
      <c r="A147" s="298"/>
      <c r="B147" s="176" t="s">
        <v>159</v>
      </c>
      <c r="C147" s="145" t="s">
        <v>21</v>
      </c>
      <c r="D147" s="137">
        <v>101</v>
      </c>
      <c r="E147" s="137">
        <f>E144*D147</f>
        <v>138.37</v>
      </c>
      <c r="F147" s="137"/>
      <c r="G147" s="68"/>
      <c r="H147" s="137"/>
      <c r="I147" s="68"/>
      <c r="J147" s="137"/>
      <c r="K147" s="68"/>
      <c r="L147" s="68"/>
    </row>
    <row r="148" spans="1:12" x14ac:dyDescent="0.25">
      <c r="A148" s="298"/>
      <c r="B148" s="176" t="s">
        <v>61</v>
      </c>
      <c r="C148" s="145" t="s">
        <v>20</v>
      </c>
      <c r="D148" s="137">
        <v>2.11</v>
      </c>
      <c r="E148" s="137">
        <f>E144*D148</f>
        <v>2.8907000000000003</v>
      </c>
      <c r="F148" s="137"/>
      <c r="G148" s="68"/>
      <c r="H148" s="137"/>
      <c r="I148" s="68"/>
      <c r="J148" s="137"/>
      <c r="K148" s="68"/>
      <c r="L148" s="68"/>
    </row>
    <row r="149" spans="1:12" x14ac:dyDescent="0.25">
      <c r="A149" s="298"/>
      <c r="B149" s="254" t="s">
        <v>82</v>
      </c>
      <c r="C149" s="30" t="s">
        <v>24</v>
      </c>
      <c r="D149" s="137">
        <v>4.66</v>
      </c>
      <c r="E149" s="137">
        <f>E144*D149</f>
        <v>6.3842000000000008</v>
      </c>
      <c r="F149" s="137"/>
      <c r="G149" s="68"/>
      <c r="H149" s="137"/>
      <c r="I149" s="68"/>
      <c r="J149" s="137"/>
      <c r="K149" s="68"/>
      <c r="L149" s="68"/>
    </row>
    <row r="150" spans="1:12" ht="66" x14ac:dyDescent="0.25">
      <c r="A150" s="201">
        <v>7</v>
      </c>
      <c r="B150" s="90" t="s">
        <v>202</v>
      </c>
      <c r="C150" s="91" t="s">
        <v>21</v>
      </c>
      <c r="D150" s="90"/>
      <c r="E150" s="90">
        <f>23*4+5*7</f>
        <v>127</v>
      </c>
      <c r="F150" s="137"/>
      <c r="G150" s="68"/>
      <c r="H150" s="137"/>
      <c r="I150" s="68"/>
      <c r="J150" s="137"/>
      <c r="K150" s="68"/>
      <c r="L150" s="68"/>
    </row>
    <row r="151" spans="1:12" ht="33" x14ac:dyDescent="0.25">
      <c r="A151" s="298">
        <v>7.1</v>
      </c>
      <c r="B151" s="175" t="s">
        <v>155</v>
      </c>
      <c r="C151" s="145" t="s">
        <v>20</v>
      </c>
      <c r="D151" s="137"/>
      <c r="E151" s="90">
        <f>E150*0.2</f>
        <v>25.400000000000002</v>
      </c>
      <c r="F151" s="137"/>
      <c r="G151" s="68"/>
      <c r="H151" s="137"/>
      <c r="I151" s="68"/>
      <c r="J151" s="137"/>
      <c r="K151" s="68"/>
      <c r="L151" s="68"/>
    </row>
    <row r="152" spans="1:12" ht="27" x14ac:dyDescent="0.25">
      <c r="A152" s="298"/>
      <c r="B152" s="176" t="s">
        <v>26</v>
      </c>
      <c r="C152" s="145" t="s">
        <v>28</v>
      </c>
      <c r="D152" s="137">
        <v>3.52</v>
      </c>
      <c r="E152" s="137">
        <f>E151*D152</f>
        <v>89.408000000000001</v>
      </c>
      <c r="F152" s="137"/>
      <c r="G152" s="68"/>
      <c r="H152" s="68"/>
      <c r="I152" s="68"/>
      <c r="J152" s="137"/>
      <c r="K152" s="68"/>
      <c r="L152" s="68"/>
    </row>
    <row r="153" spans="1:12" x14ac:dyDescent="0.25">
      <c r="A153" s="298"/>
      <c r="B153" s="176" t="s">
        <v>27</v>
      </c>
      <c r="C153" s="145" t="s">
        <v>24</v>
      </c>
      <c r="D153" s="137">
        <v>1.06</v>
      </c>
      <c r="E153" s="137">
        <f>E151*D153</f>
        <v>26.924000000000003</v>
      </c>
      <c r="F153" s="137"/>
      <c r="G153" s="68"/>
      <c r="H153" s="137"/>
      <c r="I153" s="68"/>
      <c r="J153" s="68"/>
      <c r="K153" s="68"/>
      <c r="L153" s="68"/>
    </row>
    <row r="154" spans="1:12" x14ac:dyDescent="0.25">
      <c r="A154" s="298"/>
      <c r="B154" s="176" t="s">
        <v>85</v>
      </c>
      <c r="C154" s="145" t="s">
        <v>20</v>
      </c>
      <c r="D154" s="137">
        <f>0.18+0.09+0.97</f>
        <v>1.24</v>
      </c>
      <c r="E154" s="137">
        <f>E151*D154</f>
        <v>31.496000000000002</v>
      </c>
      <c r="F154" s="137"/>
      <c r="G154" s="68"/>
      <c r="H154" s="137"/>
      <c r="I154" s="68"/>
      <c r="J154" s="137"/>
      <c r="K154" s="68"/>
      <c r="L154" s="68"/>
    </row>
    <row r="155" spans="1:12" x14ac:dyDescent="0.25">
      <c r="A155" s="298"/>
      <c r="B155" s="176" t="s">
        <v>33</v>
      </c>
      <c r="C155" s="145" t="s">
        <v>24</v>
      </c>
      <c r="D155" s="137">
        <v>0.02</v>
      </c>
      <c r="E155" s="137">
        <f>E151*D155</f>
        <v>0.50800000000000001</v>
      </c>
      <c r="F155" s="137"/>
      <c r="G155" s="68"/>
      <c r="H155" s="137"/>
      <c r="I155" s="68"/>
      <c r="J155" s="137"/>
      <c r="K155" s="68"/>
      <c r="L155" s="68"/>
    </row>
    <row r="156" spans="1:12" ht="27" x14ac:dyDescent="0.25">
      <c r="A156" s="298">
        <v>7.2</v>
      </c>
      <c r="B156" s="196" t="s">
        <v>156</v>
      </c>
      <c r="C156" s="30" t="s">
        <v>157</v>
      </c>
      <c r="D156" s="138">
        <f>E150/100</f>
        <v>1.27</v>
      </c>
      <c r="E156" s="23">
        <f>E150/100</f>
        <v>1.27</v>
      </c>
      <c r="F156" s="253"/>
      <c r="G156" s="68"/>
      <c r="H156" s="253"/>
      <c r="I156" s="68"/>
      <c r="J156" s="253"/>
      <c r="K156" s="68"/>
      <c r="L156" s="68"/>
    </row>
    <row r="157" spans="1:12" ht="27" x14ac:dyDescent="0.25">
      <c r="A157" s="298"/>
      <c r="B157" s="254" t="s">
        <v>79</v>
      </c>
      <c r="C157" s="30" t="s">
        <v>28</v>
      </c>
      <c r="D157" s="138">
        <v>19.7</v>
      </c>
      <c r="E157" s="138">
        <f>E156*D157</f>
        <v>25.018999999999998</v>
      </c>
      <c r="F157" s="138"/>
      <c r="G157" s="68"/>
      <c r="H157" s="255"/>
      <c r="I157" s="68"/>
      <c r="J157" s="253"/>
      <c r="K157" s="68"/>
      <c r="L157" s="68"/>
    </row>
    <row r="158" spans="1:12" x14ac:dyDescent="0.25">
      <c r="A158" s="298"/>
      <c r="B158" s="254" t="s">
        <v>158</v>
      </c>
      <c r="C158" s="30" t="s">
        <v>95</v>
      </c>
      <c r="D158" s="138">
        <v>110</v>
      </c>
      <c r="E158" s="138">
        <f>E156*D158</f>
        <v>139.69999999999999</v>
      </c>
      <c r="F158" s="253"/>
      <c r="G158" s="68"/>
      <c r="H158" s="138"/>
      <c r="I158" s="68"/>
      <c r="J158" s="253"/>
      <c r="K158" s="68"/>
      <c r="L158" s="68"/>
    </row>
    <row r="159" spans="1:12" x14ac:dyDescent="0.25">
      <c r="A159" s="298"/>
      <c r="B159" s="254" t="s">
        <v>82</v>
      </c>
      <c r="C159" s="30" t="s">
        <v>24</v>
      </c>
      <c r="D159" s="138">
        <v>7.2</v>
      </c>
      <c r="E159" s="138">
        <f>E156*D159</f>
        <v>9.1440000000000001</v>
      </c>
      <c r="F159" s="253"/>
      <c r="G159" s="68"/>
      <c r="H159" s="138"/>
      <c r="I159" s="68"/>
      <c r="J159" s="253"/>
      <c r="K159" s="68"/>
      <c r="L159" s="68"/>
    </row>
    <row r="160" spans="1:12" ht="16.149999999999999" customHeight="1" x14ac:dyDescent="0.25">
      <c r="A160" s="298">
        <v>7.3</v>
      </c>
      <c r="B160" s="309" t="s">
        <v>197</v>
      </c>
      <c r="C160" s="30" t="s">
        <v>21</v>
      </c>
      <c r="D160" s="138">
        <f>E150</f>
        <v>127</v>
      </c>
      <c r="E160" s="23">
        <f>E150</f>
        <v>127</v>
      </c>
      <c r="F160" s="253"/>
      <c r="G160" s="68"/>
      <c r="H160" s="138"/>
      <c r="I160" s="68"/>
      <c r="J160" s="253"/>
      <c r="K160" s="68"/>
      <c r="L160" s="68"/>
    </row>
    <row r="161" spans="1:12" ht="16.149999999999999" customHeight="1" x14ac:dyDescent="0.25">
      <c r="A161" s="298"/>
      <c r="B161" s="309"/>
      <c r="C161" s="30" t="s">
        <v>20</v>
      </c>
      <c r="D161" s="138">
        <f>D160*0.1</f>
        <v>12.700000000000001</v>
      </c>
      <c r="E161" s="23">
        <f>E160*0.15</f>
        <v>19.05</v>
      </c>
      <c r="F161" s="253"/>
      <c r="G161" s="68"/>
      <c r="H161" s="138"/>
      <c r="I161" s="68"/>
      <c r="J161" s="253"/>
      <c r="K161" s="68"/>
      <c r="L161" s="68"/>
    </row>
    <row r="162" spans="1:12" ht="27" x14ac:dyDescent="0.25">
      <c r="A162" s="298"/>
      <c r="B162" s="254" t="s">
        <v>26</v>
      </c>
      <c r="C162" s="145" t="s">
        <v>28</v>
      </c>
      <c r="D162" s="137">
        <v>2.9</v>
      </c>
      <c r="E162" s="137">
        <f>E161*D162</f>
        <v>55.244999999999997</v>
      </c>
      <c r="F162" s="137"/>
      <c r="G162" s="68"/>
      <c r="H162" s="68"/>
      <c r="I162" s="68"/>
      <c r="J162" s="253"/>
      <c r="K162" s="68"/>
      <c r="L162" s="68"/>
    </row>
    <row r="163" spans="1:12" x14ac:dyDescent="0.25">
      <c r="A163" s="298"/>
      <c r="B163" s="254" t="s">
        <v>32</v>
      </c>
      <c r="C163" s="145" t="s">
        <v>24</v>
      </c>
      <c r="D163" s="137">
        <v>0</v>
      </c>
      <c r="E163" s="137">
        <f>E161*D163</f>
        <v>0</v>
      </c>
      <c r="F163" s="137"/>
      <c r="G163" s="68"/>
      <c r="H163" s="137"/>
      <c r="I163" s="68"/>
      <c r="J163" s="255"/>
      <c r="K163" s="68"/>
      <c r="L163" s="68"/>
    </row>
    <row r="164" spans="1:12" x14ac:dyDescent="0.25">
      <c r="A164" s="298"/>
      <c r="B164" s="254" t="s">
        <v>59</v>
      </c>
      <c r="C164" s="30" t="s">
        <v>20</v>
      </c>
      <c r="D164" s="138">
        <v>1.02</v>
      </c>
      <c r="E164" s="138">
        <f>E161*D164</f>
        <v>19.431000000000001</v>
      </c>
      <c r="F164" s="253"/>
      <c r="G164" s="68"/>
      <c r="H164" s="138"/>
      <c r="I164" s="68"/>
      <c r="J164" s="253"/>
      <c r="K164" s="68"/>
      <c r="L164" s="68"/>
    </row>
    <row r="165" spans="1:12" ht="31.5" x14ac:dyDescent="0.25">
      <c r="A165" s="298"/>
      <c r="B165" s="198" t="s">
        <v>198</v>
      </c>
      <c r="C165" s="199" t="s">
        <v>23</v>
      </c>
      <c r="D165" s="200">
        <v>1.03</v>
      </c>
      <c r="E165" s="200">
        <f>E160*8*2*1*2*D165*0.222/1000</f>
        <v>0.92927424000000003</v>
      </c>
      <c r="F165" s="137"/>
      <c r="G165" s="68"/>
      <c r="H165" s="138"/>
      <c r="I165" s="68"/>
      <c r="J165" s="253"/>
      <c r="K165" s="68"/>
      <c r="L165" s="68"/>
    </row>
    <row r="166" spans="1:12" x14ac:dyDescent="0.25">
      <c r="A166" s="298"/>
      <c r="B166" s="254" t="s">
        <v>82</v>
      </c>
      <c r="C166" s="30" t="s">
        <v>24</v>
      </c>
      <c r="D166" s="138">
        <v>0.88</v>
      </c>
      <c r="E166" s="138">
        <f>E161*D166</f>
        <v>16.763999999999999</v>
      </c>
      <c r="F166" s="253"/>
      <c r="G166" s="68"/>
      <c r="H166" s="138"/>
      <c r="I166" s="68"/>
      <c r="J166" s="253"/>
      <c r="K166" s="68"/>
      <c r="L166" s="68"/>
    </row>
    <row r="167" spans="1:12" ht="49.5" x14ac:dyDescent="0.25">
      <c r="A167" s="137">
        <v>8</v>
      </c>
      <c r="B167" s="90" t="s">
        <v>161</v>
      </c>
      <c r="C167" s="145" t="s">
        <v>16</v>
      </c>
      <c r="D167" s="137"/>
      <c r="E167" s="90">
        <v>5</v>
      </c>
      <c r="F167" s="137"/>
      <c r="G167" s="68"/>
      <c r="H167" s="137"/>
      <c r="I167" s="68"/>
      <c r="J167" s="137"/>
      <c r="K167" s="68"/>
      <c r="L167" s="68"/>
    </row>
    <row r="168" spans="1:12" ht="49.5" x14ac:dyDescent="0.25">
      <c r="A168" s="317">
        <v>8.1</v>
      </c>
      <c r="B168" s="202" t="s">
        <v>278</v>
      </c>
      <c r="C168" s="203" t="s">
        <v>162</v>
      </c>
      <c r="D168" s="134"/>
      <c r="E168" s="204">
        <f>0.4*0.4*1*E167</f>
        <v>0.80000000000000016</v>
      </c>
      <c r="F168" s="134"/>
      <c r="G168" s="68"/>
      <c r="H168" s="137"/>
      <c r="I168" s="68"/>
      <c r="J168" s="137"/>
      <c r="K168" s="68"/>
      <c r="L168" s="68"/>
    </row>
    <row r="169" spans="1:12" ht="27" x14ac:dyDescent="0.25">
      <c r="A169" s="317"/>
      <c r="B169" s="256" t="s">
        <v>163</v>
      </c>
      <c r="C169" s="257" t="s">
        <v>164</v>
      </c>
      <c r="D169" s="134">
        <v>3.88</v>
      </c>
      <c r="E169" s="134">
        <f>E168*D169</f>
        <v>3.1040000000000005</v>
      </c>
      <c r="F169" s="134"/>
      <c r="G169" s="68"/>
      <c r="H169" s="68"/>
      <c r="I169" s="68"/>
      <c r="J169" s="137"/>
      <c r="K169" s="68"/>
      <c r="L169" s="68"/>
    </row>
    <row r="170" spans="1:12" ht="33" x14ac:dyDescent="0.25">
      <c r="A170" s="302">
        <v>8.1999999999999993</v>
      </c>
      <c r="B170" s="205" t="s">
        <v>165</v>
      </c>
      <c r="C170" s="203" t="s">
        <v>166</v>
      </c>
      <c r="D170" s="135"/>
      <c r="E170" s="206">
        <f>E168</f>
        <v>0.80000000000000016</v>
      </c>
      <c r="F170" s="258"/>
      <c r="G170" s="68"/>
      <c r="H170" s="137"/>
      <c r="I170" s="68"/>
      <c r="J170" s="137"/>
      <c r="K170" s="68"/>
      <c r="L170" s="68"/>
    </row>
    <row r="171" spans="1:12" ht="27" x14ac:dyDescent="0.25">
      <c r="A171" s="302"/>
      <c r="B171" s="256" t="s">
        <v>79</v>
      </c>
      <c r="C171" s="203" t="s">
        <v>28</v>
      </c>
      <c r="D171" s="135">
        <v>4.5</v>
      </c>
      <c r="E171" s="135">
        <f>E170*D171</f>
        <v>3.6000000000000005</v>
      </c>
      <c r="F171" s="135"/>
      <c r="G171" s="68"/>
      <c r="H171" s="137"/>
      <c r="I171" s="68"/>
      <c r="J171" s="137"/>
      <c r="K171" s="68"/>
      <c r="L171" s="68"/>
    </row>
    <row r="172" spans="1:12" x14ac:dyDescent="0.25">
      <c r="A172" s="302"/>
      <c r="B172" s="256" t="s">
        <v>27</v>
      </c>
      <c r="C172" s="203" t="s">
        <v>24</v>
      </c>
      <c r="D172" s="135">
        <v>0.37</v>
      </c>
      <c r="E172" s="135">
        <f>E170*D172</f>
        <v>0.29600000000000004</v>
      </c>
      <c r="F172" s="258"/>
      <c r="G172" s="68"/>
      <c r="H172" s="137"/>
      <c r="I172" s="68"/>
      <c r="J172" s="137"/>
      <c r="K172" s="68"/>
      <c r="L172" s="68"/>
    </row>
    <row r="173" spans="1:12" x14ac:dyDescent="0.25">
      <c r="A173" s="302"/>
      <c r="B173" s="256" t="s">
        <v>168</v>
      </c>
      <c r="C173" s="203" t="s">
        <v>21</v>
      </c>
      <c r="D173" s="135">
        <v>1.61</v>
      </c>
      <c r="E173" s="135">
        <f>E170*D173</f>
        <v>1.2880000000000003</v>
      </c>
      <c r="F173" s="258"/>
      <c r="G173" s="68"/>
      <c r="H173" s="137"/>
      <c r="I173" s="68"/>
      <c r="J173" s="68"/>
      <c r="K173" s="68"/>
      <c r="L173" s="68"/>
    </row>
    <row r="174" spans="1:12" x14ac:dyDescent="0.25">
      <c r="A174" s="302"/>
      <c r="B174" s="256" t="s">
        <v>93</v>
      </c>
      <c r="C174" s="203" t="s">
        <v>20</v>
      </c>
      <c r="D174" s="135">
        <v>1.72E-2</v>
      </c>
      <c r="E174" s="135">
        <f>E170*D174</f>
        <v>1.3760000000000003E-2</v>
      </c>
      <c r="F174" s="258"/>
      <c r="G174" s="68"/>
      <c r="H174" s="137"/>
      <c r="I174" s="68"/>
      <c r="J174" s="68"/>
      <c r="K174" s="68"/>
      <c r="L174" s="68"/>
    </row>
    <row r="175" spans="1:12" x14ac:dyDescent="0.25">
      <c r="A175" s="302"/>
      <c r="B175" s="256" t="s">
        <v>173</v>
      </c>
      <c r="C175" s="203" t="s">
        <v>166</v>
      </c>
      <c r="D175" s="135">
        <v>1.02</v>
      </c>
      <c r="E175" s="135">
        <f>E170*D175</f>
        <v>0.81600000000000017</v>
      </c>
      <c r="F175" s="258"/>
      <c r="G175" s="68"/>
      <c r="H175" s="137"/>
      <c r="I175" s="68"/>
      <c r="J175" s="137"/>
      <c r="K175" s="68"/>
      <c r="L175" s="68"/>
    </row>
    <row r="176" spans="1:12" x14ac:dyDescent="0.25">
      <c r="A176" s="302"/>
      <c r="B176" s="256" t="s">
        <v>33</v>
      </c>
      <c r="C176" s="203" t="s">
        <v>24</v>
      </c>
      <c r="D176" s="135">
        <v>0.28000000000000003</v>
      </c>
      <c r="E176" s="135">
        <f>E170*D176</f>
        <v>0.22400000000000006</v>
      </c>
      <c r="F176" s="258"/>
      <c r="G176" s="68"/>
      <c r="H176" s="137"/>
      <c r="I176" s="68"/>
      <c r="J176" s="137"/>
      <c r="K176" s="68"/>
      <c r="L176" s="68"/>
    </row>
    <row r="177" spans="1:12" ht="33" hidden="1" x14ac:dyDescent="0.25">
      <c r="A177" s="303" t="s">
        <v>160</v>
      </c>
      <c r="B177" s="175" t="s">
        <v>144</v>
      </c>
      <c r="C177" s="91"/>
      <c r="D177" s="90"/>
      <c r="E177" s="90"/>
      <c r="F177" s="137"/>
      <c r="G177" s="68"/>
      <c r="H177" s="137"/>
      <c r="I177" s="68"/>
      <c r="J177" s="137"/>
      <c r="K177" s="68"/>
      <c r="L177" s="68"/>
    </row>
    <row r="178" spans="1:12" ht="33" hidden="1" x14ac:dyDescent="0.25">
      <c r="A178" s="303"/>
      <c r="B178" s="190" t="s">
        <v>142</v>
      </c>
      <c r="C178" s="191" t="s">
        <v>96</v>
      </c>
      <c r="D178" s="195" t="e">
        <f>#REF!</f>
        <v>#REF!</v>
      </c>
      <c r="E178" s="192"/>
      <c r="F178" s="137"/>
      <c r="G178" s="68"/>
      <c r="H178" s="137"/>
      <c r="I178" s="68"/>
      <c r="J178" s="137"/>
      <c r="K178" s="68"/>
      <c r="L178" s="68"/>
    </row>
    <row r="179" spans="1:12" ht="27" hidden="1" x14ac:dyDescent="0.25">
      <c r="A179" s="303"/>
      <c r="B179" s="235" t="s">
        <v>26</v>
      </c>
      <c r="C179" s="62" t="s">
        <v>28</v>
      </c>
      <c r="D179" s="169">
        <f>38.3*0.01</f>
        <v>0.38300000000000001</v>
      </c>
      <c r="E179" s="236">
        <f>E178*D179</f>
        <v>0</v>
      </c>
      <c r="F179" s="137"/>
      <c r="G179" s="68"/>
      <c r="H179" s="68"/>
      <c r="I179" s="68"/>
      <c r="J179" s="137"/>
      <c r="K179" s="68"/>
      <c r="L179" s="68"/>
    </row>
    <row r="180" spans="1:12" hidden="1" x14ac:dyDescent="0.25">
      <c r="A180" s="303"/>
      <c r="B180" s="235" t="s">
        <v>143</v>
      </c>
      <c r="C180" s="211" t="s">
        <v>65</v>
      </c>
      <c r="D180" s="169">
        <f>2*0.01</f>
        <v>0.02</v>
      </c>
      <c r="E180" s="236">
        <f>D180*E178</f>
        <v>0</v>
      </c>
      <c r="F180" s="137"/>
      <c r="G180" s="68"/>
      <c r="H180" s="137"/>
      <c r="I180" s="68"/>
      <c r="J180" s="137"/>
      <c r="K180" s="68"/>
      <c r="L180" s="68"/>
    </row>
    <row r="181" spans="1:12" hidden="1" x14ac:dyDescent="0.25">
      <c r="A181" s="136"/>
      <c r="B181" s="235"/>
      <c r="C181" s="211"/>
      <c r="D181" s="169"/>
      <c r="E181" s="236"/>
      <c r="F181" s="236"/>
      <c r="G181" s="68"/>
      <c r="H181" s="137"/>
      <c r="I181" s="68"/>
      <c r="J181" s="137"/>
      <c r="K181" s="68"/>
      <c r="L181" s="68"/>
    </row>
    <row r="182" spans="1:12" ht="82.5" x14ac:dyDescent="0.25">
      <c r="A182" s="137">
        <v>9</v>
      </c>
      <c r="B182" s="90" t="s">
        <v>223</v>
      </c>
      <c r="C182" s="137" t="s">
        <v>21</v>
      </c>
      <c r="D182" s="137"/>
      <c r="E182" s="90">
        <f>6*8+8*8</f>
        <v>112</v>
      </c>
      <c r="F182" s="137"/>
      <c r="G182" s="68"/>
      <c r="H182" s="137"/>
      <c r="I182" s="68"/>
      <c r="J182" s="137"/>
      <c r="K182" s="68"/>
      <c r="L182" s="68"/>
    </row>
    <row r="183" spans="1:12" ht="49.5" x14ac:dyDescent="0.25">
      <c r="A183" s="304">
        <v>9.1</v>
      </c>
      <c r="B183" s="196" t="s">
        <v>265</v>
      </c>
      <c r="C183" s="138" t="s">
        <v>203</v>
      </c>
      <c r="D183" s="138"/>
      <c r="E183" s="23">
        <f>E182*0.3/100</f>
        <v>0.33600000000000002</v>
      </c>
      <c r="F183" s="253"/>
      <c r="G183" s="68"/>
      <c r="H183" s="253"/>
      <c r="I183" s="68"/>
      <c r="J183" s="253"/>
      <c r="K183" s="68"/>
      <c r="L183" s="68"/>
    </row>
    <row r="184" spans="1:12" ht="31.5" x14ac:dyDescent="0.25">
      <c r="A184" s="304"/>
      <c r="B184" s="254" t="s">
        <v>79</v>
      </c>
      <c r="C184" s="138" t="s">
        <v>28</v>
      </c>
      <c r="D184" s="138">
        <v>15</v>
      </c>
      <c r="E184" s="138">
        <f>E183*D184</f>
        <v>5.04</v>
      </c>
      <c r="F184" s="138"/>
      <c r="G184" s="68"/>
      <c r="H184" s="253"/>
      <c r="I184" s="68"/>
      <c r="J184" s="253"/>
      <c r="K184" s="68"/>
      <c r="L184" s="68"/>
    </row>
    <row r="185" spans="1:12" x14ac:dyDescent="0.25">
      <c r="A185" s="304"/>
      <c r="B185" s="254" t="s">
        <v>204</v>
      </c>
      <c r="C185" s="138" t="s">
        <v>83</v>
      </c>
      <c r="D185" s="138">
        <v>2.16</v>
      </c>
      <c r="E185" s="138">
        <f>E183*D185</f>
        <v>0.72576000000000007</v>
      </c>
      <c r="F185" s="253"/>
      <c r="G185" s="68"/>
      <c r="H185" s="253"/>
      <c r="I185" s="68"/>
      <c r="J185" s="138"/>
      <c r="K185" s="68"/>
      <c r="L185" s="68"/>
    </row>
    <row r="186" spans="1:12" ht="31.5" x14ac:dyDescent="0.25">
      <c r="A186" s="304"/>
      <c r="B186" s="254" t="s">
        <v>205</v>
      </c>
      <c r="C186" s="138" t="s">
        <v>83</v>
      </c>
      <c r="D186" s="138">
        <v>2.73</v>
      </c>
      <c r="E186" s="138">
        <f>E183*D186</f>
        <v>0.9172800000000001</v>
      </c>
      <c r="F186" s="253"/>
      <c r="G186" s="68"/>
      <c r="H186" s="138"/>
      <c r="I186" s="68"/>
      <c r="J186" s="138"/>
      <c r="K186" s="68"/>
      <c r="L186" s="68"/>
    </row>
    <row r="187" spans="1:12" x14ac:dyDescent="0.25">
      <c r="A187" s="304"/>
      <c r="B187" s="254"/>
      <c r="C187" s="138"/>
      <c r="D187" s="138"/>
      <c r="E187" s="138"/>
      <c r="F187" s="253"/>
      <c r="G187" s="68"/>
      <c r="H187" s="138"/>
      <c r="I187" s="68"/>
      <c r="J187" s="138"/>
      <c r="K187" s="68"/>
      <c r="L187" s="68"/>
    </row>
    <row r="188" spans="1:12" x14ac:dyDescent="0.25">
      <c r="A188" s="304"/>
      <c r="B188" s="254"/>
      <c r="C188" s="138"/>
      <c r="D188" s="138"/>
      <c r="E188" s="138"/>
      <c r="F188" s="253"/>
      <c r="G188" s="68"/>
      <c r="H188" s="138"/>
      <c r="I188" s="68"/>
      <c r="J188" s="138"/>
      <c r="K188" s="68"/>
      <c r="L188" s="68"/>
    </row>
    <row r="189" spans="1:12" x14ac:dyDescent="0.25">
      <c r="A189" s="304"/>
      <c r="B189" s="254"/>
      <c r="C189" s="138"/>
      <c r="D189" s="138"/>
      <c r="E189" s="138"/>
      <c r="F189" s="253"/>
      <c r="G189" s="68"/>
      <c r="H189" s="138"/>
      <c r="I189" s="68"/>
      <c r="J189" s="138"/>
      <c r="K189" s="68"/>
      <c r="L189" s="68"/>
    </row>
    <row r="190" spans="1:12" x14ac:dyDescent="0.25">
      <c r="A190" s="304"/>
      <c r="B190" s="254" t="s">
        <v>208</v>
      </c>
      <c r="C190" s="138" t="s">
        <v>83</v>
      </c>
      <c r="D190" s="138">
        <v>0.97</v>
      </c>
      <c r="E190" s="138">
        <f>E183*D190</f>
        <v>0.32591999999999999</v>
      </c>
      <c r="F190" s="253"/>
      <c r="G190" s="68"/>
      <c r="H190" s="138"/>
      <c r="I190" s="68"/>
      <c r="J190" s="138"/>
      <c r="K190" s="68"/>
      <c r="L190" s="68"/>
    </row>
    <row r="191" spans="1:12" x14ac:dyDescent="0.25">
      <c r="A191" s="304"/>
      <c r="B191" s="254" t="s">
        <v>209</v>
      </c>
      <c r="C191" s="138" t="s">
        <v>166</v>
      </c>
      <c r="D191" s="138">
        <v>126</v>
      </c>
      <c r="E191" s="138">
        <f>E183*D191</f>
        <v>42.336000000000006</v>
      </c>
      <c r="F191" s="253"/>
      <c r="G191" s="68"/>
      <c r="H191" s="138"/>
      <c r="I191" s="68"/>
      <c r="J191" s="253"/>
      <c r="K191" s="68"/>
      <c r="L191" s="68"/>
    </row>
    <row r="192" spans="1:12" x14ac:dyDescent="0.25">
      <c r="A192" s="304"/>
      <c r="B192" s="254" t="s">
        <v>210</v>
      </c>
      <c r="C192" s="138" t="s">
        <v>166</v>
      </c>
      <c r="D192" s="138">
        <v>7</v>
      </c>
      <c r="E192" s="138">
        <f>E183*D192</f>
        <v>2.3520000000000003</v>
      </c>
      <c r="F192" s="253"/>
      <c r="G192" s="68"/>
      <c r="H192" s="138"/>
      <c r="I192" s="68"/>
      <c r="J192" s="253"/>
      <c r="K192" s="68"/>
      <c r="L192" s="68"/>
    </row>
    <row r="193" spans="1:12" ht="33" x14ac:dyDescent="0.25">
      <c r="A193" s="305">
        <v>9.1999999999999993</v>
      </c>
      <c r="B193" s="207" t="s">
        <v>211</v>
      </c>
      <c r="C193" s="139" t="s">
        <v>91</v>
      </c>
      <c r="D193" s="139"/>
      <c r="E193" s="208">
        <f>E182*0.6/1000</f>
        <v>6.720000000000001E-2</v>
      </c>
      <c r="F193" s="253"/>
      <c r="G193" s="68"/>
      <c r="H193" s="139"/>
      <c r="I193" s="68"/>
      <c r="J193" s="253"/>
      <c r="K193" s="68"/>
      <c r="L193" s="68"/>
    </row>
    <row r="194" spans="1:12" x14ac:dyDescent="0.25">
      <c r="A194" s="305"/>
      <c r="B194" s="259" t="s">
        <v>212</v>
      </c>
      <c r="C194" s="139" t="s">
        <v>83</v>
      </c>
      <c r="D194" s="139">
        <v>0.3</v>
      </c>
      <c r="E194" s="139">
        <f>E193*D194</f>
        <v>2.0160000000000001E-2</v>
      </c>
      <c r="F194" s="253"/>
      <c r="G194" s="68"/>
      <c r="H194" s="253"/>
      <c r="I194" s="68"/>
      <c r="J194" s="140"/>
      <c r="K194" s="68"/>
      <c r="L194" s="68"/>
    </row>
    <row r="195" spans="1:12" ht="31.5" x14ac:dyDescent="0.25">
      <c r="A195" s="305"/>
      <c r="B195" s="259" t="s">
        <v>213</v>
      </c>
      <c r="C195" s="139" t="s">
        <v>91</v>
      </c>
      <c r="D195" s="139">
        <v>1.03</v>
      </c>
      <c r="E195" s="139">
        <f>E193*D195</f>
        <v>6.9216000000000014E-2</v>
      </c>
      <c r="F195" s="253"/>
      <c r="G195" s="68"/>
      <c r="H195" s="139"/>
      <c r="I195" s="68"/>
      <c r="J195" s="253"/>
      <c r="K195" s="68"/>
      <c r="L195" s="68"/>
    </row>
    <row r="196" spans="1:12" ht="49.5" x14ac:dyDescent="0.25">
      <c r="A196" s="300">
        <v>9.3000000000000007</v>
      </c>
      <c r="B196" s="209" t="s">
        <v>214</v>
      </c>
      <c r="C196" s="140" t="s">
        <v>157</v>
      </c>
      <c r="D196" s="140"/>
      <c r="E196" s="210">
        <f>E182/100</f>
        <v>1.1200000000000001</v>
      </c>
      <c r="F196" s="258"/>
      <c r="G196" s="68"/>
      <c r="H196" s="140"/>
      <c r="I196" s="68"/>
      <c r="J196" s="258"/>
      <c r="K196" s="68"/>
      <c r="L196" s="68"/>
    </row>
    <row r="197" spans="1:12" ht="31.5" x14ac:dyDescent="0.25">
      <c r="A197" s="300"/>
      <c r="B197" s="260" t="s">
        <v>215</v>
      </c>
      <c r="C197" s="140" t="s">
        <v>28</v>
      </c>
      <c r="D197" s="140">
        <v>3.778</v>
      </c>
      <c r="E197" s="140">
        <f>E196*D197</f>
        <v>4.2313600000000005</v>
      </c>
      <c r="F197" s="140"/>
      <c r="G197" s="68"/>
      <c r="H197" s="258"/>
      <c r="I197" s="68"/>
      <c r="J197" s="258"/>
      <c r="K197" s="68"/>
      <c r="L197" s="68"/>
    </row>
    <row r="198" spans="1:12" x14ac:dyDescent="0.25">
      <c r="A198" s="300"/>
      <c r="B198" s="260" t="s">
        <v>216</v>
      </c>
      <c r="C198" s="140" t="s">
        <v>83</v>
      </c>
      <c r="D198" s="140">
        <v>0.30199999999999999</v>
      </c>
      <c r="E198" s="140">
        <f>E196*D198</f>
        <v>0.33824000000000004</v>
      </c>
      <c r="F198" s="258"/>
      <c r="G198" s="68"/>
      <c r="H198" s="258"/>
      <c r="I198" s="68"/>
      <c r="J198" s="140"/>
      <c r="K198" s="68"/>
      <c r="L198" s="68"/>
    </row>
    <row r="199" spans="1:12" ht="31.5" x14ac:dyDescent="0.25">
      <c r="A199" s="300"/>
      <c r="B199" s="260" t="s">
        <v>206</v>
      </c>
      <c r="C199" s="140" t="s">
        <v>83</v>
      </c>
      <c r="D199" s="140">
        <v>0.37</v>
      </c>
      <c r="E199" s="140">
        <f>E196*D199</f>
        <v>0.41440000000000005</v>
      </c>
      <c r="F199" s="258"/>
      <c r="G199" s="68"/>
      <c r="H199" s="140"/>
      <c r="I199" s="68"/>
      <c r="J199" s="138"/>
      <c r="K199" s="68"/>
      <c r="L199" s="68"/>
    </row>
    <row r="200" spans="1:12" x14ac:dyDescent="0.25">
      <c r="A200" s="300"/>
      <c r="B200" s="260" t="s">
        <v>207</v>
      </c>
      <c r="C200" s="140" t="s">
        <v>83</v>
      </c>
      <c r="D200" s="140">
        <v>1.1100000000000001</v>
      </c>
      <c r="E200" s="140">
        <f>E196*D200</f>
        <v>1.2432000000000003</v>
      </c>
      <c r="F200" s="258"/>
      <c r="G200" s="68"/>
      <c r="H200" s="140"/>
      <c r="I200" s="68"/>
      <c r="J200" s="138"/>
      <c r="K200" s="68"/>
      <c r="L200" s="68"/>
    </row>
    <row r="201" spans="1:12" ht="31.5" x14ac:dyDescent="0.25">
      <c r="A201" s="300"/>
      <c r="B201" s="260" t="s">
        <v>27</v>
      </c>
      <c r="C201" s="140" t="s">
        <v>24</v>
      </c>
      <c r="D201" s="140">
        <v>0.23</v>
      </c>
      <c r="E201" s="140">
        <f>E196*D201</f>
        <v>0.25760000000000005</v>
      </c>
      <c r="F201" s="258"/>
      <c r="G201" s="68"/>
      <c r="H201" s="140"/>
      <c r="I201" s="68"/>
      <c r="J201" s="140"/>
      <c r="K201" s="68"/>
      <c r="L201" s="68"/>
    </row>
    <row r="202" spans="1:12" x14ac:dyDescent="0.25">
      <c r="A202" s="300"/>
      <c r="B202" s="260" t="s">
        <v>217</v>
      </c>
      <c r="C202" s="140" t="s">
        <v>91</v>
      </c>
      <c r="D202" s="140">
        <v>13.95</v>
      </c>
      <c r="E202" s="140">
        <f>E196*D202</f>
        <v>15.624000000000001</v>
      </c>
      <c r="F202" s="258"/>
      <c r="G202" s="68"/>
      <c r="H202" s="140"/>
      <c r="I202" s="68"/>
      <c r="J202" s="258"/>
      <c r="K202" s="68"/>
      <c r="L202" s="68"/>
    </row>
    <row r="203" spans="1:12" ht="31.5" x14ac:dyDescent="0.25">
      <c r="A203" s="300"/>
      <c r="B203" s="260" t="s">
        <v>218</v>
      </c>
      <c r="C203" s="140" t="s">
        <v>24</v>
      </c>
      <c r="D203" s="140">
        <v>1.53</v>
      </c>
      <c r="E203" s="140">
        <f>E196*D203</f>
        <v>1.7136000000000002</v>
      </c>
      <c r="F203" s="258"/>
      <c r="G203" s="68"/>
      <c r="H203" s="140"/>
      <c r="I203" s="68"/>
      <c r="J203" s="258"/>
      <c r="K203" s="68"/>
      <c r="L203" s="68"/>
    </row>
    <row r="204" spans="1:12" ht="33" x14ac:dyDescent="0.25">
      <c r="A204" s="300">
        <v>9.4</v>
      </c>
      <c r="B204" s="209" t="s">
        <v>219</v>
      </c>
      <c r="C204" s="140" t="s">
        <v>91</v>
      </c>
      <c r="D204" s="140"/>
      <c r="E204" s="210">
        <f>E182*0.3/1000</f>
        <v>3.3600000000000005E-2</v>
      </c>
      <c r="F204" s="258"/>
      <c r="G204" s="68"/>
      <c r="H204" s="140"/>
      <c r="I204" s="68"/>
      <c r="J204" s="258"/>
      <c r="K204" s="68"/>
      <c r="L204" s="68"/>
    </row>
    <row r="205" spans="1:12" x14ac:dyDescent="0.25">
      <c r="A205" s="300"/>
      <c r="B205" s="260" t="s">
        <v>212</v>
      </c>
      <c r="C205" s="140" t="s">
        <v>83</v>
      </c>
      <c r="D205" s="140">
        <v>0.3</v>
      </c>
      <c r="E205" s="140">
        <f>E204*D205</f>
        <v>1.008E-2</v>
      </c>
      <c r="F205" s="258"/>
      <c r="G205" s="68"/>
      <c r="H205" s="258"/>
      <c r="I205" s="68"/>
      <c r="J205" s="140"/>
      <c r="K205" s="68"/>
      <c r="L205" s="68"/>
    </row>
    <row r="206" spans="1:12" ht="31.5" x14ac:dyDescent="0.25">
      <c r="A206" s="300"/>
      <c r="B206" s="260" t="s">
        <v>220</v>
      </c>
      <c r="C206" s="140" t="s">
        <v>91</v>
      </c>
      <c r="D206" s="140">
        <v>1.03</v>
      </c>
      <c r="E206" s="140">
        <f>E204*D206</f>
        <v>3.4608000000000007E-2</v>
      </c>
      <c r="F206" s="258"/>
      <c r="G206" s="68"/>
      <c r="H206" s="140"/>
      <c r="I206" s="68"/>
      <c r="J206" s="258"/>
      <c r="K206" s="68"/>
      <c r="L206" s="68"/>
    </row>
    <row r="207" spans="1:12" ht="66" x14ac:dyDescent="0.25">
      <c r="A207" s="300">
        <v>9.5</v>
      </c>
      <c r="B207" s="209" t="s">
        <v>221</v>
      </c>
      <c r="C207" s="140" t="s">
        <v>157</v>
      </c>
      <c r="D207" s="140"/>
      <c r="E207" s="210">
        <f>E182/100</f>
        <v>1.1200000000000001</v>
      </c>
      <c r="F207" s="258"/>
      <c r="G207" s="68"/>
      <c r="H207" s="140"/>
      <c r="I207" s="68"/>
      <c r="J207" s="258"/>
      <c r="K207" s="68"/>
      <c r="L207" s="68"/>
    </row>
    <row r="208" spans="1:12" ht="31.5" x14ac:dyDescent="0.25">
      <c r="A208" s="300"/>
      <c r="B208" s="260" t="s">
        <v>79</v>
      </c>
      <c r="C208" s="140" t="s">
        <v>28</v>
      </c>
      <c r="D208" s="140">
        <f>(3.75)</f>
        <v>3.75</v>
      </c>
      <c r="E208" s="140">
        <f>E207*D208</f>
        <v>4.2</v>
      </c>
      <c r="F208" s="140"/>
      <c r="G208" s="68"/>
      <c r="H208" s="258"/>
      <c r="I208" s="68"/>
      <c r="J208" s="258"/>
      <c r="K208" s="68"/>
      <c r="L208" s="68"/>
    </row>
    <row r="209" spans="1:12" x14ac:dyDescent="0.25">
      <c r="A209" s="300"/>
      <c r="B209" s="260" t="s">
        <v>216</v>
      </c>
      <c r="C209" s="140" t="s">
        <v>83</v>
      </c>
      <c r="D209" s="140">
        <v>0.30199999999999999</v>
      </c>
      <c r="E209" s="140">
        <f>E207*D209</f>
        <v>0.33824000000000004</v>
      </c>
      <c r="F209" s="258"/>
      <c r="G209" s="68"/>
      <c r="H209" s="258"/>
      <c r="I209" s="68"/>
      <c r="J209" s="140"/>
      <c r="K209" s="68"/>
      <c r="L209" s="68"/>
    </row>
    <row r="210" spans="1:12" ht="31.5" x14ac:dyDescent="0.25">
      <c r="A210" s="300"/>
      <c r="B210" s="260" t="s">
        <v>206</v>
      </c>
      <c r="C210" s="140" t="s">
        <v>83</v>
      </c>
      <c r="D210" s="140">
        <v>0.37</v>
      </c>
      <c r="E210" s="140">
        <f>E207*D210</f>
        <v>0.41440000000000005</v>
      </c>
      <c r="F210" s="258"/>
      <c r="G210" s="68"/>
      <c r="H210" s="140"/>
      <c r="I210" s="68"/>
      <c r="J210" s="138"/>
      <c r="K210" s="68"/>
      <c r="L210" s="68"/>
    </row>
    <row r="211" spans="1:12" x14ac:dyDescent="0.25">
      <c r="A211" s="300"/>
      <c r="B211" s="260" t="s">
        <v>207</v>
      </c>
      <c r="C211" s="140" t="s">
        <v>83</v>
      </c>
      <c r="D211" s="140">
        <v>1.1100000000000001</v>
      </c>
      <c r="E211" s="140">
        <f>E207*D211</f>
        <v>1.2432000000000003</v>
      </c>
      <c r="F211" s="258"/>
      <c r="G211" s="68"/>
      <c r="H211" s="140"/>
      <c r="I211" s="68"/>
      <c r="J211" s="138"/>
      <c r="K211" s="68"/>
      <c r="L211" s="68"/>
    </row>
    <row r="212" spans="1:12" ht="31.5" x14ac:dyDescent="0.25">
      <c r="A212" s="300"/>
      <c r="B212" s="260" t="s">
        <v>27</v>
      </c>
      <c r="C212" s="140" t="s">
        <v>24</v>
      </c>
      <c r="D212" s="140">
        <v>0.23</v>
      </c>
      <c r="E212" s="140">
        <f>E207*D212</f>
        <v>0.25760000000000005</v>
      </c>
      <c r="F212" s="258"/>
      <c r="G212" s="68"/>
      <c r="H212" s="140"/>
      <c r="I212" s="68"/>
      <c r="J212" s="140"/>
      <c r="K212" s="68"/>
      <c r="L212" s="68"/>
    </row>
    <row r="213" spans="1:12" x14ac:dyDescent="0.25">
      <c r="A213" s="300"/>
      <c r="B213" s="260" t="s">
        <v>222</v>
      </c>
      <c r="C213" s="140" t="s">
        <v>91</v>
      </c>
      <c r="D213" s="140">
        <v>9.74</v>
      </c>
      <c r="E213" s="140">
        <f>E207*D213</f>
        <v>10.908800000000001</v>
      </c>
      <c r="F213" s="258"/>
      <c r="G213" s="68"/>
      <c r="H213" s="140"/>
      <c r="I213" s="68"/>
      <c r="J213" s="258"/>
      <c r="K213" s="68"/>
      <c r="L213" s="68"/>
    </row>
    <row r="214" spans="1:12" ht="31.5" x14ac:dyDescent="0.25">
      <c r="A214" s="300"/>
      <c r="B214" s="260" t="s">
        <v>82</v>
      </c>
      <c r="C214" s="140" t="s">
        <v>24</v>
      </c>
      <c r="D214" s="140">
        <f>1.45</f>
        <v>1.45</v>
      </c>
      <c r="E214" s="140">
        <f>E207*D214</f>
        <v>1.6240000000000001</v>
      </c>
      <c r="F214" s="258"/>
      <c r="G214" s="68"/>
      <c r="H214" s="140"/>
      <c r="I214" s="68"/>
      <c r="J214" s="258"/>
      <c r="K214" s="68"/>
      <c r="L214" s="68"/>
    </row>
    <row r="215" spans="1:12" x14ac:dyDescent="0.25">
      <c r="A215" s="137"/>
      <c r="B215" s="176"/>
      <c r="C215" s="137"/>
      <c r="D215" s="137"/>
      <c r="E215" s="137"/>
      <c r="F215" s="137"/>
      <c r="G215" s="68"/>
      <c r="H215" s="137"/>
      <c r="I215" s="68"/>
      <c r="J215" s="137"/>
      <c r="K215" s="68"/>
      <c r="L215" s="68"/>
    </row>
    <row r="216" spans="1:12" ht="33" x14ac:dyDescent="0.25">
      <c r="A216" s="137">
        <v>10</v>
      </c>
      <c r="B216" s="90" t="s">
        <v>167</v>
      </c>
      <c r="C216" s="145" t="s">
        <v>16</v>
      </c>
      <c r="D216" s="137"/>
      <c r="E216" s="90">
        <v>2</v>
      </c>
      <c r="F216" s="137"/>
      <c r="G216" s="68"/>
      <c r="H216" s="261"/>
      <c r="I216" s="68"/>
      <c r="J216" s="137"/>
      <c r="K216" s="68"/>
      <c r="L216" s="68"/>
    </row>
    <row r="217" spans="1:12" ht="33" x14ac:dyDescent="0.25">
      <c r="A217" s="137">
        <v>11</v>
      </c>
      <c r="B217" s="90" t="s">
        <v>169</v>
      </c>
      <c r="C217" s="211" t="s">
        <v>16</v>
      </c>
      <c r="D217" s="252"/>
      <c r="E217" s="90">
        <v>2</v>
      </c>
      <c r="F217" s="236"/>
      <c r="G217" s="68"/>
      <c r="H217" s="261"/>
      <c r="I217" s="68"/>
      <c r="J217" s="129"/>
      <c r="K217" s="68"/>
      <c r="L217" s="68"/>
    </row>
    <row r="218" spans="1:12" ht="99" x14ac:dyDescent="0.25">
      <c r="A218" s="295" t="s">
        <v>54</v>
      </c>
      <c r="B218" s="23" t="s">
        <v>268</v>
      </c>
      <c r="C218" s="21" t="s">
        <v>23</v>
      </c>
      <c r="D218" s="138"/>
      <c r="E218" s="90">
        <f>(E60+E108+E168)*1.65+5</f>
        <v>28.669249999999998</v>
      </c>
      <c r="F218" s="137"/>
      <c r="G218" s="68"/>
      <c r="H218" s="137"/>
      <c r="I218" s="68"/>
      <c r="J218" s="68"/>
      <c r="K218" s="68"/>
      <c r="L218" s="68"/>
    </row>
    <row r="219" spans="1:12" ht="27" x14ac:dyDescent="0.25">
      <c r="A219" s="295"/>
      <c r="B219" s="106" t="s">
        <v>31</v>
      </c>
      <c r="C219" s="54" t="s">
        <v>28</v>
      </c>
      <c r="D219" s="104">
        <v>3.2429999999999999</v>
      </c>
      <c r="E219" s="70">
        <f>E218*D219</f>
        <v>92.974377749999988</v>
      </c>
      <c r="F219" s="70"/>
      <c r="G219" s="68"/>
      <c r="H219" s="159"/>
      <c r="I219" s="72"/>
      <c r="J219" s="72"/>
      <c r="K219" s="68"/>
      <c r="L219" s="68"/>
    </row>
    <row r="220" spans="1:12" ht="49.5" x14ac:dyDescent="0.25">
      <c r="A220" s="295"/>
      <c r="B220" s="212" t="s">
        <v>62</v>
      </c>
      <c r="C220" s="39" t="s">
        <v>23</v>
      </c>
      <c r="D220" s="104"/>
      <c r="E220" s="213">
        <f>E218</f>
        <v>28.669249999999998</v>
      </c>
      <c r="F220" s="70"/>
      <c r="G220" s="68"/>
      <c r="H220" s="70"/>
      <c r="I220" s="72"/>
      <c r="J220" s="70"/>
      <c r="K220" s="68"/>
      <c r="L220" s="68"/>
    </row>
    <row r="221" spans="1:12" ht="27" x14ac:dyDescent="0.25">
      <c r="A221" s="295"/>
      <c r="B221" s="106" t="s">
        <v>34</v>
      </c>
      <c r="C221" s="54" t="s">
        <v>28</v>
      </c>
      <c r="D221" s="104">
        <v>0.53</v>
      </c>
      <c r="E221" s="70">
        <f>E220*D221</f>
        <v>15.1947025</v>
      </c>
      <c r="F221" s="70"/>
      <c r="G221" s="68"/>
      <c r="H221" s="159"/>
      <c r="I221" s="72"/>
      <c r="J221" s="70"/>
      <c r="K221" s="68"/>
      <c r="L221" s="68"/>
    </row>
    <row r="222" spans="1:12" ht="33" x14ac:dyDescent="0.25">
      <c r="A222" s="295"/>
      <c r="B222" s="262" t="s">
        <v>267</v>
      </c>
      <c r="C222" s="39" t="s">
        <v>23</v>
      </c>
      <c r="D222" s="104"/>
      <c r="E222" s="213">
        <f>E218</f>
        <v>28.669249999999998</v>
      </c>
      <c r="F222" s="70"/>
      <c r="G222" s="68"/>
      <c r="H222" s="70"/>
      <c r="I222" s="72"/>
      <c r="J222" s="70"/>
      <c r="K222" s="68"/>
      <c r="L222" s="68"/>
    </row>
    <row r="223" spans="1:12" ht="17.25" x14ac:dyDescent="0.25">
      <c r="A223" s="178"/>
      <c r="B223" s="146" t="s">
        <v>55</v>
      </c>
      <c r="C223" s="201"/>
      <c r="D223" s="178"/>
      <c r="E223" s="90"/>
      <c r="F223" s="90"/>
      <c r="G223" s="172"/>
      <c r="H223" s="172"/>
      <c r="I223" s="172"/>
      <c r="J223" s="172"/>
      <c r="K223" s="172"/>
      <c r="L223" s="172"/>
    </row>
    <row r="224" spans="1:12" ht="16.5" x14ac:dyDescent="0.25">
      <c r="A224" s="263"/>
      <c r="B224" s="264" t="s">
        <v>15</v>
      </c>
      <c r="C224" s="265"/>
      <c r="D224" s="266"/>
      <c r="E224" s="267" t="s">
        <v>314</v>
      </c>
      <c r="F224" s="268"/>
      <c r="G224" s="268"/>
      <c r="H224" s="268"/>
      <c r="I224" s="268"/>
      <c r="J224" s="268"/>
      <c r="K224" s="268"/>
      <c r="L224" s="269"/>
    </row>
    <row r="225" spans="1:12" ht="16.5" x14ac:dyDescent="0.25">
      <c r="A225" s="270"/>
      <c r="B225" s="271"/>
      <c r="C225" s="272"/>
      <c r="D225" s="273"/>
      <c r="E225" s="274"/>
      <c r="F225" s="275"/>
      <c r="G225" s="275"/>
      <c r="H225" s="275"/>
      <c r="I225" s="275"/>
      <c r="J225" s="275"/>
      <c r="K225" s="275"/>
      <c r="L225" s="276"/>
    </row>
    <row r="226" spans="1:12" ht="16.5" x14ac:dyDescent="0.25">
      <c r="A226" s="270"/>
      <c r="B226" s="271" t="s">
        <v>14</v>
      </c>
      <c r="C226" s="272"/>
      <c r="D226" s="273"/>
      <c r="E226" s="274" t="s">
        <v>314</v>
      </c>
      <c r="F226" s="275"/>
      <c r="G226" s="275"/>
      <c r="H226" s="275"/>
      <c r="I226" s="275"/>
      <c r="J226" s="275"/>
      <c r="K226" s="275"/>
      <c r="L226" s="276"/>
    </row>
    <row r="227" spans="1:12" ht="16.5" x14ac:dyDescent="0.25">
      <c r="A227" s="270"/>
      <c r="B227" s="271"/>
      <c r="C227" s="272"/>
      <c r="D227" s="273"/>
      <c r="E227" s="274"/>
      <c r="F227" s="275"/>
      <c r="G227" s="275"/>
      <c r="H227" s="275"/>
      <c r="I227" s="275"/>
      <c r="J227" s="275"/>
      <c r="K227" s="275"/>
      <c r="L227" s="276"/>
    </row>
    <row r="228" spans="1:12" ht="33" x14ac:dyDescent="0.25">
      <c r="A228" s="270"/>
      <c r="B228" s="271" t="s">
        <v>12</v>
      </c>
      <c r="C228" s="272"/>
      <c r="D228" s="273"/>
      <c r="E228" s="274" t="s">
        <v>124</v>
      </c>
      <c r="F228" s="275"/>
      <c r="G228" s="275"/>
      <c r="H228" s="275"/>
      <c r="I228" s="275"/>
      <c r="J228" s="275"/>
      <c r="K228" s="275"/>
      <c r="L228" s="276"/>
    </row>
    <row r="229" spans="1:12" ht="16.5" x14ac:dyDescent="0.25">
      <c r="A229" s="270"/>
      <c r="B229" s="271"/>
      <c r="C229" s="272"/>
      <c r="D229" s="273"/>
      <c r="E229" s="274"/>
      <c r="F229" s="275"/>
      <c r="G229" s="275"/>
      <c r="H229" s="275"/>
      <c r="I229" s="275"/>
      <c r="J229" s="275"/>
      <c r="K229" s="275"/>
      <c r="L229" s="276"/>
    </row>
    <row r="230" spans="1:12" ht="16.5" x14ac:dyDescent="0.25">
      <c r="A230" s="270"/>
      <c r="B230" s="271" t="s">
        <v>13</v>
      </c>
      <c r="C230" s="272"/>
      <c r="D230" s="273"/>
      <c r="E230" s="274" t="s">
        <v>125</v>
      </c>
      <c r="F230" s="275"/>
      <c r="G230" s="275"/>
      <c r="H230" s="275"/>
      <c r="I230" s="275"/>
      <c r="J230" s="275"/>
      <c r="K230" s="275"/>
      <c r="L230" s="276"/>
    </row>
    <row r="231" spans="1:12" ht="17.25" x14ac:dyDescent="0.25">
      <c r="A231" s="178"/>
      <c r="B231" s="146" t="s">
        <v>10</v>
      </c>
      <c r="C231" s="201"/>
      <c r="D231" s="178"/>
      <c r="E231" s="90"/>
      <c r="F231" s="90"/>
      <c r="G231" s="172"/>
      <c r="H231" s="172"/>
      <c r="I231" s="172"/>
      <c r="J231" s="172"/>
      <c r="K231" s="172"/>
      <c r="L231" s="172"/>
    </row>
    <row r="232" spans="1:12" x14ac:dyDescent="0.25">
      <c r="B232" s="42"/>
      <c r="C232" s="52"/>
      <c r="D232" s="49"/>
    </row>
    <row r="233" spans="1:12" ht="17.25" x14ac:dyDescent="0.25">
      <c r="B233" s="56"/>
      <c r="C233" s="22"/>
      <c r="D233" s="26"/>
      <c r="E233" s="26"/>
      <c r="F233" s="26"/>
      <c r="G233" s="26"/>
      <c r="H233" s="316"/>
      <c r="I233" s="316"/>
    </row>
    <row r="234" spans="1:12" x14ac:dyDescent="0.25">
      <c r="B234" s="42"/>
      <c r="C234" s="52"/>
      <c r="D234" s="49"/>
    </row>
    <row r="235" spans="1:12" ht="17.25" x14ac:dyDescent="0.25">
      <c r="B235" s="306"/>
      <c r="C235" s="306"/>
      <c r="D235" s="306"/>
    </row>
  </sheetData>
  <mergeCells count="51">
    <mergeCell ref="A26:A27"/>
    <mergeCell ref="A28:A32"/>
    <mergeCell ref="A33:A43"/>
    <mergeCell ref="B235:D235"/>
    <mergeCell ref="H7:I7"/>
    <mergeCell ref="B160:B161"/>
    <mergeCell ref="A1:L1"/>
    <mergeCell ref="A3:L3"/>
    <mergeCell ref="A5:L5"/>
    <mergeCell ref="A7:A8"/>
    <mergeCell ref="B7:B8"/>
    <mergeCell ref="C7:C8"/>
    <mergeCell ref="D7:D8"/>
    <mergeCell ref="E7:E8"/>
    <mergeCell ref="F7:G7"/>
    <mergeCell ref="J7:K7"/>
    <mergeCell ref="L7:L8"/>
    <mergeCell ref="H233:I233"/>
    <mergeCell ref="A168:A169"/>
    <mergeCell ref="A207:A214"/>
    <mergeCell ref="A11:A13"/>
    <mergeCell ref="A16:A18"/>
    <mergeCell ref="A170:A176"/>
    <mergeCell ref="A177:A180"/>
    <mergeCell ref="A160:A166"/>
    <mergeCell ref="A183:A192"/>
    <mergeCell ref="A193:A195"/>
    <mergeCell ref="A76:A84"/>
    <mergeCell ref="A122:A126"/>
    <mergeCell ref="A110:A116"/>
    <mergeCell ref="A117:A121"/>
    <mergeCell ref="A108:A109"/>
    <mergeCell ref="A44:A48"/>
    <mergeCell ref="A49:A53"/>
    <mergeCell ref="A24:A25"/>
    <mergeCell ref="A218:A222"/>
    <mergeCell ref="A14:A15"/>
    <mergeCell ref="A128:A132"/>
    <mergeCell ref="A133:A136"/>
    <mergeCell ref="A137:A143"/>
    <mergeCell ref="A144:A149"/>
    <mergeCell ref="A151:A155"/>
    <mergeCell ref="A156:A159"/>
    <mergeCell ref="A60:A61"/>
    <mergeCell ref="A62:A66"/>
    <mergeCell ref="A67:A75"/>
    <mergeCell ref="A101:A106"/>
    <mergeCell ref="A94:A100"/>
    <mergeCell ref="A85:A93"/>
    <mergeCell ref="A196:A203"/>
    <mergeCell ref="A204:A206"/>
  </mergeCells>
  <pageMargins left="0.59055118110236227" right="0.19685039370078741" top="0.35433070866141736" bottom="0.26" header="0.31496062992125984" footer="0.21"/>
  <pageSetup paperSize="9" orientation="landscape" verticalDpi="0" r:id="rId1"/>
  <headerFooter>
    <oddHeader>&amp;R&amp;N--&amp;P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L61"/>
  <sheetViews>
    <sheetView zoomScale="85" zoomScaleNormal="85" workbookViewId="0">
      <selection sqref="A1:L1"/>
    </sheetView>
  </sheetViews>
  <sheetFormatPr defaultColWidth="8.85546875" defaultRowHeight="16.5" x14ac:dyDescent="0.25"/>
  <cols>
    <col min="1" max="1" width="5.28515625" style="16" customWidth="1"/>
    <col min="2" max="2" width="31.140625" style="13" customWidth="1"/>
    <col min="3" max="3" width="7.140625" style="31" customWidth="1"/>
    <col min="4" max="5" width="8.85546875" style="16"/>
    <col min="6" max="6" width="7.28515625" style="16" customWidth="1"/>
    <col min="7" max="7" width="11" style="16" customWidth="1"/>
    <col min="8" max="8" width="7" style="16" customWidth="1"/>
    <col min="9" max="9" width="11" style="16" customWidth="1"/>
    <col min="10" max="10" width="7.28515625" style="16" customWidth="1"/>
    <col min="11" max="11" width="11" style="16" customWidth="1"/>
    <col min="12" max="12" width="12.85546875" style="16" customWidth="1"/>
    <col min="13" max="16384" width="8.85546875" style="11"/>
  </cols>
  <sheetData>
    <row r="1" spans="1:12" ht="69.599999999999994" customHeight="1" x14ac:dyDescent="0.25">
      <c r="A1" s="293" t="s">
        <v>247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17.25" x14ac:dyDescent="0.25">
      <c r="A2" s="38"/>
      <c r="B2" s="56"/>
      <c r="C2" s="61"/>
      <c r="D2" s="38"/>
      <c r="E2" s="22"/>
      <c r="F2" s="22"/>
      <c r="G2" s="22"/>
      <c r="H2" s="22"/>
      <c r="I2" s="22"/>
      <c r="J2" s="22"/>
      <c r="K2" s="22"/>
      <c r="L2" s="22"/>
    </row>
    <row r="3" spans="1:12" ht="17.25" x14ac:dyDescent="0.25">
      <c r="A3" s="293" t="s">
        <v>56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1:12" ht="17.25" x14ac:dyDescent="0.25">
      <c r="A4" s="38"/>
      <c r="B4" s="56"/>
      <c r="C4" s="61"/>
      <c r="D4" s="38"/>
      <c r="E4" s="22"/>
      <c r="F4" s="22"/>
      <c r="G4" s="22"/>
      <c r="H4" s="22"/>
      <c r="I4" s="22"/>
      <c r="J4" s="22"/>
      <c r="K4" s="22"/>
      <c r="L4" s="22"/>
    </row>
    <row r="5" spans="1:12" ht="17.25" x14ac:dyDescent="0.25">
      <c r="A5" s="293" t="s">
        <v>81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</row>
    <row r="6" spans="1:12" x14ac:dyDescent="0.25">
      <c r="A6" s="48"/>
      <c r="B6" s="20"/>
      <c r="C6" s="32"/>
      <c r="D6" s="48"/>
      <c r="E6" s="25"/>
      <c r="F6" s="25"/>
      <c r="G6" s="25"/>
      <c r="H6" s="25"/>
      <c r="I6" s="25"/>
      <c r="J6" s="25"/>
      <c r="K6" s="25"/>
      <c r="L6" s="25"/>
    </row>
    <row r="7" spans="1:12" ht="43.15" customHeight="1" x14ac:dyDescent="0.25">
      <c r="A7" s="326" t="s">
        <v>0</v>
      </c>
      <c r="B7" s="328" t="s">
        <v>1</v>
      </c>
      <c r="C7" s="330" t="s">
        <v>2</v>
      </c>
      <c r="D7" s="326" t="s">
        <v>3</v>
      </c>
      <c r="E7" s="296" t="s">
        <v>4</v>
      </c>
      <c r="F7" s="332" t="s">
        <v>5</v>
      </c>
      <c r="G7" s="333"/>
      <c r="H7" s="332" t="s">
        <v>6</v>
      </c>
      <c r="I7" s="333"/>
      <c r="J7" s="332" t="s">
        <v>29</v>
      </c>
      <c r="K7" s="333"/>
      <c r="L7" s="296" t="s">
        <v>7</v>
      </c>
    </row>
    <row r="8" spans="1:12" ht="31.5" x14ac:dyDescent="0.25">
      <c r="A8" s="327"/>
      <c r="B8" s="329"/>
      <c r="C8" s="331"/>
      <c r="D8" s="327"/>
      <c r="E8" s="297"/>
      <c r="F8" s="137" t="s">
        <v>8</v>
      </c>
      <c r="G8" s="137" t="s">
        <v>9</v>
      </c>
      <c r="H8" s="137" t="s">
        <v>8</v>
      </c>
      <c r="I8" s="137" t="s">
        <v>9</v>
      </c>
      <c r="J8" s="137" t="s">
        <v>8</v>
      </c>
      <c r="K8" s="137" t="s">
        <v>9</v>
      </c>
      <c r="L8" s="297"/>
    </row>
    <row r="9" spans="1:12" x14ac:dyDescent="0.25">
      <c r="A9" s="144">
        <v>1</v>
      </c>
      <c r="B9" s="12">
        <v>3</v>
      </c>
      <c r="C9" s="145">
        <v>4</v>
      </c>
      <c r="D9" s="144">
        <v>5</v>
      </c>
      <c r="E9" s="137">
        <v>6</v>
      </c>
      <c r="F9" s="137">
        <v>7</v>
      </c>
      <c r="G9" s="137">
        <v>8</v>
      </c>
      <c r="H9" s="137">
        <v>9</v>
      </c>
      <c r="I9" s="137">
        <v>10</v>
      </c>
      <c r="J9" s="137">
        <v>11</v>
      </c>
      <c r="K9" s="137">
        <v>12</v>
      </c>
      <c r="L9" s="137">
        <v>13</v>
      </c>
    </row>
    <row r="10" spans="1:12" ht="34.5" x14ac:dyDescent="0.25">
      <c r="A10" s="137"/>
      <c r="B10" s="146" t="s">
        <v>201</v>
      </c>
      <c r="C10" s="145"/>
      <c r="D10" s="137"/>
      <c r="E10" s="137"/>
      <c r="F10" s="137"/>
      <c r="G10" s="68"/>
      <c r="H10" s="137"/>
      <c r="I10" s="68"/>
      <c r="J10" s="137"/>
      <c r="K10" s="68"/>
      <c r="L10" s="68"/>
    </row>
    <row r="11" spans="1:12" s="13" customFormat="1" ht="69" x14ac:dyDescent="0.25">
      <c r="A11" s="298">
        <v>1</v>
      </c>
      <c r="B11" s="63" t="s">
        <v>73</v>
      </c>
      <c r="C11" s="30" t="s">
        <v>25</v>
      </c>
      <c r="D11" s="137"/>
      <c r="E11" s="23">
        <v>1</v>
      </c>
      <c r="F11" s="137"/>
      <c r="G11" s="68"/>
      <c r="H11" s="137"/>
      <c r="I11" s="68"/>
      <c r="J11" s="137"/>
      <c r="K11" s="68"/>
      <c r="L11" s="68"/>
    </row>
    <row r="12" spans="1:12" s="13" customFormat="1" x14ac:dyDescent="0.25">
      <c r="A12" s="298"/>
      <c r="B12" s="18" t="s">
        <v>34</v>
      </c>
      <c r="C12" s="62" t="s">
        <v>74</v>
      </c>
      <c r="D12" s="131">
        <v>6.8</v>
      </c>
      <c r="E12" s="131">
        <f>E11*D12</f>
        <v>6.8</v>
      </c>
      <c r="F12" s="131"/>
      <c r="G12" s="68"/>
      <c r="H12" s="131"/>
      <c r="I12" s="68"/>
      <c r="J12" s="131"/>
      <c r="K12" s="68"/>
      <c r="L12" s="68"/>
    </row>
    <row r="13" spans="1:12" s="13" customFormat="1" ht="27" x14ac:dyDescent="0.25">
      <c r="A13" s="298"/>
      <c r="B13" s="18" t="s">
        <v>250</v>
      </c>
      <c r="C13" s="62" t="s">
        <v>251</v>
      </c>
      <c r="D13" s="131">
        <v>0</v>
      </c>
      <c r="E13" s="131">
        <f>E11*D13</f>
        <v>0</v>
      </c>
      <c r="F13" s="131"/>
      <c r="G13" s="68"/>
      <c r="H13" s="131"/>
      <c r="I13" s="68"/>
      <c r="J13" s="72"/>
      <c r="K13" s="68"/>
      <c r="L13" s="68"/>
    </row>
    <row r="14" spans="1:12" s="13" customFormat="1" ht="33" x14ac:dyDescent="0.25">
      <c r="A14" s="298"/>
      <c r="B14" s="18" t="s">
        <v>252</v>
      </c>
      <c r="C14" s="62" t="s">
        <v>253</v>
      </c>
      <c r="D14" s="131">
        <f>10.5*0.01</f>
        <v>0.105</v>
      </c>
      <c r="E14" s="131">
        <f>E11*D14</f>
        <v>0.105</v>
      </c>
      <c r="F14" s="131"/>
      <c r="G14" s="68"/>
      <c r="H14" s="131"/>
      <c r="I14" s="68"/>
      <c r="J14" s="131"/>
      <c r="K14" s="68"/>
      <c r="L14" s="68"/>
    </row>
    <row r="15" spans="1:12" s="13" customFormat="1" x14ac:dyDescent="0.25">
      <c r="A15" s="298"/>
      <c r="B15" s="18" t="s">
        <v>254</v>
      </c>
      <c r="C15" s="62"/>
      <c r="D15" s="131"/>
      <c r="E15" s="131"/>
      <c r="F15" s="131"/>
      <c r="G15" s="68"/>
      <c r="H15" s="131"/>
      <c r="I15" s="68"/>
      <c r="J15" s="131"/>
      <c r="K15" s="68"/>
      <c r="L15" s="68"/>
    </row>
    <row r="16" spans="1:12" s="13" customFormat="1" x14ac:dyDescent="0.25">
      <c r="A16" s="298"/>
      <c r="B16" s="17" t="s">
        <v>256</v>
      </c>
      <c r="C16" s="33" t="s">
        <v>16</v>
      </c>
      <c r="D16" s="93"/>
      <c r="E16" s="138">
        <v>2</v>
      </c>
      <c r="F16" s="137"/>
      <c r="G16" s="68"/>
      <c r="H16" s="137"/>
      <c r="I16" s="68"/>
      <c r="J16" s="137"/>
      <c r="K16" s="68"/>
      <c r="L16" s="68"/>
    </row>
    <row r="17" spans="1:12" s="13" customFormat="1" x14ac:dyDescent="0.25">
      <c r="A17" s="298"/>
      <c r="B17" s="17" t="s">
        <v>76</v>
      </c>
      <c r="C17" s="33" t="s">
        <v>25</v>
      </c>
      <c r="D17" s="93"/>
      <c r="E17" s="138">
        <v>1</v>
      </c>
      <c r="F17" s="137"/>
      <c r="G17" s="68"/>
      <c r="H17" s="137"/>
      <c r="I17" s="68"/>
      <c r="J17" s="137"/>
      <c r="K17" s="68"/>
      <c r="L17" s="68"/>
    </row>
    <row r="18" spans="1:12" s="13" customFormat="1" x14ac:dyDescent="0.25">
      <c r="A18" s="298"/>
      <c r="B18" s="19" t="s">
        <v>77</v>
      </c>
      <c r="C18" s="30" t="s">
        <v>25</v>
      </c>
      <c r="D18" s="138"/>
      <c r="E18" s="138">
        <v>1</v>
      </c>
      <c r="F18" s="137"/>
      <c r="G18" s="68"/>
      <c r="H18" s="137"/>
      <c r="I18" s="68"/>
      <c r="J18" s="137"/>
      <c r="K18" s="68"/>
      <c r="L18" s="68"/>
    </row>
    <row r="19" spans="1:12" s="13" customFormat="1" ht="49.5" x14ac:dyDescent="0.25">
      <c r="A19" s="298"/>
      <c r="B19" s="18" t="s">
        <v>255</v>
      </c>
      <c r="C19" s="62" t="s">
        <v>75</v>
      </c>
      <c r="D19" s="131"/>
      <c r="E19" s="131">
        <v>1</v>
      </c>
      <c r="F19" s="131"/>
      <c r="G19" s="68"/>
      <c r="H19" s="131"/>
      <c r="I19" s="68"/>
      <c r="J19" s="131"/>
      <c r="K19" s="68"/>
      <c r="L19" s="68"/>
    </row>
    <row r="20" spans="1:12" s="13" customFormat="1" x14ac:dyDescent="0.25">
      <c r="A20" s="298"/>
      <c r="B20" s="18" t="s">
        <v>69</v>
      </c>
      <c r="C20" s="62" t="s">
        <v>68</v>
      </c>
      <c r="D20" s="131">
        <f>32.3*0.01</f>
        <v>0.32299999999999995</v>
      </c>
      <c r="E20" s="131">
        <f>E11*D20</f>
        <v>0.32299999999999995</v>
      </c>
      <c r="F20" s="131"/>
      <c r="G20" s="68"/>
      <c r="H20" s="131"/>
      <c r="I20" s="68"/>
      <c r="J20" s="131"/>
      <c r="K20" s="68"/>
      <c r="L20" s="68"/>
    </row>
    <row r="21" spans="1:12" s="13" customFormat="1" ht="34.5" x14ac:dyDescent="0.25">
      <c r="A21" s="298">
        <v>2</v>
      </c>
      <c r="B21" s="28" t="s">
        <v>80</v>
      </c>
      <c r="C21" s="214" t="s">
        <v>58</v>
      </c>
      <c r="D21" s="277"/>
      <c r="E21" s="215">
        <f>E23</f>
        <v>2</v>
      </c>
      <c r="F21" s="89"/>
      <c r="G21" s="68"/>
      <c r="H21" s="94"/>
      <c r="I21" s="68"/>
      <c r="J21" s="161"/>
      <c r="K21" s="68"/>
      <c r="L21" s="68"/>
    </row>
    <row r="22" spans="1:12" s="13" customFormat="1" x14ac:dyDescent="0.25">
      <c r="A22" s="298"/>
      <c r="B22" s="278" t="s">
        <v>26</v>
      </c>
      <c r="C22" s="279" t="s">
        <v>28</v>
      </c>
      <c r="D22" s="280">
        <v>0.39200000000000002</v>
      </c>
      <c r="E22" s="95">
        <f>E21*D22</f>
        <v>0.78400000000000003</v>
      </c>
      <c r="F22" s="95"/>
      <c r="G22" s="68"/>
      <c r="H22" s="131"/>
      <c r="I22" s="68"/>
      <c r="J22" s="72"/>
      <c r="K22" s="68"/>
      <c r="L22" s="68"/>
    </row>
    <row r="23" spans="1:12" s="13" customFormat="1" ht="33" x14ac:dyDescent="0.25">
      <c r="A23" s="298"/>
      <c r="B23" s="29" t="s">
        <v>257</v>
      </c>
      <c r="C23" s="33" t="s">
        <v>25</v>
      </c>
      <c r="D23" s="93"/>
      <c r="E23" s="138">
        <v>2</v>
      </c>
      <c r="F23" s="72"/>
      <c r="G23" s="68"/>
      <c r="H23" s="72"/>
      <c r="I23" s="68"/>
      <c r="J23" s="72"/>
      <c r="K23" s="68"/>
      <c r="L23" s="68"/>
    </row>
    <row r="24" spans="1:12" s="13" customFormat="1" x14ac:dyDescent="0.25">
      <c r="A24" s="298"/>
      <c r="B24" s="278" t="s">
        <v>33</v>
      </c>
      <c r="C24" s="279" t="s">
        <v>24</v>
      </c>
      <c r="D24" s="281">
        <f>9.4/100</f>
        <v>9.4E-2</v>
      </c>
      <c r="E24" s="240">
        <f>E21*D24</f>
        <v>0.188</v>
      </c>
      <c r="F24" s="72"/>
      <c r="G24" s="68"/>
      <c r="H24" s="72"/>
      <c r="I24" s="68"/>
      <c r="J24" s="72"/>
      <c r="K24" s="68"/>
      <c r="L24" s="68"/>
    </row>
    <row r="25" spans="1:12" s="13" customFormat="1" ht="34.5" x14ac:dyDescent="0.25">
      <c r="A25" s="334">
        <v>7</v>
      </c>
      <c r="B25" s="282" t="s">
        <v>261</v>
      </c>
      <c r="C25" s="30" t="s">
        <v>78</v>
      </c>
      <c r="D25" s="138"/>
      <c r="E25" s="23">
        <f>E27+E28+E29</f>
        <v>155</v>
      </c>
      <c r="F25" s="23"/>
      <c r="G25" s="68"/>
      <c r="H25" s="23"/>
      <c r="I25" s="68"/>
      <c r="J25" s="23"/>
      <c r="K25" s="68"/>
      <c r="L25" s="68"/>
    </row>
    <row r="26" spans="1:12" s="13" customFormat="1" x14ac:dyDescent="0.25">
      <c r="A26" s="335"/>
      <c r="B26" s="19" t="s">
        <v>34</v>
      </c>
      <c r="C26" s="30" t="s">
        <v>74</v>
      </c>
      <c r="D26" s="138">
        <v>0.13900000000000001</v>
      </c>
      <c r="E26" s="138">
        <f>E25*D26</f>
        <v>21.545000000000002</v>
      </c>
      <c r="F26" s="138"/>
      <c r="G26" s="68"/>
      <c r="H26" s="138"/>
      <c r="I26" s="68"/>
      <c r="J26" s="138"/>
      <c r="K26" s="68"/>
      <c r="L26" s="68"/>
    </row>
    <row r="27" spans="1:12" s="13" customFormat="1" x14ac:dyDescent="0.25">
      <c r="A27" s="335"/>
      <c r="B27" s="88" t="s">
        <v>276</v>
      </c>
      <c r="C27" s="62" t="s">
        <v>78</v>
      </c>
      <c r="D27" s="131"/>
      <c r="E27" s="131">
        <v>45</v>
      </c>
      <c r="F27" s="283"/>
      <c r="G27" s="68"/>
      <c r="H27" s="283"/>
      <c r="I27" s="68"/>
      <c r="J27" s="284"/>
      <c r="K27" s="68"/>
      <c r="L27" s="68"/>
    </row>
    <row r="28" spans="1:12" s="13" customFormat="1" x14ac:dyDescent="0.25">
      <c r="A28" s="335"/>
      <c r="B28" s="88" t="s">
        <v>172</v>
      </c>
      <c r="C28" s="62" t="s">
        <v>78</v>
      </c>
      <c r="D28" s="131"/>
      <c r="E28" s="131">
        <v>20</v>
      </c>
      <c r="F28" s="283"/>
      <c r="G28" s="68"/>
      <c r="H28" s="283"/>
      <c r="I28" s="68"/>
      <c r="J28" s="284"/>
      <c r="K28" s="68"/>
      <c r="L28" s="68"/>
    </row>
    <row r="29" spans="1:12" s="13" customFormat="1" x14ac:dyDescent="0.25">
      <c r="A29" s="96"/>
      <c r="B29" s="88" t="s">
        <v>260</v>
      </c>
      <c r="C29" s="62" t="s">
        <v>78</v>
      </c>
      <c r="D29" s="131"/>
      <c r="E29" s="131">
        <v>90</v>
      </c>
      <c r="F29" s="283"/>
      <c r="G29" s="68"/>
      <c r="H29" s="283"/>
      <c r="I29" s="68"/>
      <c r="J29" s="284"/>
      <c r="K29" s="68"/>
      <c r="L29" s="68"/>
    </row>
    <row r="30" spans="1:12" s="13" customFormat="1" x14ac:dyDescent="0.25">
      <c r="A30" s="97"/>
      <c r="B30" s="19" t="s">
        <v>69</v>
      </c>
      <c r="C30" s="30" t="s">
        <v>68</v>
      </c>
      <c r="D30" s="138">
        <v>9.7000000000000003E-2</v>
      </c>
      <c r="E30" s="138">
        <f>E25*D30</f>
        <v>15.035</v>
      </c>
      <c r="F30" s="138"/>
      <c r="G30" s="68"/>
      <c r="H30" s="138"/>
      <c r="I30" s="68"/>
      <c r="J30" s="138"/>
      <c r="K30" s="68"/>
      <c r="L30" s="68"/>
    </row>
    <row r="31" spans="1:12" s="13" customFormat="1" ht="34.5" x14ac:dyDescent="0.25">
      <c r="A31" s="296">
        <v>11.1</v>
      </c>
      <c r="B31" s="285" t="s">
        <v>292</v>
      </c>
      <c r="C31" s="214" t="s">
        <v>58</v>
      </c>
      <c r="D31" s="277"/>
      <c r="E31" s="215">
        <v>5</v>
      </c>
      <c r="F31" s="283"/>
      <c r="G31" s="68"/>
      <c r="H31" s="283"/>
      <c r="I31" s="68"/>
      <c r="J31" s="284"/>
      <c r="K31" s="68"/>
      <c r="L31" s="68"/>
    </row>
    <row r="32" spans="1:12" s="13" customFormat="1" x14ac:dyDescent="0.25">
      <c r="A32" s="299"/>
      <c r="B32" s="18" t="s">
        <v>26</v>
      </c>
      <c r="C32" s="279" t="s">
        <v>28</v>
      </c>
      <c r="D32" s="281">
        <f>225/100</f>
        <v>2.25</v>
      </c>
      <c r="E32" s="240">
        <f>D32*E31</f>
        <v>11.25</v>
      </c>
      <c r="F32" s="283"/>
      <c r="G32" s="68"/>
      <c r="H32" s="283"/>
      <c r="I32" s="68"/>
      <c r="J32" s="284"/>
      <c r="K32" s="68"/>
      <c r="L32" s="68"/>
    </row>
    <row r="33" spans="1:12" s="13" customFormat="1" x14ac:dyDescent="0.25">
      <c r="A33" s="299"/>
      <c r="B33" s="18" t="s">
        <v>27</v>
      </c>
      <c r="C33" s="279" t="s">
        <v>24</v>
      </c>
      <c r="D33" s="281">
        <f>86/100</f>
        <v>0.86</v>
      </c>
      <c r="E33" s="240">
        <f>D33*E31</f>
        <v>4.3</v>
      </c>
      <c r="F33" s="283"/>
      <c r="G33" s="68"/>
      <c r="H33" s="283"/>
      <c r="I33" s="68"/>
      <c r="J33" s="284"/>
      <c r="K33" s="68"/>
      <c r="L33" s="68"/>
    </row>
    <row r="34" spans="1:12" s="13" customFormat="1" ht="99" x14ac:dyDescent="0.25">
      <c r="A34" s="299"/>
      <c r="B34" s="286" t="s">
        <v>259</v>
      </c>
      <c r="C34" s="218" t="s">
        <v>170</v>
      </c>
      <c r="D34" s="287"/>
      <c r="E34" s="219">
        <f>E31</f>
        <v>5</v>
      </c>
      <c r="F34" s="283"/>
      <c r="G34" s="68"/>
      <c r="H34" s="283"/>
      <c r="I34" s="68"/>
      <c r="J34" s="284"/>
      <c r="K34" s="68"/>
      <c r="L34" s="68"/>
    </row>
    <row r="35" spans="1:12" s="13" customFormat="1" ht="33" x14ac:dyDescent="0.25">
      <c r="A35" s="299"/>
      <c r="B35" s="18" t="s">
        <v>258</v>
      </c>
      <c r="C35" s="62" t="s">
        <v>16</v>
      </c>
      <c r="D35" s="131"/>
      <c r="E35" s="131">
        <v>1</v>
      </c>
      <c r="F35" s="283"/>
      <c r="G35" s="68"/>
      <c r="H35" s="283"/>
      <c r="I35" s="68"/>
      <c r="J35" s="284"/>
      <c r="K35" s="68"/>
      <c r="L35" s="68"/>
    </row>
    <row r="36" spans="1:12" s="13" customFormat="1" x14ac:dyDescent="0.25">
      <c r="A36" s="297"/>
      <c r="B36" s="18" t="s">
        <v>33</v>
      </c>
      <c r="C36" s="279" t="s">
        <v>24</v>
      </c>
      <c r="D36" s="281">
        <f>210/100</f>
        <v>2.1</v>
      </c>
      <c r="E36" s="240">
        <f>D36*E31</f>
        <v>10.5</v>
      </c>
      <c r="F36" s="283"/>
      <c r="G36" s="68"/>
      <c r="H36" s="283"/>
      <c r="I36" s="68"/>
      <c r="J36" s="284"/>
      <c r="K36" s="68"/>
      <c r="L36" s="68"/>
    </row>
    <row r="37" spans="1:12" s="13" customFormat="1" ht="51.75" x14ac:dyDescent="0.25">
      <c r="A37" s="336">
        <v>11.2</v>
      </c>
      <c r="B37" s="41" t="s">
        <v>171</v>
      </c>
      <c r="C37" s="86" t="s">
        <v>78</v>
      </c>
      <c r="D37" s="131"/>
      <c r="E37" s="71">
        <f>E40+E41</f>
        <v>150</v>
      </c>
      <c r="F37" s="283"/>
      <c r="G37" s="68"/>
      <c r="H37" s="283"/>
      <c r="I37" s="68"/>
      <c r="J37" s="284"/>
      <c r="K37" s="68"/>
      <c r="L37" s="68"/>
    </row>
    <row r="38" spans="1:12" s="13" customFormat="1" x14ac:dyDescent="0.25">
      <c r="A38" s="337"/>
      <c r="B38" s="18" t="s">
        <v>34</v>
      </c>
      <c r="C38" s="62" t="s">
        <v>74</v>
      </c>
      <c r="D38" s="131">
        <v>0.13900000000000001</v>
      </c>
      <c r="E38" s="131">
        <f>D38*E37</f>
        <v>20.85</v>
      </c>
      <c r="F38" s="283"/>
      <c r="G38" s="68"/>
      <c r="H38" s="283"/>
      <c r="I38" s="68"/>
      <c r="J38" s="284"/>
      <c r="K38" s="68"/>
      <c r="L38" s="68"/>
    </row>
    <row r="39" spans="1:12" s="13" customFormat="1" x14ac:dyDescent="0.25">
      <c r="A39" s="337"/>
      <c r="B39" s="18" t="s">
        <v>69</v>
      </c>
      <c r="C39" s="62" t="s">
        <v>68</v>
      </c>
      <c r="D39" s="131">
        <v>9.7000000000000003E-2</v>
      </c>
      <c r="E39" s="131">
        <f>D39*E37</f>
        <v>14.55</v>
      </c>
      <c r="F39" s="283"/>
      <c r="G39" s="68"/>
      <c r="H39" s="283"/>
      <c r="I39" s="68"/>
      <c r="J39" s="284"/>
      <c r="K39" s="68"/>
      <c r="L39" s="68"/>
    </row>
    <row r="40" spans="1:12" s="13" customFormat="1" x14ac:dyDescent="0.25">
      <c r="A40" s="337"/>
      <c r="B40" s="88" t="s">
        <v>248</v>
      </c>
      <c r="C40" s="62" t="s">
        <v>78</v>
      </c>
      <c r="D40" s="131"/>
      <c r="E40" s="131">
        <v>40</v>
      </c>
      <c r="F40" s="283"/>
      <c r="G40" s="68"/>
      <c r="H40" s="283"/>
      <c r="I40" s="68"/>
      <c r="J40" s="284"/>
      <c r="K40" s="68"/>
      <c r="L40" s="68"/>
    </row>
    <row r="41" spans="1:12" s="13" customFormat="1" x14ac:dyDescent="0.25">
      <c r="A41" s="337"/>
      <c r="B41" s="88" t="s">
        <v>249</v>
      </c>
      <c r="C41" s="62" t="s">
        <v>78</v>
      </c>
      <c r="D41" s="131"/>
      <c r="E41" s="131">
        <v>110</v>
      </c>
      <c r="F41" s="283"/>
      <c r="G41" s="68"/>
      <c r="H41" s="283"/>
      <c r="I41" s="68"/>
      <c r="J41" s="284"/>
      <c r="K41" s="68"/>
      <c r="L41" s="68"/>
    </row>
    <row r="42" spans="1:12" s="13" customFormat="1" x14ac:dyDescent="0.25">
      <c r="A42" s="137"/>
      <c r="B42" s="5"/>
      <c r="C42" s="288"/>
      <c r="D42" s="289"/>
      <c r="E42" s="131"/>
      <c r="F42" s="283"/>
      <c r="G42" s="68"/>
      <c r="H42" s="283"/>
      <c r="I42" s="68"/>
      <c r="J42" s="284"/>
      <c r="K42" s="68"/>
      <c r="L42" s="68"/>
    </row>
    <row r="43" spans="1:12" ht="17.25" x14ac:dyDescent="0.25">
      <c r="A43" s="90"/>
      <c r="B43" s="146" t="s">
        <v>35</v>
      </c>
      <c r="C43" s="91"/>
      <c r="D43" s="90"/>
      <c r="E43" s="90"/>
      <c r="F43" s="90"/>
      <c r="G43" s="172"/>
      <c r="H43" s="90"/>
      <c r="I43" s="172"/>
      <c r="J43" s="172"/>
      <c r="K43" s="172"/>
      <c r="L43" s="172"/>
    </row>
    <row r="44" spans="1:12" ht="49.5" x14ac:dyDescent="0.25">
      <c r="A44" s="137"/>
      <c r="B44" s="12" t="s">
        <v>36</v>
      </c>
      <c r="C44" s="145"/>
      <c r="D44" s="137"/>
      <c r="E44" s="179" t="s">
        <v>314</v>
      </c>
      <c r="F44" s="137"/>
      <c r="G44" s="137"/>
      <c r="H44" s="137"/>
      <c r="I44" s="68"/>
      <c r="J44" s="68"/>
      <c r="K44" s="68"/>
      <c r="L44" s="68"/>
    </row>
    <row r="45" spans="1:12" x14ac:dyDescent="0.25">
      <c r="A45" s="137"/>
      <c r="B45" s="12"/>
      <c r="C45" s="145"/>
      <c r="D45" s="137"/>
      <c r="E45" s="137"/>
      <c r="F45" s="137"/>
      <c r="G45" s="137"/>
      <c r="H45" s="137"/>
      <c r="I45" s="68"/>
      <c r="J45" s="68"/>
      <c r="K45" s="68"/>
      <c r="L45" s="68"/>
    </row>
    <row r="46" spans="1:12" x14ac:dyDescent="0.25">
      <c r="A46" s="137"/>
      <c r="B46" s="12" t="s">
        <v>37</v>
      </c>
      <c r="C46" s="145"/>
      <c r="D46" s="137"/>
      <c r="E46" s="179" t="s">
        <v>314</v>
      </c>
      <c r="F46" s="137"/>
      <c r="G46" s="137"/>
      <c r="H46" s="137"/>
      <c r="I46" s="68"/>
      <c r="J46" s="68"/>
      <c r="K46" s="68"/>
      <c r="L46" s="68"/>
    </row>
    <row r="47" spans="1:12" x14ac:dyDescent="0.25">
      <c r="A47" s="137"/>
      <c r="B47" s="12"/>
      <c r="C47" s="145"/>
      <c r="D47" s="137"/>
      <c r="E47" s="137"/>
      <c r="F47" s="137"/>
      <c r="G47" s="137"/>
      <c r="H47" s="137"/>
      <c r="I47" s="68"/>
      <c r="J47" s="68"/>
      <c r="K47" s="68"/>
      <c r="L47" s="172"/>
    </row>
    <row r="48" spans="1:12" ht="33" x14ac:dyDescent="0.25">
      <c r="A48" s="137"/>
      <c r="B48" s="12" t="s">
        <v>12</v>
      </c>
      <c r="C48" s="145"/>
      <c r="D48" s="137"/>
      <c r="E48" s="179">
        <v>0.03</v>
      </c>
      <c r="F48" s="137"/>
      <c r="G48" s="137"/>
      <c r="H48" s="137"/>
      <c r="I48" s="68"/>
      <c r="J48" s="68"/>
      <c r="K48" s="68"/>
      <c r="L48" s="68"/>
    </row>
    <row r="49" spans="1:12" x14ac:dyDescent="0.25">
      <c r="A49" s="137"/>
      <c r="B49" s="12"/>
      <c r="C49" s="145"/>
      <c r="D49" s="137"/>
      <c r="E49" s="137"/>
      <c r="F49" s="137"/>
      <c r="G49" s="137"/>
      <c r="H49" s="137"/>
      <c r="I49" s="68"/>
      <c r="J49" s="68"/>
      <c r="K49" s="68"/>
      <c r="L49" s="68"/>
    </row>
    <row r="50" spans="1:12" x14ac:dyDescent="0.25">
      <c r="A50" s="137"/>
      <c r="B50" s="12" t="s">
        <v>13</v>
      </c>
      <c r="C50" s="145"/>
      <c r="D50" s="137"/>
      <c r="E50" s="179">
        <v>0.18</v>
      </c>
      <c r="F50" s="137"/>
      <c r="G50" s="137"/>
      <c r="H50" s="137"/>
      <c r="I50" s="68"/>
      <c r="J50" s="68"/>
      <c r="K50" s="68"/>
      <c r="L50" s="68"/>
    </row>
    <row r="51" spans="1:12" ht="17.25" x14ac:dyDescent="0.25">
      <c r="A51" s="137"/>
      <c r="B51" s="146" t="s">
        <v>10</v>
      </c>
      <c r="C51" s="145"/>
      <c r="D51" s="137"/>
      <c r="E51" s="137"/>
      <c r="F51" s="137"/>
      <c r="G51" s="137"/>
      <c r="H51" s="137"/>
      <c r="I51" s="68"/>
      <c r="J51" s="68"/>
      <c r="K51" s="68"/>
      <c r="L51" s="172"/>
    </row>
    <row r="52" spans="1:12" x14ac:dyDescent="0.25">
      <c r="A52" s="290"/>
      <c r="B52" s="3"/>
      <c r="C52" s="291"/>
      <c r="D52" s="290"/>
      <c r="E52" s="290"/>
      <c r="F52" s="290"/>
      <c r="G52" s="290"/>
      <c r="H52" s="290"/>
      <c r="I52" s="290"/>
      <c r="J52" s="290"/>
      <c r="K52" s="290"/>
      <c r="L52" s="290"/>
    </row>
    <row r="53" spans="1:12" ht="17.25" x14ac:dyDescent="0.25">
      <c r="A53" s="49"/>
      <c r="B53" s="56"/>
      <c r="C53" s="61"/>
      <c r="D53" s="26"/>
      <c r="E53" s="26"/>
      <c r="F53" s="26"/>
      <c r="G53" s="26"/>
      <c r="H53" s="316"/>
      <c r="I53" s="316"/>
      <c r="J53" s="26"/>
      <c r="K53" s="26"/>
      <c r="L53" s="26"/>
    </row>
    <row r="54" spans="1:12" x14ac:dyDescent="0.25">
      <c r="B54" s="76"/>
      <c r="C54" s="52"/>
      <c r="D54" s="49"/>
    </row>
    <row r="55" spans="1:12" ht="17.25" x14ac:dyDescent="0.25">
      <c r="B55" s="306"/>
      <c r="C55" s="306"/>
      <c r="D55" s="306"/>
    </row>
    <row r="58" spans="1:12" ht="17.25" x14ac:dyDescent="0.25">
      <c r="B58" s="58"/>
    </row>
    <row r="61" spans="1:12" s="13" customFormat="1" ht="17.25" x14ac:dyDescent="0.25">
      <c r="A61" s="16"/>
      <c r="B61" s="58"/>
      <c r="C61" s="31"/>
      <c r="D61" s="16"/>
      <c r="E61" s="16"/>
      <c r="F61" s="16"/>
      <c r="G61" s="16"/>
      <c r="H61" s="16"/>
      <c r="I61" s="16"/>
      <c r="J61" s="16"/>
      <c r="K61" s="16"/>
      <c r="L61" s="16"/>
    </row>
  </sheetData>
  <mergeCells count="19">
    <mergeCell ref="A21:A24"/>
    <mergeCell ref="A25:A28"/>
    <mergeCell ref="A37:A41"/>
    <mergeCell ref="B55:D55"/>
    <mergeCell ref="H53:I53"/>
    <mergeCell ref="A31:A36"/>
    <mergeCell ref="A11:A20"/>
    <mergeCell ref="A1:L1"/>
    <mergeCell ref="A3:L3"/>
    <mergeCell ref="A5:L5"/>
    <mergeCell ref="A7:A8"/>
    <mergeCell ref="B7:B8"/>
    <mergeCell ref="C7:C8"/>
    <mergeCell ref="D7:D8"/>
    <mergeCell ref="E7:E8"/>
    <mergeCell ref="F7:G7"/>
    <mergeCell ref="H7:I7"/>
    <mergeCell ref="J7:K7"/>
    <mergeCell ref="L7:L8"/>
  </mergeCells>
  <pageMargins left="0.55118110236220474" right="0.31496062992125984" top="0.55118110236220474" bottom="0.19685039370078741" header="0.31496062992125984" footer="0.15748031496062992"/>
  <pageSetup paperSize="9" orientation="landscape" r:id="rId1"/>
  <headerFooter>
    <oddHeader>&amp;R&amp;N--&amp;P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146"/>
  <sheetViews>
    <sheetView zoomScaleNormal="100" workbookViewId="0">
      <selection sqref="A1:L1"/>
    </sheetView>
  </sheetViews>
  <sheetFormatPr defaultColWidth="8.85546875" defaultRowHeight="15.75" x14ac:dyDescent="0.25"/>
  <cols>
    <col min="1" max="1" width="5.140625" style="48" customWidth="1"/>
    <col min="2" max="2" width="33.7109375" style="20" customWidth="1"/>
    <col min="3" max="3" width="6.140625" style="32" customWidth="1"/>
    <col min="4" max="4" width="8.42578125" style="48" customWidth="1"/>
    <col min="5" max="5" width="11.28515625" style="25" customWidth="1"/>
    <col min="6" max="6" width="7.140625" style="25" customWidth="1"/>
    <col min="7" max="7" width="11.28515625" style="25" customWidth="1"/>
    <col min="8" max="8" width="8" style="25" customWidth="1"/>
    <col min="9" max="9" width="10.5703125" style="25" customWidth="1"/>
    <col min="10" max="10" width="7.28515625" style="25" customWidth="1"/>
    <col min="11" max="11" width="10.42578125" style="25" customWidth="1"/>
    <col min="12" max="12" width="12.28515625" style="25" bestFit="1" customWidth="1"/>
    <col min="13" max="16384" width="8.85546875" style="7"/>
  </cols>
  <sheetData>
    <row r="1" spans="1:12" ht="79.900000000000006" customHeight="1" x14ac:dyDescent="0.25">
      <c r="A1" s="293" t="s">
        <v>247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11.45" customHeight="1" x14ac:dyDescent="0.25">
      <c r="A2" s="38"/>
      <c r="B2" s="56"/>
      <c r="C2" s="61"/>
      <c r="D2" s="38"/>
      <c r="E2" s="22"/>
      <c r="F2" s="22"/>
      <c r="G2" s="22"/>
      <c r="H2" s="22"/>
      <c r="I2" s="22"/>
      <c r="J2" s="22"/>
      <c r="K2" s="22"/>
      <c r="L2" s="22"/>
    </row>
    <row r="3" spans="1:12" ht="27" customHeight="1" x14ac:dyDescent="0.25">
      <c r="A3" s="293" t="s">
        <v>38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1:12" ht="17.25" x14ac:dyDescent="0.25">
      <c r="A4" s="38"/>
      <c r="B4" s="56"/>
      <c r="C4" s="61"/>
      <c r="D4" s="38"/>
      <c r="E4" s="22"/>
      <c r="F4" s="22"/>
      <c r="G4" s="22"/>
      <c r="H4" s="22"/>
      <c r="I4" s="22"/>
      <c r="J4" s="22"/>
      <c r="K4" s="22"/>
      <c r="L4" s="22"/>
    </row>
    <row r="5" spans="1:12" ht="31.15" customHeight="1" x14ac:dyDescent="0.25">
      <c r="A5" s="293" t="s">
        <v>239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</row>
    <row r="7" spans="1:12" ht="41.45" customHeight="1" x14ac:dyDescent="0.25">
      <c r="A7" s="348" t="s">
        <v>0</v>
      </c>
      <c r="B7" s="349" t="s">
        <v>1</v>
      </c>
      <c r="C7" s="350" t="s">
        <v>2</v>
      </c>
      <c r="D7" s="348" t="s">
        <v>3</v>
      </c>
      <c r="E7" s="338" t="s">
        <v>4</v>
      </c>
      <c r="F7" s="338" t="s">
        <v>5</v>
      </c>
      <c r="G7" s="338"/>
      <c r="H7" s="338" t="s">
        <v>6</v>
      </c>
      <c r="I7" s="338"/>
      <c r="J7" s="338" t="s">
        <v>29</v>
      </c>
      <c r="K7" s="338"/>
      <c r="L7" s="338" t="s">
        <v>7</v>
      </c>
    </row>
    <row r="8" spans="1:12" ht="60" customHeight="1" x14ac:dyDescent="0.25">
      <c r="A8" s="348"/>
      <c r="B8" s="349"/>
      <c r="C8" s="350"/>
      <c r="D8" s="348"/>
      <c r="E8" s="338"/>
      <c r="F8" s="60" t="s">
        <v>8</v>
      </c>
      <c r="G8" s="60" t="s">
        <v>9</v>
      </c>
      <c r="H8" s="60" t="s">
        <v>8</v>
      </c>
      <c r="I8" s="60" t="s">
        <v>9</v>
      </c>
      <c r="J8" s="60" t="s">
        <v>8</v>
      </c>
      <c r="K8" s="60" t="s">
        <v>9</v>
      </c>
      <c r="L8" s="338"/>
    </row>
    <row r="9" spans="1:12" ht="16.5" x14ac:dyDescent="0.25">
      <c r="A9" s="144">
        <v>1</v>
      </c>
      <c r="B9" s="12">
        <v>3</v>
      </c>
      <c r="C9" s="145">
        <v>4</v>
      </c>
      <c r="D9" s="144">
        <v>5</v>
      </c>
      <c r="E9" s="137">
        <v>6</v>
      </c>
      <c r="F9" s="137">
        <v>7</v>
      </c>
      <c r="G9" s="137">
        <v>8</v>
      </c>
      <c r="H9" s="137">
        <v>9</v>
      </c>
      <c r="I9" s="137">
        <v>10</v>
      </c>
      <c r="J9" s="137">
        <v>11</v>
      </c>
      <c r="K9" s="137">
        <v>12</v>
      </c>
      <c r="L9" s="137">
        <v>13</v>
      </c>
    </row>
    <row r="10" spans="1:12" ht="34.5" x14ac:dyDescent="0.25">
      <c r="A10" s="90" t="s">
        <v>50</v>
      </c>
      <c r="B10" s="146" t="s">
        <v>107</v>
      </c>
      <c r="C10" s="91"/>
      <c r="D10" s="137"/>
      <c r="E10" s="90"/>
      <c r="F10" s="129"/>
      <c r="G10" s="68"/>
      <c r="H10" s="78"/>
      <c r="I10" s="68"/>
      <c r="J10" s="78"/>
      <c r="K10" s="68"/>
      <c r="L10" s="68"/>
    </row>
    <row r="11" spans="1:12" ht="17.25" x14ac:dyDescent="0.25">
      <c r="A11" s="90">
        <v>1</v>
      </c>
      <c r="B11" s="115" t="s">
        <v>238</v>
      </c>
      <c r="C11" s="91" t="s">
        <v>11</v>
      </c>
      <c r="D11" s="137"/>
      <c r="E11" s="90">
        <v>32</v>
      </c>
      <c r="F11" s="77"/>
      <c r="G11" s="68"/>
      <c r="H11" s="78"/>
      <c r="I11" s="68"/>
      <c r="J11" s="78"/>
      <c r="K11" s="68"/>
      <c r="L11" s="68"/>
    </row>
    <row r="12" spans="1:12" ht="51.75" x14ac:dyDescent="0.25">
      <c r="A12" s="339">
        <v>1.1000000000000001</v>
      </c>
      <c r="B12" s="147" t="s">
        <v>224</v>
      </c>
      <c r="C12" s="148" t="s">
        <v>102</v>
      </c>
      <c r="D12" s="149"/>
      <c r="E12" s="23">
        <f>E11*0.6*0.7</f>
        <v>13.44</v>
      </c>
      <c r="F12" s="150"/>
      <c r="G12" s="68"/>
      <c r="H12" s="150"/>
      <c r="I12" s="68"/>
      <c r="J12" s="150"/>
      <c r="K12" s="68"/>
      <c r="L12" s="68"/>
    </row>
    <row r="13" spans="1:12" ht="16.5" x14ac:dyDescent="0.25">
      <c r="A13" s="340"/>
      <c r="B13" s="151" t="s">
        <v>26</v>
      </c>
      <c r="C13" s="152" t="s">
        <v>103</v>
      </c>
      <c r="D13" s="149">
        <v>2.06</v>
      </c>
      <c r="E13" s="149">
        <f>D13*E12</f>
        <v>27.686399999999999</v>
      </c>
      <c r="F13" s="77"/>
      <c r="G13" s="68"/>
      <c r="H13" s="153"/>
      <c r="I13" s="68"/>
      <c r="J13" s="78"/>
      <c r="K13" s="68"/>
      <c r="L13" s="68"/>
    </row>
    <row r="14" spans="1:12" ht="34.5" x14ac:dyDescent="0.25">
      <c r="A14" s="301">
        <v>1.2</v>
      </c>
      <c r="B14" s="154" t="s">
        <v>111</v>
      </c>
      <c r="C14" s="50" t="s">
        <v>102</v>
      </c>
      <c r="D14" s="23"/>
      <c r="E14" s="23">
        <f>E11*0.6*0.3</f>
        <v>5.76</v>
      </c>
      <c r="F14" s="155"/>
      <c r="G14" s="68"/>
      <c r="H14" s="78"/>
      <c r="I14" s="68"/>
      <c r="J14" s="78"/>
      <c r="K14" s="68"/>
      <c r="L14" s="68"/>
    </row>
    <row r="15" spans="1:12" ht="27" x14ac:dyDescent="0.25">
      <c r="A15" s="301"/>
      <c r="B15" s="19" t="s">
        <v>79</v>
      </c>
      <c r="C15" s="30" t="s">
        <v>28</v>
      </c>
      <c r="D15" s="138">
        <f>18/10</f>
        <v>1.8</v>
      </c>
      <c r="E15" s="138">
        <f>D15*E14</f>
        <v>10.368</v>
      </c>
      <c r="F15" s="78"/>
      <c r="G15" s="68"/>
      <c r="H15" s="156"/>
      <c r="I15" s="68"/>
      <c r="J15" s="78"/>
      <c r="K15" s="68"/>
      <c r="L15" s="68"/>
    </row>
    <row r="16" spans="1:12" ht="16.5" x14ac:dyDescent="0.25">
      <c r="A16" s="301"/>
      <c r="B16" s="19" t="s">
        <v>109</v>
      </c>
      <c r="C16" s="30" t="s">
        <v>103</v>
      </c>
      <c r="D16" s="138">
        <v>1.1499999999999999</v>
      </c>
      <c r="E16" s="138">
        <f>E14*D16</f>
        <v>6.6239999999999997</v>
      </c>
      <c r="F16" s="78"/>
      <c r="G16" s="68"/>
      <c r="H16" s="78"/>
      <c r="I16" s="68"/>
      <c r="J16" s="78"/>
      <c r="K16" s="68"/>
      <c r="L16" s="68"/>
    </row>
    <row r="17" spans="1:12" ht="17.25" x14ac:dyDescent="0.25">
      <c r="A17" s="301">
        <v>1.3</v>
      </c>
      <c r="B17" s="157" t="s">
        <v>110</v>
      </c>
      <c r="C17" s="50" t="s">
        <v>102</v>
      </c>
      <c r="D17" s="158"/>
      <c r="E17" s="23">
        <f>E11*0.6*0.4</f>
        <v>7.68</v>
      </c>
      <c r="F17" s="155"/>
      <c r="G17" s="68"/>
      <c r="H17" s="155"/>
      <c r="I17" s="68"/>
      <c r="J17" s="155"/>
      <c r="K17" s="68"/>
      <c r="L17" s="68"/>
    </row>
    <row r="18" spans="1:12" ht="27" x14ac:dyDescent="0.25">
      <c r="A18" s="301"/>
      <c r="B18" s="19" t="s">
        <v>79</v>
      </c>
      <c r="C18" s="30" t="s">
        <v>28</v>
      </c>
      <c r="D18" s="138">
        <f>17.8/10</f>
        <v>1.78</v>
      </c>
      <c r="E18" s="138">
        <f>D18*E17</f>
        <v>13.670399999999999</v>
      </c>
      <c r="F18" s="78"/>
      <c r="G18" s="68"/>
      <c r="H18" s="78"/>
      <c r="I18" s="68"/>
      <c r="J18" s="78"/>
      <c r="K18" s="68"/>
      <c r="L18" s="68"/>
    </row>
    <row r="19" spans="1:12" ht="16.5" x14ac:dyDescent="0.25">
      <c r="A19" s="301"/>
      <c r="B19" s="19" t="s">
        <v>85</v>
      </c>
      <c r="C19" s="30" t="s">
        <v>103</v>
      </c>
      <c r="D19" s="138">
        <v>1.1000000000000001</v>
      </c>
      <c r="E19" s="138">
        <f>D19*E17</f>
        <v>8.4480000000000004</v>
      </c>
      <c r="F19" s="78"/>
      <c r="G19" s="68"/>
      <c r="H19" s="78"/>
      <c r="I19" s="68"/>
      <c r="J19" s="78"/>
      <c r="K19" s="68"/>
      <c r="L19" s="68"/>
    </row>
    <row r="20" spans="1:12" ht="69" x14ac:dyDescent="0.25">
      <c r="A20" s="345">
        <v>1.4</v>
      </c>
      <c r="B20" s="53" t="s">
        <v>118</v>
      </c>
      <c r="C20" s="50" t="s">
        <v>11</v>
      </c>
      <c r="D20" s="23"/>
      <c r="E20" s="23">
        <f>E11</f>
        <v>32</v>
      </c>
      <c r="F20" s="23"/>
      <c r="G20" s="68"/>
      <c r="H20" s="23"/>
      <c r="I20" s="68"/>
      <c r="J20" s="23"/>
      <c r="K20" s="68"/>
      <c r="L20" s="68"/>
    </row>
    <row r="21" spans="1:12" ht="27" x14ac:dyDescent="0.25">
      <c r="A21" s="346"/>
      <c r="B21" s="19" t="s">
        <v>66</v>
      </c>
      <c r="C21" s="30" t="s">
        <v>67</v>
      </c>
      <c r="D21" s="138">
        <v>1.5</v>
      </c>
      <c r="E21" s="138">
        <f>E20*D21</f>
        <v>48</v>
      </c>
      <c r="F21" s="138"/>
      <c r="G21" s="68"/>
      <c r="H21" s="72"/>
      <c r="I21" s="68"/>
      <c r="J21" s="138"/>
      <c r="K21" s="68"/>
      <c r="L21" s="68"/>
    </row>
    <row r="22" spans="1:12" ht="16.5" x14ac:dyDescent="0.25">
      <c r="A22" s="346"/>
      <c r="B22" s="19" t="s">
        <v>284</v>
      </c>
      <c r="C22" s="30" t="s">
        <v>68</v>
      </c>
      <c r="D22" s="138">
        <v>3.1399999999999997E-2</v>
      </c>
      <c r="E22" s="138">
        <f>E20*D22</f>
        <v>1.0047999999999999</v>
      </c>
      <c r="F22" s="138"/>
      <c r="G22" s="68"/>
      <c r="H22" s="138"/>
      <c r="I22" s="68"/>
      <c r="J22" s="72"/>
      <c r="K22" s="68"/>
      <c r="L22" s="68"/>
    </row>
    <row r="23" spans="1:12" ht="31.5" x14ac:dyDescent="0.25">
      <c r="A23" s="346"/>
      <c r="B23" s="92" t="s">
        <v>226</v>
      </c>
      <c r="C23" s="30" t="s">
        <v>39</v>
      </c>
      <c r="D23" s="138">
        <v>1</v>
      </c>
      <c r="E23" s="138">
        <f>E20*D23</f>
        <v>32</v>
      </c>
      <c r="F23" s="72"/>
      <c r="G23" s="68"/>
      <c r="H23" s="138"/>
      <c r="I23" s="68"/>
      <c r="J23" s="138"/>
      <c r="K23" s="68"/>
      <c r="L23" s="68"/>
    </row>
    <row r="24" spans="1:12" ht="33" x14ac:dyDescent="0.25">
      <c r="A24" s="346"/>
      <c r="B24" s="19" t="s">
        <v>71</v>
      </c>
      <c r="C24" s="30" t="s">
        <v>25</v>
      </c>
      <c r="D24" s="138">
        <v>0.152</v>
      </c>
      <c r="E24" s="138">
        <f>E20*D24</f>
        <v>4.8639999999999999</v>
      </c>
      <c r="F24" s="72"/>
      <c r="G24" s="68"/>
      <c r="H24" s="138"/>
      <c r="I24" s="68"/>
      <c r="J24" s="138"/>
      <c r="K24" s="68"/>
      <c r="L24" s="68"/>
    </row>
    <row r="25" spans="1:12" ht="16.5" x14ac:dyDescent="0.25">
      <c r="A25" s="347"/>
      <c r="B25" s="19" t="s">
        <v>69</v>
      </c>
      <c r="C25" s="30" t="s">
        <v>68</v>
      </c>
      <c r="D25" s="138">
        <v>6.5199999999999994E-2</v>
      </c>
      <c r="E25" s="138">
        <f>E20*D25</f>
        <v>2.0863999999999998</v>
      </c>
      <c r="F25" s="72"/>
      <c r="G25" s="68"/>
      <c r="H25" s="138"/>
      <c r="I25" s="68"/>
      <c r="J25" s="138"/>
      <c r="K25" s="68"/>
      <c r="L25" s="68"/>
    </row>
    <row r="26" spans="1:12" ht="16.5" x14ac:dyDescent="0.25">
      <c r="A26" s="90">
        <v>2</v>
      </c>
      <c r="B26" s="120" t="s">
        <v>283</v>
      </c>
      <c r="C26" s="91" t="s">
        <v>11</v>
      </c>
      <c r="D26" s="137"/>
      <c r="E26" s="90">
        <v>8</v>
      </c>
      <c r="F26" s="77"/>
      <c r="G26" s="68"/>
      <c r="H26" s="78"/>
      <c r="I26" s="68"/>
      <c r="J26" s="78"/>
      <c r="K26" s="68"/>
      <c r="L26" s="68"/>
    </row>
    <row r="27" spans="1:12" ht="51.75" x14ac:dyDescent="0.25">
      <c r="A27" s="339">
        <v>2.1</v>
      </c>
      <c r="B27" s="147" t="s">
        <v>225</v>
      </c>
      <c r="C27" s="148" t="s">
        <v>102</v>
      </c>
      <c r="D27" s="149"/>
      <c r="E27" s="23">
        <f>E26*0.6*0.7</f>
        <v>3.36</v>
      </c>
      <c r="F27" s="150"/>
      <c r="G27" s="68"/>
      <c r="H27" s="150"/>
      <c r="I27" s="68"/>
      <c r="J27" s="150"/>
      <c r="K27" s="68"/>
      <c r="L27" s="68"/>
    </row>
    <row r="28" spans="1:12" ht="16.5" x14ac:dyDescent="0.25">
      <c r="A28" s="340"/>
      <c r="B28" s="151" t="s">
        <v>26</v>
      </c>
      <c r="C28" s="152" t="s">
        <v>103</v>
      </c>
      <c r="D28" s="149">
        <v>2.06</v>
      </c>
      <c r="E28" s="149">
        <f>D28*E27</f>
        <v>6.9215999999999998</v>
      </c>
      <c r="F28" s="77"/>
      <c r="G28" s="68"/>
      <c r="H28" s="153"/>
      <c r="I28" s="68"/>
      <c r="J28" s="78"/>
      <c r="K28" s="68"/>
      <c r="L28" s="68"/>
    </row>
    <row r="29" spans="1:12" ht="34.5" x14ac:dyDescent="0.25">
      <c r="A29" s="301">
        <v>2.2000000000000002</v>
      </c>
      <c r="B29" s="154" t="s">
        <v>111</v>
      </c>
      <c r="C29" s="50" t="s">
        <v>102</v>
      </c>
      <c r="D29" s="23"/>
      <c r="E29" s="23">
        <f>E26*0.6*0.3</f>
        <v>1.44</v>
      </c>
      <c r="F29" s="155"/>
      <c r="G29" s="68"/>
      <c r="H29" s="78"/>
      <c r="I29" s="68"/>
      <c r="J29" s="78"/>
      <c r="K29" s="68"/>
      <c r="L29" s="68"/>
    </row>
    <row r="30" spans="1:12" ht="27" x14ac:dyDescent="0.25">
      <c r="A30" s="301"/>
      <c r="B30" s="19" t="s">
        <v>79</v>
      </c>
      <c r="C30" s="30" t="s">
        <v>28</v>
      </c>
      <c r="D30" s="138">
        <f>18/10</f>
        <v>1.8</v>
      </c>
      <c r="E30" s="138">
        <f>D30*E29</f>
        <v>2.5920000000000001</v>
      </c>
      <c r="F30" s="78"/>
      <c r="G30" s="68"/>
      <c r="H30" s="156"/>
      <c r="I30" s="68"/>
      <c r="J30" s="78"/>
      <c r="K30" s="68"/>
      <c r="L30" s="68"/>
    </row>
    <row r="31" spans="1:12" ht="16.5" x14ac:dyDescent="0.25">
      <c r="A31" s="301"/>
      <c r="B31" s="19" t="s">
        <v>109</v>
      </c>
      <c r="C31" s="30" t="s">
        <v>103</v>
      </c>
      <c r="D31" s="138">
        <v>1.1499999999999999</v>
      </c>
      <c r="E31" s="138">
        <f>E29*D31</f>
        <v>1.6559999999999999</v>
      </c>
      <c r="F31" s="78"/>
      <c r="G31" s="68"/>
      <c r="H31" s="78"/>
      <c r="I31" s="68"/>
      <c r="J31" s="78"/>
      <c r="K31" s="68"/>
      <c r="L31" s="68"/>
    </row>
    <row r="32" spans="1:12" ht="17.25" x14ac:dyDescent="0.25">
      <c r="A32" s="301">
        <v>2.2999999999999998</v>
      </c>
      <c r="B32" s="157" t="s">
        <v>110</v>
      </c>
      <c r="C32" s="50" t="s">
        <v>102</v>
      </c>
      <c r="D32" s="158"/>
      <c r="E32" s="23">
        <f>E26*0.6*0.4</f>
        <v>1.92</v>
      </c>
      <c r="F32" s="155"/>
      <c r="G32" s="68"/>
      <c r="H32" s="155"/>
      <c r="I32" s="68"/>
      <c r="J32" s="155"/>
      <c r="K32" s="68"/>
      <c r="L32" s="68"/>
    </row>
    <row r="33" spans="1:12" ht="27" x14ac:dyDescent="0.25">
      <c r="A33" s="301"/>
      <c r="B33" s="19" t="s">
        <v>79</v>
      </c>
      <c r="C33" s="30" t="s">
        <v>28</v>
      </c>
      <c r="D33" s="138">
        <f>17.8/10</f>
        <v>1.78</v>
      </c>
      <c r="E33" s="138">
        <f>D33*E32</f>
        <v>3.4175999999999997</v>
      </c>
      <c r="F33" s="78"/>
      <c r="G33" s="68"/>
      <c r="H33" s="78"/>
      <c r="I33" s="68"/>
      <c r="J33" s="78"/>
      <c r="K33" s="68"/>
      <c r="L33" s="68"/>
    </row>
    <row r="34" spans="1:12" ht="16.5" x14ac:dyDescent="0.25">
      <c r="A34" s="301"/>
      <c r="B34" s="19" t="s">
        <v>85</v>
      </c>
      <c r="C34" s="30" t="s">
        <v>103</v>
      </c>
      <c r="D34" s="138">
        <v>1.1000000000000001</v>
      </c>
      <c r="E34" s="138">
        <f>D34*E32</f>
        <v>2.1120000000000001</v>
      </c>
      <c r="F34" s="78"/>
      <c r="G34" s="68"/>
      <c r="H34" s="78"/>
      <c r="I34" s="68"/>
      <c r="J34" s="78"/>
      <c r="K34" s="68"/>
      <c r="L34" s="68"/>
    </row>
    <row r="35" spans="1:12" ht="69" x14ac:dyDescent="0.25">
      <c r="A35" s="345">
        <v>2.4</v>
      </c>
      <c r="B35" s="53" t="s">
        <v>117</v>
      </c>
      <c r="C35" s="50" t="s">
        <v>11</v>
      </c>
      <c r="D35" s="23"/>
      <c r="E35" s="23">
        <f>E26</f>
        <v>8</v>
      </c>
      <c r="F35" s="23"/>
      <c r="G35" s="68"/>
      <c r="H35" s="23"/>
      <c r="I35" s="68"/>
      <c r="J35" s="23"/>
      <c r="K35" s="68"/>
      <c r="L35" s="68"/>
    </row>
    <row r="36" spans="1:12" ht="27" x14ac:dyDescent="0.25">
      <c r="A36" s="346"/>
      <c r="B36" s="19" t="s">
        <v>66</v>
      </c>
      <c r="C36" s="30" t="s">
        <v>67</v>
      </c>
      <c r="D36" s="138">
        <v>1.5</v>
      </c>
      <c r="E36" s="138">
        <f>E35*D36</f>
        <v>12</v>
      </c>
      <c r="F36" s="138"/>
      <c r="G36" s="68"/>
      <c r="H36" s="72"/>
      <c r="I36" s="68"/>
      <c r="J36" s="138"/>
      <c r="K36" s="68"/>
      <c r="L36" s="68"/>
    </row>
    <row r="37" spans="1:12" ht="16.5" x14ac:dyDescent="0.25">
      <c r="A37" s="346"/>
      <c r="B37" s="19" t="s">
        <v>70</v>
      </c>
      <c r="C37" s="30" t="s">
        <v>68</v>
      </c>
      <c r="D37" s="138">
        <v>3.1399999999999997E-2</v>
      </c>
      <c r="E37" s="138">
        <f>E35*D37</f>
        <v>0.25119999999999998</v>
      </c>
      <c r="F37" s="138"/>
      <c r="G37" s="68"/>
      <c r="H37" s="138"/>
      <c r="I37" s="68"/>
      <c r="J37" s="72"/>
      <c r="K37" s="68"/>
      <c r="L37" s="68"/>
    </row>
    <row r="38" spans="1:12" ht="31.5" x14ac:dyDescent="0.25">
      <c r="A38" s="346"/>
      <c r="B38" s="92" t="s">
        <v>176</v>
      </c>
      <c r="C38" s="30" t="s">
        <v>39</v>
      </c>
      <c r="D38" s="138">
        <v>1</v>
      </c>
      <c r="E38" s="138">
        <f>E35*D38</f>
        <v>8</v>
      </c>
      <c r="F38" s="72"/>
      <c r="G38" s="68"/>
      <c r="H38" s="138"/>
      <c r="I38" s="68"/>
      <c r="J38" s="138"/>
      <c r="K38" s="68"/>
      <c r="L38" s="68"/>
    </row>
    <row r="39" spans="1:12" ht="33" x14ac:dyDescent="0.25">
      <c r="A39" s="346"/>
      <c r="B39" s="19" t="s">
        <v>71</v>
      </c>
      <c r="C39" s="30" t="s">
        <v>25</v>
      </c>
      <c r="D39" s="138">
        <v>0.152</v>
      </c>
      <c r="E39" s="138">
        <f>E35*D39</f>
        <v>1.216</v>
      </c>
      <c r="F39" s="72"/>
      <c r="G39" s="68"/>
      <c r="H39" s="138"/>
      <c r="I39" s="68"/>
      <c r="J39" s="138"/>
      <c r="K39" s="68"/>
      <c r="L39" s="68"/>
    </row>
    <row r="40" spans="1:12" ht="16.5" x14ac:dyDescent="0.25">
      <c r="A40" s="347"/>
      <c r="B40" s="19" t="s">
        <v>69</v>
      </c>
      <c r="C40" s="30" t="s">
        <v>68</v>
      </c>
      <c r="D40" s="138">
        <v>6.5199999999999994E-2</v>
      </c>
      <c r="E40" s="138">
        <f>E35*D40</f>
        <v>0.52159999999999995</v>
      </c>
      <c r="F40" s="72"/>
      <c r="G40" s="68"/>
      <c r="H40" s="138"/>
      <c r="I40" s="68"/>
      <c r="J40" s="138"/>
      <c r="K40" s="68"/>
      <c r="L40" s="68"/>
    </row>
    <row r="41" spans="1:12" ht="34.5" x14ac:dyDescent="0.25">
      <c r="A41" s="301">
        <v>3</v>
      </c>
      <c r="B41" s="117" t="s">
        <v>179</v>
      </c>
      <c r="C41" s="39" t="s">
        <v>23</v>
      </c>
      <c r="D41" s="44"/>
      <c r="E41" s="23">
        <f>E11*0.6*0.7*1.65+E26*0.6*0.7*1.65</f>
        <v>27.72</v>
      </c>
      <c r="F41" s="70"/>
      <c r="G41" s="68"/>
      <c r="H41" s="70"/>
      <c r="I41" s="68"/>
      <c r="J41" s="70"/>
      <c r="K41" s="68"/>
      <c r="L41" s="68"/>
    </row>
    <row r="42" spans="1:12" ht="27" x14ac:dyDescent="0.25">
      <c r="A42" s="301"/>
      <c r="B42" s="119" t="s">
        <v>34</v>
      </c>
      <c r="C42" s="54" t="s">
        <v>28</v>
      </c>
      <c r="D42" s="44">
        <v>0.53</v>
      </c>
      <c r="E42" s="79">
        <f>E41*D42</f>
        <v>14.691599999999999</v>
      </c>
      <c r="F42" s="70"/>
      <c r="G42" s="68"/>
      <c r="H42" s="159"/>
      <c r="I42" s="68"/>
      <c r="J42" s="70"/>
      <c r="K42" s="68"/>
      <c r="L42" s="68"/>
    </row>
    <row r="43" spans="1:12" ht="17.25" x14ac:dyDescent="0.25">
      <c r="A43" s="301"/>
      <c r="B43" s="118" t="s">
        <v>245</v>
      </c>
      <c r="C43" s="39" t="s">
        <v>23</v>
      </c>
      <c r="D43" s="44"/>
      <c r="E43" s="23">
        <f>E41</f>
        <v>27.72</v>
      </c>
      <c r="F43" s="70"/>
      <c r="G43" s="68"/>
      <c r="H43" s="70"/>
      <c r="I43" s="68"/>
      <c r="J43" s="70"/>
      <c r="K43" s="68"/>
      <c r="L43" s="68"/>
    </row>
    <row r="44" spans="1:12" ht="34.5" x14ac:dyDescent="0.25">
      <c r="A44" s="304">
        <v>4</v>
      </c>
      <c r="B44" s="53" t="s">
        <v>227</v>
      </c>
      <c r="C44" s="50" t="s">
        <v>25</v>
      </c>
      <c r="D44" s="23"/>
      <c r="E44" s="23">
        <f>E47+E48</f>
        <v>4</v>
      </c>
      <c r="F44" s="23"/>
      <c r="G44" s="68"/>
      <c r="H44" s="23"/>
      <c r="I44" s="68"/>
      <c r="J44" s="23"/>
      <c r="K44" s="68"/>
      <c r="L44" s="68"/>
    </row>
    <row r="45" spans="1:12" ht="27" x14ac:dyDescent="0.25">
      <c r="A45" s="304"/>
      <c r="B45" s="19" t="s">
        <v>66</v>
      </c>
      <c r="C45" s="30" t="s">
        <v>67</v>
      </c>
      <c r="D45" s="138">
        <v>1.51</v>
      </c>
      <c r="E45" s="138">
        <f>E44*D45</f>
        <v>6.04</v>
      </c>
      <c r="F45" s="138"/>
      <c r="G45" s="68"/>
      <c r="H45" s="72"/>
      <c r="I45" s="68"/>
      <c r="J45" s="138"/>
      <c r="K45" s="68"/>
      <c r="L45" s="68"/>
    </row>
    <row r="46" spans="1:12" ht="16.5" x14ac:dyDescent="0.25">
      <c r="A46" s="304"/>
      <c r="B46" s="19" t="s">
        <v>70</v>
      </c>
      <c r="C46" s="30" t="s">
        <v>68</v>
      </c>
      <c r="D46" s="138">
        <v>0.13</v>
      </c>
      <c r="E46" s="138">
        <f>E44*D46</f>
        <v>0.52</v>
      </c>
      <c r="F46" s="138"/>
      <c r="G46" s="68"/>
      <c r="H46" s="138"/>
      <c r="I46" s="68"/>
      <c r="J46" s="72"/>
      <c r="K46" s="68"/>
      <c r="L46" s="68"/>
    </row>
    <row r="47" spans="1:12" ht="33" x14ac:dyDescent="0.25">
      <c r="A47" s="304"/>
      <c r="B47" s="19" t="s">
        <v>228</v>
      </c>
      <c r="C47" s="30" t="s">
        <v>25</v>
      </c>
      <c r="D47" s="138">
        <v>1</v>
      </c>
      <c r="E47" s="138">
        <v>1</v>
      </c>
      <c r="F47" s="138"/>
      <c r="G47" s="68"/>
      <c r="H47" s="138"/>
      <c r="I47" s="68"/>
      <c r="J47" s="138"/>
      <c r="K47" s="68"/>
      <c r="L47" s="68"/>
    </row>
    <row r="48" spans="1:12" ht="33" x14ac:dyDescent="0.25">
      <c r="A48" s="304"/>
      <c r="B48" s="19" t="s">
        <v>229</v>
      </c>
      <c r="C48" s="30" t="s">
        <v>25</v>
      </c>
      <c r="D48" s="138">
        <v>1</v>
      </c>
      <c r="E48" s="138">
        <v>3</v>
      </c>
      <c r="F48" s="138"/>
      <c r="G48" s="68"/>
      <c r="H48" s="138"/>
      <c r="I48" s="68"/>
      <c r="J48" s="138"/>
      <c r="K48" s="68"/>
      <c r="L48" s="68"/>
    </row>
    <row r="49" spans="1:12" ht="16.5" x14ac:dyDescent="0.25">
      <c r="A49" s="304"/>
      <c r="B49" s="19" t="s">
        <v>69</v>
      </c>
      <c r="C49" s="30" t="s">
        <v>68</v>
      </c>
      <c r="D49" s="138">
        <v>7.0000000000000007E-2</v>
      </c>
      <c r="E49" s="138">
        <f>E44*D49</f>
        <v>0.28000000000000003</v>
      </c>
      <c r="F49" s="138"/>
      <c r="G49" s="68"/>
      <c r="H49" s="138"/>
      <c r="I49" s="68"/>
      <c r="J49" s="138"/>
      <c r="K49" s="68"/>
      <c r="L49" s="68"/>
    </row>
    <row r="50" spans="1:12" ht="33" x14ac:dyDescent="0.25">
      <c r="A50" s="351">
        <v>5</v>
      </c>
      <c r="B50" s="160" t="s">
        <v>230</v>
      </c>
      <c r="C50" s="89" t="s">
        <v>101</v>
      </c>
      <c r="D50" s="89"/>
      <c r="E50" s="161">
        <v>1</v>
      </c>
      <c r="F50" s="161"/>
      <c r="G50" s="68"/>
      <c r="H50" s="138"/>
      <c r="I50" s="68"/>
      <c r="J50" s="72"/>
      <c r="K50" s="68"/>
      <c r="L50" s="68"/>
    </row>
    <row r="51" spans="1:12" ht="31.5" x14ac:dyDescent="0.25">
      <c r="A51" s="352"/>
      <c r="B51" s="116" t="s">
        <v>31</v>
      </c>
      <c r="C51" s="131" t="str">
        <f>C50</f>
        <v>kompl.</v>
      </c>
      <c r="D51" s="162">
        <v>1</v>
      </c>
      <c r="E51" s="162">
        <f>E50*D51</f>
        <v>1</v>
      </c>
      <c r="F51" s="163"/>
      <c r="G51" s="68"/>
      <c r="H51" s="72"/>
      <c r="I51" s="68"/>
      <c r="J51" s="72"/>
      <c r="K51" s="68"/>
      <c r="L51" s="68"/>
    </row>
    <row r="52" spans="1:12" ht="31.5" x14ac:dyDescent="0.25">
      <c r="A52" s="352"/>
      <c r="B52" s="116" t="s">
        <v>232</v>
      </c>
      <c r="C52" s="131" t="s">
        <v>58</v>
      </c>
      <c r="D52" s="162">
        <v>1</v>
      </c>
      <c r="E52" s="162">
        <f>E51*D52</f>
        <v>1</v>
      </c>
      <c r="F52" s="72"/>
      <c r="G52" s="68"/>
      <c r="H52" s="72"/>
      <c r="I52" s="68"/>
      <c r="J52" s="72"/>
      <c r="K52" s="68"/>
      <c r="L52" s="68"/>
    </row>
    <row r="53" spans="1:12" ht="31.5" x14ac:dyDescent="0.25">
      <c r="A53" s="352"/>
      <c r="B53" s="116" t="s">
        <v>231</v>
      </c>
      <c r="C53" s="131" t="s">
        <v>58</v>
      </c>
      <c r="D53" s="162">
        <v>1</v>
      </c>
      <c r="E53" s="162">
        <f>E50*D53</f>
        <v>1</v>
      </c>
      <c r="F53" s="72"/>
      <c r="G53" s="68"/>
      <c r="H53" s="72"/>
      <c r="I53" s="68"/>
      <c r="J53" s="72"/>
      <c r="K53" s="68"/>
      <c r="L53" s="68"/>
    </row>
    <row r="54" spans="1:12" ht="31.5" x14ac:dyDescent="0.25">
      <c r="A54" s="352"/>
      <c r="B54" s="116" t="s">
        <v>233</v>
      </c>
      <c r="C54" s="131" t="s">
        <v>58</v>
      </c>
      <c r="D54" s="162">
        <v>1</v>
      </c>
      <c r="E54" s="162">
        <f>E52*D54</f>
        <v>1</v>
      </c>
      <c r="F54" s="72"/>
      <c r="G54" s="68"/>
      <c r="H54" s="72"/>
      <c r="I54" s="68"/>
      <c r="J54" s="72"/>
      <c r="K54" s="68"/>
      <c r="L54" s="68"/>
    </row>
    <row r="55" spans="1:12" ht="31.5" x14ac:dyDescent="0.25">
      <c r="A55" s="352"/>
      <c r="B55" s="116" t="s">
        <v>234</v>
      </c>
      <c r="C55" s="131" t="s">
        <v>58</v>
      </c>
      <c r="D55" s="162">
        <v>1</v>
      </c>
      <c r="E55" s="162">
        <f>E53*D55</f>
        <v>1</v>
      </c>
      <c r="F55" s="72"/>
      <c r="G55" s="68"/>
      <c r="H55" s="72"/>
      <c r="I55" s="68"/>
      <c r="J55" s="72"/>
      <c r="K55" s="68"/>
      <c r="L55" s="68"/>
    </row>
    <row r="56" spans="1:12" ht="31.5" x14ac:dyDescent="0.25">
      <c r="A56" s="352"/>
      <c r="B56" s="116" t="s">
        <v>235</v>
      </c>
      <c r="C56" s="131" t="s">
        <v>58</v>
      </c>
      <c r="D56" s="162">
        <v>1</v>
      </c>
      <c r="E56" s="162">
        <v>5</v>
      </c>
      <c r="F56" s="72"/>
      <c r="G56" s="68"/>
      <c r="H56" s="72"/>
      <c r="I56" s="68"/>
      <c r="J56" s="72"/>
      <c r="K56" s="68"/>
      <c r="L56" s="68"/>
    </row>
    <row r="57" spans="1:12" ht="31.5" x14ac:dyDescent="0.25">
      <c r="A57" s="352"/>
      <c r="B57" s="116" t="s">
        <v>236</v>
      </c>
      <c r="C57" s="131" t="s">
        <v>58</v>
      </c>
      <c r="D57" s="162">
        <v>1</v>
      </c>
      <c r="E57" s="162">
        <v>4</v>
      </c>
      <c r="F57" s="72"/>
      <c r="G57" s="68"/>
      <c r="H57" s="72"/>
      <c r="I57" s="68"/>
      <c r="J57" s="72"/>
      <c r="K57" s="68"/>
      <c r="L57" s="68"/>
    </row>
    <row r="58" spans="1:12" ht="31.5" x14ac:dyDescent="0.25">
      <c r="A58" s="353"/>
      <c r="B58" s="116" t="s">
        <v>237</v>
      </c>
      <c r="C58" s="131" t="s">
        <v>58</v>
      </c>
      <c r="D58" s="162">
        <v>1</v>
      </c>
      <c r="E58" s="162">
        <v>1</v>
      </c>
      <c r="F58" s="72"/>
      <c r="G58" s="68"/>
      <c r="H58" s="72"/>
      <c r="I58" s="68"/>
      <c r="J58" s="72"/>
      <c r="K58" s="68"/>
      <c r="L58" s="68"/>
    </row>
    <row r="59" spans="1:12" ht="84.75" x14ac:dyDescent="0.25">
      <c r="A59" s="339">
        <v>6</v>
      </c>
      <c r="B59" s="53" t="s">
        <v>195</v>
      </c>
      <c r="C59" s="148" t="s">
        <v>58</v>
      </c>
      <c r="D59" s="164"/>
      <c r="E59" s="164">
        <v>1</v>
      </c>
      <c r="F59" s="155"/>
      <c r="G59" s="68"/>
      <c r="H59" s="78"/>
      <c r="I59" s="68"/>
      <c r="J59" s="78"/>
      <c r="K59" s="68"/>
      <c r="L59" s="68"/>
    </row>
    <row r="60" spans="1:12" ht="27" x14ac:dyDescent="0.25">
      <c r="A60" s="341"/>
      <c r="B60" s="19" t="s">
        <v>26</v>
      </c>
      <c r="C60" s="30" t="s">
        <v>28</v>
      </c>
      <c r="D60" s="138">
        <v>3.15</v>
      </c>
      <c r="E60" s="138">
        <f>E59*D60</f>
        <v>3.15</v>
      </c>
      <c r="F60" s="78"/>
      <c r="G60" s="68"/>
      <c r="H60" s="156"/>
      <c r="I60" s="68"/>
      <c r="J60" s="78"/>
      <c r="K60" s="68"/>
      <c r="L60" s="68"/>
    </row>
    <row r="61" spans="1:12" ht="16.5" x14ac:dyDescent="0.25">
      <c r="A61" s="341"/>
      <c r="B61" s="151" t="s">
        <v>27</v>
      </c>
      <c r="C61" s="152" t="s">
        <v>24</v>
      </c>
      <c r="D61" s="165">
        <v>0.84</v>
      </c>
      <c r="E61" s="165">
        <f>E59*D61</f>
        <v>0.84</v>
      </c>
      <c r="F61" s="78"/>
      <c r="G61" s="68"/>
      <c r="H61" s="78"/>
      <c r="I61" s="68"/>
      <c r="J61" s="156"/>
      <c r="K61" s="68"/>
      <c r="L61" s="68"/>
    </row>
    <row r="62" spans="1:12" ht="16.5" x14ac:dyDescent="0.25">
      <c r="A62" s="341"/>
      <c r="B62" s="151" t="s">
        <v>108</v>
      </c>
      <c r="C62" s="152" t="s">
        <v>72</v>
      </c>
      <c r="D62" s="165">
        <v>20</v>
      </c>
      <c r="E62" s="149">
        <f>D62*E59</f>
        <v>20</v>
      </c>
      <c r="F62" s="156"/>
      <c r="G62" s="68"/>
      <c r="H62" s="78"/>
      <c r="I62" s="68"/>
      <c r="J62" s="78"/>
      <c r="K62" s="68"/>
      <c r="L62" s="68"/>
    </row>
    <row r="63" spans="1:12" ht="16.5" x14ac:dyDescent="0.25">
      <c r="A63" s="340"/>
      <c r="B63" s="151" t="s">
        <v>33</v>
      </c>
      <c r="C63" s="152" t="s">
        <v>24</v>
      </c>
      <c r="D63" s="165">
        <v>0.47</v>
      </c>
      <c r="E63" s="165">
        <f>E59*D63</f>
        <v>0.47</v>
      </c>
      <c r="F63" s="156"/>
      <c r="G63" s="68"/>
      <c r="H63" s="78"/>
      <c r="I63" s="68"/>
      <c r="J63" s="78"/>
      <c r="K63" s="68"/>
      <c r="L63" s="68"/>
    </row>
    <row r="64" spans="1:12" ht="34.5" x14ac:dyDescent="0.25">
      <c r="A64" s="90" t="s">
        <v>115</v>
      </c>
      <c r="B64" s="146" t="s">
        <v>240</v>
      </c>
      <c r="C64" s="91"/>
      <c r="D64" s="90"/>
      <c r="E64" s="90"/>
      <c r="F64" s="153"/>
      <c r="G64" s="68"/>
      <c r="H64" s="78"/>
      <c r="I64" s="68"/>
      <c r="J64" s="78"/>
      <c r="K64" s="68"/>
      <c r="L64" s="68"/>
    </row>
    <row r="65" spans="1:12" ht="34.5" x14ac:dyDescent="0.25">
      <c r="A65" s="90">
        <v>1</v>
      </c>
      <c r="B65" s="115" t="s">
        <v>241</v>
      </c>
      <c r="C65" s="91" t="s">
        <v>11</v>
      </c>
      <c r="D65" s="90"/>
      <c r="E65" s="90">
        <v>28</v>
      </c>
      <c r="F65" s="77"/>
      <c r="G65" s="68"/>
      <c r="H65" s="78"/>
      <c r="I65" s="68"/>
      <c r="J65" s="78"/>
      <c r="K65" s="68"/>
      <c r="L65" s="68"/>
    </row>
    <row r="66" spans="1:12" ht="34.5" x14ac:dyDescent="0.25">
      <c r="A66" s="339">
        <v>1.1000000000000001</v>
      </c>
      <c r="B66" s="147" t="s">
        <v>119</v>
      </c>
      <c r="C66" s="148" t="s">
        <v>102</v>
      </c>
      <c r="D66" s="149"/>
      <c r="E66" s="23">
        <f>E65*0.7*0.7</f>
        <v>13.719999999999997</v>
      </c>
      <c r="F66" s="150"/>
      <c r="G66" s="68"/>
      <c r="H66" s="150"/>
      <c r="I66" s="68"/>
      <c r="J66" s="150"/>
      <c r="K66" s="68"/>
      <c r="L66" s="68"/>
    </row>
    <row r="67" spans="1:12" ht="16.5" x14ac:dyDescent="0.25">
      <c r="A67" s="340"/>
      <c r="B67" s="151" t="s">
        <v>26</v>
      </c>
      <c r="C67" s="152" t="s">
        <v>103</v>
      </c>
      <c r="D67" s="149">
        <v>2.06</v>
      </c>
      <c r="E67" s="149">
        <f>D67*E66</f>
        <v>28.263199999999994</v>
      </c>
      <c r="F67" s="77"/>
      <c r="G67" s="68"/>
      <c r="H67" s="153"/>
      <c r="I67" s="68"/>
      <c r="J67" s="78"/>
      <c r="K67" s="68"/>
      <c r="L67" s="68"/>
    </row>
    <row r="68" spans="1:12" ht="34.5" x14ac:dyDescent="0.25">
      <c r="A68" s="301">
        <v>1.2</v>
      </c>
      <c r="B68" s="154" t="s">
        <v>243</v>
      </c>
      <c r="C68" s="50" t="s">
        <v>102</v>
      </c>
      <c r="D68" s="23"/>
      <c r="E68" s="23">
        <f>E65*0.4*0.7-3.14*0.075*0.075*E65</f>
        <v>7.3454499999999996</v>
      </c>
      <c r="F68" s="77"/>
      <c r="G68" s="68"/>
      <c r="H68" s="77"/>
      <c r="I68" s="68"/>
      <c r="J68" s="78"/>
      <c r="K68" s="68"/>
      <c r="L68" s="68"/>
    </row>
    <row r="69" spans="1:12" ht="27" x14ac:dyDescent="0.25">
      <c r="A69" s="301"/>
      <c r="B69" s="19" t="s">
        <v>79</v>
      </c>
      <c r="C69" s="30" t="s">
        <v>28</v>
      </c>
      <c r="D69" s="138">
        <f>18/10</f>
        <v>1.8</v>
      </c>
      <c r="E69" s="138">
        <f>D69*E68</f>
        <v>13.22181</v>
      </c>
      <c r="F69" s="77"/>
      <c r="G69" s="68"/>
      <c r="H69" s="153"/>
      <c r="I69" s="68"/>
      <c r="J69" s="78"/>
      <c r="K69" s="68"/>
      <c r="L69" s="68"/>
    </row>
    <row r="70" spans="1:12" ht="16.5" x14ac:dyDescent="0.25">
      <c r="A70" s="301"/>
      <c r="B70" s="19" t="s">
        <v>109</v>
      </c>
      <c r="C70" s="30" t="s">
        <v>103</v>
      </c>
      <c r="D70" s="138">
        <v>1.1499999999999999</v>
      </c>
      <c r="E70" s="138">
        <f>E68*D70</f>
        <v>8.4472674999999988</v>
      </c>
      <c r="F70" s="153"/>
      <c r="G70" s="68"/>
      <c r="H70" s="77"/>
      <c r="I70" s="68"/>
      <c r="J70" s="78"/>
      <c r="K70" s="68"/>
      <c r="L70" s="68"/>
    </row>
    <row r="71" spans="1:12" ht="17.25" x14ac:dyDescent="0.25">
      <c r="A71" s="301">
        <v>1.3</v>
      </c>
      <c r="B71" s="157" t="s">
        <v>110</v>
      </c>
      <c r="C71" s="50" t="s">
        <v>102</v>
      </c>
      <c r="D71" s="158"/>
      <c r="E71" s="23">
        <f>E65*0.3*0.7</f>
        <v>5.88</v>
      </c>
      <c r="F71" s="77"/>
      <c r="G71" s="68"/>
      <c r="H71" s="77"/>
      <c r="I71" s="68"/>
      <c r="J71" s="78"/>
      <c r="K71" s="68"/>
      <c r="L71" s="68"/>
    </row>
    <row r="72" spans="1:12" ht="27" x14ac:dyDescent="0.25">
      <c r="A72" s="301"/>
      <c r="B72" s="19" t="s">
        <v>79</v>
      </c>
      <c r="C72" s="30" t="s">
        <v>28</v>
      </c>
      <c r="D72" s="138">
        <f>17.8/10</f>
        <v>1.78</v>
      </c>
      <c r="E72" s="138">
        <f>D72*E71</f>
        <v>10.4664</v>
      </c>
      <c r="F72" s="77"/>
      <c r="G72" s="68"/>
      <c r="H72" s="153"/>
      <c r="I72" s="68"/>
      <c r="J72" s="78"/>
      <c r="K72" s="68"/>
      <c r="L72" s="68"/>
    </row>
    <row r="73" spans="1:12" ht="16.5" x14ac:dyDescent="0.25">
      <c r="A73" s="301"/>
      <c r="B73" s="19" t="s">
        <v>85</v>
      </c>
      <c r="C73" s="30" t="s">
        <v>103</v>
      </c>
      <c r="D73" s="138">
        <v>1.1000000000000001</v>
      </c>
      <c r="E73" s="138">
        <f>D73*E71</f>
        <v>6.468</v>
      </c>
      <c r="F73" s="153"/>
      <c r="G73" s="68"/>
      <c r="H73" s="77"/>
      <c r="I73" s="68"/>
      <c r="J73" s="78"/>
      <c r="K73" s="68"/>
      <c r="L73" s="68"/>
    </row>
    <row r="74" spans="1:12" ht="51.75" x14ac:dyDescent="0.25">
      <c r="A74" s="339">
        <v>1.4</v>
      </c>
      <c r="B74" s="154" t="s">
        <v>112</v>
      </c>
      <c r="C74" s="148" t="s">
        <v>64</v>
      </c>
      <c r="D74" s="164"/>
      <c r="E74" s="23">
        <f>E65</f>
        <v>28</v>
      </c>
      <c r="F74" s="155"/>
      <c r="G74" s="68"/>
      <c r="H74" s="78"/>
      <c r="I74" s="68"/>
      <c r="J74" s="78"/>
      <c r="K74" s="68"/>
      <c r="L74" s="68"/>
    </row>
    <row r="75" spans="1:12" ht="27" x14ac:dyDescent="0.25">
      <c r="A75" s="341"/>
      <c r="B75" s="19" t="s">
        <v>26</v>
      </c>
      <c r="C75" s="30" t="s">
        <v>28</v>
      </c>
      <c r="D75" s="165">
        <f>245*0.001</f>
        <v>0.245</v>
      </c>
      <c r="E75" s="165">
        <f>E74*D75</f>
        <v>6.8599999999999994</v>
      </c>
      <c r="F75" s="78"/>
      <c r="G75" s="68"/>
      <c r="H75" s="156"/>
      <c r="I75" s="68"/>
      <c r="J75" s="78"/>
      <c r="K75" s="68"/>
      <c r="L75" s="68"/>
    </row>
    <row r="76" spans="1:12" ht="16.5" x14ac:dyDescent="0.25">
      <c r="A76" s="341"/>
      <c r="B76" s="151" t="s">
        <v>27</v>
      </c>
      <c r="C76" s="152" t="s">
        <v>24</v>
      </c>
      <c r="D76" s="165">
        <v>0.84</v>
      </c>
      <c r="E76" s="165">
        <f>E74*D76</f>
        <v>23.52</v>
      </c>
      <c r="F76" s="166"/>
      <c r="G76" s="68"/>
      <c r="H76" s="166"/>
      <c r="I76" s="68"/>
      <c r="J76" s="167"/>
      <c r="K76" s="68"/>
      <c r="L76" s="68"/>
    </row>
    <row r="77" spans="1:12" ht="33" x14ac:dyDescent="0.25">
      <c r="A77" s="341"/>
      <c r="B77" s="151" t="s">
        <v>113</v>
      </c>
      <c r="C77" s="152" t="str">
        <f>C74</f>
        <v>grZ.m.</v>
      </c>
      <c r="D77" s="165">
        <f>1010*0.001</f>
        <v>1.01</v>
      </c>
      <c r="E77" s="165">
        <f>E74*D77</f>
        <v>28.28</v>
      </c>
      <c r="F77" s="156"/>
      <c r="G77" s="68"/>
      <c r="H77" s="78"/>
      <c r="I77" s="68"/>
      <c r="J77" s="78"/>
      <c r="K77" s="68"/>
      <c r="L77" s="68"/>
    </row>
    <row r="78" spans="1:12" ht="16.5" x14ac:dyDescent="0.25">
      <c r="A78" s="340"/>
      <c r="B78" s="151" t="s">
        <v>33</v>
      </c>
      <c r="C78" s="152" t="s">
        <v>24</v>
      </c>
      <c r="D78" s="165">
        <f>8.88*0.001</f>
        <v>8.8800000000000007E-3</v>
      </c>
      <c r="E78" s="165">
        <f>E74*D78</f>
        <v>0.24864000000000003</v>
      </c>
      <c r="F78" s="156"/>
      <c r="G78" s="68"/>
      <c r="H78" s="78"/>
      <c r="I78" s="68"/>
      <c r="J78" s="78"/>
      <c r="K78" s="68"/>
      <c r="L78" s="68"/>
    </row>
    <row r="79" spans="1:12" ht="34.5" x14ac:dyDescent="0.25">
      <c r="A79" s="90">
        <v>2</v>
      </c>
      <c r="B79" s="115" t="s">
        <v>242</v>
      </c>
      <c r="C79" s="91" t="s">
        <v>11</v>
      </c>
      <c r="D79" s="90"/>
      <c r="E79" s="90">
        <v>12</v>
      </c>
      <c r="F79" s="77"/>
      <c r="G79" s="68"/>
      <c r="H79" s="78"/>
      <c r="I79" s="68"/>
      <c r="J79" s="78"/>
      <c r="K79" s="68"/>
      <c r="L79" s="68"/>
    </row>
    <row r="80" spans="1:12" ht="34.5" x14ac:dyDescent="0.25">
      <c r="A80" s="339">
        <v>2.1</v>
      </c>
      <c r="B80" s="147" t="s">
        <v>119</v>
      </c>
      <c r="C80" s="148" t="s">
        <v>102</v>
      </c>
      <c r="D80" s="149"/>
      <c r="E80" s="23">
        <f>E79*0.7*0.7</f>
        <v>5.879999999999999</v>
      </c>
      <c r="F80" s="150"/>
      <c r="G80" s="68"/>
      <c r="H80" s="150"/>
      <c r="I80" s="68"/>
      <c r="J80" s="150"/>
      <c r="K80" s="68"/>
      <c r="L80" s="68"/>
    </row>
    <row r="81" spans="1:12" ht="16.5" x14ac:dyDescent="0.25">
      <c r="A81" s="340"/>
      <c r="B81" s="151" t="s">
        <v>26</v>
      </c>
      <c r="C81" s="152" t="s">
        <v>103</v>
      </c>
      <c r="D81" s="149">
        <v>2.06</v>
      </c>
      <c r="E81" s="149">
        <f>D81*E80</f>
        <v>12.112799999999998</v>
      </c>
      <c r="F81" s="77"/>
      <c r="G81" s="68"/>
      <c r="H81" s="153"/>
      <c r="I81" s="68"/>
      <c r="J81" s="78"/>
      <c r="K81" s="68"/>
      <c r="L81" s="68"/>
    </row>
    <row r="82" spans="1:12" ht="34.5" x14ac:dyDescent="0.25">
      <c r="A82" s="301">
        <v>2.2000000000000002</v>
      </c>
      <c r="B82" s="154" t="s">
        <v>243</v>
      </c>
      <c r="C82" s="50" t="s">
        <v>102</v>
      </c>
      <c r="D82" s="23"/>
      <c r="E82" s="23">
        <f>E79*0.4*0.7-3.14*0.05*0.05*E79</f>
        <v>3.2658000000000005</v>
      </c>
      <c r="F82" s="77"/>
      <c r="G82" s="68"/>
      <c r="H82" s="77"/>
      <c r="I82" s="68"/>
      <c r="J82" s="78"/>
      <c r="K82" s="68"/>
      <c r="L82" s="68"/>
    </row>
    <row r="83" spans="1:12" ht="27" x14ac:dyDescent="0.25">
      <c r="A83" s="301"/>
      <c r="B83" s="19" t="s">
        <v>79</v>
      </c>
      <c r="C83" s="30" t="s">
        <v>28</v>
      </c>
      <c r="D83" s="138">
        <f>18/10</f>
        <v>1.8</v>
      </c>
      <c r="E83" s="138">
        <f>D83*E82</f>
        <v>5.8784400000000012</v>
      </c>
      <c r="F83" s="77"/>
      <c r="G83" s="68"/>
      <c r="H83" s="153"/>
      <c r="I83" s="68"/>
      <c r="J83" s="78"/>
      <c r="K83" s="68"/>
      <c r="L83" s="68"/>
    </row>
    <row r="84" spans="1:12" ht="16.5" x14ac:dyDescent="0.25">
      <c r="A84" s="301"/>
      <c r="B84" s="19" t="s">
        <v>109</v>
      </c>
      <c r="C84" s="30" t="s">
        <v>103</v>
      </c>
      <c r="D84" s="138">
        <v>1.1499999999999999</v>
      </c>
      <c r="E84" s="138">
        <f>E82*D84</f>
        <v>3.7556700000000003</v>
      </c>
      <c r="F84" s="153"/>
      <c r="G84" s="68"/>
      <c r="H84" s="77"/>
      <c r="I84" s="68"/>
      <c r="J84" s="78"/>
      <c r="K84" s="68"/>
      <c r="L84" s="68"/>
    </row>
    <row r="85" spans="1:12" ht="17.25" x14ac:dyDescent="0.25">
      <c r="A85" s="301">
        <v>2.2999999999999998</v>
      </c>
      <c r="B85" s="157" t="s">
        <v>110</v>
      </c>
      <c r="C85" s="50" t="s">
        <v>102</v>
      </c>
      <c r="D85" s="158"/>
      <c r="E85" s="23">
        <f>E79*0.3*0.7</f>
        <v>2.5199999999999996</v>
      </c>
      <c r="F85" s="77"/>
      <c r="G85" s="68"/>
      <c r="H85" s="77"/>
      <c r="I85" s="68"/>
      <c r="J85" s="78"/>
      <c r="K85" s="68"/>
      <c r="L85" s="68"/>
    </row>
    <row r="86" spans="1:12" ht="27" x14ac:dyDescent="0.25">
      <c r="A86" s="301"/>
      <c r="B86" s="19" t="s">
        <v>79</v>
      </c>
      <c r="C86" s="30" t="s">
        <v>28</v>
      </c>
      <c r="D86" s="138">
        <f>17.8/10</f>
        <v>1.78</v>
      </c>
      <c r="E86" s="138">
        <f>D86*E85</f>
        <v>4.4855999999999989</v>
      </c>
      <c r="F86" s="77"/>
      <c r="G86" s="68"/>
      <c r="H86" s="153"/>
      <c r="I86" s="68"/>
      <c r="J86" s="78"/>
      <c r="K86" s="68"/>
      <c r="L86" s="68"/>
    </row>
    <row r="87" spans="1:12" ht="16.5" x14ac:dyDescent="0.25">
      <c r="A87" s="301"/>
      <c r="B87" s="19" t="s">
        <v>85</v>
      </c>
      <c r="C87" s="30" t="s">
        <v>103</v>
      </c>
      <c r="D87" s="138">
        <v>1.1000000000000001</v>
      </c>
      <c r="E87" s="138">
        <f>D87*E85</f>
        <v>2.7719999999999998</v>
      </c>
      <c r="F87" s="153"/>
      <c r="G87" s="68"/>
      <c r="H87" s="77"/>
      <c r="I87" s="68"/>
      <c r="J87" s="78"/>
      <c r="K87" s="68"/>
      <c r="L87" s="68"/>
    </row>
    <row r="88" spans="1:12" ht="34.5" x14ac:dyDescent="0.25">
      <c r="A88" s="339">
        <v>2.4</v>
      </c>
      <c r="B88" s="154" t="s">
        <v>244</v>
      </c>
      <c r="C88" s="148" t="s">
        <v>64</v>
      </c>
      <c r="D88" s="164"/>
      <c r="E88" s="23">
        <f>E79</f>
        <v>12</v>
      </c>
      <c r="F88" s="155"/>
      <c r="G88" s="68"/>
      <c r="H88" s="78"/>
      <c r="I88" s="68"/>
      <c r="J88" s="78"/>
      <c r="K88" s="68"/>
      <c r="L88" s="68"/>
    </row>
    <row r="89" spans="1:12" ht="27" x14ac:dyDescent="0.25">
      <c r="A89" s="341"/>
      <c r="B89" s="19" t="s">
        <v>26</v>
      </c>
      <c r="C89" s="30" t="s">
        <v>28</v>
      </c>
      <c r="D89" s="165">
        <f>245*0.001</f>
        <v>0.245</v>
      </c>
      <c r="E89" s="165">
        <f>E88*D89</f>
        <v>2.94</v>
      </c>
      <c r="F89" s="78"/>
      <c r="G89" s="68"/>
      <c r="H89" s="156"/>
      <c r="I89" s="68"/>
      <c r="J89" s="78"/>
      <c r="K89" s="68"/>
      <c r="L89" s="68"/>
    </row>
    <row r="90" spans="1:12" ht="16.5" x14ac:dyDescent="0.25">
      <c r="A90" s="341"/>
      <c r="B90" s="151" t="s">
        <v>27</v>
      </c>
      <c r="C90" s="152" t="s">
        <v>24</v>
      </c>
      <c r="D90" s="165">
        <v>0.84</v>
      </c>
      <c r="E90" s="165">
        <f>E88*D90</f>
        <v>10.08</v>
      </c>
      <c r="F90" s="166"/>
      <c r="G90" s="68"/>
      <c r="H90" s="166"/>
      <c r="I90" s="68"/>
      <c r="J90" s="167"/>
      <c r="K90" s="68"/>
      <c r="L90" s="68"/>
    </row>
    <row r="91" spans="1:12" ht="16.5" x14ac:dyDescent="0.25">
      <c r="A91" s="341"/>
      <c r="B91" s="151" t="s">
        <v>246</v>
      </c>
      <c r="C91" s="152" t="str">
        <f>C88</f>
        <v>grZ.m.</v>
      </c>
      <c r="D91" s="165">
        <f>1010*0.001</f>
        <v>1.01</v>
      </c>
      <c r="E91" s="165">
        <f>E88*D91</f>
        <v>12.120000000000001</v>
      </c>
      <c r="F91" s="156"/>
      <c r="G91" s="68"/>
      <c r="H91" s="78"/>
      <c r="I91" s="68"/>
      <c r="J91" s="78"/>
      <c r="K91" s="68"/>
      <c r="L91" s="68"/>
    </row>
    <row r="92" spans="1:12" ht="16.5" x14ac:dyDescent="0.25">
      <c r="A92" s="340"/>
      <c r="B92" s="151" t="s">
        <v>33</v>
      </c>
      <c r="C92" s="152" t="s">
        <v>24</v>
      </c>
      <c r="D92" s="165">
        <f>8.88*0.001</f>
        <v>8.8800000000000007E-3</v>
      </c>
      <c r="E92" s="165">
        <f>E88*D92</f>
        <v>0.10656000000000002</v>
      </c>
      <c r="F92" s="156"/>
      <c r="G92" s="68"/>
      <c r="H92" s="78"/>
      <c r="I92" s="68"/>
      <c r="J92" s="78"/>
      <c r="K92" s="68"/>
      <c r="L92" s="68"/>
    </row>
    <row r="93" spans="1:12" ht="51.75" x14ac:dyDescent="0.25">
      <c r="A93" s="339">
        <v>3</v>
      </c>
      <c r="B93" s="147" t="s">
        <v>120</v>
      </c>
      <c r="C93" s="152" t="s">
        <v>20</v>
      </c>
      <c r="D93" s="165"/>
      <c r="E93" s="23">
        <f>3.14*0.65*0.65*1.2*1</f>
        <v>1.5919800000000004</v>
      </c>
      <c r="F93" s="78"/>
      <c r="G93" s="68"/>
      <c r="H93" s="78"/>
      <c r="I93" s="68"/>
      <c r="J93" s="78"/>
      <c r="K93" s="68"/>
      <c r="L93" s="68"/>
    </row>
    <row r="94" spans="1:12" ht="16.5" x14ac:dyDescent="0.25">
      <c r="A94" s="340"/>
      <c r="B94" s="151" t="s">
        <v>26</v>
      </c>
      <c r="C94" s="152" t="s">
        <v>103</v>
      </c>
      <c r="D94" s="149">
        <v>3.88</v>
      </c>
      <c r="E94" s="165">
        <f>D94*E93</f>
        <v>6.1768824000000011</v>
      </c>
      <c r="F94" s="78"/>
      <c r="G94" s="68"/>
      <c r="H94" s="156"/>
      <c r="I94" s="68"/>
      <c r="J94" s="78"/>
      <c r="K94" s="68"/>
      <c r="L94" s="68"/>
    </row>
    <row r="95" spans="1:12" ht="34.5" x14ac:dyDescent="0.25">
      <c r="A95" s="339">
        <v>4</v>
      </c>
      <c r="B95" s="154" t="s">
        <v>121</v>
      </c>
      <c r="C95" s="148" t="s">
        <v>58</v>
      </c>
      <c r="D95" s="164"/>
      <c r="E95" s="23">
        <v>1</v>
      </c>
      <c r="F95" s="164"/>
      <c r="G95" s="68"/>
      <c r="H95" s="165"/>
      <c r="I95" s="68"/>
      <c r="J95" s="165"/>
      <c r="K95" s="68"/>
      <c r="L95" s="68"/>
    </row>
    <row r="96" spans="1:12" ht="27" x14ac:dyDescent="0.25">
      <c r="A96" s="341"/>
      <c r="B96" s="151" t="s">
        <v>31</v>
      </c>
      <c r="C96" s="152" t="s">
        <v>28</v>
      </c>
      <c r="D96" s="165">
        <v>14.6</v>
      </c>
      <c r="E96" s="165">
        <f>E95*D96</f>
        <v>14.6</v>
      </c>
      <c r="F96" s="168"/>
      <c r="G96" s="68"/>
      <c r="H96" s="169"/>
      <c r="I96" s="68"/>
      <c r="J96" s="165"/>
      <c r="K96" s="68"/>
      <c r="L96" s="68"/>
    </row>
    <row r="97" spans="1:12" ht="16.5" x14ac:dyDescent="0.25">
      <c r="A97" s="341"/>
      <c r="B97" s="151" t="s">
        <v>27</v>
      </c>
      <c r="C97" s="152" t="s">
        <v>24</v>
      </c>
      <c r="D97" s="165">
        <v>5.5</v>
      </c>
      <c r="E97" s="165">
        <f>E95*D97</f>
        <v>5.5</v>
      </c>
      <c r="F97" s="165"/>
      <c r="G97" s="68"/>
      <c r="H97" s="165"/>
      <c r="I97" s="68"/>
      <c r="J97" s="169"/>
      <c r="K97" s="68"/>
      <c r="L97" s="68"/>
    </row>
    <row r="98" spans="1:12" ht="33" x14ac:dyDescent="0.25">
      <c r="A98" s="341"/>
      <c r="B98" s="151" t="s">
        <v>114</v>
      </c>
      <c r="C98" s="152" t="s">
        <v>58</v>
      </c>
      <c r="D98" s="165">
        <v>1</v>
      </c>
      <c r="E98" s="165">
        <f>E95*D98</f>
        <v>1</v>
      </c>
      <c r="F98" s="169"/>
      <c r="G98" s="68"/>
      <c r="H98" s="165"/>
      <c r="I98" s="68"/>
      <c r="J98" s="138"/>
      <c r="K98" s="68"/>
      <c r="L98" s="68"/>
    </row>
    <row r="99" spans="1:12" ht="33" x14ac:dyDescent="0.25">
      <c r="A99" s="341"/>
      <c r="B99" s="151" t="s">
        <v>279</v>
      </c>
      <c r="C99" s="152" t="s">
        <v>58</v>
      </c>
      <c r="D99" s="165">
        <v>1</v>
      </c>
      <c r="E99" s="165">
        <f>E95*D99</f>
        <v>1</v>
      </c>
      <c r="F99" s="169"/>
      <c r="G99" s="68"/>
      <c r="H99" s="165"/>
      <c r="I99" s="68"/>
      <c r="J99" s="138"/>
      <c r="K99" s="68"/>
      <c r="L99" s="68"/>
    </row>
    <row r="100" spans="1:12" ht="16.5" x14ac:dyDescent="0.25">
      <c r="A100" s="341"/>
      <c r="B100" s="151" t="s">
        <v>104</v>
      </c>
      <c r="C100" s="152" t="s">
        <v>58</v>
      </c>
      <c r="D100" s="165">
        <v>1</v>
      </c>
      <c r="E100" s="165">
        <f>E95*D100</f>
        <v>1</v>
      </c>
      <c r="F100" s="169"/>
      <c r="G100" s="68"/>
      <c r="H100" s="165"/>
      <c r="I100" s="68"/>
      <c r="J100" s="138"/>
      <c r="K100" s="68"/>
      <c r="L100" s="68"/>
    </row>
    <row r="101" spans="1:12" ht="16.5" x14ac:dyDescent="0.25">
      <c r="A101" s="341"/>
      <c r="B101" s="151" t="s">
        <v>177</v>
      </c>
      <c r="C101" s="152" t="s">
        <v>103</v>
      </c>
      <c r="D101" s="165">
        <f>(4.13+1.24)/10</f>
        <v>0.53700000000000003</v>
      </c>
      <c r="E101" s="149">
        <f>E95*D101</f>
        <v>0.53700000000000003</v>
      </c>
      <c r="F101" s="169"/>
      <c r="G101" s="68"/>
      <c r="H101" s="165"/>
      <c r="I101" s="68"/>
      <c r="J101" s="138"/>
      <c r="K101" s="68"/>
      <c r="L101" s="68"/>
    </row>
    <row r="102" spans="1:12" ht="16.5" x14ac:dyDescent="0.25">
      <c r="A102" s="341"/>
      <c r="B102" s="151" t="s">
        <v>88</v>
      </c>
      <c r="C102" s="152" t="s">
        <v>23</v>
      </c>
      <c r="D102" s="165">
        <v>7.0000000000000001E-3</v>
      </c>
      <c r="E102" s="149">
        <f>E95*D102</f>
        <v>7.0000000000000001E-3</v>
      </c>
      <c r="F102" s="169"/>
      <c r="G102" s="68"/>
      <c r="H102" s="165"/>
      <c r="I102" s="68"/>
      <c r="J102" s="138"/>
      <c r="K102" s="68"/>
      <c r="L102" s="68"/>
    </row>
    <row r="103" spans="1:12" ht="16.5" x14ac:dyDescent="0.25">
      <c r="A103" s="341"/>
      <c r="B103" s="19" t="s">
        <v>106</v>
      </c>
      <c r="C103" s="30" t="s">
        <v>22</v>
      </c>
      <c r="D103" s="165">
        <v>7.85</v>
      </c>
      <c r="E103" s="149">
        <f>E95*D103</f>
        <v>7.85</v>
      </c>
      <c r="F103" s="169"/>
      <c r="G103" s="68"/>
      <c r="H103" s="165"/>
      <c r="I103" s="68"/>
      <c r="J103" s="138"/>
      <c r="K103" s="68"/>
      <c r="L103" s="68"/>
    </row>
    <row r="104" spans="1:12" ht="16.5" x14ac:dyDescent="0.25">
      <c r="A104" s="340"/>
      <c r="B104" s="151" t="s">
        <v>33</v>
      </c>
      <c r="C104" s="152" t="s">
        <v>24</v>
      </c>
      <c r="D104" s="165">
        <v>6.77</v>
      </c>
      <c r="E104" s="165">
        <f>E95*D104</f>
        <v>6.77</v>
      </c>
      <c r="F104" s="169"/>
      <c r="G104" s="68"/>
      <c r="H104" s="165"/>
      <c r="I104" s="68"/>
      <c r="J104" s="165"/>
      <c r="K104" s="68"/>
      <c r="L104" s="68"/>
    </row>
    <row r="105" spans="1:12" ht="61.15" customHeight="1" x14ac:dyDescent="0.25">
      <c r="A105" s="301">
        <v>5</v>
      </c>
      <c r="B105" s="117" t="s">
        <v>123</v>
      </c>
      <c r="C105" s="39" t="s">
        <v>23</v>
      </c>
      <c r="D105" s="44"/>
      <c r="E105" s="23">
        <f>(E66+E80+E94)*1.65</f>
        <v>42.531855959999987</v>
      </c>
      <c r="F105" s="70"/>
      <c r="G105" s="68"/>
      <c r="H105" s="70"/>
      <c r="I105" s="68"/>
      <c r="J105" s="70"/>
      <c r="K105" s="68"/>
      <c r="L105" s="68"/>
    </row>
    <row r="106" spans="1:12" ht="27" x14ac:dyDescent="0.25">
      <c r="A106" s="301"/>
      <c r="B106" s="119" t="s">
        <v>34</v>
      </c>
      <c r="C106" s="54" t="s">
        <v>28</v>
      </c>
      <c r="D106" s="44">
        <v>0.53</v>
      </c>
      <c r="E106" s="79">
        <f>E105*D106</f>
        <v>22.541883658799993</v>
      </c>
      <c r="F106" s="70"/>
      <c r="G106" s="68"/>
      <c r="H106" s="159"/>
      <c r="I106" s="68"/>
      <c r="J106" s="70"/>
      <c r="K106" s="68"/>
      <c r="L106" s="68"/>
    </row>
    <row r="107" spans="1:12" ht="17.25" x14ac:dyDescent="0.25">
      <c r="A107" s="301"/>
      <c r="B107" s="118" t="s">
        <v>245</v>
      </c>
      <c r="C107" s="39" t="s">
        <v>23</v>
      </c>
      <c r="D107" s="44"/>
      <c r="E107" s="23">
        <f>E105</f>
        <v>42.531855959999987</v>
      </c>
      <c r="F107" s="70"/>
      <c r="G107" s="68"/>
      <c r="H107" s="70"/>
      <c r="I107" s="68"/>
      <c r="J107" s="70"/>
      <c r="K107" s="68"/>
      <c r="L107" s="68"/>
    </row>
    <row r="108" spans="1:12" ht="86.25" x14ac:dyDescent="0.25">
      <c r="A108" s="342">
        <v>6</v>
      </c>
      <c r="B108" s="157" t="s">
        <v>194</v>
      </c>
      <c r="C108" s="170" t="s">
        <v>105</v>
      </c>
      <c r="D108" s="158"/>
      <c r="E108" s="23">
        <v>1</v>
      </c>
      <c r="F108" s="158"/>
      <c r="G108" s="68"/>
      <c r="H108" s="158"/>
      <c r="I108" s="68"/>
      <c r="J108" s="158"/>
      <c r="K108" s="68"/>
      <c r="L108" s="68"/>
    </row>
    <row r="109" spans="1:12" ht="27" x14ac:dyDescent="0.25">
      <c r="A109" s="343"/>
      <c r="B109" s="19" t="s">
        <v>79</v>
      </c>
      <c r="C109" s="30" t="s">
        <v>28</v>
      </c>
      <c r="D109" s="138">
        <v>17</v>
      </c>
      <c r="E109" s="138">
        <f>E108*D109</f>
        <v>17</v>
      </c>
      <c r="F109" s="138"/>
      <c r="G109" s="68"/>
      <c r="H109" s="72"/>
      <c r="I109" s="68"/>
      <c r="J109" s="138"/>
      <c r="K109" s="68"/>
      <c r="L109" s="68"/>
    </row>
    <row r="110" spans="1:12" ht="16.5" x14ac:dyDescent="0.25">
      <c r="A110" s="343"/>
      <c r="B110" s="19" t="s">
        <v>178</v>
      </c>
      <c r="C110" s="30" t="s">
        <v>60</v>
      </c>
      <c r="D110" s="138">
        <v>0.05</v>
      </c>
      <c r="E110" s="138">
        <f>D110*E108</f>
        <v>0.05</v>
      </c>
      <c r="F110" s="156"/>
      <c r="G110" s="68"/>
      <c r="H110" s="78"/>
      <c r="I110" s="68"/>
      <c r="J110" s="78"/>
      <c r="K110" s="68"/>
      <c r="L110" s="68"/>
    </row>
    <row r="111" spans="1:12" ht="16.5" x14ac:dyDescent="0.25">
      <c r="A111" s="343"/>
      <c r="B111" s="19" t="s">
        <v>122</v>
      </c>
      <c r="C111" s="30" t="s">
        <v>103</v>
      </c>
      <c r="D111" s="138">
        <v>1.1000000000000001</v>
      </c>
      <c r="E111" s="138">
        <f>D111*E109</f>
        <v>18.700000000000003</v>
      </c>
      <c r="F111" s="156"/>
      <c r="G111" s="68"/>
      <c r="H111" s="78"/>
      <c r="I111" s="68"/>
      <c r="J111" s="78"/>
      <c r="K111" s="68"/>
      <c r="L111" s="68"/>
    </row>
    <row r="112" spans="1:12" ht="16.5" x14ac:dyDescent="0.25">
      <c r="A112" s="343"/>
      <c r="B112" s="19" t="s">
        <v>106</v>
      </c>
      <c r="C112" s="30" t="s">
        <v>22</v>
      </c>
      <c r="D112" s="138">
        <v>7.8</v>
      </c>
      <c r="E112" s="138">
        <f>D112*E108</f>
        <v>7.8</v>
      </c>
      <c r="F112" s="72"/>
      <c r="G112" s="68"/>
      <c r="H112" s="138"/>
      <c r="I112" s="68"/>
      <c r="J112" s="78"/>
      <c r="K112" s="68"/>
      <c r="L112" s="68"/>
    </row>
    <row r="113" spans="1:12" ht="16.5" x14ac:dyDescent="0.25">
      <c r="A113" s="344"/>
      <c r="B113" s="19" t="s">
        <v>30</v>
      </c>
      <c r="C113" s="30" t="s">
        <v>24</v>
      </c>
      <c r="D113" s="138">
        <v>1.08</v>
      </c>
      <c r="E113" s="138">
        <f>D113*E108</f>
        <v>1.08</v>
      </c>
      <c r="F113" s="72"/>
      <c r="G113" s="68"/>
      <c r="H113" s="138"/>
      <c r="I113" s="68"/>
      <c r="J113" s="78"/>
      <c r="K113" s="68"/>
      <c r="L113" s="68"/>
    </row>
    <row r="114" spans="1:12" ht="51.75" x14ac:dyDescent="0.25">
      <c r="A114" s="90" t="s">
        <v>116</v>
      </c>
      <c r="B114" s="146" t="s">
        <v>285</v>
      </c>
      <c r="C114" s="91"/>
      <c r="D114" s="137"/>
      <c r="E114" s="90"/>
      <c r="F114" s="68"/>
      <c r="G114" s="68"/>
      <c r="H114" s="68"/>
      <c r="I114" s="68"/>
      <c r="J114" s="68"/>
      <c r="K114" s="68"/>
      <c r="L114" s="68"/>
    </row>
    <row r="115" spans="1:12" ht="48.6" customHeight="1" x14ac:dyDescent="0.25">
      <c r="A115" s="345">
        <v>1</v>
      </c>
      <c r="B115" s="171" t="s">
        <v>277</v>
      </c>
      <c r="C115" s="68" t="s">
        <v>11</v>
      </c>
      <c r="D115" s="68"/>
      <c r="E115" s="172">
        <v>5.3</v>
      </c>
      <c r="F115" s="68"/>
      <c r="G115" s="68"/>
      <c r="H115" s="68"/>
      <c r="I115" s="68"/>
      <c r="J115" s="68"/>
      <c r="K115" s="68"/>
      <c r="L115" s="68"/>
    </row>
    <row r="116" spans="1:12" ht="16.5" x14ac:dyDescent="0.25">
      <c r="A116" s="346"/>
      <c r="B116" s="173"/>
      <c r="C116" s="68" t="s">
        <v>20</v>
      </c>
      <c r="D116" s="68"/>
      <c r="E116" s="172">
        <f>(0.55+0.2)*0.5*E115</f>
        <v>1.9874999999999998</v>
      </c>
      <c r="F116" s="68"/>
      <c r="G116" s="68"/>
      <c r="H116" s="68"/>
      <c r="I116" s="68"/>
      <c r="J116" s="68"/>
      <c r="K116" s="68"/>
      <c r="L116" s="68"/>
    </row>
    <row r="117" spans="1:12" ht="16.5" x14ac:dyDescent="0.25">
      <c r="A117" s="347"/>
      <c r="B117" s="174" t="s">
        <v>26</v>
      </c>
      <c r="C117" s="152" t="s">
        <v>103</v>
      </c>
      <c r="D117" s="149">
        <v>2.06</v>
      </c>
      <c r="E117" s="68">
        <f>D117*E116</f>
        <v>4.0942499999999997</v>
      </c>
      <c r="F117" s="78"/>
      <c r="G117" s="68"/>
      <c r="H117" s="156"/>
      <c r="I117" s="68"/>
      <c r="J117" s="78"/>
      <c r="K117" s="68"/>
      <c r="L117" s="68"/>
    </row>
    <row r="118" spans="1:12" ht="49.5" x14ac:dyDescent="0.25">
      <c r="A118" s="298">
        <v>2</v>
      </c>
      <c r="B118" s="175" t="s">
        <v>281</v>
      </c>
      <c r="C118" s="145" t="s">
        <v>20</v>
      </c>
      <c r="D118" s="137"/>
      <c r="E118" s="90">
        <f>E115*0.5*0.2</f>
        <v>0.53</v>
      </c>
      <c r="F118" s="137"/>
      <c r="G118" s="68"/>
      <c r="H118" s="137"/>
      <c r="I118" s="68"/>
      <c r="J118" s="137"/>
      <c r="K118" s="68"/>
      <c r="L118" s="68"/>
    </row>
    <row r="119" spans="1:12" ht="27" x14ac:dyDescent="0.25">
      <c r="A119" s="298"/>
      <c r="B119" s="176" t="s">
        <v>26</v>
      </c>
      <c r="C119" s="145" t="s">
        <v>28</v>
      </c>
      <c r="D119" s="137">
        <v>3.52</v>
      </c>
      <c r="E119" s="137">
        <f>E118*D119</f>
        <v>1.8656000000000001</v>
      </c>
      <c r="F119" s="137"/>
      <c r="G119" s="68"/>
      <c r="H119" s="68"/>
      <c r="I119" s="68"/>
      <c r="J119" s="137"/>
      <c r="K119" s="68"/>
      <c r="L119" s="68"/>
    </row>
    <row r="120" spans="1:12" x14ac:dyDescent="0.25">
      <c r="A120" s="298"/>
      <c r="B120" s="176" t="s">
        <v>27</v>
      </c>
      <c r="C120" s="145" t="s">
        <v>24</v>
      </c>
      <c r="D120" s="137">
        <v>1.06</v>
      </c>
      <c r="E120" s="137">
        <f>E118*D120</f>
        <v>0.56180000000000008</v>
      </c>
      <c r="F120" s="137"/>
      <c r="G120" s="68"/>
      <c r="H120" s="137"/>
      <c r="I120" s="68"/>
      <c r="J120" s="68"/>
      <c r="K120" s="68"/>
      <c r="L120" s="68"/>
    </row>
    <row r="121" spans="1:12" x14ac:dyDescent="0.25">
      <c r="A121" s="298"/>
      <c r="B121" s="176" t="s">
        <v>85</v>
      </c>
      <c r="C121" s="145" t="s">
        <v>20</v>
      </c>
      <c r="D121" s="137">
        <f>0.18+0.09+0.97</f>
        <v>1.24</v>
      </c>
      <c r="E121" s="137">
        <f>E118*D121</f>
        <v>0.65720000000000001</v>
      </c>
      <c r="F121" s="137"/>
      <c r="G121" s="68"/>
      <c r="H121" s="137"/>
      <c r="I121" s="68"/>
      <c r="J121" s="137"/>
      <c r="K121" s="68"/>
      <c r="L121" s="68"/>
    </row>
    <row r="122" spans="1:12" x14ac:dyDescent="0.25">
      <c r="A122" s="298"/>
      <c r="B122" s="176" t="s">
        <v>33</v>
      </c>
      <c r="C122" s="145" t="s">
        <v>24</v>
      </c>
      <c r="D122" s="137">
        <v>0.02</v>
      </c>
      <c r="E122" s="137">
        <f>E118*D122</f>
        <v>1.06E-2</v>
      </c>
      <c r="F122" s="137"/>
      <c r="G122" s="68"/>
      <c r="H122" s="137"/>
      <c r="I122" s="68"/>
      <c r="J122" s="137"/>
      <c r="K122" s="68"/>
      <c r="L122" s="68"/>
    </row>
    <row r="123" spans="1:12" ht="33" x14ac:dyDescent="0.25">
      <c r="A123" s="345">
        <v>3</v>
      </c>
      <c r="B123" s="177" t="s">
        <v>280</v>
      </c>
      <c r="C123" s="68" t="s">
        <v>20</v>
      </c>
      <c r="D123" s="68"/>
      <c r="E123" s="172">
        <f>(0.4*2*0.15+0.5*0.15)*E115+0.15*0.2*0.55*2</f>
        <v>1.0665</v>
      </c>
      <c r="F123" s="68"/>
      <c r="G123" s="68"/>
      <c r="H123" s="68"/>
      <c r="I123" s="68"/>
      <c r="J123" s="68"/>
      <c r="K123" s="68"/>
      <c r="L123" s="68"/>
    </row>
    <row r="124" spans="1:12" x14ac:dyDescent="0.25">
      <c r="A124" s="346"/>
      <c r="B124" s="110" t="s">
        <v>53</v>
      </c>
      <c r="C124" s="65" t="s">
        <v>63</v>
      </c>
      <c r="D124" s="69">
        <v>3.78</v>
      </c>
      <c r="E124" s="81">
        <f>D124*E123</f>
        <v>4.0313699999999999</v>
      </c>
      <c r="F124" s="137"/>
      <c r="G124" s="68"/>
      <c r="H124" s="68"/>
      <c r="I124" s="68"/>
      <c r="J124" s="137"/>
      <c r="K124" s="68"/>
      <c r="L124" s="68"/>
    </row>
    <row r="125" spans="1:12" x14ac:dyDescent="0.25">
      <c r="A125" s="346"/>
      <c r="B125" s="110" t="s">
        <v>27</v>
      </c>
      <c r="C125" s="65" t="s">
        <v>24</v>
      </c>
      <c r="D125" s="69">
        <v>0.92</v>
      </c>
      <c r="E125" s="81">
        <f>D125*E123</f>
        <v>0.98118000000000005</v>
      </c>
      <c r="F125" s="137"/>
      <c r="G125" s="68"/>
      <c r="H125" s="137"/>
      <c r="I125" s="68"/>
      <c r="J125" s="68"/>
      <c r="K125" s="68"/>
      <c r="L125" s="68"/>
    </row>
    <row r="126" spans="1:12" x14ac:dyDescent="0.25">
      <c r="A126" s="346"/>
      <c r="B126" s="110" t="s">
        <v>59</v>
      </c>
      <c r="C126" s="65" t="s">
        <v>103</v>
      </c>
      <c r="D126" s="69">
        <v>1.0149999999999999</v>
      </c>
      <c r="E126" s="81">
        <f>D126*E123</f>
        <v>1.0824974999999999</v>
      </c>
      <c r="F126" s="137"/>
      <c r="G126" s="68"/>
      <c r="H126" s="137"/>
      <c r="I126" s="68"/>
      <c r="J126" s="137"/>
      <c r="K126" s="68"/>
      <c r="L126" s="68"/>
    </row>
    <row r="127" spans="1:12" x14ac:dyDescent="0.25">
      <c r="A127" s="346"/>
      <c r="B127" s="110" t="s">
        <v>86</v>
      </c>
      <c r="C127" s="65" t="s">
        <v>92</v>
      </c>
      <c r="D127" s="69">
        <v>0.70299999999999996</v>
      </c>
      <c r="E127" s="81">
        <f>D127*E123</f>
        <v>0.74974949999999996</v>
      </c>
      <c r="F127" s="137"/>
      <c r="G127" s="68"/>
      <c r="H127" s="137"/>
      <c r="I127" s="68"/>
      <c r="J127" s="137"/>
      <c r="K127" s="68"/>
      <c r="L127" s="68"/>
    </row>
    <row r="128" spans="1:12" x14ac:dyDescent="0.25">
      <c r="A128" s="346"/>
      <c r="B128" s="110" t="s">
        <v>87</v>
      </c>
      <c r="C128" s="65" t="s">
        <v>103</v>
      </c>
      <c r="D128" s="69">
        <v>1.14E-2</v>
      </c>
      <c r="E128" s="81">
        <f>D128*E123</f>
        <v>1.21581E-2</v>
      </c>
      <c r="F128" s="137"/>
      <c r="G128" s="68"/>
      <c r="H128" s="137"/>
      <c r="I128" s="68"/>
      <c r="J128" s="137"/>
      <c r="K128" s="68"/>
      <c r="L128" s="68"/>
    </row>
    <row r="129" spans="1:12" x14ac:dyDescent="0.25">
      <c r="A129" s="346"/>
      <c r="B129" s="85" t="s">
        <v>272</v>
      </c>
      <c r="C129" s="66" t="s">
        <v>84</v>
      </c>
      <c r="D129" s="69">
        <v>1.03</v>
      </c>
      <c r="E129" s="82">
        <f>( (5.3*2+0.2*2)/0.15 *0.55*2+4*2*5.3*2 + (5.3/0.15+1)*0.5*2 + 4*5.3*2 )*D129*0.395/1000</f>
        <v>9.9352770000000035E-2</v>
      </c>
      <c r="F129" s="137"/>
      <c r="G129" s="68"/>
      <c r="H129" s="137"/>
      <c r="I129" s="68"/>
      <c r="J129" s="137"/>
      <c r="K129" s="68"/>
      <c r="L129" s="68"/>
    </row>
    <row r="130" spans="1:12" x14ac:dyDescent="0.25">
      <c r="A130" s="346"/>
      <c r="B130" s="85" t="s">
        <v>273</v>
      </c>
      <c r="C130" s="66" t="s">
        <v>84</v>
      </c>
      <c r="D130" s="69">
        <v>1.03</v>
      </c>
      <c r="E130" s="82">
        <f>(12*2+12*2*2+2*2)*0.2*D130*0.222/1000</f>
        <v>3.4756320000000006E-3</v>
      </c>
      <c r="F130" s="137"/>
      <c r="G130" s="68"/>
      <c r="H130" s="137"/>
      <c r="I130" s="68"/>
      <c r="J130" s="137"/>
      <c r="K130" s="68"/>
      <c r="L130" s="68"/>
    </row>
    <row r="131" spans="1:12" x14ac:dyDescent="0.25">
      <c r="A131" s="347"/>
      <c r="B131" s="110" t="s">
        <v>33</v>
      </c>
      <c r="C131" s="65" t="s">
        <v>24</v>
      </c>
      <c r="D131" s="69">
        <v>0.6</v>
      </c>
      <c r="E131" s="81">
        <f>D131*E123</f>
        <v>0.63990000000000002</v>
      </c>
      <c r="F131" s="137"/>
      <c r="G131" s="68"/>
      <c r="H131" s="137"/>
      <c r="I131" s="68"/>
      <c r="J131" s="137"/>
      <c r="K131" s="68"/>
      <c r="L131" s="68"/>
    </row>
    <row r="132" spans="1:12" ht="33" x14ac:dyDescent="0.25">
      <c r="A132" s="138">
        <v>4</v>
      </c>
      <c r="B132" s="177" t="s">
        <v>282</v>
      </c>
      <c r="C132" s="68" t="s">
        <v>11</v>
      </c>
      <c r="D132" s="68"/>
      <c r="E132" s="68">
        <v>5.3</v>
      </c>
      <c r="F132" s="68"/>
      <c r="G132" s="68"/>
      <c r="H132" s="68"/>
      <c r="I132" s="68"/>
      <c r="J132" s="68"/>
      <c r="K132" s="68"/>
      <c r="L132" s="68"/>
    </row>
    <row r="133" spans="1:12" x14ac:dyDescent="0.25">
      <c r="A133" s="13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</row>
    <row r="134" spans="1:12" ht="17.25" x14ac:dyDescent="0.25">
      <c r="A134" s="178"/>
      <c r="B134" s="146" t="s">
        <v>35</v>
      </c>
      <c r="C134" s="91"/>
      <c r="D134" s="90"/>
      <c r="E134" s="90"/>
      <c r="F134" s="90"/>
      <c r="G134" s="172"/>
      <c r="H134" s="172"/>
      <c r="I134" s="172"/>
      <c r="J134" s="172"/>
      <c r="K134" s="172"/>
      <c r="L134" s="172"/>
    </row>
    <row r="135" spans="1:12" ht="16.5" x14ac:dyDescent="0.25">
      <c r="A135" s="144"/>
      <c r="B135" s="12" t="s">
        <v>51</v>
      </c>
      <c r="C135" s="145"/>
      <c r="D135" s="144"/>
      <c r="E135" s="179" t="s">
        <v>314</v>
      </c>
      <c r="F135" s="137"/>
      <c r="G135" s="68"/>
      <c r="H135" s="68"/>
      <c r="I135" s="68"/>
      <c r="J135" s="68"/>
      <c r="K135" s="68"/>
      <c r="L135" s="68"/>
    </row>
    <row r="136" spans="1:12" ht="16.5" x14ac:dyDescent="0.25">
      <c r="A136" s="144"/>
      <c r="B136" s="12"/>
      <c r="C136" s="145"/>
      <c r="D136" s="144"/>
      <c r="E136" s="137"/>
      <c r="F136" s="137"/>
      <c r="G136" s="68"/>
      <c r="H136" s="68"/>
      <c r="I136" s="68"/>
      <c r="J136" s="68"/>
      <c r="K136" s="68"/>
      <c r="L136" s="68"/>
    </row>
    <row r="137" spans="1:12" ht="16.5" x14ac:dyDescent="0.25">
      <c r="A137" s="144"/>
      <c r="B137" s="12" t="s">
        <v>37</v>
      </c>
      <c r="C137" s="145"/>
      <c r="D137" s="144"/>
      <c r="E137" s="179" t="s">
        <v>314</v>
      </c>
      <c r="F137" s="137"/>
      <c r="G137" s="68"/>
      <c r="H137" s="68"/>
      <c r="I137" s="68"/>
      <c r="J137" s="68"/>
      <c r="K137" s="68"/>
      <c r="L137" s="68"/>
    </row>
    <row r="138" spans="1:12" ht="16.5" x14ac:dyDescent="0.25">
      <c r="A138" s="144"/>
      <c r="B138" s="12"/>
      <c r="C138" s="145"/>
      <c r="D138" s="144"/>
      <c r="E138" s="137"/>
      <c r="F138" s="137"/>
      <c r="G138" s="68"/>
      <c r="H138" s="68"/>
      <c r="I138" s="68"/>
      <c r="J138" s="68"/>
      <c r="K138" s="68"/>
      <c r="L138" s="172"/>
    </row>
    <row r="139" spans="1:12" ht="33" x14ac:dyDescent="0.25">
      <c r="A139" s="144"/>
      <c r="B139" s="12" t="s">
        <v>12</v>
      </c>
      <c r="C139" s="145"/>
      <c r="D139" s="144"/>
      <c r="E139" s="179">
        <v>0.03</v>
      </c>
      <c r="F139" s="137"/>
      <c r="G139" s="68"/>
      <c r="H139" s="68"/>
      <c r="I139" s="68"/>
      <c r="J139" s="68"/>
      <c r="K139" s="68"/>
      <c r="L139" s="68"/>
    </row>
    <row r="140" spans="1:12" ht="16.5" x14ac:dyDescent="0.25">
      <c r="A140" s="144"/>
      <c r="B140" s="12"/>
      <c r="C140" s="145"/>
      <c r="D140" s="144"/>
      <c r="E140" s="137"/>
      <c r="F140" s="137"/>
      <c r="G140" s="68"/>
      <c r="H140" s="68"/>
      <c r="I140" s="68"/>
      <c r="J140" s="68"/>
      <c r="K140" s="68"/>
      <c r="L140" s="68"/>
    </row>
    <row r="141" spans="1:12" ht="16.5" x14ac:dyDescent="0.25">
      <c r="A141" s="144"/>
      <c r="B141" s="12" t="s">
        <v>13</v>
      </c>
      <c r="C141" s="145"/>
      <c r="D141" s="144"/>
      <c r="E141" s="179">
        <v>0.18</v>
      </c>
      <c r="F141" s="137"/>
      <c r="G141" s="68"/>
      <c r="H141" s="68"/>
      <c r="I141" s="68"/>
      <c r="J141" s="68"/>
      <c r="K141" s="68"/>
      <c r="L141" s="68"/>
    </row>
    <row r="142" spans="1:12" ht="17.25" x14ac:dyDescent="0.25">
      <c r="A142" s="178"/>
      <c r="B142" s="146" t="s">
        <v>10</v>
      </c>
      <c r="C142" s="91"/>
      <c r="D142" s="90"/>
      <c r="E142" s="90"/>
      <c r="F142" s="90"/>
      <c r="G142" s="172"/>
      <c r="H142" s="172"/>
      <c r="I142" s="172"/>
      <c r="J142" s="172"/>
      <c r="K142" s="172"/>
      <c r="L142" s="172"/>
    </row>
    <row r="144" spans="1:12" ht="17.25" x14ac:dyDescent="0.25">
      <c r="B144" s="56"/>
      <c r="C144" s="61"/>
      <c r="D144" s="26"/>
      <c r="E144" s="26"/>
      <c r="F144" s="26"/>
      <c r="G144" s="26"/>
      <c r="H144" s="316"/>
      <c r="I144" s="316"/>
      <c r="J144" s="316"/>
      <c r="K144" s="316"/>
      <c r="L144" s="316"/>
    </row>
    <row r="145" spans="2:4" x14ac:dyDescent="0.25">
      <c r="B145" s="42"/>
      <c r="C145" s="52"/>
      <c r="D145" s="49"/>
    </row>
    <row r="146" spans="2:4" ht="17.25" x14ac:dyDescent="0.25">
      <c r="B146" s="306"/>
      <c r="C146" s="306"/>
      <c r="D146" s="306"/>
    </row>
  </sheetData>
  <mergeCells count="41">
    <mergeCell ref="A118:A122"/>
    <mergeCell ref="A123:A131"/>
    <mergeCell ref="B146:D146"/>
    <mergeCell ref="A20:A25"/>
    <mergeCell ref="A105:A107"/>
    <mergeCell ref="A71:A73"/>
    <mergeCell ref="A68:A70"/>
    <mergeCell ref="A95:A104"/>
    <mergeCell ref="A74:A78"/>
    <mergeCell ref="A93:A94"/>
    <mergeCell ref="A27:A28"/>
    <mergeCell ref="A29:A31"/>
    <mergeCell ref="A32:A34"/>
    <mergeCell ref="A35:A40"/>
    <mergeCell ref="A44:A49"/>
    <mergeCell ref="A50:A58"/>
    <mergeCell ref="A1:L1"/>
    <mergeCell ref="A3:L3"/>
    <mergeCell ref="A5:L5"/>
    <mergeCell ref="A7:A8"/>
    <mergeCell ref="B7:B8"/>
    <mergeCell ref="C7:C8"/>
    <mergeCell ref="D7:D8"/>
    <mergeCell ref="E7:E8"/>
    <mergeCell ref="F7:G7"/>
    <mergeCell ref="H144:L144"/>
    <mergeCell ref="H7:I7"/>
    <mergeCell ref="J7:K7"/>
    <mergeCell ref="L7:L8"/>
    <mergeCell ref="A12:A13"/>
    <mergeCell ref="A59:A63"/>
    <mergeCell ref="A14:A16"/>
    <mergeCell ref="A17:A19"/>
    <mergeCell ref="A41:A43"/>
    <mergeCell ref="A82:A84"/>
    <mergeCell ref="A85:A87"/>
    <mergeCell ref="A88:A92"/>
    <mergeCell ref="A108:A113"/>
    <mergeCell ref="A115:A117"/>
    <mergeCell ref="A66:A67"/>
    <mergeCell ref="A80:A81"/>
  </mergeCells>
  <pageMargins left="0.47244094488188981" right="0.27559055118110237" top="0.38" bottom="0.23622047244094491" header="0.31496062992125984" footer="0.19685039370078741"/>
  <pageSetup paperSize="9" orientation="landscape" r:id="rId1"/>
  <headerFooter>
    <oddHeader>&amp;R&amp;N--&amp;P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24"/>
  <sheetViews>
    <sheetView zoomScale="85" zoomScaleNormal="85" workbookViewId="0">
      <selection sqref="A1:L1"/>
    </sheetView>
  </sheetViews>
  <sheetFormatPr defaultColWidth="8.85546875" defaultRowHeight="15" x14ac:dyDescent="0.25"/>
  <cols>
    <col min="1" max="1" width="4.28515625" style="7" customWidth="1"/>
    <col min="2" max="2" width="39.28515625" style="7" customWidth="1"/>
    <col min="3" max="3" width="7.7109375" style="7" customWidth="1"/>
    <col min="4" max="5" width="9" style="7" bestFit="1" customWidth="1"/>
    <col min="6" max="6" width="7.5703125" style="7" customWidth="1"/>
    <col min="7" max="7" width="9.7109375" style="7" customWidth="1"/>
    <col min="8" max="8" width="7.85546875" style="7" customWidth="1"/>
    <col min="9" max="9" width="10" style="7" customWidth="1"/>
    <col min="10" max="10" width="7" style="7" customWidth="1"/>
    <col min="11" max="11" width="9" style="7" bestFit="1" customWidth="1"/>
    <col min="12" max="12" width="11.5703125" style="7" customWidth="1"/>
    <col min="13" max="16384" width="8.85546875" style="7"/>
  </cols>
  <sheetData>
    <row r="1" spans="1:12" ht="72" customHeight="1" x14ac:dyDescent="0.25">
      <c r="A1" s="293" t="s">
        <v>247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17.25" x14ac:dyDescent="0.25">
      <c r="A2" s="293" t="s">
        <v>290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ht="17.25" x14ac:dyDescent="0.25">
      <c r="A3" s="22"/>
      <c r="B3" s="99"/>
      <c r="C3" s="61"/>
      <c r="D3" s="22"/>
      <c r="E3" s="22"/>
      <c r="F3" s="22"/>
      <c r="G3" s="22"/>
      <c r="H3" s="22"/>
      <c r="I3" s="22"/>
      <c r="J3" s="22"/>
      <c r="K3" s="22"/>
      <c r="L3" s="22"/>
    </row>
    <row r="4" spans="1:12" ht="16.5" customHeight="1" x14ac:dyDescent="0.25">
      <c r="A4" s="293" t="s">
        <v>287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</row>
    <row r="5" spans="1:12" ht="15.75" x14ac:dyDescent="0.25">
      <c r="A5" s="25"/>
      <c r="B5" s="20"/>
      <c r="C5" s="32"/>
      <c r="D5" s="25"/>
      <c r="E5" s="25"/>
      <c r="F5" s="25"/>
      <c r="G5" s="25"/>
      <c r="H5" s="25"/>
      <c r="I5" s="25"/>
      <c r="J5" s="25"/>
      <c r="K5" s="25"/>
      <c r="L5" s="25"/>
    </row>
    <row r="6" spans="1:12" ht="45.6" customHeight="1" x14ac:dyDescent="0.25">
      <c r="A6" s="338" t="s">
        <v>0</v>
      </c>
      <c r="B6" s="349" t="s">
        <v>1</v>
      </c>
      <c r="C6" s="350" t="s">
        <v>2</v>
      </c>
      <c r="D6" s="338" t="s">
        <v>3</v>
      </c>
      <c r="E6" s="338" t="s">
        <v>4</v>
      </c>
      <c r="F6" s="338" t="s">
        <v>5</v>
      </c>
      <c r="G6" s="338"/>
      <c r="H6" s="338" t="s">
        <v>6</v>
      </c>
      <c r="I6" s="338"/>
      <c r="J6" s="338" t="s">
        <v>29</v>
      </c>
      <c r="K6" s="338"/>
      <c r="L6" s="338" t="s">
        <v>7</v>
      </c>
    </row>
    <row r="7" spans="1:12" ht="39" customHeight="1" x14ac:dyDescent="0.25">
      <c r="A7" s="338"/>
      <c r="B7" s="349"/>
      <c r="C7" s="350"/>
      <c r="D7" s="338"/>
      <c r="E7" s="338"/>
      <c r="F7" s="101" t="s">
        <v>8</v>
      </c>
      <c r="G7" s="101" t="s">
        <v>9</v>
      </c>
      <c r="H7" s="101" t="s">
        <v>8</v>
      </c>
      <c r="I7" s="101" t="s">
        <v>9</v>
      </c>
      <c r="J7" s="101" t="s">
        <v>8</v>
      </c>
      <c r="K7" s="101" t="s">
        <v>9</v>
      </c>
      <c r="L7" s="338"/>
    </row>
    <row r="8" spans="1:12" ht="16.5" x14ac:dyDescent="0.25">
      <c r="A8" s="101">
        <v>1</v>
      </c>
      <c r="B8" s="100">
        <v>3</v>
      </c>
      <c r="C8" s="102">
        <v>4</v>
      </c>
      <c r="D8" s="101">
        <v>5</v>
      </c>
      <c r="E8" s="101">
        <v>6</v>
      </c>
      <c r="F8" s="101">
        <v>7</v>
      </c>
      <c r="G8" s="101">
        <v>8</v>
      </c>
      <c r="H8" s="101">
        <v>9</v>
      </c>
      <c r="I8" s="101">
        <v>10</v>
      </c>
      <c r="J8" s="101">
        <v>11</v>
      </c>
      <c r="K8" s="101">
        <v>12</v>
      </c>
      <c r="L8" s="101">
        <v>13</v>
      </c>
    </row>
    <row r="9" spans="1:12" ht="34.5" x14ac:dyDescent="0.25">
      <c r="A9" s="345" t="s">
        <v>288</v>
      </c>
      <c r="B9" s="23" t="s">
        <v>309</v>
      </c>
      <c r="C9" s="180" t="s">
        <v>52</v>
      </c>
      <c r="D9" s="138"/>
      <c r="E9" s="138">
        <v>1</v>
      </c>
      <c r="F9" s="137"/>
      <c r="G9" s="137"/>
      <c r="H9" s="137"/>
      <c r="I9" s="137"/>
      <c r="J9" s="137"/>
      <c r="K9" s="137"/>
      <c r="L9" s="137"/>
    </row>
    <row r="10" spans="1:12" ht="17.25" x14ac:dyDescent="0.25">
      <c r="A10" s="347"/>
      <c r="B10" s="181" t="s">
        <v>310</v>
      </c>
      <c r="C10" s="180"/>
      <c r="D10" s="137"/>
      <c r="E10" s="137"/>
      <c r="F10" s="137"/>
      <c r="G10" s="137"/>
      <c r="H10" s="137"/>
      <c r="I10" s="137"/>
      <c r="J10" s="137"/>
      <c r="K10" s="137"/>
      <c r="L10" s="137"/>
    </row>
    <row r="11" spans="1:12" ht="248.25" customHeight="1" x14ac:dyDescent="0.25">
      <c r="A11" s="35"/>
      <c r="B11" s="182" t="s">
        <v>311</v>
      </c>
      <c r="C11" s="36"/>
      <c r="D11" s="114"/>
      <c r="E11" s="138"/>
      <c r="F11" s="138"/>
      <c r="G11" s="137"/>
      <c r="H11" s="137"/>
      <c r="I11" s="137"/>
      <c r="J11" s="137"/>
      <c r="K11" s="137"/>
      <c r="L11" s="137"/>
    </row>
    <row r="12" spans="1:12" ht="17.25" x14ac:dyDescent="0.25">
      <c r="A12" s="24"/>
      <c r="B12" s="146" t="s">
        <v>35</v>
      </c>
      <c r="C12" s="91"/>
      <c r="D12" s="90"/>
      <c r="E12" s="90"/>
      <c r="F12" s="90"/>
      <c r="G12" s="172"/>
      <c r="H12" s="172"/>
      <c r="I12" s="172"/>
      <c r="J12" s="172"/>
      <c r="K12" s="172"/>
      <c r="L12" s="172"/>
    </row>
    <row r="13" spans="1:12" ht="49.5" x14ac:dyDescent="0.25">
      <c r="A13" s="101"/>
      <c r="B13" s="12" t="s">
        <v>36</v>
      </c>
      <c r="C13" s="145"/>
      <c r="D13" s="137"/>
      <c r="E13" s="183" t="s">
        <v>314</v>
      </c>
      <c r="F13" s="137"/>
      <c r="G13" s="137"/>
      <c r="H13" s="137"/>
      <c r="I13" s="137"/>
      <c r="J13" s="137"/>
      <c r="K13" s="137"/>
      <c r="L13" s="68"/>
    </row>
    <row r="14" spans="1:12" ht="16.5" x14ac:dyDescent="0.25">
      <c r="A14" s="101"/>
      <c r="B14" s="12"/>
      <c r="C14" s="145"/>
      <c r="D14" s="137"/>
      <c r="E14" s="138"/>
      <c r="F14" s="137"/>
      <c r="G14" s="137"/>
      <c r="H14" s="137"/>
      <c r="I14" s="137"/>
      <c r="J14" s="137"/>
      <c r="K14" s="137"/>
      <c r="L14" s="68"/>
    </row>
    <row r="15" spans="1:12" ht="16.5" x14ac:dyDescent="0.25">
      <c r="A15" s="101"/>
      <c r="B15" s="12" t="s">
        <v>37</v>
      </c>
      <c r="C15" s="145"/>
      <c r="D15" s="137"/>
      <c r="E15" s="183" t="s">
        <v>314</v>
      </c>
      <c r="F15" s="137"/>
      <c r="G15" s="137"/>
      <c r="H15" s="137"/>
      <c r="I15" s="137"/>
      <c r="J15" s="137"/>
      <c r="K15" s="137"/>
      <c r="L15" s="68"/>
    </row>
    <row r="16" spans="1:12" ht="16.5" x14ac:dyDescent="0.25">
      <c r="A16" s="101"/>
      <c r="B16" s="12"/>
      <c r="C16" s="145"/>
      <c r="D16" s="137"/>
      <c r="E16" s="138"/>
      <c r="F16" s="137"/>
      <c r="G16" s="137"/>
      <c r="H16" s="137"/>
      <c r="I16" s="137"/>
      <c r="J16" s="137"/>
      <c r="K16" s="137"/>
      <c r="L16" s="172"/>
    </row>
    <row r="17" spans="1:12" ht="16.5" x14ac:dyDescent="0.25">
      <c r="A17" s="101"/>
      <c r="B17" s="12" t="s">
        <v>12</v>
      </c>
      <c r="C17" s="145"/>
      <c r="D17" s="137"/>
      <c r="E17" s="183">
        <v>0.03</v>
      </c>
      <c r="F17" s="137"/>
      <c r="G17" s="137"/>
      <c r="H17" s="137"/>
      <c r="I17" s="137"/>
      <c r="J17" s="137"/>
      <c r="K17" s="137"/>
      <c r="L17" s="68"/>
    </row>
    <row r="18" spans="1:12" ht="16.5" x14ac:dyDescent="0.25">
      <c r="A18" s="101"/>
      <c r="B18" s="100"/>
      <c r="C18" s="102"/>
      <c r="D18" s="101"/>
      <c r="E18" s="103"/>
      <c r="F18" s="101"/>
      <c r="G18" s="101"/>
      <c r="H18" s="101"/>
      <c r="I18" s="101"/>
      <c r="J18" s="101"/>
      <c r="K18" s="101"/>
      <c r="L18" s="6"/>
    </row>
    <row r="19" spans="1:12" ht="16.5" x14ac:dyDescent="0.25">
      <c r="A19" s="101"/>
      <c r="B19" s="100" t="s">
        <v>13</v>
      </c>
      <c r="C19" s="102"/>
      <c r="D19" s="101"/>
      <c r="E19" s="121">
        <v>0.18</v>
      </c>
      <c r="F19" s="101"/>
      <c r="G19" s="101"/>
      <c r="H19" s="101"/>
      <c r="I19" s="101"/>
      <c r="J19" s="101"/>
      <c r="K19" s="101"/>
      <c r="L19" s="6"/>
    </row>
    <row r="20" spans="1:12" ht="17.25" x14ac:dyDescent="0.25">
      <c r="A20" s="24"/>
      <c r="B20" s="4" t="s">
        <v>10</v>
      </c>
      <c r="C20" s="51"/>
      <c r="D20" s="24"/>
      <c r="E20" s="24"/>
      <c r="F20" s="24"/>
      <c r="G20" s="24"/>
      <c r="H20" s="24"/>
      <c r="I20" s="24"/>
      <c r="J20" s="24"/>
      <c r="K20" s="24"/>
      <c r="L20" s="75"/>
    </row>
    <row r="21" spans="1:12" ht="15.75" x14ac:dyDescent="0.25">
      <c r="A21" s="25"/>
      <c r="B21" s="20"/>
      <c r="C21" s="32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7.25" x14ac:dyDescent="0.25">
      <c r="A22" s="25"/>
      <c r="B22" s="99"/>
      <c r="C22" s="61"/>
      <c r="D22" s="98"/>
      <c r="E22" s="98"/>
      <c r="F22" s="98"/>
      <c r="G22" s="98"/>
      <c r="H22" s="316"/>
      <c r="I22" s="316"/>
      <c r="J22" s="316"/>
      <c r="K22" s="316"/>
      <c r="L22" s="316"/>
    </row>
    <row r="23" spans="1:12" ht="15.75" x14ac:dyDescent="0.25">
      <c r="A23" s="25"/>
      <c r="B23" s="20"/>
      <c r="C23" s="32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7.25" x14ac:dyDescent="0.25">
      <c r="A24" s="25"/>
      <c r="B24" s="293"/>
      <c r="C24" s="293"/>
      <c r="D24" s="293"/>
      <c r="E24" s="25"/>
      <c r="F24" s="25"/>
      <c r="G24" s="25"/>
      <c r="H24" s="25"/>
      <c r="I24" s="25"/>
      <c r="J24" s="25"/>
      <c r="K24" s="25"/>
      <c r="L24" s="25"/>
    </row>
  </sheetData>
  <mergeCells count="15">
    <mergeCell ref="B24:D24"/>
    <mergeCell ref="A1:L1"/>
    <mergeCell ref="A2:L2"/>
    <mergeCell ref="A4:L4"/>
    <mergeCell ref="A6:A7"/>
    <mergeCell ref="B6:B7"/>
    <mergeCell ref="C6:C7"/>
    <mergeCell ref="D6:D7"/>
    <mergeCell ref="E6:E7"/>
    <mergeCell ref="F6:G6"/>
    <mergeCell ref="H6:I6"/>
    <mergeCell ref="J6:K6"/>
    <mergeCell ref="L6:L7"/>
    <mergeCell ref="A9:A10"/>
    <mergeCell ref="H22:L22"/>
  </mergeCells>
  <pageMargins left="0.5" right="0.16" top="0.23" bottom="0.2" header="0.22" footer="0.19"/>
  <pageSetup paperSize="9" orientation="landscape" verticalDpi="0" r:id="rId1"/>
  <headerFooter>
    <oddHeader xml:space="preserve">&amp;R&amp;N--&amp;P
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40"/>
  <sheetViews>
    <sheetView topLeftCell="A133" workbookViewId="0">
      <selection activeCell="E136" sqref="E136"/>
    </sheetView>
  </sheetViews>
  <sheetFormatPr defaultColWidth="8.85546875" defaultRowHeight="16.5" x14ac:dyDescent="0.25"/>
  <cols>
    <col min="1" max="1" width="5.28515625" style="13" customWidth="1"/>
    <col min="2" max="2" width="42.5703125" style="13" customWidth="1"/>
    <col min="3" max="3" width="9.7109375" style="13" customWidth="1"/>
    <col min="4" max="4" width="16.5703125" style="3" customWidth="1"/>
    <col min="5" max="5" width="13.7109375" style="13" customWidth="1"/>
    <col min="6" max="16384" width="8.85546875" style="1"/>
  </cols>
  <sheetData>
    <row r="1" spans="1:5" ht="95.45" customHeight="1" x14ac:dyDescent="0.25">
      <c r="A1" s="354" t="s">
        <v>247</v>
      </c>
      <c r="B1" s="354"/>
      <c r="C1" s="354"/>
      <c r="D1" s="354"/>
      <c r="E1" s="354"/>
    </row>
    <row r="3" spans="1:5" ht="20.25" x14ac:dyDescent="0.25">
      <c r="A3" s="355" t="s">
        <v>19</v>
      </c>
      <c r="B3" s="355"/>
      <c r="C3" s="355"/>
      <c r="D3" s="355"/>
      <c r="E3" s="355"/>
    </row>
    <row r="5" spans="1:5" ht="49.5" x14ac:dyDescent="0.25">
      <c r="A5" s="188" t="s">
        <v>0</v>
      </c>
      <c r="B5" s="12" t="s">
        <v>1</v>
      </c>
      <c r="C5" s="12" t="s">
        <v>2</v>
      </c>
      <c r="D5" s="12" t="s">
        <v>4</v>
      </c>
      <c r="E5" s="5" t="s">
        <v>18</v>
      </c>
    </row>
    <row r="6" spans="1:5" x14ac:dyDescent="0.25">
      <c r="A6" s="12">
        <v>1</v>
      </c>
      <c r="B6" s="12">
        <v>2</v>
      </c>
      <c r="C6" s="12">
        <v>3</v>
      </c>
      <c r="D6" s="12">
        <v>4</v>
      </c>
      <c r="E6" s="5">
        <v>5</v>
      </c>
    </row>
    <row r="7" spans="1:5" s="3" customFormat="1" ht="33" x14ac:dyDescent="0.25">
      <c r="A7" s="178" t="s">
        <v>293</v>
      </c>
      <c r="B7" s="90" t="s">
        <v>128</v>
      </c>
      <c r="C7" s="90"/>
      <c r="D7" s="90"/>
      <c r="E7" s="14"/>
    </row>
    <row r="8" spans="1:5" s="3" customFormat="1" x14ac:dyDescent="0.25">
      <c r="A8" s="90"/>
      <c r="B8" s="90" t="s">
        <v>266</v>
      </c>
      <c r="C8" s="91"/>
      <c r="D8" s="90"/>
      <c r="E8" s="14"/>
    </row>
    <row r="9" spans="1:5" s="3" customFormat="1" ht="49.5" x14ac:dyDescent="0.25">
      <c r="A9" s="128">
        <v>1.1000000000000001</v>
      </c>
      <c r="B9" s="23" t="s">
        <v>262</v>
      </c>
      <c r="C9" s="145" t="s">
        <v>20</v>
      </c>
      <c r="D9" s="90">
        <v>7.5</v>
      </c>
      <c r="E9" s="14"/>
    </row>
    <row r="10" spans="1:5" s="3" customFormat="1" ht="49.5" x14ac:dyDescent="0.25">
      <c r="A10" s="128">
        <v>1.2</v>
      </c>
      <c r="B10" s="105" t="s">
        <v>270</v>
      </c>
      <c r="C10" s="21" t="s">
        <v>23</v>
      </c>
      <c r="D10" s="90">
        <v>18</v>
      </c>
      <c r="E10" s="14"/>
    </row>
    <row r="11" spans="1:5" s="3" customFormat="1" ht="49.5" x14ac:dyDescent="0.25">
      <c r="A11" s="301">
        <v>1.3</v>
      </c>
      <c r="B11" s="107" t="s">
        <v>269</v>
      </c>
      <c r="C11" s="39" t="s">
        <v>23</v>
      </c>
      <c r="D11" s="23">
        <v>18</v>
      </c>
      <c r="E11" s="14"/>
    </row>
    <row r="12" spans="1:5" s="3" customFormat="1" x14ac:dyDescent="0.25">
      <c r="A12" s="301"/>
      <c r="B12" s="122" t="s">
        <v>271</v>
      </c>
      <c r="C12" s="39" t="s">
        <v>23</v>
      </c>
      <c r="D12" s="23">
        <v>18</v>
      </c>
      <c r="E12" s="14"/>
    </row>
    <row r="13" spans="1:5" s="3" customFormat="1" ht="82.5" x14ac:dyDescent="0.25">
      <c r="A13" s="137">
        <v>2</v>
      </c>
      <c r="B13" s="175" t="s">
        <v>263</v>
      </c>
      <c r="C13" s="145" t="s">
        <v>16</v>
      </c>
      <c r="D13" s="137">
        <v>3</v>
      </c>
      <c r="E13" s="14"/>
    </row>
    <row r="14" spans="1:5" s="3" customFormat="1" x14ac:dyDescent="0.25">
      <c r="A14" s="137">
        <v>3</v>
      </c>
      <c r="B14" s="175" t="s">
        <v>264</v>
      </c>
      <c r="C14" s="145" t="s">
        <v>21</v>
      </c>
      <c r="D14" s="90">
        <v>875</v>
      </c>
      <c r="E14" s="14"/>
    </row>
    <row r="15" spans="1:5" s="3" customFormat="1" x14ac:dyDescent="0.25">
      <c r="A15" s="137">
        <v>4</v>
      </c>
      <c r="B15" s="90" t="s">
        <v>180</v>
      </c>
      <c r="C15" s="91" t="s">
        <v>11</v>
      </c>
      <c r="D15" s="90">
        <v>120</v>
      </c>
      <c r="E15" s="14"/>
    </row>
    <row r="16" spans="1:5" s="3" customFormat="1" ht="33" x14ac:dyDescent="0.25">
      <c r="A16" s="90"/>
      <c r="B16" s="175" t="s">
        <v>196</v>
      </c>
      <c r="C16" s="91" t="s">
        <v>11</v>
      </c>
      <c r="D16" s="90">
        <v>120</v>
      </c>
      <c r="E16" s="5"/>
    </row>
    <row r="17" spans="1:5" s="3" customFormat="1" ht="49.5" x14ac:dyDescent="0.25">
      <c r="A17" s="128">
        <v>4.0999999999999996</v>
      </c>
      <c r="B17" s="175" t="s">
        <v>131</v>
      </c>
      <c r="C17" s="145" t="s">
        <v>20</v>
      </c>
      <c r="D17" s="90">
        <v>12</v>
      </c>
      <c r="E17" s="5"/>
    </row>
    <row r="18" spans="1:5" s="3" customFormat="1" ht="33" x14ac:dyDescent="0.25">
      <c r="A18" s="128">
        <v>4.2</v>
      </c>
      <c r="B18" s="175" t="s">
        <v>130</v>
      </c>
      <c r="C18" s="145" t="s">
        <v>20</v>
      </c>
      <c r="D18" s="90">
        <v>3</v>
      </c>
      <c r="E18" s="5"/>
    </row>
    <row r="19" spans="1:5" s="3" customFormat="1" ht="33" x14ac:dyDescent="0.25">
      <c r="A19" s="296">
        <v>4.3</v>
      </c>
      <c r="B19" s="175" t="s">
        <v>132</v>
      </c>
      <c r="C19" s="62" t="s">
        <v>20</v>
      </c>
      <c r="D19" s="189">
        <v>18.000000000000004</v>
      </c>
      <c r="E19" s="5"/>
    </row>
    <row r="20" spans="1:5" s="3" customFormat="1" x14ac:dyDescent="0.25">
      <c r="A20" s="299"/>
      <c r="B20" s="85" t="s">
        <v>272</v>
      </c>
      <c r="C20" s="66" t="s">
        <v>84</v>
      </c>
      <c r="D20" s="82">
        <v>0.45756720000000001</v>
      </c>
      <c r="E20" s="5"/>
    </row>
    <row r="21" spans="1:5" s="3" customFormat="1" x14ac:dyDescent="0.25">
      <c r="A21" s="299"/>
      <c r="B21" s="85" t="s">
        <v>273</v>
      </c>
      <c r="C21" s="66" t="s">
        <v>84</v>
      </c>
      <c r="D21" s="82">
        <v>0.55331600000000003</v>
      </c>
      <c r="E21" s="5"/>
    </row>
    <row r="22" spans="1:5" s="3" customFormat="1" x14ac:dyDescent="0.25">
      <c r="A22" s="128">
        <v>4.4000000000000004</v>
      </c>
      <c r="B22" s="190" t="s">
        <v>133</v>
      </c>
      <c r="C22" s="191" t="s">
        <v>64</v>
      </c>
      <c r="D22" s="192">
        <v>120</v>
      </c>
      <c r="E22" s="5"/>
    </row>
    <row r="23" spans="1:5" s="3" customFormat="1" ht="33" x14ac:dyDescent="0.25">
      <c r="A23" s="296">
        <v>4.5</v>
      </c>
      <c r="B23" s="84" t="s">
        <v>275</v>
      </c>
      <c r="C23" s="86" t="s">
        <v>16</v>
      </c>
      <c r="D23" s="71">
        <v>2</v>
      </c>
      <c r="E23" s="5"/>
    </row>
    <row r="24" spans="1:5" s="3" customFormat="1" x14ac:dyDescent="0.25">
      <c r="A24" s="299"/>
      <c r="B24" s="193" t="s">
        <v>175</v>
      </c>
      <c r="C24" s="194" t="s">
        <v>92</v>
      </c>
      <c r="D24" s="72">
        <v>16</v>
      </c>
      <c r="E24" s="5"/>
    </row>
    <row r="25" spans="1:5" s="3" customFormat="1" ht="33" x14ac:dyDescent="0.25">
      <c r="A25" s="296">
        <v>4.5999999999999996</v>
      </c>
      <c r="B25" s="84" t="s">
        <v>174</v>
      </c>
      <c r="C25" s="86" t="s">
        <v>16</v>
      </c>
      <c r="D25" s="71">
        <v>1</v>
      </c>
      <c r="E25" s="5"/>
    </row>
    <row r="26" spans="1:5" s="3" customFormat="1" x14ac:dyDescent="0.25">
      <c r="A26" s="299"/>
      <c r="B26" s="193" t="s">
        <v>99</v>
      </c>
      <c r="C26" s="194" t="s">
        <v>92</v>
      </c>
      <c r="D26" s="72">
        <v>5</v>
      </c>
      <c r="E26" s="5"/>
    </row>
    <row r="27" spans="1:5" s="3" customFormat="1" ht="33" x14ac:dyDescent="0.25">
      <c r="A27" s="128">
        <v>4.7</v>
      </c>
      <c r="B27" s="190" t="s">
        <v>140</v>
      </c>
      <c r="C27" s="191" t="s">
        <v>96</v>
      </c>
      <c r="D27" s="195">
        <v>261</v>
      </c>
      <c r="E27" s="5"/>
    </row>
    <row r="28" spans="1:5" s="3" customFormat="1" ht="33" x14ac:dyDescent="0.25">
      <c r="A28" s="39">
        <v>5</v>
      </c>
      <c r="B28" s="90" t="s">
        <v>141</v>
      </c>
      <c r="C28" s="91" t="s">
        <v>11</v>
      </c>
      <c r="D28" s="90">
        <v>103</v>
      </c>
      <c r="E28" s="5"/>
    </row>
    <row r="29" spans="1:5" s="3" customFormat="1" ht="49.5" x14ac:dyDescent="0.25">
      <c r="A29" s="128">
        <v>5.0999999999999996</v>
      </c>
      <c r="B29" s="175" t="s">
        <v>131</v>
      </c>
      <c r="C29" s="145" t="s">
        <v>20</v>
      </c>
      <c r="D29" s="90">
        <v>1.5449999999999999</v>
      </c>
      <c r="E29" s="5"/>
    </row>
    <row r="30" spans="1:5" s="3" customFormat="1" ht="33" x14ac:dyDescent="0.25">
      <c r="A30" s="131">
        <v>5.2</v>
      </c>
      <c r="B30" s="84" t="s">
        <v>145</v>
      </c>
      <c r="C30" s="86" t="s">
        <v>64</v>
      </c>
      <c r="D30" s="189">
        <v>103</v>
      </c>
      <c r="E30" s="5"/>
    </row>
    <row r="31" spans="1:5" s="3" customFormat="1" ht="33" x14ac:dyDescent="0.25">
      <c r="A31" s="132">
        <v>5.3</v>
      </c>
      <c r="B31" s="84" t="s">
        <v>149</v>
      </c>
      <c r="C31" s="86" t="s">
        <v>102</v>
      </c>
      <c r="D31" s="189">
        <v>0.72100000000000009</v>
      </c>
      <c r="E31" s="5"/>
    </row>
    <row r="32" spans="1:5" s="3" customFormat="1" ht="49.5" x14ac:dyDescent="0.25">
      <c r="A32" s="130">
        <v>5.4</v>
      </c>
      <c r="B32" s="112" t="s">
        <v>150</v>
      </c>
      <c r="C32" s="67" t="s">
        <v>102</v>
      </c>
      <c r="D32" s="90">
        <v>1.0300000000000002</v>
      </c>
      <c r="E32" s="5"/>
    </row>
    <row r="33" spans="1:5" s="3" customFormat="1" ht="33" x14ac:dyDescent="0.25">
      <c r="A33" s="39">
        <v>6</v>
      </c>
      <c r="B33" s="90" t="s">
        <v>154</v>
      </c>
      <c r="C33" s="91" t="s">
        <v>21</v>
      </c>
      <c r="D33" s="90">
        <v>137</v>
      </c>
      <c r="E33" s="5"/>
    </row>
    <row r="34" spans="1:5" s="3" customFormat="1" ht="33" x14ac:dyDescent="0.25">
      <c r="A34" s="137">
        <v>6.1</v>
      </c>
      <c r="B34" s="175" t="s">
        <v>155</v>
      </c>
      <c r="C34" s="145" t="s">
        <v>20</v>
      </c>
      <c r="D34" s="90">
        <v>27.400000000000002</v>
      </c>
      <c r="E34" s="5"/>
    </row>
    <row r="35" spans="1:5" s="3" customFormat="1" x14ac:dyDescent="0.25">
      <c r="A35" s="137">
        <v>6.2</v>
      </c>
      <c r="B35" s="196" t="s">
        <v>156</v>
      </c>
      <c r="C35" s="30" t="s">
        <v>157</v>
      </c>
      <c r="D35" s="23">
        <v>1.37</v>
      </c>
      <c r="E35" s="5"/>
    </row>
    <row r="36" spans="1:5" s="3" customFormat="1" x14ac:dyDescent="0.25">
      <c r="A36" s="298">
        <v>6.3</v>
      </c>
      <c r="B36" s="197" t="s">
        <v>197</v>
      </c>
      <c r="C36" s="30" t="s">
        <v>21</v>
      </c>
      <c r="D36" s="23">
        <v>137</v>
      </c>
      <c r="E36" s="5"/>
    </row>
    <row r="37" spans="1:5" s="3" customFormat="1" x14ac:dyDescent="0.25">
      <c r="A37" s="298"/>
      <c r="B37" s="97"/>
      <c r="C37" s="30" t="s">
        <v>20</v>
      </c>
      <c r="D37" s="23">
        <v>20.55</v>
      </c>
      <c r="E37" s="5"/>
    </row>
    <row r="38" spans="1:5" s="3" customFormat="1" x14ac:dyDescent="0.25">
      <c r="A38" s="298"/>
      <c r="B38" s="198" t="s">
        <v>198</v>
      </c>
      <c r="C38" s="199" t="s">
        <v>23</v>
      </c>
      <c r="D38" s="200">
        <v>1.00244544</v>
      </c>
      <c r="E38" s="5"/>
    </row>
    <row r="39" spans="1:5" s="3" customFormat="1" ht="33" x14ac:dyDescent="0.25">
      <c r="A39" s="137">
        <v>6.4</v>
      </c>
      <c r="B39" s="175" t="s">
        <v>199</v>
      </c>
      <c r="C39" s="145" t="s">
        <v>57</v>
      </c>
      <c r="D39" s="90">
        <v>1.37</v>
      </c>
      <c r="E39" s="5"/>
    </row>
    <row r="40" spans="1:5" s="3" customFormat="1" ht="49.5" x14ac:dyDescent="0.25">
      <c r="A40" s="201">
        <v>7</v>
      </c>
      <c r="B40" s="90" t="s">
        <v>202</v>
      </c>
      <c r="C40" s="91" t="s">
        <v>21</v>
      </c>
      <c r="D40" s="90">
        <v>127</v>
      </c>
      <c r="E40" s="5"/>
    </row>
    <row r="41" spans="1:5" s="3" customFormat="1" ht="33" x14ac:dyDescent="0.25">
      <c r="A41" s="137">
        <v>7.1</v>
      </c>
      <c r="B41" s="175" t="s">
        <v>155</v>
      </c>
      <c r="C41" s="145" t="s">
        <v>20</v>
      </c>
      <c r="D41" s="90">
        <v>25.400000000000002</v>
      </c>
      <c r="E41" s="5"/>
    </row>
    <row r="42" spans="1:5" s="3" customFormat="1" x14ac:dyDescent="0.25">
      <c r="A42" s="137">
        <v>7.2</v>
      </c>
      <c r="B42" s="196" t="s">
        <v>156</v>
      </c>
      <c r="C42" s="30" t="s">
        <v>157</v>
      </c>
      <c r="D42" s="23">
        <v>1.27</v>
      </c>
      <c r="E42" s="5"/>
    </row>
    <row r="43" spans="1:5" s="3" customFormat="1" x14ac:dyDescent="0.25">
      <c r="A43" s="298">
        <v>7.3</v>
      </c>
      <c r="B43" s="309" t="s">
        <v>197</v>
      </c>
      <c r="C43" s="30" t="s">
        <v>21</v>
      </c>
      <c r="D43" s="23">
        <v>127</v>
      </c>
      <c r="E43" s="5"/>
    </row>
    <row r="44" spans="1:5" s="3" customFormat="1" x14ac:dyDescent="0.25">
      <c r="A44" s="298"/>
      <c r="B44" s="309"/>
      <c r="C44" s="30" t="s">
        <v>20</v>
      </c>
      <c r="D44" s="23">
        <v>19.05</v>
      </c>
      <c r="E44" s="5"/>
    </row>
    <row r="45" spans="1:5" s="3" customFormat="1" x14ac:dyDescent="0.25">
      <c r="A45" s="298"/>
      <c r="B45" s="198" t="s">
        <v>198</v>
      </c>
      <c r="C45" s="199" t="s">
        <v>23</v>
      </c>
      <c r="D45" s="200">
        <v>0.92927424000000003</v>
      </c>
      <c r="E45" s="5"/>
    </row>
    <row r="46" spans="1:5" s="3" customFormat="1" ht="33" x14ac:dyDescent="0.25">
      <c r="A46" s="137">
        <v>8</v>
      </c>
      <c r="B46" s="90" t="s">
        <v>161</v>
      </c>
      <c r="C46" s="145" t="s">
        <v>16</v>
      </c>
      <c r="D46" s="90">
        <v>5</v>
      </c>
      <c r="E46" s="5"/>
    </row>
    <row r="47" spans="1:5" s="3" customFormat="1" ht="33" x14ac:dyDescent="0.25">
      <c r="A47" s="134">
        <v>8.1</v>
      </c>
      <c r="B47" s="202" t="s">
        <v>278</v>
      </c>
      <c r="C47" s="203" t="s">
        <v>162</v>
      </c>
      <c r="D47" s="204">
        <v>0.80000000000000016</v>
      </c>
      <c r="E47" s="5"/>
    </row>
    <row r="48" spans="1:5" s="3" customFormat="1" x14ac:dyDescent="0.25">
      <c r="A48" s="135">
        <v>8.1999999999999993</v>
      </c>
      <c r="B48" s="205" t="s">
        <v>165</v>
      </c>
      <c r="C48" s="203" t="s">
        <v>166</v>
      </c>
      <c r="D48" s="206">
        <v>0.80000000000000016</v>
      </c>
      <c r="E48" s="5"/>
    </row>
    <row r="49" spans="1:5" s="3" customFormat="1" ht="49.5" x14ac:dyDescent="0.25">
      <c r="A49" s="137">
        <v>9</v>
      </c>
      <c r="B49" s="90" t="s">
        <v>223</v>
      </c>
      <c r="C49" s="137" t="s">
        <v>21</v>
      </c>
      <c r="D49" s="90">
        <v>112</v>
      </c>
      <c r="E49" s="5"/>
    </row>
    <row r="50" spans="1:5" s="3" customFormat="1" ht="33" x14ac:dyDescent="0.25">
      <c r="A50" s="138">
        <v>9.1</v>
      </c>
      <c r="B50" s="196" t="s">
        <v>294</v>
      </c>
      <c r="C50" s="138" t="s">
        <v>203</v>
      </c>
      <c r="D50" s="23">
        <v>0.33600000000000002</v>
      </c>
      <c r="E50" s="5"/>
    </row>
    <row r="51" spans="1:5" s="3" customFormat="1" x14ac:dyDescent="0.25">
      <c r="A51" s="139">
        <v>9.1999999999999993</v>
      </c>
      <c r="B51" s="207" t="s">
        <v>211</v>
      </c>
      <c r="C51" s="139" t="s">
        <v>91</v>
      </c>
      <c r="D51" s="208">
        <v>6.720000000000001E-2</v>
      </c>
      <c r="E51" s="5"/>
    </row>
    <row r="52" spans="1:5" s="3" customFormat="1" ht="33" x14ac:dyDescent="0.25">
      <c r="A52" s="140">
        <v>9.3000000000000007</v>
      </c>
      <c r="B52" s="209" t="s">
        <v>214</v>
      </c>
      <c r="C52" s="140" t="s">
        <v>157</v>
      </c>
      <c r="D52" s="210">
        <v>1.1200000000000001</v>
      </c>
      <c r="E52" s="5"/>
    </row>
    <row r="53" spans="1:5" s="3" customFormat="1" x14ac:dyDescent="0.25">
      <c r="A53" s="140">
        <v>9.4</v>
      </c>
      <c r="B53" s="209" t="s">
        <v>219</v>
      </c>
      <c r="C53" s="140" t="s">
        <v>91</v>
      </c>
      <c r="D53" s="210">
        <v>3.3600000000000005E-2</v>
      </c>
      <c r="E53" s="5"/>
    </row>
    <row r="54" spans="1:5" s="3" customFormat="1" ht="49.5" x14ac:dyDescent="0.25">
      <c r="A54" s="140">
        <v>9.5</v>
      </c>
      <c r="B54" s="209" t="s">
        <v>221</v>
      </c>
      <c r="C54" s="140" t="s">
        <v>157</v>
      </c>
      <c r="D54" s="210">
        <v>1.1200000000000001</v>
      </c>
      <c r="E54" s="5"/>
    </row>
    <row r="55" spans="1:5" s="3" customFormat="1" x14ac:dyDescent="0.25">
      <c r="A55" s="137">
        <v>10</v>
      </c>
      <c r="B55" s="90" t="s">
        <v>167</v>
      </c>
      <c r="C55" s="145" t="s">
        <v>16</v>
      </c>
      <c r="D55" s="90">
        <v>2</v>
      </c>
      <c r="E55" s="5"/>
    </row>
    <row r="56" spans="1:5" s="3" customFormat="1" ht="33" x14ac:dyDescent="0.25">
      <c r="A56" s="137">
        <v>11</v>
      </c>
      <c r="B56" s="90" t="s">
        <v>169</v>
      </c>
      <c r="C56" s="211" t="s">
        <v>16</v>
      </c>
      <c r="D56" s="90">
        <v>2</v>
      </c>
      <c r="E56" s="5"/>
    </row>
    <row r="57" spans="1:5" s="3" customFormat="1" ht="66" x14ac:dyDescent="0.25">
      <c r="A57" s="295" t="s">
        <v>54</v>
      </c>
      <c r="B57" s="23" t="s">
        <v>268</v>
      </c>
      <c r="C57" s="21" t="s">
        <v>23</v>
      </c>
      <c r="D57" s="90">
        <v>28.669249999999998</v>
      </c>
      <c r="E57" s="5"/>
    </row>
    <row r="58" spans="1:5" s="3" customFormat="1" ht="33" x14ac:dyDescent="0.25">
      <c r="A58" s="295"/>
      <c r="B58" s="212" t="s">
        <v>62</v>
      </c>
      <c r="C58" s="39" t="s">
        <v>23</v>
      </c>
      <c r="D58" s="213">
        <v>28.669249999999998</v>
      </c>
      <c r="E58" s="5"/>
    </row>
    <row r="59" spans="1:5" s="3" customFormat="1" x14ac:dyDescent="0.25">
      <c r="A59" s="295"/>
      <c r="B59" s="108" t="s">
        <v>267</v>
      </c>
      <c r="C59" s="39" t="s">
        <v>23</v>
      </c>
      <c r="D59" s="213">
        <v>28.669249999999998</v>
      </c>
      <c r="E59" s="5"/>
    </row>
    <row r="60" spans="1:5" s="3" customFormat="1" x14ac:dyDescent="0.25">
      <c r="A60" s="91" t="s">
        <v>295</v>
      </c>
      <c r="B60" s="90" t="s">
        <v>201</v>
      </c>
      <c r="C60" s="145"/>
      <c r="D60" s="145"/>
      <c r="E60" s="5"/>
    </row>
    <row r="61" spans="1:5" s="3" customFormat="1" ht="49.5" x14ac:dyDescent="0.25">
      <c r="A61" s="298">
        <v>1</v>
      </c>
      <c r="B61" s="23" t="s">
        <v>73</v>
      </c>
      <c r="C61" s="30" t="s">
        <v>25</v>
      </c>
      <c r="D61" s="23">
        <v>1</v>
      </c>
      <c r="E61" s="5"/>
    </row>
    <row r="62" spans="1:5" s="3" customFormat="1" x14ac:dyDescent="0.25">
      <c r="A62" s="298"/>
      <c r="B62" s="123" t="s">
        <v>256</v>
      </c>
      <c r="C62" s="33" t="s">
        <v>16</v>
      </c>
      <c r="D62" s="138">
        <v>2</v>
      </c>
      <c r="E62" s="5"/>
    </row>
    <row r="63" spans="1:5" s="3" customFormat="1" x14ac:dyDescent="0.25">
      <c r="A63" s="298"/>
      <c r="B63" s="123" t="s">
        <v>76</v>
      </c>
      <c r="C63" s="33" t="s">
        <v>25</v>
      </c>
      <c r="D63" s="138">
        <v>1</v>
      </c>
      <c r="E63" s="5"/>
    </row>
    <row r="64" spans="1:5" s="3" customFormat="1" x14ac:dyDescent="0.25">
      <c r="A64" s="298"/>
      <c r="B64" s="124" t="s">
        <v>77</v>
      </c>
      <c r="C64" s="30" t="s">
        <v>25</v>
      </c>
      <c r="D64" s="138">
        <v>1</v>
      </c>
      <c r="E64" s="5"/>
    </row>
    <row r="65" spans="1:5" s="3" customFormat="1" ht="31.5" x14ac:dyDescent="0.25">
      <c r="A65" s="298"/>
      <c r="B65" s="116" t="s">
        <v>255</v>
      </c>
      <c r="C65" s="62" t="s">
        <v>75</v>
      </c>
      <c r="D65" s="131">
        <v>1</v>
      </c>
      <c r="E65" s="5"/>
    </row>
    <row r="66" spans="1:5" s="3" customFormat="1" x14ac:dyDescent="0.25">
      <c r="A66" s="298">
        <v>2</v>
      </c>
      <c r="B66" s="89" t="s">
        <v>80</v>
      </c>
      <c r="C66" s="214" t="s">
        <v>58</v>
      </c>
      <c r="D66" s="215">
        <v>2</v>
      </c>
      <c r="E66" s="5"/>
    </row>
    <row r="67" spans="1:5" s="3" customFormat="1" ht="31.5" x14ac:dyDescent="0.25">
      <c r="A67" s="298"/>
      <c r="B67" s="125" t="s">
        <v>257</v>
      </c>
      <c r="C67" s="33" t="s">
        <v>25</v>
      </c>
      <c r="D67" s="138">
        <v>2</v>
      </c>
      <c r="E67" s="5"/>
    </row>
    <row r="68" spans="1:5" s="3" customFormat="1" x14ac:dyDescent="0.25">
      <c r="A68" s="334">
        <v>7</v>
      </c>
      <c r="B68" s="216" t="s">
        <v>261</v>
      </c>
      <c r="C68" s="30" t="s">
        <v>78</v>
      </c>
      <c r="D68" s="23">
        <v>155</v>
      </c>
      <c r="E68" s="5"/>
    </row>
    <row r="69" spans="1:5" s="3" customFormat="1" x14ac:dyDescent="0.25">
      <c r="A69" s="335"/>
      <c r="B69" s="126" t="s">
        <v>276</v>
      </c>
      <c r="C69" s="62" t="s">
        <v>78</v>
      </c>
      <c r="D69" s="131">
        <v>45</v>
      </c>
      <c r="E69" s="5"/>
    </row>
    <row r="70" spans="1:5" s="3" customFormat="1" x14ac:dyDescent="0.25">
      <c r="A70" s="335"/>
      <c r="B70" s="126" t="s">
        <v>172</v>
      </c>
      <c r="C70" s="62" t="s">
        <v>78</v>
      </c>
      <c r="D70" s="131">
        <v>20</v>
      </c>
      <c r="E70" s="5"/>
    </row>
    <row r="71" spans="1:5" s="3" customFormat="1" x14ac:dyDescent="0.25">
      <c r="A71" s="96"/>
      <c r="B71" s="126" t="s">
        <v>260</v>
      </c>
      <c r="C71" s="62" t="s">
        <v>78</v>
      </c>
      <c r="D71" s="131">
        <v>90</v>
      </c>
      <c r="E71" s="5"/>
    </row>
    <row r="72" spans="1:5" s="3" customFormat="1" x14ac:dyDescent="0.25">
      <c r="A72" s="296">
        <v>11.1</v>
      </c>
      <c r="B72" s="84" t="s">
        <v>296</v>
      </c>
      <c r="C72" s="214" t="s">
        <v>58</v>
      </c>
      <c r="D72" s="215">
        <v>5</v>
      </c>
      <c r="E72" s="5"/>
    </row>
    <row r="73" spans="1:5" s="3" customFormat="1" ht="63" x14ac:dyDescent="0.25">
      <c r="A73" s="299"/>
      <c r="B73" s="217" t="s">
        <v>299</v>
      </c>
      <c r="C73" s="218" t="s">
        <v>170</v>
      </c>
      <c r="D73" s="219">
        <v>5</v>
      </c>
      <c r="E73" s="5"/>
    </row>
    <row r="74" spans="1:5" s="3" customFormat="1" ht="31.5" x14ac:dyDescent="0.25">
      <c r="A74" s="299"/>
      <c r="B74" s="116" t="s">
        <v>258</v>
      </c>
      <c r="C74" s="62" t="s">
        <v>16</v>
      </c>
      <c r="D74" s="131">
        <v>1</v>
      </c>
      <c r="E74" s="5"/>
    </row>
    <row r="75" spans="1:5" s="3" customFormat="1" ht="33" x14ac:dyDescent="0.25">
      <c r="A75" s="336">
        <v>11.2</v>
      </c>
      <c r="B75" s="127" t="s">
        <v>171</v>
      </c>
      <c r="C75" s="86" t="s">
        <v>78</v>
      </c>
      <c r="D75" s="71">
        <v>150</v>
      </c>
      <c r="E75" s="5"/>
    </row>
    <row r="76" spans="1:5" s="3" customFormat="1" x14ac:dyDescent="0.25">
      <c r="A76" s="337"/>
      <c r="B76" s="126" t="s">
        <v>248</v>
      </c>
      <c r="C76" s="62" t="s">
        <v>78</v>
      </c>
      <c r="D76" s="131">
        <v>40</v>
      </c>
      <c r="E76" s="5"/>
    </row>
    <row r="77" spans="1:5" s="3" customFormat="1" x14ac:dyDescent="0.25">
      <c r="A77" s="337"/>
      <c r="B77" s="126" t="s">
        <v>249</v>
      </c>
      <c r="C77" s="62" t="s">
        <v>78</v>
      </c>
      <c r="D77" s="131">
        <v>110</v>
      </c>
      <c r="E77" s="5"/>
    </row>
    <row r="78" spans="1:5" s="3" customFormat="1" ht="33" x14ac:dyDescent="0.25">
      <c r="A78" s="91" t="s">
        <v>297</v>
      </c>
      <c r="B78" s="90" t="s">
        <v>239</v>
      </c>
      <c r="C78" s="145"/>
      <c r="D78" s="145"/>
      <c r="E78" s="5"/>
    </row>
    <row r="79" spans="1:5" s="3" customFormat="1" x14ac:dyDescent="0.25">
      <c r="A79" s="90" t="s">
        <v>50</v>
      </c>
      <c r="B79" s="90" t="s">
        <v>107</v>
      </c>
      <c r="C79" s="91"/>
      <c r="D79" s="90"/>
      <c r="E79" s="5"/>
    </row>
    <row r="80" spans="1:5" s="3" customFormat="1" x14ac:dyDescent="0.25">
      <c r="A80" s="90">
        <v>1</v>
      </c>
      <c r="B80" s="120" t="s">
        <v>238</v>
      </c>
      <c r="C80" s="91" t="s">
        <v>11</v>
      </c>
      <c r="D80" s="90">
        <v>32</v>
      </c>
      <c r="E80" s="5"/>
    </row>
    <row r="81" spans="1:5" s="3" customFormat="1" ht="33" x14ac:dyDescent="0.25">
      <c r="A81" s="220">
        <v>1.1000000000000001</v>
      </c>
      <c r="B81" s="221" t="s">
        <v>224</v>
      </c>
      <c r="C81" s="148" t="s">
        <v>102</v>
      </c>
      <c r="D81" s="23">
        <v>13.44</v>
      </c>
      <c r="E81" s="5"/>
    </row>
    <row r="82" spans="1:5" s="3" customFormat="1" ht="33" x14ac:dyDescent="0.25">
      <c r="A82" s="165">
        <v>1.2</v>
      </c>
      <c r="B82" s="222" t="s">
        <v>300</v>
      </c>
      <c r="C82" s="50" t="s">
        <v>102</v>
      </c>
      <c r="D82" s="23">
        <v>5.76</v>
      </c>
      <c r="E82" s="5"/>
    </row>
    <row r="83" spans="1:5" s="3" customFormat="1" x14ac:dyDescent="0.25">
      <c r="A83" s="165">
        <v>1.3</v>
      </c>
      <c r="B83" s="223" t="s">
        <v>110</v>
      </c>
      <c r="C83" s="50" t="s">
        <v>102</v>
      </c>
      <c r="D83" s="23">
        <v>7.68</v>
      </c>
      <c r="E83" s="5"/>
    </row>
    <row r="84" spans="1:5" s="3" customFormat="1" ht="49.5" x14ac:dyDescent="0.25">
      <c r="A84" s="141">
        <v>1.4</v>
      </c>
      <c r="B84" s="105" t="s">
        <v>118</v>
      </c>
      <c r="C84" s="50" t="s">
        <v>11</v>
      </c>
      <c r="D84" s="23">
        <v>32</v>
      </c>
      <c r="E84" s="5"/>
    </row>
    <row r="85" spans="1:5" s="3" customFormat="1" x14ac:dyDescent="0.25">
      <c r="A85" s="90">
        <v>2</v>
      </c>
      <c r="B85" s="120" t="s">
        <v>283</v>
      </c>
      <c r="C85" s="91" t="s">
        <v>11</v>
      </c>
      <c r="D85" s="90">
        <v>8</v>
      </c>
      <c r="E85" s="5"/>
    </row>
    <row r="86" spans="1:5" s="3" customFormat="1" ht="33" x14ac:dyDescent="0.25">
      <c r="A86" s="220">
        <v>2.1</v>
      </c>
      <c r="B86" s="221" t="s">
        <v>225</v>
      </c>
      <c r="C86" s="148" t="s">
        <v>102</v>
      </c>
      <c r="D86" s="23">
        <v>3.36</v>
      </c>
      <c r="E86" s="5"/>
    </row>
    <row r="87" spans="1:5" s="3" customFormat="1" ht="33" x14ac:dyDescent="0.25">
      <c r="A87" s="165">
        <v>2.2000000000000002</v>
      </c>
      <c r="B87" s="222" t="s">
        <v>300</v>
      </c>
      <c r="C87" s="50" t="s">
        <v>102</v>
      </c>
      <c r="D87" s="23">
        <v>1.44</v>
      </c>
      <c r="E87" s="5"/>
    </row>
    <row r="88" spans="1:5" s="3" customFormat="1" x14ac:dyDescent="0.25">
      <c r="A88" s="165">
        <v>2.2999999999999998</v>
      </c>
      <c r="B88" s="223" t="s">
        <v>110</v>
      </c>
      <c r="C88" s="50" t="s">
        <v>102</v>
      </c>
      <c r="D88" s="23">
        <v>1.92</v>
      </c>
      <c r="E88" s="5"/>
    </row>
    <row r="89" spans="1:5" s="3" customFormat="1" ht="49.5" x14ac:dyDescent="0.25">
      <c r="A89" s="141">
        <v>2.4</v>
      </c>
      <c r="B89" s="105" t="s">
        <v>117</v>
      </c>
      <c r="C89" s="50" t="s">
        <v>11</v>
      </c>
      <c r="D89" s="23">
        <v>8</v>
      </c>
      <c r="E89" s="5"/>
    </row>
    <row r="90" spans="1:5" s="3" customFormat="1" ht="33" x14ac:dyDescent="0.25">
      <c r="A90" s="301">
        <v>3</v>
      </c>
      <c r="B90" s="107" t="s">
        <v>179</v>
      </c>
      <c r="C90" s="39" t="s">
        <v>23</v>
      </c>
      <c r="D90" s="23">
        <v>27.72</v>
      </c>
      <c r="E90" s="5"/>
    </row>
    <row r="91" spans="1:5" s="3" customFormat="1" x14ac:dyDescent="0.25">
      <c r="A91" s="301"/>
      <c r="B91" s="122" t="s">
        <v>245</v>
      </c>
      <c r="C91" s="39" t="s">
        <v>23</v>
      </c>
      <c r="D91" s="23">
        <v>27.72</v>
      </c>
      <c r="E91" s="5"/>
    </row>
    <row r="92" spans="1:5" s="3" customFormat="1" x14ac:dyDescent="0.25">
      <c r="A92" s="304">
        <v>4</v>
      </c>
      <c r="B92" s="105" t="s">
        <v>227</v>
      </c>
      <c r="C92" s="50" t="s">
        <v>25</v>
      </c>
      <c r="D92" s="23">
        <v>4</v>
      </c>
      <c r="E92" s="5"/>
    </row>
    <row r="93" spans="1:5" s="3" customFormat="1" ht="31.5" x14ac:dyDescent="0.25">
      <c r="A93" s="304"/>
      <c r="B93" s="124" t="s">
        <v>228</v>
      </c>
      <c r="C93" s="30" t="s">
        <v>25</v>
      </c>
      <c r="D93" s="138">
        <v>1</v>
      </c>
      <c r="E93" s="5"/>
    </row>
    <row r="94" spans="1:5" s="3" customFormat="1" ht="31.5" x14ac:dyDescent="0.25">
      <c r="A94" s="304"/>
      <c r="B94" s="124" t="s">
        <v>229</v>
      </c>
      <c r="C94" s="30" t="s">
        <v>25</v>
      </c>
      <c r="D94" s="138">
        <v>3</v>
      </c>
      <c r="E94" s="5"/>
    </row>
    <row r="95" spans="1:5" s="3" customFormat="1" x14ac:dyDescent="0.25">
      <c r="A95" s="351">
        <v>5</v>
      </c>
      <c r="B95" s="160" t="s">
        <v>230</v>
      </c>
      <c r="C95" s="89" t="s">
        <v>101</v>
      </c>
      <c r="D95" s="161">
        <v>1</v>
      </c>
      <c r="E95" s="5"/>
    </row>
    <row r="96" spans="1:5" s="3" customFormat="1" x14ac:dyDescent="0.25">
      <c r="A96" s="352"/>
      <c r="B96" s="116" t="s">
        <v>232</v>
      </c>
      <c r="C96" s="131" t="s">
        <v>58</v>
      </c>
      <c r="D96" s="162">
        <v>1</v>
      </c>
      <c r="E96" s="5"/>
    </row>
    <row r="97" spans="1:5" s="3" customFormat="1" x14ac:dyDescent="0.25">
      <c r="A97" s="352"/>
      <c r="B97" s="116" t="s">
        <v>231</v>
      </c>
      <c r="C97" s="131" t="s">
        <v>58</v>
      </c>
      <c r="D97" s="162">
        <v>1</v>
      </c>
      <c r="E97" s="5"/>
    </row>
    <row r="98" spans="1:5" s="3" customFormat="1" x14ac:dyDescent="0.25">
      <c r="A98" s="352"/>
      <c r="B98" s="116" t="s">
        <v>233</v>
      </c>
      <c r="C98" s="131" t="s">
        <v>58</v>
      </c>
      <c r="D98" s="162">
        <v>1</v>
      </c>
      <c r="E98" s="5"/>
    </row>
    <row r="99" spans="1:5" s="3" customFormat="1" x14ac:dyDescent="0.25">
      <c r="A99" s="352"/>
      <c r="B99" s="116" t="s">
        <v>234</v>
      </c>
      <c r="C99" s="131" t="s">
        <v>58</v>
      </c>
      <c r="D99" s="162">
        <v>1</v>
      </c>
      <c r="E99" s="5"/>
    </row>
    <row r="100" spans="1:5" s="3" customFormat="1" x14ac:dyDescent="0.25">
      <c r="A100" s="352"/>
      <c r="B100" s="116" t="s">
        <v>235</v>
      </c>
      <c r="C100" s="131" t="s">
        <v>58</v>
      </c>
      <c r="D100" s="162">
        <v>5</v>
      </c>
      <c r="E100" s="5"/>
    </row>
    <row r="101" spans="1:5" s="3" customFormat="1" x14ac:dyDescent="0.25">
      <c r="A101" s="352"/>
      <c r="B101" s="116" t="s">
        <v>236</v>
      </c>
      <c r="C101" s="131" t="s">
        <v>58</v>
      </c>
      <c r="D101" s="162">
        <v>4</v>
      </c>
      <c r="E101" s="5"/>
    </row>
    <row r="102" spans="1:5" s="3" customFormat="1" x14ac:dyDescent="0.25">
      <c r="A102" s="353"/>
      <c r="B102" s="116" t="s">
        <v>237</v>
      </c>
      <c r="C102" s="131" t="s">
        <v>58</v>
      </c>
      <c r="D102" s="162">
        <v>1</v>
      </c>
      <c r="E102" s="5"/>
    </row>
    <row r="103" spans="1:5" s="3" customFormat="1" ht="48.75" x14ac:dyDescent="0.25">
      <c r="A103" s="220">
        <v>6</v>
      </c>
      <c r="B103" s="105" t="s">
        <v>301</v>
      </c>
      <c r="C103" s="148" t="s">
        <v>58</v>
      </c>
      <c r="D103" s="164">
        <v>1</v>
      </c>
      <c r="E103" s="5"/>
    </row>
    <row r="104" spans="1:5" s="3" customFormat="1" ht="33" x14ac:dyDescent="0.25">
      <c r="A104" s="90" t="s">
        <v>115</v>
      </c>
      <c r="B104" s="90" t="s">
        <v>240</v>
      </c>
      <c r="C104" s="91"/>
      <c r="D104" s="90"/>
      <c r="E104" s="5"/>
    </row>
    <row r="105" spans="1:5" s="3" customFormat="1" ht="33" x14ac:dyDescent="0.25">
      <c r="A105" s="90">
        <v>1</v>
      </c>
      <c r="B105" s="120" t="s">
        <v>241</v>
      </c>
      <c r="C105" s="91" t="s">
        <v>11</v>
      </c>
      <c r="D105" s="90">
        <v>28</v>
      </c>
      <c r="E105" s="5"/>
    </row>
    <row r="106" spans="1:5" s="3" customFormat="1" ht="33" x14ac:dyDescent="0.25">
      <c r="A106" s="220">
        <v>1.1000000000000001</v>
      </c>
      <c r="B106" s="221" t="s">
        <v>119</v>
      </c>
      <c r="C106" s="148" t="s">
        <v>102</v>
      </c>
      <c r="D106" s="23">
        <v>13.719999999999997</v>
      </c>
      <c r="E106" s="5"/>
    </row>
    <row r="107" spans="1:5" s="3" customFormat="1" ht="33" x14ac:dyDescent="0.25">
      <c r="A107" s="165">
        <v>1.2</v>
      </c>
      <c r="B107" s="222" t="s">
        <v>302</v>
      </c>
      <c r="C107" s="50" t="s">
        <v>102</v>
      </c>
      <c r="D107" s="23">
        <v>7.3454499999999996</v>
      </c>
      <c r="E107" s="5"/>
    </row>
    <row r="108" spans="1:5" s="3" customFormat="1" x14ac:dyDescent="0.25">
      <c r="A108" s="165">
        <v>1.3</v>
      </c>
      <c r="B108" s="223" t="s">
        <v>110</v>
      </c>
      <c r="C108" s="50" t="s">
        <v>102</v>
      </c>
      <c r="D108" s="23">
        <v>5.88</v>
      </c>
      <c r="E108" s="5"/>
    </row>
    <row r="109" spans="1:5" s="3" customFormat="1" ht="33" x14ac:dyDescent="0.25">
      <c r="A109" s="220">
        <v>1.4</v>
      </c>
      <c r="B109" s="222" t="s">
        <v>303</v>
      </c>
      <c r="C109" s="148" t="s">
        <v>64</v>
      </c>
      <c r="D109" s="23">
        <v>28</v>
      </c>
      <c r="E109" s="5"/>
    </row>
    <row r="110" spans="1:5" s="3" customFormat="1" x14ac:dyDescent="0.25">
      <c r="A110" s="90">
        <v>2</v>
      </c>
      <c r="B110" s="120" t="s">
        <v>242</v>
      </c>
      <c r="C110" s="91" t="s">
        <v>11</v>
      </c>
      <c r="D110" s="90">
        <v>12</v>
      </c>
      <c r="E110" s="5"/>
    </row>
    <row r="111" spans="1:5" s="3" customFormat="1" ht="33" x14ac:dyDescent="0.25">
      <c r="A111" s="220">
        <v>2.1</v>
      </c>
      <c r="B111" s="221" t="s">
        <v>119</v>
      </c>
      <c r="C111" s="148" t="s">
        <v>102</v>
      </c>
      <c r="D111" s="23">
        <v>5.879999999999999</v>
      </c>
      <c r="E111" s="5"/>
    </row>
    <row r="112" spans="1:5" s="3" customFormat="1" ht="33" x14ac:dyDescent="0.25">
      <c r="A112" s="165">
        <v>2.2000000000000002</v>
      </c>
      <c r="B112" s="222" t="s">
        <v>302</v>
      </c>
      <c r="C112" s="50" t="s">
        <v>102</v>
      </c>
      <c r="D112" s="23">
        <v>3.2658000000000005</v>
      </c>
      <c r="E112" s="5"/>
    </row>
    <row r="113" spans="1:5" s="3" customFormat="1" x14ac:dyDescent="0.25">
      <c r="A113" s="165">
        <v>2.2999999999999998</v>
      </c>
      <c r="B113" s="223" t="s">
        <v>110</v>
      </c>
      <c r="C113" s="50" t="s">
        <v>102</v>
      </c>
      <c r="D113" s="23">
        <v>2.5199999999999996</v>
      </c>
      <c r="E113" s="5"/>
    </row>
    <row r="114" spans="1:5" s="3" customFormat="1" ht="33" x14ac:dyDescent="0.25">
      <c r="A114" s="220">
        <v>2.4</v>
      </c>
      <c r="B114" s="222" t="s">
        <v>304</v>
      </c>
      <c r="C114" s="148" t="s">
        <v>64</v>
      </c>
      <c r="D114" s="23">
        <v>12</v>
      </c>
      <c r="E114" s="5"/>
    </row>
    <row r="115" spans="1:5" s="3" customFormat="1" ht="33" x14ac:dyDescent="0.25">
      <c r="A115" s="220">
        <v>3</v>
      </c>
      <c r="B115" s="221" t="s">
        <v>120</v>
      </c>
      <c r="C115" s="152" t="s">
        <v>20</v>
      </c>
      <c r="D115" s="23">
        <v>1.5919800000000004</v>
      </c>
      <c r="E115" s="5"/>
    </row>
    <row r="116" spans="1:5" s="3" customFormat="1" x14ac:dyDescent="0.25">
      <c r="A116" s="339">
        <v>4</v>
      </c>
      <c r="B116" s="222" t="s">
        <v>305</v>
      </c>
      <c r="C116" s="148" t="s">
        <v>58</v>
      </c>
      <c r="D116" s="23">
        <v>1</v>
      </c>
      <c r="E116" s="5"/>
    </row>
    <row r="117" spans="1:5" s="3" customFormat="1" x14ac:dyDescent="0.25">
      <c r="A117" s="341"/>
      <c r="B117" s="224" t="s">
        <v>306</v>
      </c>
      <c r="C117" s="152" t="s">
        <v>58</v>
      </c>
      <c r="D117" s="165">
        <v>1</v>
      </c>
      <c r="E117" s="5"/>
    </row>
    <row r="118" spans="1:5" s="3" customFormat="1" x14ac:dyDescent="0.25">
      <c r="A118" s="341"/>
      <c r="B118" s="224" t="s">
        <v>279</v>
      </c>
      <c r="C118" s="152" t="s">
        <v>58</v>
      </c>
      <c r="D118" s="165">
        <v>1</v>
      </c>
      <c r="E118" s="5"/>
    </row>
    <row r="119" spans="1:5" s="3" customFormat="1" x14ac:dyDescent="0.25">
      <c r="A119" s="341"/>
      <c r="B119" s="224" t="s">
        <v>104</v>
      </c>
      <c r="C119" s="152" t="s">
        <v>58</v>
      </c>
      <c r="D119" s="165">
        <v>1</v>
      </c>
      <c r="E119" s="5"/>
    </row>
    <row r="120" spans="1:5" s="3" customFormat="1" x14ac:dyDescent="0.25">
      <c r="A120" s="341"/>
      <c r="B120" s="224" t="s">
        <v>298</v>
      </c>
      <c r="C120" s="152" t="s">
        <v>103</v>
      </c>
      <c r="D120" s="149">
        <v>0.53700000000000003</v>
      </c>
      <c r="E120" s="5"/>
    </row>
    <row r="121" spans="1:5" s="3" customFormat="1" x14ac:dyDescent="0.25">
      <c r="A121" s="341"/>
      <c r="B121" s="224" t="s">
        <v>88</v>
      </c>
      <c r="C121" s="152" t="s">
        <v>23</v>
      </c>
      <c r="D121" s="149">
        <v>7.0000000000000001E-3</v>
      </c>
      <c r="E121" s="5"/>
    </row>
    <row r="122" spans="1:5" s="3" customFormat="1" ht="33" x14ac:dyDescent="0.25">
      <c r="A122" s="301">
        <v>5</v>
      </c>
      <c r="B122" s="107" t="s">
        <v>123</v>
      </c>
      <c r="C122" s="39" t="s">
        <v>23</v>
      </c>
      <c r="D122" s="23">
        <v>42.531855959999987</v>
      </c>
      <c r="E122" s="5"/>
    </row>
    <row r="123" spans="1:5" s="3" customFormat="1" x14ac:dyDescent="0.25">
      <c r="A123" s="301"/>
      <c r="B123" s="122" t="s">
        <v>245</v>
      </c>
      <c r="C123" s="39" t="s">
        <v>23</v>
      </c>
      <c r="D123" s="23">
        <v>42.531855959999987</v>
      </c>
      <c r="E123" s="5"/>
    </row>
    <row r="124" spans="1:5" s="3" customFormat="1" ht="49.5" x14ac:dyDescent="0.25">
      <c r="A124" s="225">
        <v>6</v>
      </c>
      <c r="B124" s="223" t="s">
        <v>194</v>
      </c>
      <c r="C124" s="170" t="s">
        <v>105</v>
      </c>
      <c r="D124" s="23">
        <v>1</v>
      </c>
      <c r="E124" s="5"/>
    </row>
    <row r="125" spans="1:5" s="3" customFormat="1" ht="33" x14ac:dyDescent="0.25">
      <c r="A125" s="90" t="s">
        <v>116</v>
      </c>
      <c r="B125" s="90" t="s">
        <v>285</v>
      </c>
      <c r="C125" s="91"/>
      <c r="D125" s="90"/>
      <c r="E125" s="5"/>
    </row>
    <row r="126" spans="1:5" s="3" customFormat="1" ht="33" x14ac:dyDescent="0.25">
      <c r="A126" s="345">
        <v>1</v>
      </c>
      <c r="B126" s="171" t="s">
        <v>277</v>
      </c>
      <c r="C126" s="68" t="s">
        <v>11</v>
      </c>
      <c r="D126" s="172">
        <v>5.3</v>
      </c>
      <c r="E126" s="5"/>
    </row>
    <row r="127" spans="1:5" s="3" customFormat="1" x14ac:dyDescent="0.25">
      <c r="A127" s="346"/>
      <c r="B127" s="173"/>
      <c r="C127" s="68" t="s">
        <v>20</v>
      </c>
      <c r="D127" s="172">
        <v>1.9874999999999998</v>
      </c>
      <c r="E127" s="5"/>
    </row>
    <row r="128" spans="1:5" s="3" customFormat="1" ht="33" x14ac:dyDescent="0.25">
      <c r="A128" s="137">
        <v>2</v>
      </c>
      <c r="B128" s="175" t="s">
        <v>281</v>
      </c>
      <c r="C128" s="145" t="s">
        <v>20</v>
      </c>
      <c r="D128" s="90">
        <v>0.53</v>
      </c>
      <c r="E128" s="5"/>
    </row>
    <row r="129" spans="1:5" s="3" customFormat="1" ht="33" x14ac:dyDescent="0.25">
      <c r="A129" s="345">
        <v>3</v>
      </c>
      <c r="B129" s="177" t="s">
        <v>280</v>
      </c>
      <c r="C129" s="68" t="s">
        <v>20</v>
      </c>
      <c r="D129" s="172">
        <v>1.0665</v>
      </c>
      <c r="E129" s="5"/>
    </row>
    <row r="130" spans="1:5" s="3" customFormat="1" x14ac:dyDescent="0.25">
      <c r="A130" s="346"/>
      <c r="B130" s="85" t="s">
        <v>272</v>
      </c>
      <c r="C130" s="66" t="s">
        <v>84</v>
      </c>
      <c r="D130" s="82">
        <v>9.9352770000000035E-2</v>
      </c>
      <c r="E130" s="5"/>
    </row>
    <row r="131" spans="1:5" s="3" customFormat="1" x14ac:dyDescent="0.25">
      <c r="A131" s="346"/>
      <c r="B131" s="85" t="s">
        <v>273</v>
      </c>
      <c r="C131" s="66" t="s">
        <v>84</v>
      </c>
      <c r="D131" s="82">
        <v>3.4756320000000006E-3</v>
      </c>
      <c r="E131" s="5"/>
    </row>
    <row r="132" spans="1:5" s="3" customFormat="1" ht="33" x14ac:dyDescent="0.25">
      <c r="A132" s="138">
        <v>4</v>
      </c>
      <c r="B132" s="177" t="s">
        <v>282</v>
      </c>
      <c r="C132" s="68" t="s">
        <v>11</v>
      </c>
      <c r="D132" s="68">
        <v>5.3</v>
      </c>
      <c r="E132" s="5"/>
    </row>
    <row r="133" spans="1:5" s="3" customFormat="1" x14ac:dyDescent="0.25">
      <c r="A133" s="91" t="s">
        <v>307</v>
      </c>
      <c r="B133" s="90" t="s">
        <v>287</v>
      </c>
      <c r="C133" s="145"/>
      <c r="D133" s="145"/>
      <c r="E133" s="5"/>
    </row>
    <row r="134" spans="1:5" s="3" customFormat="1" ht="17.25" x14ac:dyDescent="0.25">
      <c r="A134" s="113">
        <v>1</v>
      </c>
      <c r="B134" s="23" t="s">
        <v>289</v>
      </c>
      <c r="C134" s="180" t="s">
        <v>52</v>
      </c>
      <c r="D134" s="113">
        <v>1</v>
      </c>
      <c r="E134" s="5"/>
    </row>
    <row r="135" spans="1:5" s="3" customFormat="1" ht="31.5" x14ac:dyDescent="0.25">
      <c r="A135" s="80"/>
      <c r="B135" s="181" t="s">
        <v>286</v>
      </c>
      <c r="C135" s="180"/>
      <c r="D135" s="113"/>
      <c r="E135" s="5"/>
    </row>
    <row r="136" spans="1:5" s="3" customFormat="1" ht="255" x14ac:dyDescent="0.25">
      <c r="A136" s="80"/>
      <c r="B136" s="182" t="s">
        <v>291</v>
      </c>
      <c r="C136" s="36"/>
      <c r="D136" s="113"/>
      <c r="E136" s="5"/>
    </row>
    <row r="137" spans="1:5" x14ac:dyDescent="0.25">
      <c r="A137" s="3"/>
      <c r="B137" s="3"/>
      <c r="C137" s="3"/>
      <c r="E137" s="3"/>
    </row>
    <row r="138" spans="1:5" ht="17.25" x14ac:dyDescent="0.25">
      <c r="A138" s="3"/>
      <c r="B138" s="143"/>
      <c r="C138" s="87"/>
      <c r="D138" s="356"/>
      <c r="E138" s="356"/>
    </row>
    <row r="140" spans="1:5" ht="17.25" x14ac:dyDescent="0.25">
      <c r="B140" s="37"/>
    </row>
  </sheetData>
  <mergeCells count="23">
    <mergeCell ref="A1:E1"/>
    <mergeCell ref="A3:E3"/>
    <mergeCell ref="D138:E138"/>
    <mergeCell ref="B43:B44"/>
    <mergeCell ref="A11:A12"/>
    <mergeCell ref="A57:A59"/>
    <mergeCell ref="A43:A45"/>
    <mergeCell ref="A36:A38"/>
    <mergeCell ref="A19:A21"/>
    <mergeCell ref="A23:A24"/>
    <mergeCell ref="A25:A26"/>
    <mergeCell ref="A90:A91"/>
    <mergeCell ref="A92:A94"/>
    <mergeCell ref="A61:A65"/>
    <mergeCell ref="A66:A67"/>
    <mergeCell ref="A68:A70"/>
    <mergeCell ref="A72:A74"/>
    <mergeCell ref="A75:A77"/>
    <mergeCell ref="A129:A131"/>
    <mergeCell ref="A116:A121"/>
    <mergeCell ref="A122:A123"/>
    <mergeCell ref="A126:A127"/>
    <mergeCell ref="A95:A102"/>
  </mergeCells>
  <pageMargins left="0.70866141732283472" right="0.6692913385826772" top="0.86" bottom="0.39" header="0.76" footer="0.2"/>
  <pageSetup paperSize="9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krebsiti</vt:lpstr>
      <vt:lpstr>#1</vt:lpstr>
      <vt:lpstr>#2</vt:lpstr>
      <vt:lpstr>#3</vt:lpstr>
      <vt:lpstr>#4</vt:lpstr>
      <vt:lpstr>moc.uwy.</vt:lpstr>
      <vt:lpstr>'#1'!Print_Titles</vt:lpstr>
      <vt:lpstr>'#2'!Print_Titles</vt:lpstr>
      <vt:lpstr>'#3'!Print_Titles</vt:lpstr>
      <vt:lpstr>'#4'!Print_Titles</vt:lpstr>
      <vt:lpstr>moc.uwy.!Print_Titles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2019-08-07T06:31:25Z</dcterms:modified>
</cp:coreProperties>
</file>