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tabRatio="709" activeTab="10"/>
  </bookViews>
  <sheets>
    <sheet name="krebsiti" sheetId="25" r:id="rId1"/>
    <sheet name="#1-1" sheetId="16" r:id="rId2"/>
    <sheet name="#1-2" sheetId="17" r:id="rId3"/>
    <sheet name="#1-3" sheetId="18" r:id="rId4"/>
    <sheet name="#2-1" sheetId="19" r:id="rId5"/>
    <sheet name="#2-2" sheetId="20" r:id="rId6"/>
    <sheet name="#2-3" sheetId="21" r:id="rId7"/>
    <sheet name="#3-1" sheetId="22" r:id="rId8"/>
    <sheet name="#3-2" sheetId="23" r:id="rId9"/>
    <sheet name="#3-3" sheetId="24" r:id="rId10"/>
    <sheet name="#3-4" sheetId="26" r:id="rId11"/>
  </sheets>
  <definedNames>
    <definedName name="_xlnm.Print_Area" localSheetId="1">'#1-1'!$A$1:$M$165</definedName>
    <definedName name="_xlnm.Print_Area" localSheetId="2">'#1-2'!$A$1:$M$92</definedName>
    <definedName name="_xlnm.Print_Area" localSheetId="3">'#1-3'!$A$1:$M$25</definedName>
    <definedName name="_xlnm.Print_Area" localSheetId="4">'#2-1'!$A$1:$M$285</definedName>
    <definedName name="_xlnm.Print_Area" localSheetId="5">'#2-2'!$A$1:$M$65</definedName>
    <definedName name="_xlnm.Print_Area" localSheetId="6">'#2-3'!$A$1:$M$226</definedName>
    <definedName name="_xlnm.Print_Area" localSheetId="7">'#3-1'!$A$1:$M$390</definedName>
    <definedName name="_xlnm.Print_Area" localSheetId="8">'#3-2'!$A$1:$M$112</definedName>
    <definedName name="_xlnm.Print_Area" localSheetId="9">'#3-3'!$A$1:$M$74</definedName>
    <definedName name="_xlnm.Print_Area" localSheetId="10">'#3-4'!$A$1:$M$54</definedName>
    <definedName name="_xlnm.Print_Area" localSheetId="0">krebsiti!$A$1:$G$27</definedName>
    <definedName name="_xlnm.Print_Titles" localSheetId="1">'#1-1'!$9:$9</definedName>
    <definedName name="_xlnm.Print_Titles" localSheetId="2">'#1-2'!$9:$9</definedName>
    <definedName name="_xlnm.Print_Titles" localSheetId="3">'#1-3'!$9:$9</definedName>
    <definedName name="_xlnm.Print_Titles" localSheetId="4">'#2-1'!$9:$9</definedName>
    <definedName name="_xlnm.Print_Titles" localSheetId="5">'#2-2'!$9:$9</definedName>
    <definedName name="_xlnm.Print_Titles" localSheetId="6">'#2-3'!$9:$9</definedName>
    <definedName name="_xlnm.Print_Titles" localSheetId="7">'#3-1'!$9:$9</definedName>
    <definedName name="_xlnm.Print_Titles" localSheetId="8">'#3-2'!$9:$9</definedName>
    <definedName name="_xlnm.Print_Titles" localSheetId="9">'#3-3'!$9:$9</definedName>
    <definedName name="_xlnm.Print_Titles" localSheetId="10">'#3-4'!$9:$9</definedName>
    <definedName name="_xlnm.Print_Titles" localSheetId="0">krebsiti!$7:$7</definedName>
  </definedNames>
  <calcPr calcId="152511"/>
</workbook>
</file>

<file path=xl/calcChain.xml><?xml version="1.0" encoding="utf-8"?>
<calcChain xmlns="http://schemas.openxmlformats.org/spreadsheetml/2006/main">
  <c r="H69" i="17" l="1"/>
  <c r="F45" i="23" l="1"/>
  <c r="F266" i="22"/>
  <c r="F40" i="20"/>
  <c r="F32" i="20"/>
  <c r="F127" i="22" l="1"/>
  <c r="F92" i="22"/>
  <c r="F94" i="22" s="1"/>
  <c r="L94" i="22" s="1"/>
  <c r="M94" i="22" s="1"/>
  <c r="E95" i="22"/>
  <c r="E121" i="22"/>
  <c r="F93" i="22" l="1"/>
  <c r="J93" i="22" s="1"/>
  <c r="M93" i="22" s="1"/>
  <c r="F95" i="22"/>
  <c r="H95" i="22" s="1"/>
  <c r="M95" i="22" s="1"/>
  <c r="F96" i="22"/>
  <c r="H96" i="22" s="1"/>
  <c r="M96" i="22" s="1"/>
  <c r="F47" i="22"/>
  <c r="F109" i="22" l="1"/>
  <c r="F113" i="22" s="1"/>
  <c r="H113" i="22" s="1"/>
  <c r="M113" i="22" s="1"/>
  <c r="F101" i="22"/>
  <c r="H101" i="22" s="1"/>
  <c r="M101" i="22" s="1"/>
  <c r="F103" i="22"/>
  <c r="F108" i="22" s="1"/>
  <c r="H108" i="22" s="1"/>
  <c r="M108" i="22" s="1"/>
  <c r="F97" i="22"/>
  <c r="F98" i="22" s="1"/>
  <c r="F110" i="22" l="1"/>
  <c r="J110" i="22" s="1"/>
  <c r="M110" i="22" s="1"/>
  <c r="F114" i="22"/>
  <c r="H114" i="22" s="1"/>
  <c r="M114" i="22" s="1"/>
  <c r="F111" i="22"/>
  <c r="L111" i="22" s="1"/>
  <c r="M111" i="22" s="1"/>
  <c r="F112" i="22"/>
  <c r="H112" i="22" s="1"/>
  <c r="M112" i="22" s="1"/>
  <c r="F106" i="22"/>
  <c r="H106" i="22" s="1"/>
  <c r="M106" i="22" s="1"/>
  <c r="F107" i="22"/>
  <c r="H107" i="22" s="1"/>
  <c r="M107" i="22" s="1"/>
  <c r="F104" i="22"/>
  <c r="J104" i="22" s="1"/>
  <c r="M104" i="22" s="1"/>
  <c r="F102" i="22"/>
  <c r="H102" i="22" s="1"/>
  <c r="M102" i="22" s="1"/>
  <c r="F99" i="22"/>
  <c r="J99" i="22" s="1"/>
  <c r="M99" i="22" s="1"/>
  <c r="F100" i="22"/>
  <c r="H100" i="22" s="1"/>
  <c r="M100" i="22" s="1"/>
  <c r="F105" i="22"/>
  <c r="L105" i="22" s="1"/>
  <c r="M105" i="22" s="1"/>
  <c r="F50" i="22" l="1"/>
  <c r="H50" i="22" s="1"/>
  <c r="M50" i="22" s="1"/>
  <c r="F48" i="22" l="1"/>
  <c r="J48" i="22" s="1"/>
  <c r="M48" i="22" s="1"/>
  <c r="F51" i="22"/>
  <c r="H51" i="22" s="1"/>
  <c r="M51" i="22" s="1"/>
  <c r="F49" i="22"/>
  <c r="L49" i="22" s="1"/>
  <c r="M49" i="22" s="1"/>
  <c r="F52" i="22"/>
  <c r="H52" i="22" s="1"/>
  <c r="M52" i="22" s="1"/>
  <c r="F193" i="22" l="1"/>
  <c r="F117" i="19"/>
  <c r="F59" i="17"/>
  <c r="A1" i="26"/>
  <c r="A1" i="24"/>
  <c r="A1" i="23"/>
  <c r="A1" i="22"/>
  <c r="A1" i="21"/>
  <c r="A1" i="20"/>
  <c r="A1" i="19"/>
  <c r="A1" i="18"/>
  <c r="A1" i="17"/>
  <c r="A1" i="16"/>
  <c r="E109" i="16"/>
  <c r="F100" i="16" l="1"/>
  <c r="E103" i="16" l="1"/>
  <c r="F103" i="16" s="1"/>
  <c r="H103" i="16" s="1"/>
  <c r="M103" i="16" s="1"/>
  <c r="E102" i="16"/>
  <c r="F102" i="16" s="1"/>
  <c r="J102" i="16" s="1"/>
  <c r="E101" i="16"/>
  <c r="F101" i="16" s="1"/>
  <c r="J101" i="16" s="1"/>
  <c r="M101" i="16" s="1"/>
  <c r="J17" i="26"/>
  <c r="H17" i="26"/>
  <c r="J16" i="26"/>
  <c r="H16" i="26"/>
  <c r="J15" i="26"/>
  <c r="H15" i="26"/>
  <c r="J14" i="26"/>
  <c r="H14" i="26"/>
  <c r="F31" i="23"/>
  <c r="F28" i="23"/>
  <c r="F23" i="23"/>
  <c r="F20" i="23"/>
  <c r="F13" i="23"/>
  <c r="E258" i="22"/>
  <c r="E256" i="22"/>
  <c r="F253" i="22"/>
  <c r="F248" i="22"/>
  <c r="F250" i="22" s="1"/>
  <c r="L250" i="22" s="1"/>
  <c r="M250" i="22" s="1"/>
  <c r="F246" i="22"/>
  <c r="H246" i="22" s="1"/>
  <c r="M246" i="22" s="1"/>
  <c r="F245" i="22"/>
  <c r="H245" i="22" s="1"/>
  <c r="M245" i="22" s="1"/>
  <c r="F239" i="22"/>
  <c r="F244" i="22" s="1"/>
  <c r="H244" i="22" s="1"/>
  <c r="M244" i="22" s="1"/>
  <c r="E237" i="22"/>
  <c r="F234" i="22"/>
  <c r="F238" i="22" s="1"/>
  <c r="H238" i="22" s="1"/>
  <c r="M238" i="22" s="1"/>
  <c r="F232" i="22"/>
  <c r="F233" i="22" s="1"/>
  <c r="J233" i="22" s="1"/>
  <c r="M233" i="22" s="1"/>
  <c r="F227" i="22"/>
  <c r="F228" i="22" s="1"/>
  <c r="J228" i="22" s="1"/>
  <c r="M228" i="22" s="1"/>
  <c r="F223" i="22"/>
  <c r="F224" i="22" s="1"/>
  <c r="J224" i="22" s="1"/>
  <c r="M224" i="22" s="1"/>
  <c r="F214" i="22"/>
  <c r="H214" i="22" s="1"/>
  <c r="M214" i="22" s="1"/>
  <c r="F213" i="22"/>
  <c r="H213" i="22" s="1"/>
  <c r="M213" i="22" s="1"/>
  <c r="F212" i="22"/>
  <c r="H212" i="22" s="1"/>
  <c r="M212" i="22" s="1"/>
  <c r="F211" i="22"/>
  <c r="H211" i="22" s="1"/>
  <c r="M211" i="22" s="1"/>
  <c r="F210" i="22"/>
  <c r="H210" i="22" s="1"/>
  <c r="M210" i="22" s="1"/>
  <c r="F209" i="22"/>
  <c r="H209" i="22" s="1"/>
  <c r="M209" i="22" s="1"/>
  <c r="F208" i="22"/>
  <c r="H208" i="22" s="1"/>
  <c r="M208" i="22" s="1"/>
  <c r="F207" i="22"/>
  <c r="H207" i="22" s="1"/>
  <c r="M207" i="22" s="1"/>
  <c r="E202" i="22"/>
  <c r="M201" i="22"/>
  <c r="F198" i="22"/>
  <c r="F197" i="22"/>
  <c r="F196" i="22"/>
  <c r="F195" i="22"/>
  <c r="H193" i="22"/>
  <c r="M193" i="22" s="1"/>
  <c r="F186" i="22"/>
  <c r="F190" i="22" s="1"/>
  <c r="H190" i="22" s="1"/>
  <c r="M190" i="22" s="1"/>
  <c r="E184" i="22"/>
  <c r="F181" i="22"/>
  <c r="F179" i="22"/>
  <c r="F180" i="22" s="1"/>
  <c r="J180" i="22" s="1"/>
  <c r="M180" i="22" s="1"/>
  <c r="F43" i="22"/>
  <c r="F37" i="22"/>
  <c r="F32" i="22"/>
  <c r="N12" i="22"/>
  <c r="F30" i="22"/>
  <c r="F21" i="22"/>
  <c r="M15" i="26" l="1"/>
  <c r="M17" i="26"/>
  <c r="F256" i="22"/>
  <c r="H256" i="22" s="1"/>
  <c r="M256" i="22" s="1"/>
  <c r="M14" i="26"/>
  <c r="M16" i="26"/>
  <c r="F184" i="22"/>
  <c r="H184" i="22" s="1"/>
  <c r="M184" i="22" s="1"/>
  <c r="F252" i="22"/>
  <c r="H252" i="22" s="1"/>
  <c r="M252" i="22" s="1"/>
  <c r="F251" i="22"/>
  <c r="H251" i="22" s="1"/>
  <c r="M251" i="22" s="1"/>
  <c r="F258" i="22"/>
  <c r="H258" i="22" s="1"/>
  <c r="M258" i="22" s="1"/>
  <c r="F216" i="22"/>
  <c r="F220" i="22" s="1"/>
  <c r="H220" i="22" s="1"/>
  <c r="M220" i="22" s="1"/>
  <c r="F249" i="22"/>
  <c r="J249" i="22" s="1"/>
  <c r="M249" i="22" s="1"/>
  <c r="L102" i="16"/>
  <c r="M102" i="16" s="1"/>
  <c r="F105" i="16"/>
  <c r="H105" i="16" s="1"/>
  <c r="M105" i="16" s="1"/>
  <c r="F104" i="16"/>
  <c r="H104" i="16" s="1"/>
  <c r="M104" i="16" s="1"/>
  <c r="F236" i="22"/>
  <c r="L236" i="22" s="1"/>
  <c r="M236" i="22" s="1"/>
  <c r="F237" i="22"/>
  <c r="H237" i="22" s="1"/>
  <c r="M237" i="22" s="1"/>
  <c r="F243" i="22"/>
  <c r="H243" i="22" s="1"/>
  <c r="M243" i="22" s="1"/>
  <c r="F247" i="22"/>
  <c r="H247" i="22" s="1"/>
  <c r="M247" i="22" s="1"/>
  <c r="F235" i="22"/>
  <c r="J235" i="22" s="1"/>
  <c r="M235" i="22" s="1"/>
  <c r="F242" i="22"/>
  <c r="H242" i="22" s="1"/>
  <c r="M242" i="22" s="1"/>
  <c r="F254" i="22"/>
  <c r="F255" i="22"/>
  <c r="F257" i="22"/>
  <c r="H257" i="22" s="1"/>
  <c r="M257" i="22" s="1"/>
  <c r="F241" i="22"/>
  <c r="L241" i="22" s="1"/>
  <c r="M241" i="22" s="1"/>
  <c r="F240" i="22"/>
  <c r="J240" i="22" s="1"/>
  <c r="M240" i="22" s="1"/>
  <c r="F185" i="22"/>
  <c r="H185" i="22" s="1"/>
  <c r="M185" i="22" s="1"/>
  <c r="F222" i="22"/>
  <c r="H222" i="22" s="1"/>
  <c r="M222" i="22" s="1"/>
  <c r="F217" i="22"/>
  <c r="J217" i="22" s="1"/>
  <c r="M217" i="22" s="1"/>
  <c r="F182" i="22"/>
  <c r="J182" i="22" s="1"/>
  <c r="M182" i="22" s="1"/>
  <c r="F189" i="22"/>
  <c r="H189" i="22" s="1"/>
  <c r="M189" i="22" s="1"/>
  <c r="F188" i="22"/>
  <c r="L188" i="22" s="1"/>
  <c r="M188" i="22" s="1"/>
  <c r="F192" i="22"/>
  <c r="H192" i="22" s="1"/>
  <c r="M192" i="22" s="1"/>
  <c r="F199" i="22"/>
  <c r="F226" i="22"/>
  <c r="H226" i="22" s="1"/>
  <c r="M226" i="22" s="1"/>
  <c r="F230" i="22"/>
  <c r="H230" i="22" s="1"/>
  <c r="M230" i="22" s="1"/>
  <c r="F187" i="22"/>
  <c r="J187" i="22" s="1"/>
  <c r="M187" i="22" s="1"/>
  <c r="F191" i="22"/>
  <c r="H191" i="22" s="1"/>
  <c r="M191" i="22" s="1"/>
  <c r="F225" i="22"/>
  <c r="L225" i="22" s="1"/>
  <c r="M225" i="22" s="1"/>
  <c r="F229" i="22"/>
  <c r="H229" i="22" s="1"/>
  <c r="M229" i="22" s="1"/>
  <c r="F183" i="22"/>
  <c r="L183" i="22" s="1"/>
  <c r="M183" i="22" s="1"/>
  <c r="F47" i="20"/>
  <c r="F40" i="16"/>
  <c r="F218" i="22" l="1"/>
  <c r="L218" i="22" s="1"/>
  <c r="M218" i="22" s="1"/>
  <c r="F221" i="22"/>
  <c r="H221" i="22" s="1"/>
  <c r="M221" i="22" s="1"/>
  <c r="F219" i="22"/>
  <c r="H219" i="22" s="1"/>
  <c r="M219" i="22" s="1"/>
  <c r="L255" i="22"/>
  <c r="H255" i="22"/>
  <c r="J254" i="22"/>
  <c r="H254" i="22"/>
  <c r="F203" i="22"/>
  <c r="H203" i="22" s="1"/>
  <c r="M203" i="22" s="1"/>
  <c r="F204" i="22"/>
  <c r="H204" i="22" s="1"/>
  <c r="M204" i="22" s="1"/>
  <c r="F200" i="22"/>
  <c r="J200" i="22" s="1"/>
  <c r="M200" i="22" s="1"/>
  <c r="F205" i="22"/>
  <c r="H205" i="22" s="1"/>
  <c r="M205" i="22" s="1"/>
  <c r="F201" i="22"/>
  <c r="F206" i="22"/>
  <c r="H206" i="22" s="1"/>
  <c r="M206" i="22" s="1"/>
  <c r="F202" i="22"/>
  <c r="H202" i="22" s="1"/>
  <c r="M202" i="22" s="1"/>
  <c r="M255" i="22" l="1"/>
  <c r="M254" i="22"/>
  <c r="F45" i="16"/>
  <c r="F41" i="16"/>
  <c r="N40" i="16"/>
  <c r="L37" i="26" l="1"/>
  <c r="J37" i="26"/>
  <c r="H37" i="26"/>
  <c r="L35" i="26"/>
  <c r="J35" i="26"/>
  <c r="H35" i="26"/>
  <c r="L33" i="26"/>
  <c r="J33" i="26"/>
  <c r="H33" i="26"/>
  <c r="L31" i="26"/>
  <c r="J31" i="26"/>
  <c r="H31" i="26"/>
  <c r="L29" i="26"/>
  <c r="J29" i="26"/>
  <c r="H29" i="26"/>
  <c r="L27" i="26"/>
  <c r="J27" i="26"/>
  <c r="H27" i="26"/>
  <c r="L25" i="26"/>
  <c r="J25" i="26"/>
  <c r="H25" i="26"/>
  <c r="L23" i="26"/>
  <c r="J23" i="26"/>
  <c r="H23" i="26"/>
  <c r="L21" i="26"/>
  <c r="J21" i="26"/>
  <c r="H21" i="26"/>
  <c r="L19" i="26"/>
  <c r="J19" i="26"/>
  <c r="H19" i="26"/>
  <c r="J12" i="26"/>
  <c r="H12" i="26"/>
  <c r="J11" i="26"/>
  <c r="H11" i="26"/>
  <c r="M11" i="26" s="1"/>
  <c r="J10" i="26"/>
  <c r="H10" i="26"/>
  <c r="F60" i="24"/>
  <c r="H60" i="24" s="1"/>
  <c r="M60" i="24" s="1"/>
  <c r="F59" i="24"/>
  <c r="H59" i="24" s="1"/>
  <c r="M59" i="24" s="1"/>
  <c r="F57" i="24"/>
  <c r="H57" i="24" s="1"/>
  <c r="M57" i="24" s="1"/>
  <c r="F56" i="24"/>
  <c r="J56" i="24" s="1"/>
  <c r="M56" i="24" s="1"/>
  <c r="E53" i="24"/>
  <c r="F52" i="24"/>
  <c r="F54" i="24" s="1"/>
  <c r="H54" i="24" s="1"/>
  <c r="M54" i="24" s="1"/>
  <c r="E51" i="24"/>
  <c r="H50" i="24"/>
  <c r="M50" i="24" s="1"/>
  <c r="E49" i="24"/>
  <c r="D49" i="24"/>
  <c r="E48" i="24"/>
  <c r="F48" i="24" s="1"/>
  <c r="L48" i="24" s="1"/>
  <c r="M48" i="24" s="1"/>
  <c r="E47" i="24"/>
  <c r="F46" i="24"/>
  <c r="F49" i="24" s="1"/>
  <c r="H49" i="24" s="1"/>
  <c r="M49" i="24" s="1"/>
  <c r="E44" i="24"/>
  <c r="F43" i="24"/>
  <c r="F45" i="24" s="1"/>
  <c r="H45" i="24" s="1"/>
  <c r="M45" i="24" s="1"/>
  <c r="F41" i="24"/>
  <c r="F42" i="24" s="1"/>
  <c r="J42" i="24" s="1"/>
  <c r="M42" i="24" s="1"/>
  <c r="F39" i="24"/>
  <c r="H39" i="24" s="1"/>
  <c r="M39" i="24" s="1"/>
  <c r="F38" i="24"/>
  <c r="H38" i="24" s="1"/>
  <c r="M38" i="24" s="1"/>
  <c r="F37" i="24"/>
  <c r="L37" i="24" s="1"/>
  <c r="M37" i="24" s="1"/>
  <c r="F36" i="24"/>
  <c r="J36" i="24" s="1"/>
  <c r="M36" i="24" s="1"/>
  <c r="F31" i="24"/>
  <c r="F33" i="24" s="1"/>
  <c r="H33" i="24" s="1"/>
  <c r="M33" i="24" s="1"/>
  <c r="H29" i="24"/>
  <c r="M29" i="24" s="1"/>
  <c r="F26" i="24"/>
  <c r="F27" i="24" s="1"/>
  <c r="J27" i="24" s="1"/>
  <c r="M27" i="24" s="1"/>
  <c r="E24" i="24"/>
  <c r="F23" i="24"/>
  <c r="F25" i="24" s="1"/>
  <c r="H25" i="24" s="1"/>
  <c r="M25" i="24" s="1"/>
  <c r="F18" i="24"/>
  <c r="F22" i="24" s="1"/>
  <c r="H22" i="24" s="1"/>
  <c r="M22" i="24" s="1"/>
  <c r="E16" i="24"/>
  <c r="F15" i="24"/>
  <c r="F17" i="24" s="1"/>
  <c r="H17" i="24" s="1"/>
  <c r="F13" i="24"/>
  <c r="F14" i="24" s="1"/>
  <c r="J14" i="24" s="1"/>
  <c r="L98" i="23"/>
  <c r="M97" i="23"/>
  <c r="J96" i="23"/>
  <c r="J98" i="23" s="1"/>
  <c r="M101" i="23" s="1"/>
  <c r="H95" i="23"/>
  <c r="M95" i="23" s="1"/>
  <c r="H94" i="23"/>
  <c r="M94" i="23" s="1"/>
  <c r="H93" i="23"/>
  <c r="M93" i="23" s="1"/>
  <c r="H92" i="23"/>
  <c r="M92" i="23" s="1"/>
  <c r="H91" i="23"/>
  <c r="H90" i="23"/>
  <c r="M90" i="23" s="1"/>
  <c r="H78" i="23"/>
  <c r="M78" i="23" s="1"/>
  <c r="F75" i="23"/>
  <c r="F77" i="23" s="1"/>
  <c r="L77" i="23" s="1"/>
  <c r="M77" i="23" s="1"/>
  <c r="H73" i="23"/>
  <c r="M73" i="23" s="1"/>
  <c r="H72" i="23"/>
  <c r="M72" i="23" s="1"/>
  <c r="H71" i="23"/>
  <c r="M71" i="23" s="1"/>
  <c r="F68" i="23"/>
  <c r="F70" i="23" s="1"/>
  <c r="L70" i="23" s="1"/>
  <c r="M70" i="23" s="1"/>
  <c r="H66" i="23"/>
  <c r="M66" i="23" s="1"/>
  <c r="H65" i="23"/>
  <c r="M65" i="23" s="1"/>
  <c r="H64" i="23"/>
  <c r="M64" i="23" s="1"/>
  <c r="H63" i="23"/>
  <c r="M63" i="23" s="1"/>
  <c r="H62" i="23"/>
  <c r="M62" i="23" s="1"/>
  <c r="H61" i="23"/>
  <c r="M61" i="23" s="1"/>
  <c r="H60" i="23"/>
  <c r="M60" i="23" s="1"/>
  <c r="H59" i="23"/>
  <c r="M59" i="23" s="1"/>
  <c r="H58" i="23"/>
  <c r="M58" i="23" s="1"/>
  <c r="F57" i="23"/>
  <c r="J57" i="23" s="1"/>
  <c r="M57" i="23" s="1"/>
  <c r="H54" i="23"/>
  <c r="M54" i="23" s="1"/>
  <c r="H53" i="23"/>
  <c r="M53" i="23" s="1"/>
  <c r="H52" i="23"/>
  <c r="M52" i="23" s="1"/>
  <c r="F50" i="23"/>
  <c r="F55" i="23" s="1"/>
  <c r="H55" i="23" s="1"/>
  <c r="M55" i="23" s="1"/>
  <c r="H48" i="23"/>
  <c r="M48" i="23" s="1"/>
  <c r="F46" i="23"/>
  <c r="J46" i="23" s="1"/>
  <c r="H37" i="23"/>
  <c r="M37" i="23" s="1"/>
  <c r="F33" i="23"/>
  <c r="F38" i="23" s="1"/>
  <c r="H38" i="23" s="1"/>
  <c r="M38" i="23" s="1"/>
  <c r="F32" i="23"/>
  <c r="J32" i="23" s="1"/>
  <c r="M32" i="23" s="1"/>
  <c r="F30" i="23"/>
  <c r="H30" i="23" s="1"/>
  <c r="M30" i="23" s="1"/>
  <c r="E29" i="23"/>
  <c r="F29" i="23" s="1"/>
  <c r="J29" i="23" s="1"/>
  <c r="M29" i="23" s="1"/>
  <c r="F24" i="23"/>
  <c r="J24" i="23" s="1"/>
  <c r="M24" i="23" s="1"/>
  <c r="F21" i="23"/>
  <c r="J21" i="23" s="1"/>
  <c r="M21" i="23" s="1"/>
  <c r="F22" i="23"/>
  <c r="H22" i="23" s="1"/>
  <c r="F16" i="23"/>
  <c r="F17" i="23" s="1"/>
  <c r="J17" i="23" s="1"/>
  <c r="M17" i="23" s="1"/>
  <c r="F14" i="23"/>
  <c r="J14" i="23" s="1"/>
  <c r="F371" i="22"/>
  <c r="F373" i="22" s="1"/>
  <c r="L373" i="22" s="1"/>
  <c r="M373" i="22" s="1"/>
  <c r="F370" i="22"/>
  <c r="J370" i="22" s="1"/>
  <c r="M370" i="22" s="1"/>
  <c r="F363" i="22"/>
  <c r="F365" i="22" s="1"/>
  <c r="L365" i="22" s="1"/>
  <c r="M365" i="22" s="1"/>
  <c r="F358" i="22"/>
  <c r="F362" i="22" s="1"/>
  <c r="H362" i="22" s="1"/>
  <c r="M362" i="22" s="1"/>
  <c r="F354" i="22"/>
  <c r="F356" i="22" s="1"/>
  <c r="L356" i="22" s="1"/>
  <c r="M356" i="22" s="1"/>
  <c r="F347" i="22"/>
  <c r="F350" i="22" s="1"/>
  <c r="H350" i="22" s="1"/>
  <c r="M350" i="22" s="1"/>
  <c r="F341" i="22"/>
  <c r="F344" i="22" s="1"/>
  <c r="H344" i="22" s="1"/>
  <c r="M344" i="22" s="1"/>
  <c r="F340" i="22"/>
  <c r="H340" i="22" s="1"/>
  <c r="M340" i="22" s="1"/>
  <c r="F339" i="22"/>
  <c r="H339" i="22" s="1"/>
  <c r="M339" i="22" s="1"/>
  <c r="F338" i="22"/>
  <c r="H338" i="22" s="1"/>
  <c r="M338" i="22" s="1"/>
  <c r="F337" i="22"/>
  <c r="L337" i="22" s="1"/>
  <c r="M337" i="22" s="1"/>
  <c r="F336" i="22"/>
  <c r="J336" i="22" s="1"/>
  <c r="M336" i="22" s="1"/>
  <c r="F326" i="22"/>
  <c r="F330" i="22" s="1"/>
  <c r="F317" i="22"/>
  <c r="H317" i="22" s="1"/>
  <c r="M317" i="22" s="1"/>
  <c r="F316" i="22"/>
  <c r="H316" i="22" s="1"/>
  <c r="M316" i="22" s="1"/>
  <c r="F315" i="22"/>
  <c r="H315" i="22" s="1"/>
  <c r="M315" i="22" s="1"/>
  <c r="F314" i="22"/>
  <c r="H314" i="22" s="1"/>
  <c r="M314" i="22" s="1"/>
  <c r="F313" i="22"/>
  <c r="H313" i="22" s="1"/>
  <c r="M313" i="22" s="1"/>
  <c r="F312" i="22"/>
  <c r="H312" i="22" s="1"/>
  <c r="M312" i="22" s="1"/>
  <c r="F311" i="22"/>
  <c r="H311" i="22" s="1"/>
  <c r="M311" i="22" s="1"/>
  <c r="F310" i="22"/>
  <c r="H310" i="22" s="1"/>
  <c r="M310" i="22" s="1"/>
  <c r="E305" i="22"/>
  <c r="M304" i="22"/>
  <c r="F302" i="22"/>
  <c r="F309" i="22" s="1"/>
  <c r="H309" i="22" s="1"/>
  <c r="M309" i="22" s="1"/>
  <c r="F300" i="22"/>
  <c r="H300" i="22" s="1"/>
  <c r="M300" i="22" s="1"/>
  <c r="F299" i="22"/>
  <c r="H299" i="22" s="1"/>
  <c r="M299" i="22" s="1"/>
  <c r="F292" i="22"/>
  <c r="F298" i="22" s="1"/>
  <c r="H298" i="22" s="1"/>
  <c r="M298" i="22" s="1"/>
  <c r="F287" i="22"/>
  <c r="E285" i="22"/>
  <c r="F282" i="22"/>
  <c r="F286" i="22" s="1"/>
  <c r="H286" i="22" s="1"/>
  <c r="M286" i="22" s="1"/>
  <c r="F280" i="22"/>
  <c r="F281" i="22" s="1"/>
  <c r="J281" i="22" s="1"/>
  <c r="M281" i="22" s="1"/>
  <c r="F274" i="22"/>
  <c r="H274" i="22" s="1"/>
  <c r="M274" i="22" s="1"/>
  <c r="F268" i="22"/>
  <c r="E263" i="22"/>
  <c r="F263" i="22" s="1"/>
  <c r="H263" i="22" s="1"/>
  <c r="M263" i="22" s="1"/>
  <c r="E262" i="22"/>
  <c r="F262" i="22" s="1"/>
  <c r="J262" i="22" s="1"/>
  <c r="M262" i="22" s="1"/>
  <c r="N246" i="22"/>
  <c r="F170" i="22"/>
  <c r="F174" i="22" s="1"/>
  <c r="H174" i="22" s="1"/>
  <c r="M174" i="22" s="1"/>
  <c r="F165" i="22"/>
  <c r="F163" i="22"/>
  <c r="H163" i="22" s="1"/>
  <c r="M163" i="22" s="1"/>
  <c r="H162" i="22"/>
  <c r="M162" i="22" s="1"/>
  <c r="H161" i="22"/>
  <c r="M161" i="22" s="1"/>
  <c r="H160" i="22"/>
  <c r="M160" i="22" s="1"/>
  <c r="H159" i="22"/>
  <c r="M159" i="22" s="1"/>
  <c r="H158" i="22"/>
  <c r="M158" i="22" s="1"/>
  <c r="H157" i="22"/>
  <c r="M157" i="22" s="1"/>
  <c r="F151" i="22"/>
  <c r="F152" i="22" s="1"/>
  <c r="F155" i="22" s="1"/>
  <c r="L155" i="22" s="1"/>
  <c r="M155" i="22" s="1"/>
  <c r="H144" i="22"/>
  <c r="M144" i="22" s="1"/>
  <c r="F143" i="22"/>
  <c r="H143" i="22" s="1"/>
  <c r="M143" i="22" s="1"/>
  <c r="E142" i="22"/>
  <c r="F142" i="22" s="1"/>
  <c r="H142" i="22" s="1"/>
  <c r="M142" i="22" s="1"/>
  <c r="E141" i="22"/>
  <c r="F141" i="22" s="1"/>
  <c r="H141" i="22" s="1"/>
  <c r="M141" i="22" s="1"/>
  <c r="E140" i="22"/>
  <c r="F140" i="22" s="1"/>
  <c r="H140" i="22" s="1"/>
  <c r="M140" i="22" s="1"/>
  <c r="E139" i="22"/>
  <c r="F139" i="22" s="1"/>
  <c r="H139" i="22" s="1"/>
  <c r="M139" i="22" s="1"/>
  <c r="E138" i="22"/>
  <c r="F138" i="22" s="1"/>
  <c r="L138" i="22" s="1"/>
  <c r="M138" i="22" s="1"/>
  <c r="E137" i="22"/>
  <c r="F137" i="22" s="1"/>
  <c r="J137" i="22" s="1"/>
  <c r="M137" i="22" s="1"/>
  <c r="E132" i="22"/>
  <c r="E131" i="22"/>
  <c r="E130" i="22"/>
  <c r="F129" i="22"/>
  <c r="F133" i="22" s="1"/>
  <c r="H133" i="22" s="1"/>
  <c r="M133" i="22" s="1"/>
  <c r="H127" i="22"/>
  <c r="M127" i="22" s="1"/>
  <c r="F123" i="22"/>
  <c r="F125" i="22" s="1"/>
  <c r="L125" i="22" s="1"/>
  <c r="M125" i="22" s="1"/>
  <c r="F118" i="22"/>
  <c r="F116" i="22"/>
  <c r="F117" i="22" s="1"/>
  <c r="J117" i="22" s="1"/>
  <c r="M117" i="22" s="1"/>
  <c r="E90" i="22"/>
  <c r="E89" i="22"/>
  <c r="E88" i="22"/>
  <c r="E86" i="22"/>
  <c r="F84" i="22"/>
  <c r="F85" i="22" s="1"/>
  <c r="J85" i="22" s="1"/>
  <c r="M85" i="22" s="1"/>
  <c r="F79" i="22"/>
  <c r="F81" i="22" s="1"/>
  <c r="L81" i="22" s="1"/>
  <c r="M81" i="22" s="1"/>
  <c r="F77" i="22"/>
  <c r="F78" i="22" s="1"/>
  <c r="J78" i="22" s="1"/>
  <c r="M78" i="22" s="1"/>
  <c r="E72" i="22"/>
  <c r="E71" i="22"/>
  <c r="E69" i="22"/>
  <c r="F69" i="22" s="1"/>
  <c r="H69" i="22" s="1"/>
  <c r="M69" i="22" s="1"/>
  <c r="F68" i="22"/>
  <c r="H68" i="22" s="1"/>
  <c r="M68" i="22" s="1"/>
  <c r="E67" i="22"/>
  <c r="F67" i="22" s="1"/>
  <c r="H67" i="22" s="1"/>
  <c r="M67" i="22" s="1"/>
  <c r="F66" i="22"/>
  <c r="H66" i="22" s="1"/>
  <c r="M66" i="22" s="1"/>
  <c r="E65" i="22"/>
  <c r="F65" i="22" s="1"/>
  <c r="L65" i="22" s="1"/>
  <c r="M65" i="22" s="1"/>
  <c r="E64" i="22"/>
  <c r="F64" i="22" s="1"/>
  <c r="J64" i="22" s="1"/>
  <c r="M64" i="22" s="1"/>
  <c r="M63" i="22"/>
  <c r="E62" i="22"/>
  <c r="E61" i="22"/>
  <c r="D60" i="22"/>
  <c r="E59" i="22"/>
  <c r="E58" i="22"/>
  <c r="E57" i="22"/>
  <c r="E56" i="22"/>
  <c r="F54" i="22"/>
  <c r="H44" i="22"/>
  <c r="M44" i="22" s="1"/>
  <c r="H43" i="22"/>
  <c r="M43" i="22" s="1"/>
  <c r="F45" i="22"/>
  <c r="H45" i="22" s="1"/>
  <c r="M45" i="22" s="1"/>
  <c r="E35" i="22"/>
  <c r="F34" i="22"/>
  <c r="L34" i="22" s="1"/>
  <c r="M34" i="22" s="1"/>
  <c r="F31" i="22"/>
  <c r="J31" i="22" s="1"/>
  <c r="M31" i="22" s="1"/>
  <c r="F27" i="22"/>
  <c r="F28" i="22" s="1"/>
  <c r="J28" i="22" s="1"/>
  <c r="M28" i="22" s="1"/>
  <c r="E22" i="22"/>
  <c r="F23" i="22"/>
  <c r="L23" i="22" s="1"/>
  <c r="M23" i="22" s="1"/>
  <c r="F19" i="22"/>
  <c r="L19" i="22" s="1"/>
  <c r="M19" i="22" s="1"/>
  <c r="F18" i="22"/>
  <c r="L18" i="22" s="1"/>
  <c r="M18" i="22" s="1"/>
  <c r="F17" i="22"/>
  <c r="L17" i="22" s="1"/>
  <c r="M17" i="22" s="1"/>
  <c r="F16" i="22"/>
  <c r="L16" i="22" s="1"/>
  <c r="M16" i="22" s="1"/>
  <c r="F15" i="22"/>
  <c r="L15" i="22" s="1"/>
  <c r="M15" i="22" s="1"/>
  <c r="F14" i="22"/>
  <c r="L14" i="22" s="1"/>
  <c r="M14" i="22" s="1"/>
  <c r="F13" i="22"/>
  <c r="J13" i="22" s="1"/>
  <c r="M13" i="22" s="1"/>
  <c r="J212" i="21"/>
  <c r="H212" i="21"/>
  <c r="E210" i="21"/>
  <c r="F207" i="21"/>
  <c r="F208" i="21" s="1"/>
  <c r="J208" i="21" s="1"/>
  <c r="M208" i="21" s="1"/>
  <c r="F202" i="21"/>
  <c r="F204" i="21" s="1"/>
  <c r="L204" i="21" s="1"/>
  <c r="M204" i="21" s="1"/>
  <c r="H201" i="21"/>
  <c r="M201" i="21" s="1"/>
  <c r="F200" i="21"/>
  <c r="H200" i="21" s="1"/>
  <c r="M200" i="21" s="1"/>
  <c r="E199" i="21"/>
  <c r="F199" i="21" s="1"/>
  <c r="H199" i="21" s="1"/>
  <c r="M199" i="21" s="1"/>
  <c r="E198" i="21"/>
  <c r="F198" i="21" s="1"/>
  <c r="H198" i="21" s="1"/>
  <c r="M198" i="21" s="1"/>
  <c r="E197" i="21"/>
  <c r="F197" i="21" s="1"/>
  <c r="H197" i="21" s="1"/>
  <c r="M197" i="21" s="1"/>
  <c r="E196" i="21"/>
  <c r="F196" i="21" s="1"/>
  <c r="H196" i="21" s="1"/>
  <c r="M196" i="21" s="1"/>
  <c r="F195" i="21"/>
  <c r="H195" i="21" s="1"/>
  <c r="M195" i="21" s="1"/>
  <c r="F194" i="21"/>
  <c r="H194" i="21" s="1"/>
  <c r="M194" i="21" s="1"/>
  <c r="F193" i="21"/>
  <c r="L193" i="21" s="1"/>
  <c r="M193" i="21" s="1"/>
  <c r="F192" i="21"/>
  <c r="J192" i="21" s="1"/>
  <c r="M192" i="21" s="1"/>
  <c r="F190" i="21"/>
  <c r="H190" i="21" s="1"/>
  <c r="M190" i="21" s="1"/>
  <c r="E189" i="21"/>
  <c r="F189" i="21" s="1"/>
  <c r="H189" i="21" s="1"/>
  <c r="M189" i="21" s="1"/>
  <c r="F188" i="21"/>
  <c r="L188" i="21" s="1"/>
  <c r="M188" i="21" s="1"/>
  <c r="F187" i="21"/>
  <c r="J187" i="21" s="1"/>
  <c r="M187" i="21" s="1"/>
  <c r="H183" i="21"/>
  <c r="M183" i="21" s="1"/>
  <c r="E183" i="21"/>
  <c r="E182" i="21"/>
  <c r="L181" i="21"/>
  <c r="M181" i="21" s="1"/>
  <c r="E181" i="21"/>
  <c r="J180" i="21"/>
  <c r="M180" i="21" s="1"/>
  <c r="E180" i="21"/>
  <c r="F179" i="21"/>
  <c r="F177" i="21"/>
  <c r="H177" i="21" s="1"/>
  <c r="M177" i="21" s="1"/>
  <c r="F176" i="21"/>
  <c r="H176" i="21" s="1"/>
  <c r="M176" i="21" s="1"/>
  <c r="F174" i="21"/>
  <c r="H174" i="21" s="1"/>
  <c r="M174" i="21" s="1"/>
  <c r="F173" i="21"/>
  <c r="F175" i="21" s="1"/>
  <c r="H175" i="21" s="1"/>
  <c r="M175" i="21" s="1"/>
  <c r="F164" i="21"/>
  <c r="F168" i="21" s="1"/>
  <c r="H168" i="21" s="1"/>
  <c r="M168" i="21" s="1"/>
  <c r="E160" i="21"/>
  <c r="F154" i="21"/>
  <c r="F162" i="21" s="1"/>
  <c r="H162" i="21" s="1"/>
  <c r="M162" i="21" s="1"/>
  <c r="F152" i="21"/>
  <c r="F170" i="21" s="1"/>
  <c r="F171" i="21" s="1"/>
  <c r="J171" i="21" s="1"/>
  <c r="M171" i="21" s="1"/>
  <c r="F149" i="21"/>
  <c r="F150" i="21" s="1"/>
  <c r="J150" i="21" s="1"/>
  <c r="M150" i="21" s="1"/>
  <c r="E148" i="21"/>
  <c r="H147" i="21"/>
  <c r="M147" i="21" s="1"/>
  <c r="E146" i="21"/>
  <c r="D146" i="21"/>
  <c r="E145" i="21"/>
  <c r="E144" i="21"/>
  <c r="F143" i="21"/>
  <c r="E141" i="21"/>
  <c r="F140" i="21"/>
  <c r="F142" i="21" s="1"/>
  <c r="H142" i="21" s="1"/>
  <c r="M142" i="21" s="1"/>
  <c r="F138" i="21"/>
  <c r="F139" i="21" s="1"/>
  <c r="J139" i="21" s="1"/>
  <c r="M139" i="21" s="1"/>
  <c r="F135" i="21"/>
  <c r="H135" i="21" s="1"/>
  <c r="M135" i="21" s="1"/>
  <c r="F134" i="21"/>
  <c r="H134" i="21" s="1"/>
  <c r="M134" i="21" s="1"/>
  <c r="F133" i="21"/>
  <c r="L133" i="21" s="1"/>
  <c r="M133" i="21" s="1"/>
  <c r="F132" i="21"/>
  <c r="J132" i="21" s="1"/>
  <c r="M132" i="21" s="1"/>
  <c r="M131" i="21"/>
  <c r="F122" i="21"/>
  <c r="F123" i="21" s="1"/>
  <c r="J123" i="21" s="1"/>
  <c r="M123" i="21" s="1"/>
  <c r="E118" i="21"/>
  <c r="F112" i="21"/>
  <c r="F121" i="21" s="1"/>
  <c r="H121" i="21" s="1"/>
  <c r="M121" i="21" s="1"/>
  <c r="F110" i="21"/>
  <c r="F128" i="21" s="1"/>
  <c r="F129" i="21" s="1"/>
  <c r="J129" i="21" s="1"/>
  <c r="M129" i="21" s="1"/>
  <c r="M107" i="21"/>
  <c r="M105" i="21"/>
  <c r="M102" i="21"/>
  <c r="F102" i="21"/>
  <c r="F107" i="21" s="1"/>
  <c r="F99" i="21"/>
  <c r="F100" i="21" s="1"/>
  <c r="J100" i="21" s="1"/>
  <c r="M100" i="21" s="1"/>
  <c r="F97" i="21"/>
  <c r="F98" i="21" s="1"/>
  <c r="J98" i="21" s="1"/>
  <c r="M98" i="21" s="1"/>
  <c r="E96" i="21"/>
  <c r="E93" i="21"/>
  <c r="E92" i="21"/>
  <c r="F91" i="21"/>
  <c r="E89" i="21"/>
  <c r="F88" i="21"/>
  <c r="F90" i="21" s="1"/>
  <c r="H90" i="21" s="1"/>
  <c r="M90" i="21" s="1"/>
  <c r="F86" i="21"/>
  <c r="F87" i="21" s="1"/>
  <c r="J87" i="21" s="1"/>
  <c r="M87" i="21" s="1"/>
  <c r="M85" i="21"/>
  <c r="H83" i="21"/>
  <c r="M83" i="21" s="1"/>
  <c r="H82" i="21"/>
  <c r="M82" i="21" s="1"/>
  <c r="H81" i="21"/>
  <c r="M81" i="21" s="1"/>
  <c r="H80" i="21"/>
  <c r="M80" i="21" s="1"/>
  <c r="H79" i="21"/>
  <c r="M79" i="21" s="1"/>
  <c r="H78" i="21"/>
  <c r="M78" i="21" s="1"/>
  <c r="H77" i="21"/>
  <c r="M77" i="21" s="1"/>
  <c r="M74" i="21"/>
  <c r="F74" i="21"/>
  <c r="F84" i="21" s="1"/>
  <c r="H84" i="21" s="1"/>
  <c r="M84" i="21" s="1"/>
  <c r="H72" i="21"/>
  <c r="M72" i="21" s="1"/>
  <c r="M69" i="21"/>
  <c r="F69" i="21"/>
  <c r="F71" i="21" s="1"/>
  <c r="L71" i="21" s="1"/>
  <c r="M71" i="21" s="1"/>
  <c r="E68" i="21"/>
  <c r="E67" i="21"/>
  <c r="E65" i="21"/>
  <c r="E64" i="21"/>
  <c r="F63" i="21"/>
  <c r="E61" i="21"/>
  <c r="F57" i="21"/>
  <c r="F62" i="21" s="1"/>
  <c r="H62" i="21" s="1"/>
  <c r="M62" i="21" s="1"/>
  <c r="M52" i="21"/>
  <c r="H50" i="21"/>
  <c r="M50" i="21" s="1"/>
  <c r="H49" i="21"/>
  <c r="M49" i="21" s="1"/>
  <c r="H48" i="21"/>
  <c r="M48" i="21" s="1"/>
  <c r="H47" i="21"/>
  <c r="M47" i="21" s="1"/>
  <c r="H46" i="21"/>
  <c r="M46" i="21" s="1"/>
  <c r="H45" i="21"/>
  <c r="M45" i="21" s="1"/>
  <c r="H44" i="21"/>
  <c r="M44" i="21" s="1"/>
  <c r="M41" i="21"/>
  <c r="F41" i="21"/>
  <c r="F51" i="21" s="1"/>
  <c r="H51" i="21" s="1"/>
  <c r="M51" i="21" s="1"/>
  <c r="H39" i="21"/>
  <c r="M39" i="21" s="1"/>
  <c r="M36" i="21"/>
  <c r="F36" i="21"/>
  <c r="F38" i="21" s="1"/>
  <c r="L38" i="21" s="1"/>
  <c r="M38" i="21" s="1"/>
  <c r="E35" i="21"/>
  <c r="E32" i="21"/>
  <c r="E31" i="21"/>
  <c r="M30" i="21"/>
  <c r="F30" i="21"/>
  <c r="F34" i="21" s="1"/>
  <c r="H34" i="21" s="1"/>
  <c r="M34" i="21" s="1"/>
  <c r="M29" i="21"/>
  <c r="F28" i="21"/>
  <c r="J28" i="21" s="1"/>
  <c r="M28" i="21" s="1"/>
  <c r="H27" i="21"/>
  <c r="M27" i="21" s="1"/>
  <c r="F26" i="21"/>
  <c r="H26" i="21" s="1"/>
  <c r="M26" i="21" s="1"/>
  <c r="H25" i="21"/>
  <c r="M25" i="21" s="1"/>
  <c r="F24" i="21"/>
  <c r="L24" i="21" s="1"/>
  <c r="M24" i="21" s="1"/>
  <c r="F23" i="21"/>
  <c r="J23" i="21" s="1"/>
  <c r="M23" i="21" s="1"/>
  <c r="M22" i="21"/>
  <c r="H20" i="21"/>
  <c r="M20" i="21" s="1"/>
  <c r="M17" i="21"/>
  <c r="F17" i="21"/>
  <c r="F21" i="21" s="1"/>
  <c r="H21" i="21" s="1"/>
  <c r="M21" i="21" s="1"/>
  <c r="H15" i="21"/>
  <c r="M15" i="21" s="1"/>
  <c r="F12" i="21"/>
  <c r="F16" i="21" s="1"/>
  <c r="H16" i="21" s="1"/>
  <c r="M16" i="21" s="1"/>
  <c r="F51" i="20"/>
  <c r="H51" i="20" s="1"/>
  <c r="M51" i="20" s="1"/>
  <c r="H50" i="20"/>
  <c r="M50" i="20" s="1"/>
  <c r="F49" i="20"/>
  <c r="L49" i="20" s="1"/>
  <c r="M49" i="20" s="1"/>
  <c r="F48" i="20"/>
  <c r="J48" i="20" s="1"/>
  <c r="M48" i="20" s="1"/>
  <c r="H44" i="20"/>
  <c r="M44" i="20" s="1"/>
  <c r="H43" i="20"/>
  <c r="M43" i="20" s="1"/>
  <c r="F42" i="20"/>
  <c r="L42" i="20" s="1"/>
  <c r="M42" i="20" s="1"/>
  <c r="F38" i="20"/>
  <c r="H38" i="20" s="1"/>
  <c r="M38" i="20" s="1"/>
  <c r="H37" i="20"/>
  <c r="M37" i="20" s="1"/>
  <c r="H36" i="20"/>
  <c r="M36" i="20" s="1"/>
  <c r="H35" i="20"/>
  <c r="M35" i="20" s="1"/>
  <c r="H34" i="20"/>
  <c r="M34" i="20" s="1"/>
  <c r="F33" i="20"/>
  <c r="J33" i="20" s="1"/>
  <c r="M33" i="20" s="1"/>
  <c r="M32" i="20"/>
  <c r="M31" i="20"/>
  <c r="F30" i="20"/>
  <c r="H30" i="20" s="1"/>
  <c r="M30" i="20" s="1"/>
  <c r="H29" i="20"/>
  <c r="M29" i="20" s="1"/>
  <c r="E28" i="20"/>
  <c r="F28" i="20" s="1"/>
  <c r="L28" i="20" s="1"/>
  <c r="M28" i="20" s="1"/>
  <c r="E27" i="20"/>
  <c r="F27" i="20" s="1"/>
  <c r="L27" i="20" s="1"/>
  <c r="M27" i="20" s="1"/>
  <c r="E26" i="20"/>
  <c r="F26" i="20" s="1"/>
  <c r="J26" i="20" s="1"/>
  <c r="M26" i="20" s="1"/>
  <c r="M25" i="20"/>
  <c r="F24" i="20"/>
  <c r="H24" i="20" s="1"/>
  <c r="M24" i="20" s="1"/>
  <c r="H23" i="20"/>
  <c r="M23" i="20" s="1"/>
  <c r="F22" i="20"/>
  <c r="L22" i="20" s="1"/>
  <c r="F21" i="20"/>
  <c r="J21" i="20" s="1"/>
  <c r="M21" i="20" s="1"/>
  <c r="M20" i="20"/>
  <c r="E19" i="20"/>
  <c r="F19" i="20" s="1"/>
  <c r="H19" i="20" s="1"/>
  <c r="M19" i="20" s="1"/>
  <c r="H18" i="20"/>
  <c r="M18" i="20" s="1"/>
  <c r="F17" i="20"/>
  <c r="J17" i="20" s="1"/>
  <c r="M17" i="20" s="1"/>
  <c r="M16" i="20"/>
  <c r="E15" i="20"/>
  <c r="F15" i="20" s="1"/>
  <c r="H15" i="20" s="1"/>
  <c r="M15" i="20" s="1"/>
  <c r="H14" i="20"/>
  <c r="F13" i="20"/>
  <c r="J13" i="20" s="1"/>
  <c r="F272" i="19"/>
  <c r="L272" i="19" s="1"/>
  <c r="M272" i="19" s="1"/>
  <c r="F270" i="19"/>
  <c r="F271" i="19" s="1"/>
  <c r="J271" i="19" s="1"/>
  <c r="M271" i="19" s="1"/>
  <c r="F269" i="19"/>
  <c r="J269" i="19" s="1"/>
  <c r="M269" i="19" s="1"/>
  <c r="F255" i="19"/>
  <c r="F259" i="19" s="1"/>
  <c r="H259" i="19" s="1"/>
  <c r="M259" i="19" s="1"/>
  <c r="F248" i="19"/>
  <c r="F252" i="19" s="1"/>
  <c r="H252" i="19" s="1"/>
  <c r="M252" i="19" s="1"/>
  <c r="E244" i="19"/>
  <c r="E243" i="19"/>
  <c r="M242" i="19"/>
  <c r="F242" i="19"/>
  <c r="F246" i="19" s="1"/>
  <c r="H246" i="19" s="1"/>
  <c r="M246" i="19" s="1"/>
  <c r="F237" i="19"/>
  <c r="F241" i="19" s="1"/>
  <c r="H241" i="19" s="1"/>
  <c r="M241" i="19" s="1"/>
  <c r="F230" i="19"/>
  <c r="F235" i="19" s="1"/>
  <c r="H235" i="19" s="1"/>
  <c r="M235" i="19" s="1"/>
  <c r="E229" i="19"/>
  <c r="E228" i="19"/>
  <c r="E227" i="19"/>
  <c r="E226" i="19"/>
  <c r="F225" i="19"/>
  <c r="F229" i="19" s="1"/>
  <c r="H229" i="19" s="1"/>
  <c r="M229" i="19" s="1"/>
  <c r="E222" i="19"/>
  <c r="F218" i="19"/>
  <c r="F223" i="19" s="1"/>
  <c r="H223" i="19" s="1"/>
  <c r="M223" i="19" s="1"/>
  <c r="F214" i="19"/>
  <c r="F216" i="19" s="1"/>
  <c r="L216" i="19" s="1"/>
  <c r="M216" i="19" s="1"/>
  <c r="E213" i="19"/>
  <c r="E212" i="19"/>
  <c r="E211" i="19"/>
  <c r="E210" i="19"/>
  <c r="F209" i="19"/>
  <c r="F208" i="19"/>
  <c r="H208" i="19" s="1"/>
  <c r="F207" i="19"/>
  <c r="H207" i="19" s="1"/>
  <c r="E202" i="19"/>
  <c r="M201" i="19"/>
  <c r="F198" i="19"/>
  <c r="F203" i="19" s="1"/>
  <c r="H203" i="19" s="1"/>
  <c r="M203" i="19" s="1"/>
  <c r="M194" i="19"/>
  <c r="F191" i="19"/>
  <c r="F196" i="19" s="1"/>
  <c r="H196" i="19" s="1"/>
  <c r="M196" i="19" s="1"/>
  <c r="H189" i="19"/>
  <c r="M189" i="19" s="1"/>
  <c r="F188" i="19"/>
  <c r="H188" i="19" s="1"/>
  <c r="M188" i="19" s="1"/>
  <c r="F187" i="19"/>
  <c r="H187" i="19" s="1"/>
  <c r="M187" i="19" s="1"/>
  <c r="F186" i="19"/>
  <c r="J186" i="19" s="1"/>
  <c r="M186" i="19" s="1"/>
  <c r="E176" i="19"/>
  <c r="F167" i="19"/>
  <c r="F173" i="19" s="1"/>
  <c r="F159" i="19"/>
  <c r="F166" i="19" s="1"/>
  <c r="H166" i="19" s="1"/>
  <c r="M166" i="19" s="1"/>
  <c r="F158" i="19"/>
  <c r="H158" i="19" s="1"/>
  <c r="M158" i="19" s="1"/>
  <c r="F157" i="19"/>
  <c r="H157" i="19" s="1"/>
  <c r="M157" i="19" s="1"/>
  <c r="F156" i="19"/>
  <c r="L156" i="19" s="1"/>
  <c r="M156" i="19" s="1"/>
  <c r="F155" i="19"/>
  <c r="J155" i="19" s="1"/>
  <c r="M155" i="19" s="1"/>
  <c r="F153" i="19"/>
  <c r="H153" i="19" s="1"/>
  <c r="M153" i="19" s="1"/>
  <c r="F152" i="19"/>
  <c r="H152" i="19" s="1"/>
  <c r="M152" i="19" s="1"/>
  <c r="F151" i="19"/>
  <c r="H151" i="19" s="1"/>
  <c r="M151" i="19" s="1"/>
  <c r="F150" i="19"/>
  <c r="H150" i="19" s="1"/>
  <c r="M150" i="19" s="1"/>
  <c r="E149" i="19"/>
  <c r="F149" i="19" s="1"/>
  <c r="H149" i="19" s="1"/>
  <c r="M149" i="19" s="1"/>
  <c r="F148" i="19"/>
  <c r="H148" i="19" s="1"/>
  <c r="M148" i="19" s="1"/>
  <c r="F147" i="19"/>
  <c r="L147" i="19" s="1"/>
  <c r="M147" i="19" s="1"/>
  <c r="F146" i="19"/>
  <c r="J146" i="19" s="1"/>
  <c r="M146" i="19" s="1"/>
  <c r="E145" i="19"/>
  <c r="F137" i="19"/>
  <c r="F142" i="19" s="1"/>
  <c r="H142" i="19" s="1"/>
  <c r="M142" i="19" s="1"/>
  <c r="H128" i="19"/>
  <c r="M128" i="19" s="1"/>
  <c r="E123" i="19"/>
  <c r="F120" i="19"/>
  <c r="F129" i="19" s="1"/>
  <c r="H129" i="19" s="1"/>
  <c r="M129" i="19" s="1"/>
  <c r="H113" i="19"/>
  <c r="M113" i="19" s="1"/>
  <c r="H112" i="19"/>
  <c r="M112" i="19" s="1"/>
  <c r="E111" i="19"/>
  <c r="F111" i="19" s="1"/>
  <c r="H111" i="19" s="1"/>
  <c r="M111" i="19" s="1"/>
  <c r="E110" i="19"/>
  <c r="F110" i="19" s="1"/>
  <c r="H110" i="19" s="1"/>
  <c r="M110" i="19" s="1"/>
  <c r="E109" i="19"/>
  <c r="F109" i="19" s="1"/>
  <c r="H109" i="19" s="1"/>
  <c r="M109" i="19" s="1"/>
  <c r="E108" i="19"/>
  <c r="F108" i="19" s="1"/>
  <c r="H108" i="19" s="1"/>
  <c r="M108" i="19" s="1"/>
  <c r="E107" i="19"/>
  <c r="F107" i="19" s="1"/>
  <c r="L107" i="19" s="1"/>
  <c r="M107" i="19" s="1"/>
  <c r="E106" i="19"/>
  <c r="F106" i="19" s="1"/>
  <c r="J106" i="19" s="1"/>
  <c r="M106" i="19" s="1"/>
  <c r="H104" i="19"/>
  <c r="M104" i="19" s="1"/>
  <c r="H103" i="19"/>
  <c r="M103" i="19" s="1"/>
  <c r="F102" i="19"/>
  <c r="H102" i="19" s="1"/>
  <c r="M102" i="19" s="1"/>
  <c r="F101" i="19"/>
  <c r="H101" i="19" s="1"/>
  <c r="M101" i="19" s="1"/>
  <c r="F100" i="19"/>
  <c r="H100" i="19" s="1"/>
  <c r="M100" i="19" s="1"/>
  <c r="F99" i="19"/>
  <c r="H99" i="19" s="1"/>
  <c r="M99" i="19" s="1"/>
  <c r="F98" i="19"/>
  <c r="H98" i="19" s="1"/>
  <c r="M98" i="19" s="1"/>
  <c r="F97" i="19"/>
  <c r="L97" i="19" s="1"/>
  <c r="M97" i="19" s="1"/>
  <c r="F96" i="19"/>
  <c r="J96" i="19" s="1"/>
  <c r="M96" i="19" s="1"/>
  <c r="H94" i="19"/>
  <c r="M94" i="19" s="1"/>
  <c r="H93" i="19"/>
  <c r="M93" i="19" s="1"/>
  <c r="F92" i="19"/>
  <c r="H92" i="19" s="1"/>
  <c r="M92" i="19" s="1"/>
  <c r="F91" i="19"/>
  <c r="H91" i="19" s="1"/>
  <c r="M91" i="19" s="1"/>
  <c r="F90" i="19"/>
  <c r="H90" i="19" s="1"/>
  <c r="M90" i="19" s="1"/>
  <c r="F89" i="19"/>
  <c r="H89" i="19" s="1"/>
  <c r="M89" i="19" s="1"/>
  <c r="F88" i="19"/>
  <c r="H88" i="19" s="1"/>
  <c r="M88" i="19" s="1"/>
  <c r="F87" i="19"/>
  <c r="L87" i="19" s="1"/>
  <c r="M87" i="19" s="1"/>
  <c r="F86" i="19"/>
  <c r="J86" i="19" s="1"/>
  <c r="M86" i="19" s="1"/>
  <c r="H84" i="19"/>
  <c r="M84" i="19" s="1"/>
  <c r="H83" i="19"/>
  <c r="M83" i="19" s="1"/>
  <c r="F82" i="19"/>
  <c r="H82" i="19" s="1"/>
  <c r="M82" i="19" s="1"/>
  <c r="F81" i="19"/>
  <c r="H81" i="19" s="1"/>
  <c r="M81" i="19" s="1"/>
  <c r="E80" i="19"/>
  <c r="F80" i="19" s="1"/>
  <c r="H80" i="19" s="1"/>
  <c r="M80" i="19" s="1"/>
  <c r="F79" i="19"/>
  <c r="H79" i="19" s="1"/>
  <c r="M79" i="19" s="1"/>
  <c r="F78" i="19"/>
  <c r="H78" i="19" s="1"/>
  <c r="M78" i="19" s="1"/>
  <c r="F77" i="19"/>
  <c r="L77" i="19" s="1"/>
  <c r="M77" i="19" s="1"/>
  <c r="F76" i="19"/>
  <c r="J76" i="19" s="1"/>
  <c r="M76" i="19" s="1"/>
  <c r="H74" i="19"/>
  <c r="M74" i="19" s="1"/>
  <c r="E73" i="19"/>
  <c r="F73" i="19" s="1"/>
  <c r="H73" i="19" s="1"/>
  <c r="M73" i="19" s="1"/>
  <c r="E72" i="19"/>
  <c r="F72" i="19" s="1"/>
  <c r="H72" i="19" s="1"/>
  <c r="M72" i="19" s="1"/>
  <c r="E71" i="19"/>
  <c r="F71" i="19" s="1"/>
  <c r="H71" i="19" s="1"/>
  <c r="M71" i="19" s="1"/>
  <c r="E70" i="19"/>
  <c r="F70" i="19" s="1"/>
  <c r="H70" i="19" s="1"/>
  <c r="M70" i="19" s="1"/>
  <c r="E69" i="19"/>
  <c r="F69" i="19" s="1"/>
  <c r="L69" i="19" s="1"/>
  <c r="M69" i="19" s="1"/>
  <c r="E68" i="19"/>
  <c r="F68" i="19" s="1"/>
  <c r="J68" i="19" s="1"/>
  <c r="M68" i="19" s="1"/>
  <c r="F66" i="19"/>
  <c r="H66" i="19" s="1"/>
  <c r="M66" i="19" s="1"/>
  <c r="E65" i="19"/>
  <c r="F65" i="19" s="1"/>
  <c r="H65" i="19" s="1"/>
  <c r="M65" i="19" s="1"/>
  <c r="F64" i="19"/>
  <c r="L64" i="19" s="1"/>
  <c r="M64" i="19" s="1"/>
  <c r="F63" i="19"/>
  <c r="J63" i="19" s="1"/>
  <c r="M63" i="19" s="1"/>
  <c r="F55" i="19"/>
  <c r="F61" i="19" s="1"/>
  <c r="H61" i="19" s="1"/>
  <c r="M61" i="19" s="1"/>
  <c r="H49" i="19"/>
  <c r="M49" i="19" s="1"/>
  <c r="H48" i="19"/>
  <c r="M48" i="19" s="1"/>
  <c r="E47" i="19"/>
  <c r="F47" i="19" s="1"/>
  <c r="H47" i="19" s="1"/>
  <c r="M47" i="19" s="1"/>
  <c r="F46" i="19"/>
  <c r="H46" i="19" s="1"/>
  <c r="M46" i="19" s="1"/>
  <c r="E45" i="19"/>
  <c r="F45" i="19" s="1"/>
  <c r="H45" i="19" s="1"/>
  <c r="M45" i="19" s="1"/>
  <c r="E44" i="19"/>
  <c r="F44" i="19" s="1"/>
  <c r="H44" i="19" s="1"/>
  <c r="M44" i="19" s="1"/>
  <c r="F43" i="19"/>
  <c r="H43" i="19" s="1"/>
  <c r="M43" i="19" s="1"/>
  <c r="F42" i="19"/>
  <c r="L42" i="19" s="1"/>
  <c r="M42" i="19" s="1"/>
  <c r="F41" i="19"/>
  <c r="J41" i="19" s="1"/>
  <c r="M41" i="19" s="1"/>
  <c r="H39" i="19"/>
  <c r="M39" i="19" s="1"/>
  <c r="E38" i="19"/>
  <c r="F38" i="19" s="1"/>
  <c r="H38" i="19" s="1"/>
  <c r="M38" i="19" s="1"/>
  <c r="E37" i="19"/>
  <c r="F37" i="19" s="1"/>
  <c r="H37" i="19" s="1"/>
  <c r="M37" i="19" s="1"/>
  <c r="E36" i="19"/>
  <c r="F36" i="19" s="1"/>
  <c r="H36" i="19" s="1"/>
  <c r="M36" i="19" s="1"/>
  <c r="E35" i="19"/>
  <c r="F35" i="19" s="1"/>
  <c r="H35" i="19" s="1"/>
  <c r="M35" i="19" s="1"/>
  <c r="E34" i="19"/>
  <c r="F34" i="19" s="1"/>
  <c r="L34" i="19" s="1"/>
  <c r="M34" i="19" s="1"/>
  <c r="E33" i="19"/>
  <c r="F33" i="19" s="1"/>
  <c r="J33" i="19" s="1"/>
  <c r="M33" i="19" s="1"/>
  <c r="H31" i="19"/>
  <c r="M31" i="19" s="1"/>
  <c r="E30" i="19"/>
  <c r="F30" i="19" s="1"/>
  <c r="H30" i="19" s="1"/>
  <c r="M30" i="19" s="1"/>
  <c r="E29" i="19"/>
  <c r="F29" i="19" s="1"/>
  <c r="H29" i="19" s="1"/>
  <c r="M29" i="19" s="1"/>
  <c r="E28" i="19"/>
  <c r="F28" i="19" s="1"/>
  <c r="H28" i="19" s="1"/>
  <c r="M28" i="19" s="1"/>
  <c r="E27" i="19"/>
  <c r="F27" i="19" s="1"/>
  <c r="H27" i="19" s="1"/>
  <c r="M27" i="19" s="1"/>
  <c r="E26" i="19"/>
  <c r="F26" i="19" s="1"/>
  <c r="L26" i="19" s="1"/>
  <c r="M26" i="19" s="1"/>
  <c r="E25" i="19"/>
  <c r="F25" i="19" s="1"/>
  <c r="J25" i="19" s="1"/>
  <c r="M25" i="19" s="1"/>
  <c r="U23" i="19"/>
  <c r="T23" i="19"/>
  <c r="O18" i="19"/>
  <c r="P18" i="19" s="1"/>
  <c r="E17" i="19"/>
  <c r="R14" i="19"/>
  <c r="Q14" i="19"/>
  <c r="P14" i="19"/>
  <c r="F13" i="19"/>
  <c r="J13" i="19" s="1"/>
  <c r="L10" i="18"/>
  <c r="L12" i="18" s="1"/>
  <c r="J10" i="18"/>
  <c r="H10" i="18"/>
  <c r="H12" i="18" s="1"/>
  <c r="M13" i="18" s="1"/>
  <c r="L78" i="17"/>
  <c r="J78" i="17"/>
  <c r="H78" i="17"/>
  <c r="F76" i="17"/>
  <c r="H76" i="17" s="1"/>
  <c r="M76" i="17" s="1"/>
  <c r="H75" i="17"/>
  <c r="M75" i="17" s="1"/>
  <c r="F74" i="17"/>
  <c r="L74" i="17" s="1"/>
  <c r="M74" i="17" s="1"/>
  <c r="F73" i="17"/>
  <c r="J73" i="17" s="1"/>
  <c r="M73" i="17" s="1"/>
  <c r="F71" i="17"/>
  <c r="H71" i="17" s="1"/>
  <c r="M71" i="17" s="1"/>
  <c r="H70" i="17"/>
  <c r="M70" i="17" s="1"/>
  <c r="M69" i="17"/>
  <c r="F68" i="17"/>
  <c r="L68" i="17" s="1"/>
  <c r="M68" i="17" s="1"/>
  <c r="F67" i="17"/>
  <c r="J67" i="17" s="1"/>
  <c r="M67" i="17" s="1"/>
  <c r="H63" i="17"/>
  <c r="M63" i="17" s="1"/>
  <c r="H62" i="17"/>
  <c r="M62" i="17" s="1"/>
  <c r="F57" i="17"/>
  <c r="H57" i="17" s="1"/>
  <c r="M57" i="17" s="1"/>
  <c r="F56" i="17"/>
  <c r="H56" i="17" s="1"/>
  <c r="M56" i="17" s="1"/>
  <c r="F53" i="17"/>
  <c r="F58" i="17" s="1"/>
  <c r="H58" i="17" s="1"/>
  <c r="M58" i="17" s="1"/>
  <c r="F48" i="17"/>
  <c r="F50" i="17" s="1"/>
  <c r="L50" i="17" s="1"/>
  <c r="F35" i="17"/>
  <c r="H35" i="17" s="1"/>
  <c r="M35" i="17" s="1"/>
  <c r="F30" i="17"/>
  <c r="F32" i="17" s="1"/>
  <c r="L32" i="17" s="1"/>
  <c r="M32" i="17" s="1"/>
  <c r="F28" i="17"/>
  <c r="F29" i="17" s="1"/>
  <c r="J29" i="17" s="1"/>
  <c r="M29" i="17" s="1"/>
  <c r="F27" i="17"/>
  <c r="H27" i="17" s="1"/>
  <c r="M27" i="17" s="1"/>
  <c r="F26" i="17"/>
  <c r="J26" i="17" s="1"/>
  <c r="M26" i="17" s="1"/>
  <c r="F24" i="17"/>
  <c r="H24" i="17" s="1"/>
  <c r="M24" i="17" s="1"/>
  <c r="F23" i="17"/>
  <c r="H23" i="17" s="1"/>
  <c r="M23" i="17" s="1"/>
  <c r="F22" i="17"/>
  <c r="L22" i="17" s="1"/>
  <c r="F21" i="17"/>
  <c r="J21" i="17" s="1"/>
  <c r="M21" i="17" s="1"/>
  <c r="F17" i="17"/>
  <c r="F18" i="17" s="1"/>
  <c r="J18" i="17" s="1"/>
  <c r="M18" i="17" s="1"/>
  <c r="F13" i="17"/>
  <c r="F36" i="17" s="1"/>
  <c r="F37" i="17" s="1"/>
  <c r="F11" i="17"/>
  <c r="F12" i="17" s="1"/>
  <c r="J12" i="17" s="1"/>
  <c r="F151" i="16"/>
  <c r="L151" i="16" s="1"/>
  <c r="M151" i="16" s="1"/>
  <c r="F149" i="16"/>
  <c r="F150" i="16" s="1"/>
  <c r="J150" i="16" s="1"/>
  <c r="M150" i="16" s="1"/>
  <c r="F148" i="16"/>
  <c r="J148" i="16" s="1"/>
  <c r="M148" i="16" s="1"/>
  <c r="E145" i="16"/>
  <c r="F142" i="16"/>
  <c r="F140" i="16"/>
  <c r="H140" i="16" s="1"/>
  <c r="M140" i="16" s="1"/>
  <c r="E139" i="16"/>
  <c r="F139" i="16" s="1"/>
  <c r="H139" i="16" s="1"/>
  <c r="M139" i="16" s="1"/>
  <c r="F136" i="16"/>
  <c r="F137" i="16" s="1"/>
  <c r="J137" i="16" s="1"/>
  <c r="M137" i="16" s="1"/>
  <c r="E135" i="16"/>
  <c r="E134" i="16"/>
  <c r="E133" i="16"/>
  <c r="E132" i="16"/>
  <c r="H128" i="16"/>
  <c r="M128" i="16" s="1"/>
  <c r="F116" i="16"/>
  <c r="F125" i="16" s="1"/>
  <c r="H125" i="16" s="1"/>
  <c r="M125" i="16" s="1"/>
  <c r="F115" i="16"/>
  <c r="F114" i="16"/>
  <c r="F123" i="16" s="1"/>
  <c r="H123" i="16" s="1"/>
  <c r="M123" i="16" s="1"/>
  <c r="F113" i="16"/>
  <c r="F112" i="16"/>
  <c r="F106" i="16"/>
  <c r="F97" i="16"/>
  <c r="F98" i="16" s="1"/>
  <c r="F99" i="16" s="1"/>
  <c r="J99" i="16" s="1"/>
  <c r="M99" i="16" s="1"/>
  <c r="F81" i="16"/>
  <c r="F87" i="16" s="1"/>
  <c r="H87" i="16" s="1"/>
  <c r="M87" i="16" s="1"/>
  <c r="F80" i="16"/>
  <c r="E73" i="16"/>
  <c r="F65" i="16"/>
  <c r="F77" i="16" s="1"/>
  <c r="H77" i="16" s="1"/>
  <c r="M77" i="16" s="1"/>
  <c r="F64" i="16"/>
  <c r="F76" i="16" s="1"/>
  <c r="H76" i="16" s="1"/>
  <c r="M76" i="16" s="1"/>
  <c r="F63" i="16"/>
  <c r="F72" i="16" s="1"/>
  <c r="H72" i="16" s="1"/>
  <c r="M72" i="16" s="1"/>
  <c r="F62" i="16"/>
  <c r="E58" i="16"/>
  <c r="F50" i="16"/>
  <c r="F48" i="16"/>
  <c r="H48" i="16" s="1"/>
  <c r="M48" i="16" s="1"/>
  <c r="E47" i="16"/>
  <c r="F47" i="16" s="1"/>
  <c r="H47" i="16" s="1"/>
  <c r="M47" i="16" s="1"/>
  <c r="H45" i="16"/>
  <c r="M45" i="16" s="1"/>
  <c r="F42" i="16"/>
  <c r="J42" i="16" s="1"/>
  <c r="M42" i="16" s="1"/>
  <c r="H40" i="16"/>
  <c r="M40" i="16" s="1"/>
  <c r="N39" i="16"/>
  <c r="F39" i="16"/>
  <c r="H39" i="16" s="1"/>
  <c r="M39" i="16" s="1"/>
  <c r="F32" i="16"/>
  <c r="F35" i="16" s="1"/>
  <c r="H35" i="16" s="1"/>
  <c r="M35" i="16" s="1"/>
  <c r="E30" i="16"/>
  <c r="F27" i="16"/>
  <c r="F31" i="16" s="1"/>
  <c r="H31" i="16" s="1"/>
  <c r="M31" i="16" s="1"/>
  <c r="H23" i="16"/>
  <c r="E23" i="16"/>
  <c r="L22" i="16"/>
  <c r="M22" i="16" s="1"/>
  <c r="E22" i="16"/>
  <c r="J21" i="16"/>
  <c r="M21" i="16" s="1"/>
  <c r="E21" i="16"/>
  <c r="F20" i="16"/>
  <c r="F24" i="16" s="1"/>
  <c r="F12" i="16"/>
  <c r="F17" i="16" s="1"/>
  <c r="L17" i="16" s="1"/>
  <c r="M17" i="16" s="1"/>
  <c r="M12" i="26" l="1"/>
  <c r="F70" i="22"/>
  <c r="F145" i="21"/>
  <c r="L145" i="21" s="1"/>
  <c r="M145" i="21" s="1"/>
  <c r="F212" i="19"/>
  <c r="H212" i="19" s="1"/>
  <c r="M212" i="19" s="1"/>
  <c r="F243" i="19"/>
  <c r="J243" i="19" s="1"/>
  <c r="M243" i="19" s="1"/>
  <c r="F51" i="16"/>
  <c r="F92" i="16"/>
  <c r="F182" i="21"/>
  <c r="L182" i="21" s="1"/>
  <c r="M182" i="21" s="1"/>
  <c r="F120" i="22"/>
  <c r="L120" i="22" s="1"/>
  <c r="M120" i="22" s="1"/>
  <c r="F119" i="22"/>
  <c r="J119" i="22" s="1"/>
  <c r="M119" i="22" s="1"/>
  <c r="F122" i="22"/>
  <c r="H122" i="22" s="1"/>
  <c r="M122" i="22" s="1"/>
  <c r="F121" i="22"/>
  <c r="H121" i="22" s="1"/>
  <c r="M121" i="22" s="1"/>
  <c r="F66" i="16"/>
  <c r="F37" i="21"/>
  <c r="J37" i="21" s="1"/>
  <c r="M37" i="21" s="1"/>
  <c r="F47" i="24"/>
  <c r="J47" i="24" s="1"/>
  <c r="M47" i="24" s="1"/>
  <c r="F53" i="24"/>
  <c r="J53" i="24" s="1"/>
  <c r="M53" i="24" s="1"/>
  <c r="F194" i="19"/>
  <c r="F195" i="19" s="1"/>
  <c r="H195" i="19" s="1"/>
  <c r="M195" i="19" s="1"/>
  <c r="J208" i="19"/>
  <c r="M208" i="19" s="1"/>
  <c r="F244" i="19"/>
  <c r="L244" i="19" s="1"/>
  <c r="M244" i="19" s="1"/>
  <c r="F31" i="21"/>
  <c r="J31" i="21" s="1"/>
  <c r="M31" i="21" s="1"/>
  <c r="F44" i="24"/>
  <c r="J44" i="24" s="1"/>
  <c r="M44" i="24" s="1"/>
  <c r="J41" i="26"/>
  <c r="M44" i="26" s="1"/>
  <c r="M23" i="26"/>
  <c r="F144" i="19"/>
  <c r="H144" i="19" s="1"/>
  <c r="M144" i="19" s="1"/>
  <c r="F205" i="19"/>
  <c r="F206" i="19" s="1"/>
  <c r="J206" i="19" s="1"/>
  <c r="M206" i="19" s="1"/>
  <c r="F69" i="23"/>
  <c r="J69" i="23" s="1"/>
  <c r="M69" i="23" s="1"/>
  <c r="M37" i="26"/>
  <c r="F140" i="19"/>
  <c r="H140" i="19" s="1"/>
  <c r="M140" i="19" s="1"/>
  <c r="J207" i="19"/>
  <c r="M207" i="19" s="1"/>
  <c r="F210" i="19"/>
  <c r="J210" i="19" s="1"/>
  <c r="M210" i="19" s="1"/>
  <c r="F33" i="21"/>
  <c r="H33" i="21" s="1"/>
  <c r="M33" i="21" s="1"/>
  <c r="F40" i="21"/>
  <c r="H40" i="21" s="1"/>
  <c r="M40" i="21" s="1"/>
  <c r="F70" i="21"/>
  <c r="J70" i="21" s="1"/>
  <c r="M70" i="21" s="1"/>
  <c r="F75" i="21"/>
  <c r="J75" i="21" s="1"/>
  <c r="M75" i="21" s="1"/>
  <c r="F144" i="21"/>
  <c r="J144" i="21" s="1"/>
  <c r="M144" i="21" s="1"/>
  <c r="F153" i="21"/>
  <c r="J153" i="21" s="1"/>
  <c r="M153" i="21" s="1"/>
  <c r="M212" i="21"/>
  <c r="F76" i="21"/>
  <c r="L76" i="21" s="1"/>
  <c r="M76" i="21" s="1"/>
  <c r="F160" i="21"/>
  <c r="H160" i="21" s="1"/>
  <c r="M160" i="21" s="1"/>
  <c r="F58" i="24"/>
  <c r="H58" i="24" s="1"/>
  <c r="M58" i="24" s="1"/>
  <c r="F51" i="17"/>
  <c r="H51" i="17" s="1"/>
  <c r="F233" i="19"/>
  <c r="H233" i="19" s="1"/>
  <c r="M233" i="19" s="1"/>
  <c r="F41" i="20"/>
  <c r="J41" i="20" s="1"/>
  <c r="M41" i="20" s="1"/>
  <c r="F45" i="20"/>
  <c r="H45" i="20" s="1"/>
  <c r="M45" i="20" s="1"/>
  <c r="F35" i="21"/>
  <c r="H35" i="21" s="1"/>
  <c r="M35" i="21" s="1"/>
  <c r="F52" i="21"/>
  <c r="F55" i="21" s="1"/>
  <c r="H55" i="21" s="1"/>
  <c r="M55" i="21" s="1"/>
  <c r="F155" i="21"/>
  <c r="J155" i="21" s="1"/>
  <c r="M155" i="21" s="1"/>
  <c r="F33" i="17"/>
  <c r="H33" i="17" s="1"/>
  <c r="M33" i="17" s="1"/>
  <c r="F211" i="19"/>
  <c r="L211" i="19" s="1"/>
  <c r="M211" i="19" s="1"/>
  <c r="F213" i="19"/>
  <c r="H213" i="19" s="1"/>
  <c r="M213" i="19" s="1"/>
  <c r="F32" i="21"/>
  <c r="L32" i="21" s="1"/>
  <c r="M32" i="21" s="1"/>
  <c r="F89" i="21"/>
  <c r="J89" i="21" s="1"/>
  <c r="M89" i="21" s="1"/>
  <c r="F159" i="21"/>
  <c r="H159" i="21" s="1"/>
  <c r="M159" i="21" s="1"/>
  <c r="F293" i="22"/>
  <c r="J293" i="22" s="1"/>
  <c r="M293" i="22" s="1"/>
  <c r="F18" i="16"/>
  <c r="L18" i="16" s="1"/>
  <c r="M18" i="16" s="1"/>
  <c r="F146" i="16"/>
  <c r="H146" i="16" s="1"/>
  <c r="M146" i="16" s="1"/>
  <c r="F28" i="16"/>
  <c r="J28" i="16" s="1"/>
  <c r="M28" i="16" s="1"/>
  <c r="F82" i="16"/>
  <c r="F89" i="16" s="1"/>
  <c r="H89" i="16" s="1"/>
  <c r="M89" i="16" s="1"/>
  <c r="F145" i="16"/>
  <c r="H145" i="16" s="1"/>
  <c r="M145" i="16" s="1"/>
  <c r="F31" i="17"/>
  <c r="J31" i="17" s="1"/>
  <c r="M31" i="17" s="1"/>
  <c r="F49" i="17"/>
  <c r="J49" i="17" s="1"/>
  <c r="F56" i="19"/>
  <c r="J56" i="19" s="1"/>
  <c r="M56" i="19" s="1"/>
  <c r="F168" i="19"/>
  <c r="F169" i="19" s="1"/>
  <c r="J169" i="19" s="1"/>
  <c r="M169" i="19" s="1"/>
  <c r="F201" i="19"/>
  <c r="F202" i="19" s="1"/>
  <c r="H202" i="19" s="1"/>
  <c r="M202" i="19" s="1"/>
  <c r="F217" i="19"/>
  <c r="H217" i="19" s="1"/>
  <c r="M217" i="19" s="1"/>
  <c r="F93" i="21"/>
  <c r="L93" i="21" s="1"/>
  <c r="M93" i="21" s="1"/>
  <c r="F148" i="21"/>
  <c r="H148" i="21" s="1"/>
  <c r="M148" i="21" s="1"/>
  <c r="F146" i="21"/>
  <c r="H146" i="21" s="1"/>
  <c r="M146" i="21" s="1"/>
  <c r="F158" i="21"/>
  <c r="H158" i="21" s="1"/>
  <c r="M158" i="21" s="1"/>
  <c r="F163" i="21"/>
  <c r="H163" i="21" s="1"/>
  <c r="M163" i="21" s="1"/>
  <c r="F203" i="21"/>
  <c r="J203" i="21" s="1"/>
  <c r="M203" i="21" s="1"/>
  <c r="F16" i="24"/>
  <c r="J16" i="24" s="1"/>
  <c r="M16" i="24" s="1"/>
  <c r="F51" i="24"/>
  <c r="H51" i="24" s="1"/>
  <c r="M51" i="24" s="1"/>
  <c r="M10" i="26"/>
  <c r="M19" i="26"/>
  <c r="M27" i="26"/>
  <c r="M35" i="26"/>
  <c r="F58" i="19"/>
  <c r="H58" i="19" s="1"/>
  <c r="M58" i="19" s="1"/>
  <c r="F184" i="21"/>
  <c r="F185" i="21" s="1"/>
  <c r="J185" i="21" s="1"/>
  <c r="M185" i="21" s="1"/>
  <c r="F205" i="21"/>
  <c r="H205" i="21" s="1"/>
  <c r="M205" i="21" s="1"/>
  <c r="M25" i="26"/>
  <c r="M33" i="26"/>
  <c r="F34" i="16"/>
  <c r="L34" i="16" s="1"/>
  <c r="M34" i="16" s="1"/>
  <c r="M78" i="17"/>
  <c r="R18" i="19"/>
  <c r="R23" i="19" s="1"/>
  <c r="F59" i="19"/>
  <c r="H59" i="19" s="1"/>
  <c r="M59" i="19" s="1"/>
  <c r="F161" i="19"/>
  <c r="L161" i="19" s="1"/>
  <c r="M161" i="19" s="1"/>
  <c r="F178" i="19"/>
  <c r="F180" i="19" s="1"/>
  <c r="L180" i="19" s="1"/>
  <c r="M180" i="19" s="1"/>
  <c r="F192" i="19"/>
  <c r="J192" i="19" s="1"/>
  <c r="M192" i="19" s="1"/>
  <c r="F197" i="19"/>
  <c r="H197" i="19" s="1"/>
  <c r="M197" i="19" s="1"/>
  <c r="F215" i="19"/>
  <c r="J215" i="19" s="1"/>
  <c r="M215" i="19" s="1"/>
  <c r="F222" i="19"/>
  <c r="H222" i="19" s="1"/>
  <c r="M222" i="19" s="1"/>
  <c r="F141" i="21"/>
  <c r="J141" i="21" s="1"/>
  <c r="M141" i="21" s="1"/>
  <c r="F206" i="21"/>
  <c r="H206" i="21" s="1"/>
  <c r="M206" i="21" s="1"/>
  <c r="F126" i="22"/>
  <c r="H126" i="22" s="1"/>
  <c r="M126" i="22" s="1"/>
  <c r="F345" i="22"/>
  <c r="H345" i="22" s="1"/>
  <c r="M345" i="22" s="1"/>
  <c r="M31" i="26"/>
  <c r="F117" i="16"/>
  <c r="F129" i="16" s="1"/>
  <c r="H129" i="16" s="1"/>
  <c r="M129" i="16" s="1"/>
  <c r="F60" i="19"/>
  <c r="H60" i="19" s="1"/>
  <c r="M60" i="19" s="1"/>
  <c r="M21" i="26"/>
  <c r="M29" i="26"/>
  <c r="F124" i="19"/>
  <c r="H124" i="19" s="1"/>
  <c r="M124" i="19" s="1"/>
  <c r="F25" i="16"/>
  <c r="J25" i="16" s="1"/>
  <c r="M25" i="16" s="1"/>
  <c r="F26" i="16"/>
  <c r="L26" i="16" s="1"/>
  <c r="M26" i="16" s="1"/>
  <c r="F71" i="16"/>
  <c r="H71" i="16" s="1"/>
  <c r="M71" i="16" s="1"/>
  <c r="F110" i="16"/>
  <c r="H110" i="16" s="1"/>
  <c r="M110" i="16" s="1"/>
  <c r="F107" i="16"/>
  <c r="J107" i="16" s="1"/>
  <c r="M107" i="16" s="1"/>
  <c r="F108" i="16"/>
  <c r="L108" i="16" s="1"/>
  <c r="M108" i="16" s="1"/>
  <c r="F109" i="16"/>
  <c r="H109" i="16" s="1"/>
  <c r="M109" i="16" s="1"/>
  <c r="F130" i="16"/>
  <c r="F132" i="16" s="1"/>
  <c r="L132" i="16" s="1"/>
  <c r="M132" i="16" s="1"/>
  <c r="F144" i="16"/>
  <c r="H144" i="16" s="1"/>
  <c r="M144" i="16" s="1"/>
  <c r="F122" i="16"/>
  <c r="H122" i="16" s="1"/>
  <c r="M122" i="16" s="1"/>
  <c r="F34" i="24"/>
  <c r="F32" i="24"/>
  <c r="J32" i="24" s="1"/>
  <c r="M32" i="24" s="1"/>
  <c r="F19" i="24"/>
  <c r="J19" i="24" s="1"/>
  <c r="M19" i="24" s="1"/>
  <c r="F76" i="23"/>
  <c r="J76" i="23" s="1"/>
  <c r="M76" i="23" s="1"/>
  <c r="F79" i="23"/>
  <c r="H79" i="23" s="1"/>
  <c r="M79" i="23" s="1"/>
  <c r="F74" i="23"/>
  <c r="H74" i="23" s="1"/>
  <c r="M74" i="23" s="1"/>
  <c r="F51" i="23"/>
  <c r="J51" i="23" s="1"/>
  <c r="M51" i="23" s="1"/>
  <c r="F18" i="23"/>
  <c r="F19" i="23" s="1"/>
  <c r="J19" i="23" s="1"/>
  <c r="M19" i="23" s="1"/>
  <c r="F34" i="23"/>
  <c r="J34" i="23" s="1"/>
  <c r="M34" i="23" s="1"/>
  <c r="F36" i="23"/>
  <c r="H36" i="23" s="1"/>
  <c r="M36" i="23" s="1"/>
  <c r="F295" i="22"/>
  <c r="H295" i="22" s="1"/>
  <c r="M295" i="22" s="1"/>
  <c r="F58" i="22"/>
  <c r="F355" i="22"/>
  <c r="J355" i="22" s="1"/>
  <c r="M355" i="22" s="1"/>
  <c r="F357" i="22"/>
  <c r="H357" i="22" s="1"/>
  <c r="M357" i="22" s="1"/>
  <c r="F124" i="22"/>
  <c r="J124" i="22" s="1"/>
  <c r="M124" i="22" s="1"/>
  <c r="F128" i="22"/>
  <c r="H128" i="22" s="1"/>
  <c r="M128" i="22" s="1"/>
  <c r="F134" i="22"/>
  <c r="H134" i="22" s="1"/>
  <c r="M134" i="22" s="1"/>
  <c r="H98" i="23"/>
  <c r="M98" i="23" s="1"/>
  <c r="F35" i="22"/>
  <c r="H35" i="22" s="1"/>
  <c r="M35" i="22" s="1"/>
  <c r="F80" i="22"/>
  <c r="J80" i="22" s="1"/>
  <c r="M80" i="22" s="1"/>
  <c r="F296" i="22"/>
  <c r="H296" i="22" s="1"/>
  <c r="M296" i="22" s="1"/>
  <c r="F306" i="22"/>
  <c r="H306" i="22" s="1"/>
  <c r="M306" i="22" s="1"/>
  <c r="F327" i="22"/>
  <c r="J327" i="22" s="1"/>
  <c r="M327" i="22" s="1"/>
  <c r="F359" i="22"/>
  <c r="J359" i="22" s="1"/>
  <c r="M359" i="22" s="1"/>
  <c r="F175" i="22"/>
  <c r="H175" i="22" s="1"/>
  <c r="M175" i="22" s="1"/>
  <c r="F319" i="22"/>
  <c r="F321" i="22" s="1"/>
  <c r="L321" i="22" s="1"/>
  <c r="M321" i="22" s="1"/>
  <c r="F41" i="22"/>
  <c r="H41" i="22" s="1"/>
  <c r="M41" i="22" s="1"/>
  <c r="F82" i="22"/>
  <c r="L82" i="22" s="1"/>
  <c r="M82" i="22" s="1"/>
  <c r="F86" i="22"/>
  <c r="L86" i="22" s="1"/>
  <c r="M86" i="22" s="1"/>
  <c r="F171" i="22"/>
  <c r="J171" i="22" s="1"/>
  <c r="M171" i="22" s="1"/>
  <c r="F22" i="22"/>
  <c r="J22" i="22" s="1"/>
  <c r="M22" i="22" s="1"/>
  <c r="F83" i="22"/>
  <c r="H83" i="22" s="1"/>
  <c r="M83" i="22" s="1"/>
  <c r="F132" i="22"/>
  <c r="H132" i="22" s="1"/>
  <c r="M132" i="22" s="1"/>
  <c r="F173" i="22"/>
  <c r="H173" i="22" s="1"/>
  <c r="M173" i="22" s="1"/>
  <c r="F351" i="22"/>
  <c r="H351" i="22" s="1"/>
  <c r="M351" i="22" s="1"/>
  <c r="F267" i="22"/>
  <c r="J267" i="22" s="1"/>
  <c r="M267" i="22" s="1"/>
  <c r="M10" i="18"/>
  <c r="H41" i="26"/>
  <c r="L41" i="26"/>
  <c r="M17" i="24"/>
  <c r="M14" i="24"/>
  <c r="F21" i="24"/>
  <c r="H21" i="24" s="1"/>
  <c r="M21" i="24" s="1"/>
  <c r="F24" i="24"/>
  <c r="J24" i="24" s="1"/>
  <c r="M24" i="24" s="1"/>
  <c r="F30" i="24"/>
  <c r="H30" i="24" s="1"/>
  <c r="M30" i="24" s="1"/>
  <c r="F20" i="24"/>
  <c r="L20" i="24" s="1"/>
  <c r="F28" i="24"/>
  <c r="L28" i="24" s="1"/>
  <c r="M28" i="24" s="1"/>
  <c r="M46" i="23"/>
  <c r="M22" i="23"/>
  <c r="F15" i="23"/>
  <c r="L15" i="23" s="1"/>
  <c r="F27" i="23"/>
  <c r="H27" i="23" s="1"/>
  <c r="M27" i="23" s="1"/>
  <c r="M96" i="23"/>
  <c r="F26" i="23"/>
  <c r="H26" i="23" s="1"/>
  <c r="M26" i="23" s="1"/>
  <c r="F49" i="23"/>
  <c r="H49" i="23" s="1"/>
  <c r="M49" i="23" s="1"/>
  <c r="F25" i="23"/>
  <c r="L25" i="23" s="1"/>
  <c r="M25" i="23" s="1"/>
  <c r="F47" i="23"/>
  <c r="L47" i="23" s="1"/>
  <c r="M91" i="23"/>
  <c r="M14" i="23"/>
  <c r="F35" i="23"/>
  <c r="L35" i="23" s="1"/>
  <c r="M35" i="23" s="1"/>
  <c r="F168" i="22"/>
  <c r="H168" i="22" s="1"/>
  <c r="M168" i="22" s="1"/>
  <c r="F166" i="22"/>
  <c r="J166" i="22" s="1"/>
  <c r="M166" i="22" s="1"/>
  <c r="F167" i="22"/>
  <c r="L167" i="22" s="1"/>
  <c r="M167" i="22" s="1"/>
  <c r="F169" i="22"/>
  <c r="H169" i="22" s="1"/>
  <c r="M169" i="22" s="1"/>
  <c r="F24" i="22"/>
  <c r="F25" i="22" s="1"/>
  <c r="J25" i="22" s="1"/>
  <c r="M25" i="22" s="1"/>
  <c r="F36" i="22"/>
  <c r="H36" i="22" s="1"/>
  <c r="M36" i="22" s="1"/>
  <c r="F33" i="22"/>
  <c r="J33" i="22" s="1"/>
  <c r="M33" i="22" s="1"/>
  <c r="F164" i="22"/>
  <c r="H164" i="22" s="1"/>
  <c r="M164" i="22" s="1"/>
  <c r="F156" i="22"/>
  <c r="L156" i="22" s="1"/>
  <c r="M156" i="22" s="1"/>
  <c r="F153" i="22"/>
  <c r="J153" i="22" s="1"/>
  <c r="M153" i="22" s="1"/>
  <c r="F154" i="22"/>
  <c r="L154" i="22" s="1"/>
  <c r="M154" i="22" s="1"/>
  <c r="F40" i="22"/>
  <c r="H40" i="22" s="1"/>
  <c r="M40" i="22" s="1"/>
  <c r="F59" i="22"/>
  <c r="H59" i="22" s="1"/>
  <c r="M59" i="22" s="1"/>
  <c r="F60" i="22"/>
  <c r="H60" i="22" s="1"/>
  <c r="M60" i="22" s="1"/>
  <c r="F61" i="22"/>
  <c r="H61" i="22" s="1"/>
  <c r="M61" i="22" s="1"/>
  <c r="F62" i="22"/>
  <c r="H62" i="22" s="1"/>
  <c r="M62" i="22" s="1"/>
  <c r="F130" i="22"/>
  <c r="J130" i="22" s="1"/>
  <c r="M130" i="22" s="1"/>
  <c r="F131" i="22"/>
  <c r="F272" i="22"/>
  <c r="F276" i="22"/>
  <c r="H276" i="22" s="1"/>
  <c r="M276" i="22" s="1"/>
  <c r="F270" i="22"/>
  <c r="L270" i="22" s="1"/>
  <c r="M270" i="22" s="1"/>
  <c r="F277" i="22"/>
  <c r="H277" i="22" s="1"/>
  <c r="M277" i="22" s="1"/>
  <c r="F271" i="22"/>
  <c r="L271" i="22" s="1"/>
  <c r="M271" i="22" s="1"/>
  <c r="F269" i="22"/>
  <c r="J269" i="22" s="1"/>
  <c r="M269" i="22" s="1"/>
  <c r="F39" i="22"/>
  <c r="L39" i="22" s="1"/>
  <c r="M39" i="22" s="1"/>
  <c r="F87" i="22"/>
  <c r="H87" i="22" s="1"/>
  <c r="M87" i="22" s="1"/>
  <c r="F88" i="22"/>
  <c r="H88" i="22" s="1"/>
  <c r="M88" i="22" s="1"/>
  <c r="F89" i="22"/>
  <c r="H89" i="22" s="1"/>
  <c r="M89" i="22" s="1"/>
  <c r="F90" i="22"/>
  <c r="H90" i="22" s="1"/>
  <c r="M90" i="22" s="1"/>
  <c r="F288" i="22"/>
  <c r="J288" i="22" s="1"/>
  <c r="M288" i="22" s="1"/>
  <c r="F290" i="22"/>
  <c r="H290" i="22" s="1"/>
  <c r="M290" i="22" s="1"/>
  <c r="F291" i="22"/>
  <c r="H291" i="22" s="1"/>
  <c r="M291" i="22" s="1"/>
  <c r="F289" i="22"/>
  <c r="L289" i="22" s="1"/>
  <c r="M289" i="22" s="1"/>
  <c r="F38" i="22"/>
  <c r="J38" i="22" s="1"/>
  <c r="M38" i="22" s="1"/>
  <c r="F42" i="22"/>
  <c r="H42" i="22" s="1"/>
  <c r="M42" i="22" s="1"/>
  <c r="F55" i="22"/>
  <c r="J55" i="22" s="1"/>
  <c r="M55" i="22" s="1"/>
  <c r="F56" i="22"/>
  <c r="L56" i="22" s="1"/>
  <c r="M56" i="22" s="1"/>
  <c r="F57" i="22"/>
  <c r="L57" i="22" s="1"/>
  <c r="M57" i="22" s="1"/>
  <c r="F172" i="22"/>
  <c r="L172" i="22" s="1"/>
  <c r="M172" i="22" s="1"/>
  <c r="F176" i="22"/>
  <c r="H176" i="22" s="1"/>
  <c r="M176" i="22" s="1"/>
  <c r="F332" i="22"/>
  <c r="H332" i="22" s="1"/>
  <c r="M332" i="22" s="1"/>
  <c r="F331" i="22"/>
  <c r="J331" i="22" s="1"/>
  <c r="M331" i="22" s="1"/>
  <c r="F333" i="22"/>
  <c r="H333" i="22" s="1"/>
  <c r="M333" i="22" s="1"/>
  <c r="F368" i="22"/>
  <c r="H368" i="22" s="1"/>
  <c r="M368" i="22" s="1"/>
  <c r="F364" i="22"/>
  <c r="J364" i="22" s="1"/>
  <c r="M364" i="22" s="1"/>
  <c r="F366" i="22"/>
  <c r="H366" i="22" s="1"/>
  <c r="M366" i="22" s="1"/>
  <c r="F367" i="22"/>
  <c r="H367" i="22" s="1"/>
  <c r="M367" i="22" s="1"/>
  <c r="F284" i="22"/>
  <c r="L284" i="22" s="1"/>
  <c r="M284" i="22" s="1"/>
  <c r="F285" i="22"/>
  <c r="H285" i="22" s="1"/>
  <c r="M285" i="22" s="1"/>
  <c r="F297" i="22"/>
  <c r="H297" i="22" s="1"/>
  <c r="M297" i="22" s="1"/>
  <c r="F304" i="22"/>
  <c r="F308" i="22"/>
  <c r="H308" i="22" s="1"/>
  <c r="M308" i="22" s="1"/>
  <c r="F329" i="22"/>
  <c r="H329" i="22" s="1"/>
  <c r="M329" i="22" s="1"/>
  <c r="F343" i="22"/>
  <c r="L343" i="22" s="1"/>
  <c r="M343" i="22" s="1"/>
  <c r="F349" i="22"/>
  <c r="L349" i="22" s="1"/>
  <c r="M349" i="22" s="1"/>
  <c r="F353" i="22"/>
  <c r="H353" i="22" s="1"/>
  <c r="M353" i="22" s="1"/>
  <c r="F361" i="22"/>
  <c r="H361" i="22" s="1"/>
  <c r="M361" i="22" s="1"/>
  <c r="F372" i="22"/>
  <c r="J372" i="22" s="1"/>
  <c r="M372" i="22" s="1"/>
  <c r="F283" i="22"/>
  <c r="J283" i="22" s="1"/>
  <c r="M283" i="22" s="1"/>
  <c r="F303" i="22"/>
  <c r="J303" i="22" s="1"/>
  <c r="M303" i="22" s="1"/>
  <c r="F307" i="22"/>
  <c r="H307" i="22" s="1"/>
  <c r="M307" i="22" s="1"/>
  <c r="F328" i="22"/>
  <c r="L328" i="22" s="1"/>
  <c r="M328" i="22" s="1"/>
  <c r="F342" i="22"/>
  <c r="J342" i="22" s="1"/>
  <c r="M342" i="22" s="1"/>
  <c r="F346" i="22"/>
  <c r="H346" i="22" s="1"/>
  <c r="M346" i="22" s="1"/>
  <c r="F348" i="22"/>
  <c r="J348" i="22" s="1"/>
  <c r="M348" i="22" s="1"/>
  <c r="F352" i="22"/>
  <c r="H352" i="22" s="1"/>
  <c r="M352" i="22" s="1"/>
  <c r="F360" i="22"/>
  <c r="L360" i="22" s="1"/>
  <c r="M360" i="22" s="1"/>
  <c r="F294" i="22"/>
  <c r="L294" i="22" s="1"/>
  <c r="M294" i="22" s="1"/>
  <c r="F305" i="22"/>
  <c r="H305" i="22" s="1"/>
  <c r="M305" i="22" s="1"/>
  <c r="F53" i="21"/>
  <c r="J53" i="21" s="1"/>
  <c r="M53" i="21" s="1"/>
  <c r="F58" i="21"/>
  <c r="J58" i="21" s="1"/>
  <c r="M58" i="21" s="1"/>
  <c r="F60" i="21"/>
  <c r="H60" i="21" s="1"/>
  <c r="M60" i="21" s="1"/>
  <c r="F61" i="21"/>
  <c r="H61" i="21" s="1"/>
  <c r="M61" i="21" s="1"/>
  <c r="F67" i="21"/>
  <c r="H67" i="21" s="1"/>
  <c r="M67" i="21" s="1"/>
  <c r="F14" i="21"/>
  <c r="L14" i="21" s="1"/>
  <c r="M14" i="21" s="1"/>
  <c r="F68" i="21"/>
  <c r="H68" i="21" s="1"/>
  <c r="M68" i="21" s="1"/>
  <c r="F66" i="21"/>
  <c r="H66" i="21" s="1"/>
  <c r="M66" i="21" s="1"/>
  <c r="F13" i="21"/>
  <c r="J13" i="21" s="1"/>
  <c r="M13" i="21" s="1"/>
  <c r="F19" i="21"/>
  <c r="L19" i="21" s="1"/>
  <c r="M19" i="21" s="1"/>
  <c r="F43" i="21"/>
  <c r="L43" i="21" s="1"/>
  <c r="M43" i="21" s="1"/>
  <c r="F59" i="21"/>
  <c r="L59" i="21" s="1"/>
  <c r="M59" i="21" s="1"/>
  <c r="F73" i="21"/>
  <c r="H73" i="21" s="1"/>
  <c r="M73" i="21" s="1"/>
  <c r="F18" i="21"/>
  <c r="J18" i="21" s="1"/>
  <c r="M18" i="21" s="1"/>
  <c r="F42" i="21"/>
  <c r="J42" i="21" s="1"/>
  <c r="M42" i="21" s="1"/>
  <c r="F64" i="21"/>
  <c r="J64" i="21" s="1"/>
  <c r="M64" i="21" s="1"/>
  <c r="F65" i="21"/>
  <c r="L65" i="21" s="1"/>
  <c r="M65" i="21" s="1"/>
  <c r="F106" i="21"/>
  <c r="H106" i="21" s="1"/>
  <c r="M106" i="21" s="1"/>
  <c r="F115" i="21"/>
  <c r="H115" i="21" s="1"/>
  <c r="M115" i="21" s="1"/>
  <c r="F120" i="21"/>
  <c r="H120" i="21" s="1"/>
  <c r="M120" i="21" s="1"/>
  <c r="F126" i="21"/>
  <c r="H126" i="21" s="1"/>
  <c r="M126" i="21" s="1"/>
  <c r="F156" i="21"/>
  <c r="L156" i="21" s="1"/>
  <c r="M156" i="21" s="1"/>
  <c r="F161" i="21"/>
  <c r="H161" i="21" s="1"/>
  <c r="M161" i="21" s="1"/>
  <c r="F167" i="21"/>
  <c r="H167" i="21" s="1"/>
  <c r="M167" i="21" s="1"/>
  <c r="F211" i="21"/>
  <c r="H211" i="21" s="1"/>
  <c r="M211" i="21" s="1"/>
  <c r="F95" i="21"/>
  <c r="H95" i="21" s="1"/>
  <c r="M95" i="21" s="1"/>
  <c r="F96" i="21"/>
  <c r="H96" i="21" s="1"/>
  <c r="M96" i="21" s="1"/>
  <c r="F114" i="21"/>
  <c r="L114" i="21" s="1"/>
  <c r="M114" i="21" s="1"/>
  <c r="F119" i="21"/>
  <c r="H119" i="21" s="1"/>
  <c r="M119" i="21" s="1"/>
  <c r="F125" i="21"/>
  <c r="H125" i="21" s="1"/>
  <c r="M125" i="21" s="1"/>
  <c r="F166" i="21"/>
  <c r="L166" i="21" s="1"/>
  <c r="M166" i="21" s="1"/>
  <c r="F209" i="21"/>
  <c r="L209" i="21" s="1"/>
  <c r="M209" i="21" s="1"/>
  <c r="F210" i="21"/>
  <c r="H210" i="21" s="1"/>
  <c r="M210" i="21" s="1"/>
  <c r="F94" i="21"/>
  <c r="H94" i="21" s="1"/>
  <c r="M94" i="21" s="1"/>
  <c r="F105" i="21"/>
  <c r="F111" i="21"/>
  <c r="J111" i="21" s="1"/>
  <c r="M111" i="21" s="1"/>
  <c r="F113" i="21"/>
  <c r="J113" i="21" s="1"/>
  <c r="M113" i="21" s="1"/>
  <c r="F117" i="21"/>
  <c r="H117" i="21" s="1"/>
  <c r="M117" i="21" s="1"/>
  <c r="F118" i="21"/>
  <c r="H118" i="21" s="1"/>
  <c r="M118" i="21" s="1"/>
  <c r="F124" i="21"/>
  <c r="L124" i="21" s="1"/>
  <c r="M124" i="21" s="1"/>
  <c r="F165" i="21"/>
  <c r="J165" i="21" s="1"/>
  <c r="M165" i="21" s="1"/>
  <c r="J173" i="21"/>
  <c r="M173" i="21" s="1"/>
  <c r="F92" i="21"/>
  <c r="J92" i="21" s="1"/>
  <c r="M92" i="21" s="1"/>
  <c r="F103" i="21"/>
  <c r="J103" i="21" s="1"/>
  <c r="M103" i="21" s="1"/>
  <c r="F116" i="21"/>
  <c r="H116" i="21" s="1"/>
  <c r="M116" i="21" s="1"/>
  <c r="F157" i="21"/>
  <c r="H157" i="21" s="1"/>
  <c r="M157" i="21" s="1"/>
  <c r="L53" i="20"/>
  <c r="M22" i="20"/>
  <c r="M13" i="20"/>
  <c r="M14" i="20"/>
  <c r="P23" i="19"/>
  <c r="M13" i="19"/>
  <c r="Q18" i="19"/>
  <c r="Q23" i="19" s="1"/>
  <c r="F50" i="19" s="1"/>
  <c r="F57" i="19"/>
  <c r="L57" i="19" s="1"/>
  <c r="M57" i="19" s="1"/>
  <c r="F125" i="19"/>
  <c r="H125" i="19" s="1"/>
  <c r="M125" i="19" s="1"/>
  <c r="F141" i="19"/>
  <c r="H141" i="19" s="1"/>
  <c r="M141" i="19" s="1"/>
  <c r="F160" i="19"/>
  <c r="J160" i="19" s="1"/>
  <c r="M160" i="19" s="1"/>
  <c r="F162" i="19"/>
  <c r="H162" i="19" s="1"/>
  <c r="M162" i="19" s="1"/>
  <c r="F177" i="19"/>
  <c r="H177" i="19" s="1"/>
  <c r="M177" i="19" s="1"/>
  <c r="F176" i="19"/>
  <c r="H176" i="19" s="1"/>
  <c r="M176" i="19" s="1"/>
  <c r="F175" i="19"/>
  <c r="L175" i="19" s="1"/>
  <c r="M175" i="19" s="1"/>
  <c r="F174" i="19"/>
  <c r="J174" i="19" s="1"/>
  <c r="M174" i="19" s="1"/>
  <c r="F122" i="19"/>
  <c r="L122" i="19" s="1"/>
  <c r="M122" i="19" s="1"/>
  <c r="F123" i="19"/>
  <c r="H123" i="19" s="1"/>
  <c r="M123" i="19" s="1"/>
  <c r="F127" i="19"/>
  <c r="H127" i="19" s="1"/>
  <c r="M127" i="19" s="1"/>
  <c r="F130" i="19"/>
  <c r="F139" i="19"/>
  <c r="L139" i="19" s="1"/>
  <c r="M139" i="19" s="1"/>
  <c r="F143" i="19"/>
  <c r="H143" i="19" s="1"/>
  <c r="M143" i="19" s="1"/>
  <c r="F121" i="19"/>
  <c r="J121" i="19" s="1"/>
  <c r="M121" i="19" s="1"/>
  <c r="F126" i="19"/>
  <c r="H126" i="19" s="1"/>
  <c r="M126" i="19" s="1"/>
  <c r="F138" i="19"/>
  <c r="J138" i="19" s="1"/>
  <c r="M138" i="19" s="1"/>
  <c r="F164" i="19"/>
  <c r="H164" i="19" s="1"/>
  <c r="M164" i="19" s="1"/>
  <c r="F165" i="19"/>
  <c r="H165" i="19" s="1"/>
  <c r="M165" i="19" s="1"/>
  <c r="F163" i="19"/>
  <c r="H163" i="19" s="1"/>
  <c r="M163" i="19" s="1"/>
  <c r="F193" i="19"/>
  <c r="L193" i="19" s="1"/>
  <c r="M193" i="19" s="1"/>
  <c r="F221" i="19"/>
  <c r="L221" i="19" s="1"/>
  <c r="M221" i="19" s="1"/>
  <c r="F234" i="19"/>
  <c r="H234" i="19" s="1"/>
  <c r="M234" i="19" s="1"/>
  <c r="F240" i="19"/>
  <c r="H240" i="19" s="1"/>
  <c r="M240" i="19" s="1"/>
  <c r="F245" i="19"/>
  <c r="H245" i="19" s="1"/>
  <c r="M245" i="19" s="1"/>
  <c r="F251" i="19"/>
  <c r="H251" i="19" s="1"/>
  <c r="M251" i="19" s="1"/>
  <c r="F258" i="19"/>
  <c r="L258" i="19" s="1"/>
  <c r="M258" i="19" s="1"/>
  <c r="F220" i="19"/>
  <c r="L220" i="19" s="1"/>
  <c r="M220" i="19" s="1"/>
  <c r="F239" i="19"/>
  <c r="L239" i="19" s="1"/>
  <c r="M239" i="19" s="1"/>
  <c r="F250" i="19"/>
  <c r="L250" i="19" s="1"/>
  <c r="M250" i="19" s="1"/>
  <c r="F254" i="19"/>
  <c r="H254" i="19" s="1"/>
  <c r="M254" i="19" s="1"/>
  <c r="F257" i="19"/>
  <c r="L257" i="19" s="1"/>
  <c r="M257" i="19" s="1"/>
  <c r="F200" i="19"/>
  <c r="L200" i="19" s="1"/>
  <c r="M200" i="19" s="1"/>
  <c r="F204" i="19"/>
  <c r="H204" i="19" s="1"/>
  <c r="M204" i="19" s="1"/>
  <c r="F219" i="19"/>
  <c r="J219" i="19" s="1"/>
  <c r="M219" i="19" s="1"/>
  <c r="F224" i="19"/>
  <c r="H224" i="19" s="1"/>
  <c r="M224" i="19" s="1"/>
  <c r="F232" i="19"/>
  <c r="L232" i="19" s="1"/>
  <c r="M232" i="19" s="1"/>
  <c r="F236" i="19"/>
  <c r="H236" i="19" s="1"/>
  <c r="M236" i="19" s="1"/>
  <c r="F238" i="19"/>
  <c r="J238" i="19" s="1"/>
  <c r="M238" i="19" s="1"/>
  <c r="F247" i="19"/>
  <c r="H247" i="19" s="1"/>
  <c r="M247" i="19" s="1"/>
  <c r="F249" i="19"/>
  <c r="J249" i="19" s="1"/>
  <c r="M249" i="19" s="1"/>
  <c r="F253" i="19"/>
  <c r="H253" i="19" s="1"/>
  <c r="M253" i="19" s="1"/>
  <c r="F256" i="19"/>
  <c r="J256" i="19" s="1"/>
  <c r="M256" i="19" s="1"/>
  <c r="F260" i="19"/>
  <c r="F199" i="19"/>
  <c r="J199" i="19" s="1"/>
  <c r="M199" i="19" s="1"/>
  <c r="F226" i="19"/>
  <c r="J226" i="19" s="1"/>
  <c r="M226" i="19" s="1"/>
  <c r="F227" i="19"/>
  <c r="L227" i="19" s="1"/>
  <c r="M227" i="19" s="1"/>
  <c r="F228" i="19"/>
  <c r="H228" i="19" s="1"/>
  <c r="M228" i="19" s="1"/>
  <c r="F231" i="19"/>
  <c r="J231" i="19" s="1"/>
  <c r="M231" i="19" s="1"/>
  <c r="J12" i="18"/>
  <c r="M15" i="18" s="1"/>
  <c r="M50" i="17"/>
  <c r="M12" i="17"/>
  <c r="M51" i="17"/>
  <c r="F38" i="17"/>
  <c r="J38" i="17" s="1"/>
  <c r="M38" i="17" s="1"/>
  <c r="F39" i="17"/>
  <c r="L39" i="17" s="1"/>
  <c r="M39" i="17" s="1"/>
  <c r="M22" i="17"/>
  <c r="M49" i="17"/>
  <c r="F19" i="17"/>
  <c r="H19" i="17" s="1"/>
  <c r="F55" i="17"/>
  <c r="L55" i="17" s="1"/>
  <c r="M55" i="17" s="1"/>
  <c r="F34" i="17"/>
  <c r="H34" i="17" s="1"/>
  <c r="M34" i="17" s="1"/>
  <c r="F52" i="17"/>
  <c r="H52" i="17" s="1"/>
  <c r="M52" i="17" s="1"/>
  <c r="F54" i="17"/>
  <c r="J54" i="17" s="1"/>
  <c r="M54" i="17" s="1"/>
  <c r="F15" i="17"/>
  <c r="F16" i="17" s="1"/>
  <c r="J16" i="17" s="1"/>
  <c r="M16" i="17" s="1"/>
  <c r="F14" i="17"/>
  <c r="J14" i="17" s="1"/>
  <c r="M14" i="17" s="1"/>
  <c r="F16" i="16"/>
  <c r="L16" i="16" s="1"/>
  <c r="M16" i="16" s="1"/>
  <c r="F19" i="16"/>
  <c r="L19" i="16" s="1"/>
  <c r="M19" i="16" s="1"/>
  <c r="F15" i="16"/>
  <c r="L15" i="16" s="1"/>
  <c r="M15" i="16" s="1"/>
  <c r="F14" i="16"/>
  <c r="L14" i="16" s="1"/>
  <c r="F57" i="16"/>
  <c r="H57" i="16" s="1"/>
  <c r="M57" i="16" s="1"/>
  <c r="F13" i="16"/>
  <c r="J13" i="16" s="1"/>
  <c r="F37" i="16"/>
  <c r="H37" i="16" s="1"/>
  <c r="M37" i="16" s="1"/>
  <c r="F33" i="16"/>
  <c r="J33" i="16" s="1"/>
  <c r="M33" i="16" s="1"/>
  <c r="F36" i="16"/>
  <c r="H36" i="16" s="1"/>
  <c r="M36" i="16" s="1"/>
  <c r="F38" i="16"/>
  <c r="H38" i="16" s="1"/>
  <c r="M38" i="16" s="1"/>
  <c r="F84" i="16"/>
  <c r="L84" i="16" s="1"/>
  <c r="M84" i="16" s="1"/>
  <c r="F83" i="16"/>
  <c r="J83" i="16" s="1"/>
  <c r="M83" i="16" s="1"/>
  <c r="F135" i="16"/>
  <c r="H135" i="16" s="1"/>
  <c r="M135" i="16" s="1"/>
  <c r="F68" i="16"/>
  <c r="L68" i="16" s="1"/>
  <c r="M68" i="16" s="1"/>
  <c r="F78" i="16"/>
  <c r="H78" i="16" s="1"/>
  <c r="M78" i="16" s="1"/>
  <c r="F74" i="16"/>
  <c r="H74" i="16" s="1"/>
  <c r="M74" i="16" s="1"/>
  <c r="F69" i="16"/>
  <c r="L69" i="16" s="1"/>
  <c r="M69" i="16" s="1"/>
  <c r="F75" i="16"/>
  <c r="H75" i="16" s="1"/>
  <c r="M75" i="16" s="1"/>
  <c r="F67" i="16"/>
  <c r="J67" i="16" s="1"/>
  <c r="M67" i="16" s="1"/>
  <c r="F73" i="16"/>
  <c r="H73" i="16" s="1"/>
  <c r="M73" i="16" s="1"/>
  <c r="F119" i="16"/>
  <c r="L119" i="16" s="1"/>
  <c r="M119" i="16" s="1"/>
  <c r="F126" i="16"/>
  <c r="H126" i="16" s="1"/>
  <c r="M126" i="16" s="1"/>
  <c r="F120" i="16"/>
  <c r="L120" i="16" s="1"/>
  <c r="M120" i="16" s="1"/>
  <c r="F127" i="16"/>
  <c r="H127" i="16" s="1"/>
  <c r="M127" i="16" s="1"/>
  <c r="F118" i="16"/>
  <c r="J118" i="16" s="1"/>
  <c r="M118" i="16" s="1"/>
  <c r="M23" i="16"/>
  <c r="F29" i="16"/>
  <c r="L29" i="16" s="1"/>
  <c r="M29" i="16" s="1"/>
  <c r="F30" i="16"/>
  <c r="H30" i="16" s="1"/>
  <c r="M30" i="16" s="1"/>
  <c r="F43" i="16"/>
  <c r="L43" i="16" s="1"/>
  <c r="M43" i="16" s="1"/>
  <c r="F124" i="16"/>
  <c r="H124" i="16" s="1"/>
  <c r="M124" i="16" s="1"/>
  <c r="F141" i="16"/>
  <c r="H141" i="16" s="1"/>
  <c r="M141" i="16" s="1"/>
  <c r="F143" i="16"/>
  <c r="J143" i="16" s="1"/>
  <c r="M143" i="16" s="1"/>
  <c r="F138" i="16"/>
  <c r="L138" i="16" s="1"/>
  <c r="M138" i="16" s="1"/>
  <c r="F86" i="16"/>
  <c r="H86" i="16" s="1"/>
  <c r="M86" i="16" s="1"/>
  <c r="F44" i="16"/>
  <c r="H44" i="16" s="1"/>
  <c r="M44" i="16" s="1"/>
  <c r="F46" i="16"/>
  <c r="H46" i="16" s="1"/>
  <c r="M46" i="16" s="1"/>
  <c r="F179" i="19" l="1"/>
  <c r="J179" i="19" s="1"/>
  <c r="M179" i="19" s="1"/>
  <c r="F121" i="16"/>
  <c r="J53" i="20"/>
  <c r="M56" i="20" s="1"/>
  <c r="F325" i="22"/>
  <c r="H325" i="22" s="1"/>
  <c r="M325" i="22" s="1"/>
  <c r="F324" i="22"/>
  <c r="H324" i="22" s="1"/>
  <c r="M324" i="22" s="1"/>
  <c r="H53" i="20"/>
  <c r="F170" i="19"/>
  <c r="F172" i="19" s="1"/>
  <c r="L172" i="19" s="1"/>
  <c r="M172" i="19" s="1"/>
  <c r="F182" i="19"/>
  <c r="H182" i="19" s="1"/>
  <c r="M182" i="19" s="1"/>
  <c r="F184" i="19"/>
  <c r="H184" i="19" s="1"/>
  <c r="M184" i="19" s="1"/>
  <c r="F134" i="16"/>
  <c r="H134" i="16" s="1"/>
  <c r="M134" i="16" s="1"/>
  <c r="F133" i="16"/>
  <c r="H133" i="16" s="1"/>
  <c r="M133" i="16" s="1"/>
  <c r="F131" i="16"/>
  <c r="J131" i="16" s="1"/>
  <c r="M131" i="16" s="1"/>
  <c r="F90" i="16"/>
  <c r="H90" i="16" s="1"/>
  <c r="M90" i="16" s="1"/>
  <c r="F88" i="16"/>
  <c r="H88" i="16" s="1"/>
  <c r="M88" i="16" s="1"/>
  <c r="F320" i="22"/>
  <c r="J320" i="22" s="1"/>
  <c r="M320" i="22" s="1"/>
  <c r="M99" i="23"/>
  <c r="M102" i="23" s="1"/>
  <c r="M103" i="23" s="1"/>
  <c r="M104" i="23" s="1"/>
  <c r="F322" i="22"/>
  <c r="H322" i="22" s="1"/>
  <c r="M322" i="22" s="1"/>
  <c r="J39" i="23"/>
  <c r="F54" i="21"/>
  <c r="H54" i="21" s="1"/>
  <c r="M54" i="21" s="1"/>
  <c r="F323" i="22"/>
  <c r="H323" i="22" s="1"/>
  <c r="M323" i="22" s="1"/>
  <c r="F183" i="19"/>
  <c r="H183" i="19" s="1"/>
  <c r="M183" i="19" s="1"/>
  <c r="F181" i="19"/>
  <c r="H181" i="19" s="1"/>
  <c r="M181" i="19" s="1"/>
  <c r="L41" i="17"/>
  <c r="J61" i="24"/>
  <c r="J80" i="23"/>
  <c r="M83" i="23" s="1"/>
  <c r="M42" i="26"/>
  <c r="M41" i="26"/>
  <c r="M20" i="24"/>
  <c r="L61" i="24"/>
  <c r="H61" i="24"/>
  <c r="H80" i="23"/>
  <c r="L80" i="23"/>
  <c r="M47" i="23"/>
  <c r="H39" i="23"/>
  <c r="M15" i="23"/>
  <c r="L39" i="23"/>
  <c r="L131" i="22"/>
  <c r="J131" i="22"/>
  <c r="F72" i="22"/>
  <c r="L72" i="22" s="1"/>
  <c r="M72" i="22" s="1"/>
  <c r="F71" i="22"/>
  <c r="J71" i="22" s="1"/>
  <c r="M71" i="22" s="1"/>
  <c r="F73" i="22"/>
  <c r="H73" i="22" s="1"/>
  <c r="M73" i="22" s="1"/>
  <c r="F74" i="22"/>
  <c r="H74" i="22" s="1"/>
  <c r="M74" i="22" s="1"/>
  <c r="F75" i="22"/>
  <c r="H75" i="22" s="1"/>
  <c r="M75" i="22" s="1"/>
  <c r="J213" i="21"/>
  <c r="L213" i="21"/>
  <c r="F52" i="19"/>
  <c r="L52" i="19" s="1"/>
  <c r="M52" i="19" s="1"/>
  <c r="F53" i="19"/>
  <c r="H53" i="19" s="1"/>
  <c r="M53" i="19" s="1"/>
  <c r="F54" i="19"/>
  <c r="H54" i="19" s="1"/>
  <c r="M54" i="19" s="1"/>
  <c r="F51" i="19"/>
  <c r="J51" i="19" s="1"/>
  <c r="M51" i="19" s="1"/>
  <c r="F265" i="19"/>
  <c r="H265" i="19" s="1"/>
  <c r="M265" i="19" s="1"/>
  <c r="F261" i="19"/>
  <c r="J261" i="19" s="1"/>
  <c r="M261" i="19" s="1"/>
  <c r="F266" i="19"/>
  <c r="H266" i="19" s="1"/>
  <c r="M266" i="19" s="1"/>
  <c r="F262" i="19"/>
  <c r="L262" i="19" s="1"/>
  <c r="M262" i="19" s="1"/>
  <c r="F267" i="19"/>
  <c r="H267" i="19" s="1"/>
  <c r="M267" i="19" s="1"/>
  <c r="F263" i="19"/>
  <c r="H263" i="19" s="1"/>
  <c r="M263" i="19" s="1"/>
  <c r="F264" i="19"/>
  <c r="H264" i="19" s="1"/>
  <c r="M264" i="19" s="1"/>
  <c r="F136" i="19"/>
  <c r="H136" i="19" s="1"/>
  <c r="M136" i="19" s="1"/>
  <c r="F131" i="19"/>
  <c r="J131" i="19" s="1"/>
  <c r="M131" i="19" s="1"/>
  <c r="F133" i="19"/>
  <c r="H133" i="19" s="1"/>
  <c r="M133" i="19" s="1"/>
  <c r="F132" i="19"/>
  <c r="F134" i="19"/>
  <c r="H134" i="19" s="1"/>
  <c r="M134" i="19" s="1"/>
  <c r="F135" i="19"/>
  <c r="H135" i="19" s="1"/>
  <c r="M135" i="19" s="1"/>
  <c r="F14" i="19"/>
  <c r="F19" i="19"/>
  <c r="M12" i="18"/>
  <c r="M16" i="18" s="1"/>
  <c r="F64" i="17"/>
  <c r="H64" i="17" s="1"/>
  <c r="M64" i="17" s="1"/>
  <c r="F60" i="17"/>
  <c r="J60" i="17" s="1"/>
  <c r="F61" i="17"/>
  <c r="L61" i="17" s="1"/>
  <c r="M61" i="17" s="1"/>
  <c r="J41" i="17"/>
  <c r="H41" i="17"/>
  <c r="M19" i="17"/>
  <c r="F96" i="16"/>
  <c r="H96" i="16" s="1"/>
  <c r="M96" i="16" s="1"/>
  <c r="F93" i="16"/>
  <c r="J93" i="16" s="1"/>
  <c r="M93" i="16" s="1"/>
  <c r="F94" i="16"/>
  <c r="L94" i="16" s="1"/>
  <c r="M94" i="16" s="1"/>
  <c r="F95" i="16"/>
  <c r="H95" i="16" s="1"/>
  <c r="M95" i="16" s="1"/>
  <c r="F53" i="16"/>
  <c r="L53" i="16" s="1"/>
  <c r="M53" i="16" s="1"/>
  <c r="F59" i="16"/>
  <c r="H59" i="16" s="1"/>
  <c r="M59" i="16" s="1"/>
  <c r="F60" i="16"/>
  <c r="H60" i="16" s="1"/>
  <c r="M60" i="16" s="1"/>
  <c r="F58" i="16"/>
  <c r="H58" i="16" s="1"/>
  <c r="M58" i="16" s="1"/>
  <c r="F56" i="16"/>
  <c r="F52" i="16"/>
  <c r="J52" i="16" s="1"/>
  <c r="M52" i="16" s="1"/>
  <c r="F55" i="16"/>
  <c r="L55" i="16" s="1"/>
  <c r="M55" i="16" s="1"/>
  <c r="F54" i="16"/>
  <c r="L54" i="16" s="1"/>
  <c r="M54" i="16" s="1"/>
  <c r="M13" i="16"/>
  <c r="M14" i="16"/>
  <c r="M53" i="20" l="1"/>
  <c r="F171" i="19"/>
  <c r="J171" i="19" s="1"/>
  <c r="M171" i="19" s="1"/>
  <c r="M54" i="20"/>
  <c r="M57" i="20" s="1"/>
  <c r="M58" i="20" s="1"/>
  <c r="M59" i="20" s="1"/>
  <c r="H213" i="21"/>
  <c r="M214" i="21" s="1"/>
  <c r="H377" i="22"/>
  <c r="M378" i="22" s="1"/>
  <c r="M17" i="18"/>
  <c r="M18" i="18" s="1"/>
  <c r="M45" i="26"/>
  <c r="M46" i="26" s="1"/>
  <c r="M47" i="26" s="1"/>
  <c r="L377" i="22"/>
  <c r="M131" i="22"/>
  <c r="M377" i="22" s="1"/>
  <c r="M62" i="24"/>
  <c r="M61" i="24"/>
  <c r="M80" i="23"/>
  <c r="M81" i="23"/>
  <c r="M40" i="23"/>
  <c r="M39" i="23"/>
  <c r="J377" i="22"/>
  <c r="H19" i="19"/>
  <c r="F23" i="19"/>
  <c r="F22" i="19"/>
  <c r="F21" i="19"/>
  <c r="F20" i="19"/>
  <c r="J19" i="19"/>
  <c r="J132" i="19"/>
  <c r="L132" i="19"/>
  <c r="F18" i="19"/>
  <c r="H18" i="19" s="1"/>
  <c r="M18" i="19" s="1"/>
  <c r="F15" i="19"/>
  <c r="J15" i="19" s="1"/>
  <c r="F16" i="19"/>
  <c r="L16" i="19" s="1"/>
  <c r="F17" i="19"/>
  <c r="H17" i="19" s="1"/>
  <c r="M42" i="17"/>
  <c r="M41" i="17"/>
  <c r="M60" i="17"/>
  <c r="J79" i="17"/>
  <c r="M81" i="17" s="1"/>
  <c r="L79" i="17"/>
  <c r="H79" i="17"/>
  <c r="H153" i="16"/>
  <c r="L153" i="16"/>
  <c r="J153" i="16"/>
  <c r="M213" i="21" l="1"/>
  <c r="M215" i="21" s="1"/>
  <c r="M216" i="21" s="1"/>
  <c r="M217" i="21" s="1"/>
  <c r="M379" i="22"/>
  <c r="M380" i="22" s="1"/>
  <c r="M381" i="22" s="1"/>
  <c r="M382" i="22" s="1"/>
  <c r="M383" i="22" s="1"/>
  <c r="M43" i="17"/>
  <c r="M44" i="17" s="1"/>
  <c r="M45" i="17" s="1"/>
  <c r="M132" i="19"/>
  <c r="M41" i="23"/>
  <c r="M42" i="23" s="1"/>
  <c r="M43" i="23" s="1"/>
  <c r="M63" i="24"/>
  <c r="M64" i="24" s="1"/>
  <c r="M65" i="24" s="1"/>
  <c r="M84" i="23"/>
  <c r="M48" i="26"/>
  <c r="M49" i="26" s="1"/>
  <c r="M60" i="20"/>
  <c r="M61" i="20" s="1"/>
  <c r="M15" i="19"/>
  <c r="H22" i="19"/>
  <c r="J22" i="19"/>
  <c r="H23" i="19"/>
  <c r="J23" i="19"/>
  <c r="M17" i="19"/>
  <c r="H20" i="19"/>
  <c r="J20" i="19"/>
  <c r="M19" i="19"/>
  <c r="L273" i="19"/>
  <c r="M16" i="19"/>
  <c r="H21" i="19"/>
  <c r="J21" i="19"/>
  <c r="M19" i="18"/>
  <c r="M20" i="18" s="1"/>
  <c r="M80" i="17"/>
  <c r="M79" i="17"/>
  <c r="M154" i="16"/>
  <c r="M153" i="16"/>
  <c r="H273" i="19" l="1"/>
  <c r="M274" i="19" s="1"/>
  <c r="M22" i="19"/>
  <c r="J273" i="19"/>
  <c r="M155" i="16"/>
  <c r="M156" i="16" s="1"/>
  <c r="M157" i="16" s="1"/>
  <c r="M85" i="23"/>
  <c r="H86" i="23" s="1"/>
  <c r="M86" i="23" s="1"/>
  <c r="M87" i="23" s="1"/>
  <c r="M106" i="23" s="1"/>
  <c r="M82" i="17"/>
  <c r="M83" i="17" s="1"/>
  <c r="M84" i="17" s="1"/>
  <c r="M85" i="17" s="1"/>
  <c r="M50" i="26"/>
  <c r="M51" i="26" s="1"/>
  <c r="D22" i="25" s="1"/>
  <c r="G22" i="25" s="1"/>
  <c r="M66" i="24"/>
  <c r="M67" i="24" s="1"/>
  <c r="M384" i="22"/>
  <c r="M385" i="22" s="1"/>
  <c r="M219" i="21"/>
  <c r="M220" i="21" s="1"/>
  <c r="M62" i="20"/>
  <c r="M63" i="20" s="1"/>
  <c r="D15" i="25" s="1"/>
  <c r="G15" i="25" s="1"/>
  <c r="M21" i="19"/>
  <c r="M20" i="19"/>
  <c r="M23" i="19"/>
  <c r="M21" i="18"/>
  <c r="M22" i="18" s="1"/>
  <c r="D11" i="25" s="1"/>
  <c r="G11" i="25" s="1"/>
  <c r="M273" i="19" l="1"/>
  <c r="M275" i="19" s="1"/>
  <c r="M276" i="19" s="1"/>
  <c r="M277" i="19" s="1"/>
  <c r="M68" i="24"/>
  <c r="M69" i="24" s="1"/>
  <c r="M386" i="22"/>
  <c r="M387" i="22" s="1"/>
  <c r="D19" i="25" s="1"/>
  <c r="G19" i="25" s="1"/>
  <c r="M221" i="21"/>
  <c r="M222" i="21" s="1"/>
  <c r="M86" i="17"/>
  <c r="M87" i="17" s="1"/>
  <c r="M158" i="16"/>
  <c r="M159" i="16" s="1"/>
  <c r="M70" i="24" l="1"/>
  <c r="M71" i="24" s="1"/>
  <c r="D21" i="25" s="1"/>
  <c r="G21" i="25" s="1"/>
  <c r="M107" i="23"/>
  <c r="M108" i="23" s="1"/>
  <c r="M223" i="21"/>
  <c r="M224" i="21" s="1"/>
  <c r="D16" i="25" s="1"/>
  <c r="G16" i="25" s="1"/>
  <c r="M278" i="19"/>
  <c r="M279" i="19" s="1"/>
  <c r="M88" i="17"/>
  <c r="M89" i="17" s="1"/>
  <c r="D10" i="25" s="1"/>
  <c r="G10" i="25" s="1"/>
  <c r="M160" i="16"/>
  <c r="M161" i="16" s="1"/>
  <c r="M109" i="23" l="1"/>
  <c r="M110" i="23" s="1"/>
  <c r="D20" i="25" s="1"/>
  <c r="G20" i="25" s="1"/>
  <c r="M280" i="19"/>
  <c r="M281" i="19" s="1"/>
  <c r="M162" i="16"/>
  <c r="M163" i="16" s="1"/>
  <c r="D9" i="25" s="1"/>
  <c r="G9" i="25" s="1"/>
  <c r="M282" i="19" l="1"/>
  <c r="M283" i="19" s="1"/>
  <c r="D14" i="25" s="1"/>
  <c r="G14" i="25" s="1"/>
  <c r="G24" i="25" s="1"/>
</calcChain>
</file>

<file path=xl/comments1.xml><?xml version="1.0" encoding="utf-8"?>
<comments xmlns="http://schemas.openxmlformats.org/spreadsheetml/2006/main">
  <authors>
    <author>Author</author>
  </authors>
  <commentList>
    <comment ref="E150" authorId="0" shape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0,0023</t>
        </r>
      </text>
    </comment>
  </commentList>
</comments>
</file>

<file path=xl/sharedStrings.xml><?xml version="1.0" encoding="utf-8"?>
<sst xmlns="http://schemas.openxmlformats.org/spreadsheetml/2006/main" count="3189" uniqueCount="1011">
  <si>
    <t>##</t>
  </si>
  <si>
    <t>სამუშაოს დასახელება</t>
  </si>
  <si>
    <t>განზ/ ერთეული</t>
  </si>
  <si>
    <t>მოცულობა</t>
  </si>
  <si>
    <t>gauTvaliswinebeli xarjebi</t>
  </si>
  <si>
    <t>kg</t>
  </si>
  <si>
    <t>sul</t>
  </si>
  <si>
    <t>lari</t>
  </si>
  <si>
    <t>sxva manqanebi</t>
  </si>
  <si>
    <t>kac/sT</t>
  </si>
  <si>
    <t>sxva masalebi</t>
  </si>
  <si>
    <t>I</t>
  </si>
  <si>
    <t>IV</t>
  </si>
  <si>
    <t>VI</t>
  </si>
  <si>
    <t>m3</t>
  </si>
  <si>
    <t>grZ.m</t>
  </si>
  <si>
    <t>erTeulze</t>
  </si>
  <si>
    <t>SromiTi resursebi</t>
  </si>
  <si>
    <t>k/sT</t>
  </si>
  <si>
    <t>m/sT</t>
  </si>
  <si>
    <t>sxva xarjebi</t>
  </si>
  <si>
    <t>manqanebi</t>
  </si>
  <si>
    <t>sabazro</t>
  </si>
  <si>
    <t>jami</t>
  </si>
  <si>
    <t>კ/სთ</t>
  </si>
  <si>
    <t>ლარი</t>
  </si>
  <si>
    <t>cali</t>
  </si>
  <si>
    <t>t</t>
  </si>
  <si>
    <t>8-15-1</t>
  </si>
  <si>
    <t>zednadebi xarjebi</t>
  </si>
  <si>
    <t>15-164-8</t>
  </si>
  <si>
    <t>xelovnur safariani sportuli moedani</t>
  </si>
  <si>
    <t>lokaluri ხ ა რ ჯ თ ა ღ რ ი ც ვ ხ ვ ა #1-1</t>
  </si>
  <si>
    <t>saerTo samSeneblo samuSaoebi</t>
  </si>
  <si>
    <t>დასაბუთება</t>
  </si>
  <si>
    <t>normatiuli resursi</t>
  </si>
  <si>
    <t>მასალა</t>
  </si>
  <si>
    <t>ხელფასი</t>
  </si>
  <si>
    <t>manqana-meqanizmebi</t>
  </si>
  <si>
    <t>სულ დანახარჯები</t>
  </si>
  <si>
    <t>ერთეულის</t>
  </si>
  <si>
    <t>სულ</t>
  </si>
  <si>
    <t>#1</t>
  </si>
  <si>
    <t>sportuli moednis liTonis SemoRobvis mowyoba                    40,30 X 23,3</t>
  </si>
  <si>
    <t>27-8-2,</t>
  </si>
  <si>
    <t>teritoriis mosworeba-planireba avtogreiderebiT arsebuli gruntis gadaadgilebiT</t>
  </si>
  <si>
    <r>
      <t>m</t>
    </r>
    <r>
      <rPr>
        <b/>
        <vertAlign val="superscript"/>
        <sz val="10"/>
        <rFont val="AcadNusx"/>
      </rPr>
      <t>2</t>
    </r>
  </si>
  <si>
    <t>1504</t>
  </si>
  <si>
    <t>avtogreideri saSualo tipis 79 kvt.</t>
  </si>
  <si>
    <t>1511</t>
  </si>
  <si>
    <t>satkepni sagz. TviTmavali gluvi 5 tn.</t>
  </si>
  <si>
    <t>1516</t>
  </si>
  <si>
    <t>satkepni sagz. TviTmavali gluvi 10 tn.</t>
  </si>
  <si>
    <t>0209</t>
  </si>
  <si>
    <t>traqtori muxluxa svlaze 79 kvt.</t>
  </si>
  <si>
    <t>1554</t>
  </si>
  <si>
    <t>mosarwyav-mosarecxi manqana 6000l.</t>
  </si>
  <si>
    <t>1-22-15</t>
  </si>
  <si>
    <t>III kategoriis gruntis damuSaveba qvabulisaTvis eqskavatoriთ ციცხვით 0.5-m3</t>
  </si>
  <si>
    <r>
      <t>m</t>
    </r>
    <r>
      <rPr>
        <vertAlign val="superscript"/>
        <sz val="10"/>
        <rFont val="AcadNusx"/>
      </rPr>
      <t>3</t>
    </r>
  </si>
  <si>
    <t>50 dgari +2 karebis qveS</t>
  </si>
  <si>
    <t>0926</t>
  </si>
  <si>
    <r>
      <t>eqskavatori 0.5 m</t>
    </r>
    <r>
      <rPr>
        <vertAlign val="superscript"/>
        <sz val="11"/>
        <rFont val="AcadNusx"/>
      </rPr>
      <t>3</t>
    </r>
  </si>
  <si>
    <t>RorRi</t>
  </si>
  <si>
    <t>1-80-7</t>
  </si>
  <si>
    <t xml:space="preserve">gruntis Semdgomi damuSaveba xeliT, saproeqto niSnulamde  </t>
  </si>
  <si>
    <r>
      <t>m</t>
    </r>
    <r>
      <rPr>
        <b/>
        <vertAlign val="superscript"/>
        <sz val="10"/>
        <rFont val="AcadNusx"/>
      </rPr>
      <t>3</t>
    </r>
  </si>
  <si>
    <t xml:space="preserve">SromiTi resursebi                                                </t>
  </si>
  <si>
    <t xml:space="preserve">kac/sT                                                               </t>
  </si>
  <si>
    <t>gruntis gatana 5km</t>
  </si>
  <si>
    <t>tn.</t>
  </si>
  <si>
    <t>11-1-6</t>
  </si>
  <si>
    <t>qvabulis ZirSi fraqciuli RorRis safuZvlis mowyoba sisqiT 15 sm datkepvniT</t>
  </si>
  <si>
    <t>Sromis danaxarjebi</t>
  </si>
  <si>
    <t>kbm</t>
  </si>
  <si>
    <t>6-1-5</t>
  </si>
  <si>
    <t>monoliTuri rk.betonis saZirkvlis mowyoba liTonis dgarebis qveS</t>
  </si>
  <si>
    <t>Sromis danaxarji</t>
  </si>
  <si>
    <t>betoni b.25</t>
  </si>
  <si>
    <t>yalibis fari</t>
  </si>
  <si>
    <r>
      <t>m</t>
    </r>
    <r>
      <rPr>
        <vertAlign val="superscript"/>
        <sz val="10"/>
        <rFont val="AcadNusx"/>
      </rPr>
      <t>2</t>
    </r>
  </si>
  <si>
    <t>xe masala</t>
  </si>
  <si>
    <t>armatura aIII</t>
  </si>
  <si>
    <t>tn</t>
  </si>
  <si>
    <t>armatura aI</t>
  </si>
  <si>
    <t>6-16-1</t>
  </si>
  <si>
    <t>monoliTuri rk.betonis fenilis mowyoba</t>
  </si>
  <si>
    <t>betoni m-25</t>
  </si>
  <si>
    <t>sayalibe fari 25mm</t>
  </si>
  <si>
    <t>xis masala</t>
  </si>
  <si>
    <t>8</t>
  </si>
  <si>
    <t>9-10-12 gamoy</t>
  </si>
  <si>
    <t xml:space="preserve">SemoRobvis liTonis karkasis mowyoba   </t>
  </si>
  <si>
    <t>liTonis dgarebi --             kv mili 80*80*3</t>
  </si>
  <si>
    <t>g/m</t>
  </si>
  <si>
    <t>s u l</t>
  </si>
  <si>
    <t>0471</t>
  </si>
  <si>
    <t>avtoamwe krani 30-40tn</t>
  </si>
  <si>
    <t>manq/sT</t>
  </si>
  <si>
    <t>avtoamwe krani 25tn</t>
  </si>
  <si>
    <t>foladis konstruqcia:</t>
  </si>
  <si>
    <t>foladis konstruqcia misadagebuli montaJze</t>
  </si>
  <si>
    <t>eleqtrodi</t>
  </si>
  <si>
    <t>WanWiki uxeSi normaluri da gaZlierebuli simtkicis</t>
  </si>
  <si>
    <t>9</t>
  </si>
  <si>
    <t>9-15-2 gamoy</t>
  </si>
  <si>
    <t>liTonis SemoRobvis CarCoebis mowyoba</t>
  </si>
  <si>
    <t>karebis CarCo -- kuTxovana #60*60*4</t>
  </si>
  <si>
    <t>63*4=4,81kg</t>
  </si>
  <si>
    <t>zolovana # 40*4</t>
  </si>
  <si>
    <t xml:space="preserve">liTonis bade, moTuTiebuli, d-3 mavTuliT, 50X50 ujrediT </t>
  </si>
  <si>
    <t>kvm</t>
  </si>
  <si>
    <t>glinula d-8 aI</t>
  </si>
  <si>
    <t>WanWiki  gaZlierebuli simtkicis</t>
  </si>
  <si>
    <t>10</t>
  </si>
  <si>
    <t>9-17-5 gamoy</t>
  </si>
  <si>
    <t>tribunasa da moedans Soris liT moajiris mowyoba</t>
  </si>
  <si>
    <t>liTonis dgarebi --             kv mili 40*80*2</t>
  </si>
  <si>
    <t>liTonis dgarebi --             kv mili 20*40*2</t>
  </si>
  <si>
    <t>15-164-5</t>
  </si>
  <si>
    <t>SemoRobvis liTonis detalebis antikoroziuli damuSaveba SeRebava antikoroziuli zeTis saRebaviT</t>
  </si>
  <si>
    <t>antikoroziuli saRebavi</t>
  </si>
  <si>
    <t>sxva masala</t>
  </si>
  <si>
    <t>liTonis dgarebze foladis kuTxovanebSi CamontaJebuli liTonis mavTulis damagreba</t>
  </si>
  <si>
    <t>11,1</t>
  </si>
  <si>
    <t>11,2</t>
  </si>
  <si>
    <t>1,1</t>
  </si>
  <si>
    <t>tribunis qveS betonis filis cveTamedegi SriT mopirketeba</t>
  </si>
  <si>
    <t>12,1</t>
  </si>
  <si>
    <t>mayurebelTa tribunis mowyoba liTonis konstruqciiT                 (mocemuli eskizis mixedviT)</t>
  </si>
  <si>
    <t xml:space="preserve">kv mili 40X80X3  </t>
  </si>
  <si>
    <t>kv mili 20X20X2</t>
  </si>
  <si>
    <t>kv mili 20X30X2</t>
  </si>
  <si>
    <t>foladis furceli 2mm</t>
  </si>
  <si>
    <t xml:space="preserve">kv mili 40X80X3 </t>
  </si>
  <si>
    <t xml:space="preserve">kv mili 20X20X2 </t>
  </si>
  <si>
    <t xml:space="preserve">kv mili 20X30X2 </t>
  </si>
  <si>
    <t>WanWiki maRali simtkicis</t>
  </si>
  <si>
    <t>12,2</t>
  </si>
  <si>
    <t>15-164-7</t>
  </si>
  <si>
    <t>tribunis liTonis detalebis antikoroziuli damuSaveba SeRebava antikoroziuli zeTis saRebaviT</t>
  </si>
  <si>
    <t>olifa</t>
  </si>
  <si>
    <t>12,3</t>
  </si>
  <si>
    <t>10-34-2
miy.</t>
  </si>
  <si>
    <t>tribunis skamebis xis detalebis mowyoba</t>
  </si>
  <si>
    <t>xis reikebi  6X4                 5,0*4c*2c*2c</t>
  </si>
  <si>
    <t>WanWiki da qanCi</t>
  </si>
  <si>
    <t>c</t>
  </si>
  <si>
    <t>12,4</t>
  </si>
  <si>
    <t>15-160-5
gam.</t>
  </si>
  <si>
    <t>xis detalebis damuSaveba, zeTovani SeRebva</t>
  </si>
  <si>
    <t>kac.sT.</t>
  </si>
  <si>
    <t>zumfara</t>
  </si>
  <si>
    <t>zeTis saRebavi</t>
  </si>
  <si>
    <t>12</t>
  </si>
  <si>
    <t xml:space="preserve">Е20-1-255. </t>
  </si>
  <si>
    <t>teritoriis dasufTaveba, samSeneblo narCenebis Segroveba, gamotana, avtoTviTmclelze dasatvirTavad</t>
  </si>
  <si>
    <t xml:space="preserve">Sromis danaxarjebi </t>
  </si>
  <si>
    <t>samSeneblo nagvis datvirTva xeliT avtoTviTmclelze</t>
  </si>
  <si>
    <t xml:space="preserve">Sromis danaxarjebi  </t>
  </si>
  <si>
    <t>snf 15,15</t>
  </si>
  <si>
    <t xml:space="preserve">samSeneblo nagvis gatana 10 km-ze </t>
  </si>
  <si>
    <t xml:space="preserve">j a m i     #1     </t>
  </si>
  <si>
    <t>masalis transportirebis xarjebi (samS masalis Rirebulebidan)</t>
  </si>
  <si>
    <t xml:space="preserve">ზედნადები ხარჯები  </t>
  </si>
  <si>
    <t xml:space="preserve">გეგმიური დაგროვება  </t>
  </si>
  <si>
    <t>სულ  ხარჯთაღრიცხვa  #1-1</t>
  </si>
  <si>
    <t>3%</t>
  </si>
  <si>
    <t>dRg</t>
  </si>
  <si>
    <t>18%</t>
  </si>
  <si>
    <t>lokaluri ხ ა რ ჯ თ ა ღ რ ი ც ვ ხ ვ ა #1-2</t>
  </si>
  <si>
    <t>sportuli moednis teritoriis gare el montaJi</t>
  </si>
  <si>
    <t>ნორმა განზ.ერთეულზე</t>
  </si>
  <si>
    <t>I samSeneblo samuSaoebi</t>
  </si>
  <si>
    <t>1-80-3</t>
  </si>
  <si>
    <t>sakabelo Txrilis mowyoba xeliT</t>
  </si>
  <si>
    <t>100 kbm</t>
  </si>
  <si>
    <t>qvabulis mowyoba sportuli moednis ganaTebis anZebis Casabetoneblad (xeliT)</t>
  </si>
  <si>
    <t>gruntis Semdgomi damuSaveba xeliT</t>
  </si>
  <si>
    <t>23-1-1.</t>
  </si>
  <si>
    <t xml:space="preserve">qviSis safaris mowyoba milebisaTvis </t>
  </si>
  <si>
    <t>kub.m.</t>
  </si>
  <si>
    <t xml:space="preserve">qviSa </t>
  </si>
  <si>
    <t>22-8-2.</t>
  </si>
  <si>
    <t>grZ.m.</t>
  </si>
  <si>
    <t>kabelis dafarva sasignalo lentiT</t>
  </si>
  <si>
    <t>sasignalo lenti</t>
  </si>
  <si>
    <t>1-81-3</t>
  </si>
  <si>
    <t>gruntis ukan Cayra xeliT da mosworeba</t>
  </si>
  <si>
    <t>kub.m</t>
  </si>
  <si>
    <t>6-1-1.</t>
  </si>
  <si>
    <t>sportuli moednis  ganaTebis anZebis dabetoneba</t>
  </si>
  <si>
    <t>betoni  b.25</t>
  </si>
  <si>
    <t>ЕНиР             1-22-1</t>
  </si>
  <si>
    <t xml:space="preserve">zedmeti gruntis datvirTva xeliT avtoTviTmclelebze </t>
  </si>
  <si>
    <t>tona</t>
  </si>
  <si>
    <t>snf 15,21</t>
  </si>
  <si>
    <t xml:space="preserve">gruntis transportireba 10km-ze   </t>
  </si>
  <si>
    <t>sul I Tavi</t>
  </si>
  <si>
    <t>II samontaJo samuSaoebi</t>
  </si>
  <si>
    <t xml:space="preserve">8-370-3     </t>
  </si>
  <si>
    <t>sportuli moednis გარე განათების proJeqtoris  მონტაჟი</t>
  </si>
  <si>
    <t>ც</t>
  </si>
  <si>
    <t>6c*2</t>
  </si>
  <si>
    <t>შრომითი რესურსები</t>
  </si>
  <si>
    <t>კაც/სთ</t>
  </si>
  <si>
    <t>gare ganaTebis proJeqtori 150vt</t>
  </si>
  <si>
    <t>კომპლ.</t>
  </si>
  <si>
    <t>1,3</t>
  </si>
  <si>
    <t>8-49-2</t>
  </si>
  <si>
    <t>sp. sadeni                (gofrirebuil milSi gatarebiT)</t>
  </si>
  <si>
    <t>გ/მ</t>
  </si>
  <si>
    <r>
      <t>sp. sadeni</t>
    </r>
    <r>
      <rPr>
        <sz val="11"/>
        <rFont val="Calibri"/>
        <family val="2"/>
        <charset val="204"/>
        <scheme val="minor"/>
      </rPr>
      <t xml:space="preserve"> NYY 3x2.5</t>
    </r>
  </si>
  <si>
    <r>
      <t>sp. sadeni</t>
    </r>
    <r>
      <rPr>
        <sz val="11"/>
        <rFont val="Calibri"/>
        <family val="2"/>
        <charset val="204"/>
        <scheme val="minor"/>
      </rPr>
      <t xml:space="preserve"> NYY 3x1,5</t>
    </r>
  </si>
  <si>
    <t>1,4</t>
  </si>
  <si>
    <t>8-414-3</t>
  </si>
  <si>
    <t xml:space="preserve">ავტომატური ამომრთველი </t>
  </si>
  <si>
    <r>
      <t xml:space="preserve">ავტ.გამთიშველი კლასი            </t>
    </r>
    <r>
      <rPr>
        <sz val="11"/>
        <rFont val="Calibri"/>
        <family val="2"/>
        <charset val="204"/>
        <scheme val="minor"/>
      </rPr>
      <t xml:space="preserve"> C, 1P, 6A, 6kA</t>
    </r>
  </si>
  <si>
    <t xml:space="preserve">damcavi yuTi </t>
  </si>
  <si>
    <t>2</t>
  </si>
  <si>
    <t>damiwebis konturis mowyoba</t>
  </si>
  <si>
    <t>2,1</t>
  </si>
  <si>
    <t>СНиП
IV-6-82
8-471-1</t>
  </si>
  <si>
    <t>damiwebis vertikaluri eleqtrodebis Cawera</t>
  </si>
  <si>
    <t>8,14,432</t>
  </si>
  <si>
    <r>
      <t xml:space="preserve">დამიწების მოთუთიებული ღერო, </t>
    </r>
    <r>
      <rPr>
        <sz val="11"/>
        <rFont val="Calibri"/>
        <family val="2"/>
        <charset val="204"/>
        <scheme val="minor"/>
      </rPr>
      <t>50x50x5mm, 1500mm</t>
    </r>
  </si>
  <si>
    <t>8,14,428</t>
  </si>
  <si>
    <t>მოთუთიებული გამტარი, Ø8mm</t>
  </si>
  <si>
    <t>2,2</t>
  </si>
  <si>
    <t>СНиП
IV-6-82
8-472-2</t>
  </si>
  <si>
    <t>horizontaluri damiwebis konturis mowyoba</t>
  </si>
  <si>
    <t>8,14,426</t>
  </si>
  <si>
    <r>
      <t xml:space="preserve">დამიწების მოთუთიებული სალტე </t>
    </r>
    <r>
      <rPr>
        <sz val="11"/>
        <rFont val="Calibri"/>
        <family val="2"/>
        <charset val="204"/>
        <scheme val="minor"/>
      </rPr>
      <t>40x4მმ</t>
    </r>
  </si>
  <si>
    <t>ს უ ლ</t>
  </si>
  <si>
    <t>zednadebi xarjebi                 (muSa mosamsaxureTa ZiriTadi xelfasidan)</t>
  </si>
  <si>
    <t>sul II Tavi</t>
  </si>
  <si>
    <t>s u l I sda II Tavi</t>
  </si>
  <si>
    <t>gegmiuri dagroveba</t>
  </si>
  <si>
    <t>სულ ხარჯთაღრიცხვა     #1-2</t>
  </si>
  <si>
    <t>lokaluri ხ ა რ ჯ თ ა ღ რ ი ც ვ ხ ვ ა #1-3</t>
  </si>
  <si>
    <t>inventaris SeZena montaJi</t>
  </si>
  <si>
    <t>mini fexburTis karebebis SeZena montaJi,  badiT (maRalixarisxis)</t>
  </si>
  <si>
    <t>kompl</t>
  </si>
  <si>
    <t>ს უ ლ     დანახარჯები</t>
  </si>
  <si>
    <t>სულ ხარჯთაღრიცხვა                 #1-3</t>
  </si>
  <si>
    <t>სულ ხარჯთაღრიცხვა #1-3</t>
  </si>
  <si>
    <t>sazogadoebrivi reterati</t>
  </si>
  <si>
    <t>lokaluri ხ ა რ ჯ თ ა ღ რ ი ც ვ ხ ვ ა #2-1</t>
  </si>
  <si>
    <t>2-1</t>
  </si>
  <si>
    <t>gare tualetis Senobis  mowyoba</t>
  </si>
  <si>
    <t>III kategoriis gruntis damuSaveba xeliT, werilovani da lenturi saZirkvlis qvabulis mosawyobad</t>
  </si>
  <si>
    <t>WC</t>
  </si>
  <si>
    <t>raodenoba</t>
  </si>
  <si>
    <t>fskeris farTi, (RorRi  10sm)</t>
  </si>
  <si>
    <t>gidroizolacia</t>
  </si>
  <si>
    <t>grunti</t>
  </si>
  <si>
    <t>grunti mTlian qvabulSi kbm</t>
  </si>
  <si>
    <t>RorRi mTlian qvabulSi                    kvm</t>
  </si>
  <si>
    <t xml:space="preserve">wertilovani da lenturi saZirkvlebis  qveS RorRis safuZvlis mowyoba, datkepvniT </t>
  </si>
  <si>
    <t>ws-3</t>
  </si>
  <si>
    <t>lenturi saZirkveli</t>
  </si>
  <si>
    <t>6-1-1</t>
  </si>
  <si>
    <t>monoliTuri rk/betonis saZirkvlis qveS betonis mosamzadebeli fenis mowyoba</t>
  </si>
  <si>
    <t>betoni  b.7,5</t>
  </si>
  <si>
    <t xml:space="preserve">monoliTuri rk/betonis  werilovani  saZirkvlebis mowyoba  rk.betonis svetebis qveS </t>
  </si>
  <si>
    <r>
      <t xml:space="preserve">armatura </t>
    </r>
    <r>
      <rPr>
        <b/>
        <sz val="11"/>
        <rFont val="Times New Roman"/>
        <family val="1"/>
        <charset val="204"/>
      </rPr>
      <t>A-III   Ф 8</t>
    </r>
  </si>
  <si>
    <t>6-1-22</t>
  </si>
  <si>
    <t xml:space="preserve">monoliTuri rk/betonis  lenturi saZirkvlebis mowyoba  rk.betonis svetebis qveS </t>
  </si>
  <si>
    <t>6-15-1</t>
  </si>
  <si>
    <t>monoliTuri r/b zeZirkvelis mowyoba</t>
  </si>
  <si>
    <r>
      <t xml:space="preserve">betoni </t>
    </r>
    <r>
      <rPr>
        <sz val="11"/>
        <rFont val="Arial"/>
        <family val="2"/>
        <charset val="204"/>
      </rPr>
      <t>B25</t>
    </r>
  </si>
  <si>
    <r>
      <t xml:space="preserve">armatura </t>
    </r>
    <r>
      <rPr>
        <b/>
        <sz val="11"/>
        <rFont val="Arial"/>
        <family val="2"/>
        <charset val="204"/>
      </rPr>
      <t>A-III</t>
    </r>
  </si>
  <si>
    <r>
      <t xml:space="preserve">armatura </t>
    </r>
    <r>
      <rPr>
        <b/>
        <sz val="11"/>
        <rFont val="Arial"/>
        <family val="2"/>
        <charset val="204"/>
      </rPr>
      <t>A-I</t>
    </r>
  </si>
  <si>
    <t>8-4-7</t>
  </si>
  <si>
    <t>wertilovani da lenturi saZirkvlebis betonis zedapirebis damuSaveba bitumis emulsiiT (hidroizolacia)</t>
  </si>
  <si>
    <t>bitumis emulsia</t>
  </si>
  <si>
    <t>kg.</t>
  </si>
  <si>
    <t>7</t>
  </si>
  <si>
    <t>11-3-1</t>
  </si>
  <si>
    <t>monoliTuri rk/betonis filis qveS gidroizolaciis fenilis mowyoba rulonuri masaliT</t>
  </si>
  <si>
    <t>100 kvm</t>
  </si>
  <si>
    <r>
      <t xml:space="preserve">geoteqstili </t>
    </r>
    <r>
      <rPr>
        <sz val="11"/>
        <rFont val="Calibri"/>
        <family val="2"/>
        <charset val="204"/>
        <scheme val="minor"/>
      </rPr>
      <t>Pc 300</t>
    </r>
    <r>
      <rPr>
        <sz val="11"/>
        <rFont val="AcadNusx"/>
      </rPr>
      <t>kg</t>
    </r>
  </si>
  <si>
    <t>kv.m.</t>
  </si>
  <si>
    <t xml:space="preserve">mastika </t>
  </si>
  <si>
    <t>bitumi</t>
  </si>
  <si>
    <t xml:space="preserve">monoliTuri rk/betonis iatakis filis qveS qviSa-RorRis narevis safuZvlis mowyoba, datkepvniT </t>
  </si>
  <si>
    <t>monoliTuri rk/betonis iatakis filis mowyoba</t>
  </si>
  <si>
    <t>6-12-4</t>
  </si>
  <si>
    <t>monoliTuri rk/betonis svetebis mowyoba</t>
  </si>
  <si>
    <t>6-15-11</t>
  </si>
  <si>
    <t xml:space="preserve">monoliTuri r/b zRudaris mowyoba </t>
  </si>
  <si>
    <t>2,3</t>
  </si>
  <si>
    <t>6-15-9</t>
  </si>
  <si>
    <t>monoliTuri rkinabetonis
sartyelis mowyoba parapetze</t>
  </si>
  <si>
    <t>monoliTuri rk/betonis gadaxurvis filis mowyoba</t>
  </si>
  <si>
    <r>
      <t xml:space="preserve">armatura </t>
    </r>
    <r>
      <rPr>
        <b/>
        <sz val="11"/>
        <rFont val="Times New Roman"/>
        <family val="1"/>
        <charset val="204"/>
      </rPr>
      <t xml:space="preserve">A-III </t>
    </r>
  </si>
  <si>
    <r>
      <t xml:space="preserve">armatura </t>
    </r>
    <r>
      <rPr>
        <b/>
        <sz val="11"/>
        <rFont val="Times New Roman"/>
        <family val="1"/>
        <charset val="204"/>
      </rPr>
      <t>A-I</t>
    </r>
  </si>
  <si>
    <t>14</t>
  </si>
  <si>
    <t>Senobis saxuravis mowyoba</t>
  </si>
  <si>
    <t>14,1</t>
  </si>
  <si>
    <t>10-11</t>
  </si>
  <si>
    <t>gadaxurvis xis mzidi konstruqciebis mowyoba</t>
  </si>
  <si>
    <t>xis koWi kveTiT 160*80 mm                    --- 33 m</t>
  </si>
  <si>
    <t>ficari sisqiT 30 mm</t>
  </si>
  <si>
    <t>burulis kideebis Semosva Tunuqis furclebiT</t>
  </si>
  <si>
    <t>sul xis masala</t>
  </si>
  <si>
    <t>კბმ</t>
  </si>
  <si>
    <t>xis masala (proeqtiT)</t>
  </si>
  <si>
    <t>samSeneblo lursmani</t>
  </si>
  <si>
    <t>antiseptikuri pasta</t>
  </si>
  <si>
    <t>toli</t>
  </si>
  <si>
    <t>m2</t>
  </si>
  <si>
    <t>mavTuli glinula</t>
  </si>
  <si>
    <t>liTonis ankeri gafarToebadi TaviT (diametriT 8 mm,
sigrZiT 150 mm</t>
  </si>
  <si>
    <t>proeqtiT</t>
  </si>
  <si>
    <t>14,2</t>
  </si>
  <si>
    <t>10-37-1</t>
  </si>
  <si>
    <t>xis konstruqciebis cecxldacva</t>
  </si>
  <si>
    <t>sxva manqana</t>
  </si>
  <si>
    <t>fosformJava amoniumi</t>
  </si>
  <si>
    <t>amoniumis sulfati</t>
  </si>
  <si>
    <t>navTis kontaqti</t>
  </si>
  <si>
    <t>14,3</t>
  </si>
  <si>
    <t>12-6-3</t>
  </si>
  <si>
    <t>gadaxurvis mowyoba feradi proffenilis TunuqiT</t>
  </si>
  <si>
    <t>proffenili 0,5mm (nacrisfer,i Jangisferi, Sindisferi)</t>
  </si>
  <si>
    <t>sWvali Tunuqis</t>
  </si>
  <si>
    <t>samSeneblo WanWiki</t>
  </si>
  <si>
    <t>moTuTiebuli Tunuqis furceli 0,5mm</t>
  </si>
  <si>
    <t>14,4</t>
  </si>
  <si>
    <t>12-8-4</t>
  </si>
  <si>
    <r>
      <t xml:space="preserve">wyalmimRebi Raris "Jolubis" mowyoba </t>
    </r>
    <r>
      <rPr>
        <sz val="11"/>
        <rFont val="AcadNusx"/>
      </rPr>
      <t>(dakidebuli)</t>
    </r>
  </si>
  <si>
    <t>wyalmimRebi Rari pl  dasakidi   d-150</t>
  </si>
  <si>
    <t>კვმ</t>
  </si>
  <si>
    <t>სამაგრები  d-150</t>
  </si>
  <si>
    <t>feradi Tunuqis furceli  0.5 mm</t>
  </si>
  <si>
    <t>lursmani</t>
  </si>
  <si>
    <t>WanWiki</t>
  </si>
  <si>
    <t>naWedi</t>
  </si>
  <si>
    <t>14,5</t>
  </si>
  <si>
    <t>16-17-4</t>
  </si>
  <si>
    <r>
      <t xml:space="preserve">wyalmimRebi Zabrebis mowyoba                                   </t>
    </r>
    <r>
      <rPr>
        <sz val="11"/>
        <rFont val="AcadNusx"/>
      </rPr>
      <t>(igive masalis Tunuqis)</t>
    </r>
  </si>
  <si>
    <t xml:space="preserve">sxva manqana  </t>
  </si>
  <si>
    <t>wyalmimRebi Zabrebi          d-150*100</t>
  </si>
  <si>
    <t xml:space="preserve">sxva masala </t>
  </si>
  <si>
    <t>14,6</t>
  </si>
  <si>
    <t>12-8-3</t>
  </si>
  <si>
    <r>
      <t xml:space="preserve">wyalsawreti mili d-150 pl samagrebiT  </t>
    </r>
    <r>
      <rPr>
        <sz val="11"/>
        <rFont val="AcadNusx"/>
      </rPr>
      <t xml:space="preserve"> (igive masalis Tunuqis) </t>
    </r>
  </si>
  <si>
    <t xml:space="preserve">sxva manqana </t>
  </si>
  <si>
    <t>wyalsawreti milebi  d-150</t>
  </si>
  <si>
    <t>15</t>
  </si>
  <si>
    <t xml:space="preserve">Senobebis garSemo perimetrze betonis wyalsarinis mowyoba </t>
  </si>
  <si>
    <t>15,1</t>
  </si>
  <si>
    <t>gruntis damuSaveba xeliT</t>
  </si>
  <si>
    <t>15,2</t>
  </si>
  <si>
    <t>zedmeti gruntis datvirTva xeliT avtomanqanaze</t>
  </si>
  <si>
    <t>15,3</t>
  </si>
  <si>
    <t>snf                       15-15</t>
  </si>
  <si>
    <t>zedmeti gruntis transportireba 15km manZilze da gatana</t>
  </si>
  <si>
    <t>15,4</t>
  </si>
  <si>
    <t>RorRis fenilis mowyoba, sisqiT 10sm</t>
  </si>
  <si>
    <t>15,5</t>
  </si>
  <si>
    <t>geoteqstilis fenis mowyoba</t>
  </si>
  <si>
    <t>15,6</t>
  </si>
  <si>
    <t>11-1-11</t>
  </si>
  <si>
    <t>betonis wyalsarinis mowyoba Senobis garSemo</t>
  </si>
  <si>
    <t>2-2</t>
  </si>
  <si>
    <r>
      <rPr>
        <b/>
        <sz val="11"/>
        <rFont val="Calibri"/>
        <family val="2"/>
        <charset val="204"/>
        <scheme val="minor"/>
      </rPr>
      <t>WC-</t>
    </r>
    <r>
      <rPr>
        <b/>
        <sz val="11"/>
        <rFont val="AcadNusx"/>
      </rPr>
      <t>s Senobis keTlmowyobis samuSaoebi</t>
    </r>
  </si>
  <si>
    <t>Senobis gare kedlebis mowyoba wvrili samSeneblo blokiT 39*19*19</t>
  </si>
  <si>
    <t>wvrili samSeneblo bloki 39X19X19</t>
  </si>
  <si>
    <t>cementis xsnari m-100</t>
  </si>
  <si>
    <t>1,2</t>
  </si>
  <si>
    <t>Senobis tixaris mowyoba wvrili samSeneblo blokiT 39*10*19</t>
  </si>
  <si>
    <t>wvrili samSeneblo bloki 39X10X19</t>
  </si>
  <si>
    <t>9-14-5</t>
  </si>
  <si>
    <t>Senobisa Riobebis Sevseba metaloplastmasis blokebiT</t>
  </si>
  <si>
    <t>0465</t>
  </si>
  <si>
    <t>metaloplastmasis framukis bloki, TeTri feris 6sm sisqis</t>
  </si>
  <si>
    <t xml:space="preserve">metaloplastmasis karebis bloki, TeTri feris 6sm sisqis </t>
  </si>
  <si>
    <t>10-19-2 gamy.</t>
  </si>
  <si>
    <t>metaloplastmasis rafebis mowyoba</t>
  </si>
  <si>
    <t>metaloplastmasis fanjris rafa 20-30sm</t>
  </si>
  <si>
    <t>alebastri</t>
  </si>
  <si>
    <t>3,1</t>
  </si>
  <si>
    <t>15_52_5</t>
  </si>
  <si>
    <t xml:space="preserve">Senobis Sida da gare karebisa da framokis blokebis ferdoebis Selesva qviSa-cementis xsnariT </t>
  </si>
  <si>
    <t>qviSa-cementis xsnari             m-100</t>
  </si>
  <si>
    <t>3,2</t>
  </si>
  <si>
    <t>15_55_9</t>
  </si>
  <si>
    <t>Senobis Sida kedlebis Selesva qviSa-cementis xsnariT</t>
  </si>
  <si>
    <t>1431</t>
  </si>
  <si>
    <t>xsnaris tumbo  3kbm/sT</t>
  </si>
  <si>
    <t>qviSa-cementis xsnari  m-100</t>
  </si>
  <si>
    <t>mavTulis bade lesvis</t>
  </si>
  <si>
    <t>4</t>
  </si>
  <si>
    <t>11-8-1-2</t>
  </si>
  <si>
    <t>Senobis rkina betonis iatakis moWimva cementis xsnariT            m-200 30mm</t>
  </si>
  <si>
    <t>cementis xsnari m-200</t>
  </si>
  <si>
    <t>5</t>
  </si>
  <si>
    <t>11-20-3</t>
  </si>
  <si>
    <t xml:space="preserve">iatakis mopirkeTeba metlaxis filiT </t>
  </si>
  <si>
    <t>metlaxis fila</t>
  </si>
  <si>
    <t>webocementi yinvagamZle</t>
  </si>
  <si>
    <t>fuga (Semavsebeli)</t>
  </si>
  <si>
    <t>6</t>
  </si>
  <si>
    <t>11-36-3</t>
  </si>
  <si>
    <t>keramikuli filis plintusis mowyoba</t>
  </si>
  <si>
    <t>xelovnuri granitis filebi</t>
  </si>
  <si>
    <t>34-59-7
34-61-3
gamoy.</t>
  </si>
  <si>
    <t>plastikatis Sekiduli Weris mowyoba (feradi)</t>
  </si>
  <si>
    <t>liTonis profilebi</t>
  </si>
  <si>
    <t>plastikati b=25 feradi</t>
  </si>
  <si>
    <t>15-15-3</t>
  </si>
  <si>
    <r>
      <rPr>
        <b/>
        <sz val="11"/>
        <rFont val="Calibri"/>
        <family val="2"/>
        <charset val="204"/>
        <scheme val="minor"/>
      </rPr>
      <t>WC</t>
    </r>
    <r>
      <rPr>
        <b/>
        <sz val="11"/>
        <rFont val="AcadNusx"/>
      </rPr>
      <t>-Si kedlebis mopirketeba keramikuli filiT kafeliT</t>
    </r>
  </si>
  <si>
    <t xml:space="preserve">kafelis fila                </t>
  </si>
  <si>
    <t>15_52_1</t>
  </si>
  <si>
    <t>fasadis kedlebis Selesva qviSa-cementis xsnariT</t>
  </si>
  <si>
    <t>xsnaris tumbo  3,0kbm/sT</t>
  </si>
  <si>
    <t>15_168-7</t>
  </si>
  <si>
    <t xml:space="preserve">fasadis kedlebis SeRebva maRalxarisxovani wyalemulsiis saRebaviT </t>
  </si>
  <si>
    <t>fiTxi fasadis</t>
  </si>
  <si>
    <t>grunti fasadis</t>
  </si>
  <si>
    <t>wyal-emulsiis saRebavi</t>
  </si>
  <si>
    <t>Е1-21</t>
  </si>
  <si>
    <t>samSeneblo narCenebis Segroveba, gamotana, avtoTviTmclelze dasatvirTavad</t>
  </si>
  <si>
    <t>Е1-22</t>
  </si>
  <si>
    <t xml:space="preserve">j a m i   #1     </t>
  </si>
  <si>
    <t>სულ ხარჯთაღრიცხვა               #2-1</t>
  </si>
  <si>
    <t>lokaluri ხ ა რ ჯ თ ა ღ რ ი ც ვ ხ ვ ა #2-2</t>
  </si>
  <si>
    <t>Senobis el montaJi</t>
  </si>
  <si>
    <t>II</t>
  </si>
  <si>
    <t>1</t>
  </si>
  <si>
    <t>el.ganaTebis  qselis montaJi</t>
  </si>
  <si>
    <t>21-23-3</t>
  </si>
  <si>
    <t>saStepselo rozetebis montaJi</t>
  </si>
  <si>
    <r>
      <t xml:space="preserve">R2  საშტეპსელო როზეტი,   </t>
    </r>
    <r>
      <rPr>
        <sz val="10"/>
        <rFont val="AcadNusx"/>
      </rPr>
      <t xml:space="preserve">damiwebiT </t>
    </r>
    <r>
      <rPr>
        <sz val="10"/>
        <rFont val="Calibri"/>
        <family val="2"/>
        <charset val="204"/>
        <scheme val="minor"/>
      </rPr>
      <t xml:space="preserve"> 2-ბუდიანი ჩაფლული</t>
    </r>
  </si>
  <si>
    <t>3</t>
  </si>
  <si>
    <t>21-23-8</t>
  </si>
  <si>
    <t>CamrTvelebis montaJi</t>
  </si>
  <si>
    <t xml:space="preserve">orklaviSiani CamrTveli Cafluli </t>
  </si>
  <si>
    <t>8-414-1</t>
  </si>
  <si>
    <t>gamanawilebeli kolofebis montaJi</t>
  </si>
  <si>
    <t>gamanawilebeli kolofi</t>
  </si>
  <si>
    <t>21-26-6 gamoy</t>
  </si>
  <si>
    <t>sanaTebis montaJi</t>
  </si>
  <si>
    <t>0635</t>
  </si>
  <si>
    <t>amwevi anZuri tvirTamweobiT 0.5 t</t>
  </si>
  <si>
    <t>maq/sT</t>
  </si>
  <si>
    <t>0633</t>
  </si>
  <si>
    <t xml:space="preserve">hidravlikuri amwevi </t>
  </si>
  <si>
    <r>
      <rPr>
        <sz val="10"/>
        <rFont val="Calibri"/>
        <family val="2"/>
        <charset val="204"/>
        <scheme val="minor"/>
      </rPr>
      <t xml:space="preserve">LED  </t>
    </r>
    <r>
      <rPr>
        <sz val="10"/>
        <rFont val="AcadNusx"/>
      </rPr>
      <t>sanaTi Weris   25vt</t>
    </r>
  </si>
  <si>
    <t>Zalovani eleqtro qselis montaJi</t>
  </si>
  <si>
    <t>21-18-1.</t>
  </si>
  <si>
    <t>spilenZis sadenis    montaJi</t>
  </si>
  <si>
    <t>გრძ.მ.</t>
  </si>
  <si>
    <t>Cu, NYM 3x1,5  ორმაგიზოლაციანი</t>
  </si>
  <si>
    <t>Cu, NYM 3x2,5  ორმაგიზოლაციანი</t>
  </si>
  <si>
    <t>kabelis plasmasis samagri xamuTiT
∅6 mm</t>
  </si>
  <si>
    <t>golfrirebuli saizolacio mili
∅20 mm</t>
  </si>
  <si>
    <t>სხვა მასალები</t>
  </si>
  <si>
    <t>avtomaturi amomrTveli</t>
  </si>
  <si>
    <t>ავტომატური ამომრთველი 10ა</t>
  </si>
  <si>
    <t>20-22-3.</t>
  </si>
  <si>
    <t>haeris gamwovis montaJi</t>
  </si>
  <si>
    <r>
      <t>haeris gamwovi 220v/25 vat
250m3/sT;dacvis klasi</t>
    </r>
    <r>
      <rPr>
        <sz val="10"/>
        <rFont val="Calibri"/>
        <family val="2"/>
        <charset val="204"/>
        <scheme val="minor"/>
      </rPr>
      <t xml:space="preserve"> IP 44</t>
    </r>
  </si>
  <si>
    <t>ს უ ლ დანახარჯები</t>
  </si>
  <si>
    <t>satransporto xarjebi (masalis Rirebulebidan)</t>
  </si>
  <si>
    <t>სულ ხარჯთაღრიცხვა  #2-2</t>
  </si>
  <si>
    <t>lokaluri ხ ა რ ჯ თ ა ღ რ ი ც ვ ხ ვ ა #2-3</t>
  </si>
  <si>
    <t>Senobis Sida da gare wyalsadenisa da kanalizaciis qselis montaJi</t>
  </si>
  <si>
    <t>santeqnikuri mowyobilobebis montaJi</t>
  </si>
  <si>
    <t>man.</t>
  </si>
  <si>
    <t>კომპ</t>
  </si>
  <si>
    <t>17-4-4</t>
  </si>
  <si>
    <t>Turquli jamis montaJi</t>
  </si>
  <si>
    <t>Turquli jami</t>
  </si>
  <si>
    <t>17-1-5</t>
  </si>
  <si>
    <t>ხელსაბანebis montaJi</t>
  </si>
  <si>
    <t>ხელსაბამი fexiT qaSanuris</t>
  </si>
  <si>
    <t>17-3-3</t>
  </si>
  <si>
    <t>wylis შემრევebიs montaJi</t>
  </si>
  <si>
    <t>wylis შემრევი xelsabanis</t>
  </si>
  <si>
    <t>sarke, xelis saSrobi, qaRaldisa da sapnis spenserebi</t>
  </si>
  <si>
    <t>wyalsadenis Sida qselis montaJi</t>
  </si>
  <si>
    <t>დამატ.
2- გამოშ.
16-24-2</t>
  </si>
  <si>
    <t>ცივი წყლისათვის პლასტმასის მინაბოჭკოვანი მილების მოntaJi d-25</t>
  </si>
  <si>
    <t>შრომის დანახარჯი</t>
  </si>
  <si>
    <t>სხვა მანქანები</t>
  </si>
  <si>
    <t>მ</t>
  </si>
  <si>
    <t>მილების პლასტმასის სამაგრი დეტალები</t>
  </si>
  <si>
    <t>დამატ.
2- გამოშ.
16-24-3</t>
  </si>
  <si>
    <t xml:space="preserve"> სხვა მანქანები</t>
  </si>
  <si>
    <t>16–12–1</t>
  </si>
  <si>
    <t>სფერული ვენტილების მონტაჟი</t>
  </si>
  <si>
    <t>სფერული ვენტილი დ= 25 მმ</t>
  </si>
  <si>
    <t>16–3–1</t>
  </si>
  <si>
    <t xml:space="preserve">პოლიეთილენის  ფასონური ნაწილების მოწყობა </t>
  </si>
  <si>
    <t xml:space="preserve">pl samkapi d-25 </t>
  </si>
  <si>
    <r>
      <t>pl muxli 90</t>
    </r>
    <r>
      <rPr>
        <vertAlign val="superscript"/>
        <sz val="11"/>
        <rFont val="AcadNusx"/>
      </rPr>
      <t xml:space="preserve">0  </t>
    </r>
    <r>
      <rPr>
        <sz val="11"/>
        <rFont val="AcadNusx"/>
      </rPr>
      <t>d-25</t>
    </r>
  </si>
  <si>
    <t>pl gadamyvani d-25</t>
  </si>
  <si>
    <t>d-20 S/x gadamyvani mili</t>
  </si>
  <si>
    <t xml:space="preserve">Stuceri g/x d-20 </t>
  </si>
  <si>
    <t>Stuceri S/x d-25</t>
  </si>
  <si>
    <t>Surupi pl budiT d-6</t>
  </si>
  <si>
    <t>სხვა მასალა</t>
  </si>
  <si>
    <t>16-22</t>
  </si>
  <si>
    <t>milsadenis gidravlikuri gamocda</t>
  </si>
  <si>
    <t>100 g/m</t>
  </si>
  <si>
    <t>wyali</t>
  </si>
  <si>
    <t>III</t>
  </si>
  <si>
    <t>kanalizaciis Sida qselis montaJi</t>
  </si>
  <si>
    <t>16-6-1</t>
  </si>
  <si>
    <t>sakanalizacio plastmasis milebis damontaJeba 50 mm</t>
  </si>
  <si>
    <t>plasmasis mili d=50mm</t>
  </si>
  <si>
    <t>m</t>
  </si>
  <si>
    <t>სამგრი დეტალები</t>
  </si>
  <si>
    <t>კგ</t>
  </si>
  <si>
    <t>16-6-2</t>
  </si>
  <si>
    <t>sakanalizacio plastmasis milebis damontaJeba 100 mm</t>
  </si>
  <si>
    <t>plasmasis mili d=100mm</t>
  </si>
  <si>
    <t>trapebis montaJi</t>
  </si>
  <si>
    <t>17-1-9</t>
  </si>
  <si>
    <t>trapi plastmasis d=50mm</t>
  </si>
  <si>
    <t>16-12-2</t>
  </si>
  <si>
    <t xml:space="preserve">fasonuri nawilebi </t>
  </si>
  <si>
    <t>pl samkapi d-100</t>
  </si>
  <si>
    <t>pl samkapi d-50</t>
  </si>
  <si>
    <r>
      <t>pl muxli 90</t>
    </r>
    <r>
      <rPr>
        <vertAlign val="superscript"/>
        <sz val="11"/>
        <rFont val="AcadNusx"/>
      </rPr>
      <t>0</t>
    </r>
    <r>
      <rPr>
        <sz val="11"/>
        <rFont val="AcadNusx"/>
      </rPr>
      <t xml:space="preserve"> d-100</t>
    </r>
  </si>
  <si>
    <r>
      <t>pl muxli 90</t>
    </r>
    <r>
      <rPr>
        <vertAlign val="superscript"/>
        <sz val="11"/>
        <rFont val="AcadNusx"/>
      </rPr>
      <t>0</t>
    </r>
    <r>
      <rPr>
        <sz val="11"/>
        <rFont val="AcadNusx"/>
      </rPr>
      <t xml:space="preserve"> d-50</t>
    </r>
  </si>
  <si>
    <t>pl gadamyvani  d-100/50</t>
  </si>
  <si>
    <t>pl samkapi  d-100/50</t>
  </si>
  <si>
    <t>pl gadamyvani d-50/50</t>
  </si>
  <si>
    <t>wyalmomaragebis gare qseli</t>
  </si>
  <si>
    <t>III kategoriis gruntis damuSaveba xeliT, milis montaJisaTvis</t>
  </si>
  <si>
    <t>23-1-1</t>
  </si>
  <si>
    <t xml:space="preserve">wyalsadenis pl milis qveS qviSis safaris mowyoba  </t>
  </si>
  <si>
    <t>qviSa Savi</t>
  </si>
  <si>
    <t>სფერული ვენტილის მონტაჟი</t>
  </si>
  <si>
    <t>gruntis ukuCayra</t>
  </si>
  <si>
    <t>23-1-2</t>
  </si>
  <si>
    <t>tranSeis Sevseba RorRiT</t>
  </si>
  <si>
    <t>zedmeti gruntis gaSla mimdebare teritoriaze</t>
  </si>
  <si>
    <t>anakrebi rk betonis Webis mowyoba</t>
  </si>
  <si>
    <t>9,1</t>
  </si>
  <si>
    <t>anakrebi rk/betonis Wis mosawyobad qvabulis mowyoba</t>
  </si>
  <si>
    <r>
      <t>m</t>
    </r>
    <r>
      <rPr>
        <vertAlign val="superscript"/>
        <sz val="9"/>
        <rFont val="AcadNusx"/>
      </rPr>
      <t>3</t>
    </r>
  </si>
  <si>
    <t>22-30-2</t>
  </si>
  <si>
    <r>
      <t xml:space="preserve">wyalsadenis rk/betonis anakrebi wriuli Wis mowyoba  </t>
    </r>
    <r>
      <rPr>
        <b/>
        <sz val="11"/>
        <rFont val="Arial"/>
        <family val="2"/>
      </rPr>
      <t>D</t>
    </r>
    <r>
      <rPr>
        <b/>
        <sz val="11"/>
        <rFont val="AcadNusx"/>
      </rPr>
      <t xml:space="preserve">=1m, </t>
    </r>
  </si>
  <si>
    <t>anakrebi rk/betonis rgoli d=1,0m</t>
  </si>
  <si>
    <t>Wis Ziris rk.bet fila  1,2*1,2*0,18</t>
  </si>
  <si>
    <t>rk betonis fila Tujis mrgvali xufiT da CarCoTi</t>
  </si>
  <si>
    <t>armatura a-3</t>
  </si>
  <si>
    <t>gazinTuli ZenZi</t>
  </si>
  <si>
    <t>anakrebi rk.betonis Webis gidroizolacia bitumis emulsiiT</t>
  </si>
  <si>
    <t>gruntis gaSla mimdebare teritoriaze</t>
  </si>
  <si>
    <t>22-28-1 gam.</t>
  </si>
  <si>
    <t>wyalsadenis qselis daerTeba arsebul gare qselze</t>
  </si>
  <si>
    <t>wert</t>
  </si>
  <si>
    <t>fasonuri nawilebi</t>
  </si>
  <si>
    <t>V</t>
  </si>
  <si>
    <t>kanalizaciis gare qseli  (d-150 pl)</t>
  </si>
  <si>
    <t xml:space="preserve">tranSeas mowyoba xeliT milebis montaJisaTvis </t>
  </si>
  <si>
    <r>
      <t xml:space="preserve">qviSis safaris mowyoba milis irgvliv </t>
    </r>
    <r>
      <rPr>
        <sz val="11"/>
        <rFont val="Arial"/>
        <family val="2"/>
        <charset val="204"/>
      </rPr>
      <t>(H=30</t>
    </r>
    <r>
      <rPr>
        <sz val="11"/>
        <rFont val="AcadNusx"/>
      </rPr>
      <t>sm</t>
    </r>
    <r>
      <rPr>
        <sz val="11"/>
        <rFont val="Arial"/>
        <family val="2"/>
        <charset val="204"/>
      </rPr>
      <t>.)</t>
    </r>
  </si>
  <si>
    <t>22-8-1</t>
  </si>
  <si>
    <r>
      <t xml:space="preserve">kanalizaciis pl milis montaJi TxrilSi </t>
    </r>
    <r>
      <rPr>
        <b/>
        <sz val="11"/>
        <rFont val="Arial"/>
        <family val="2"/>
        <charset val="204"/>
      </rPr>
      <t>Ø</t>
    </r>
    <r>
      <rPr>
        <b/>
        <sz val="11"/>
        <rFont val="AcadNusx"/>
      </rPr>
      <t>150mm</t>
    </r>
  </si>
  <si>
    <t>kanalizaciis pl gofrirebuli mili d-150</t>
  </si>
  <si>
    <t>მილის gadamyvani d-150</t>
  </si>
  <si>
    <t xml:space="preserve"> 23-1-2 </t>
  </si>
  <si>
    <t>kanalizaciis anakrebi rk betonis Webis mowyoba</t>
  </si>
  <si>
    <t>5,1</t>
  </si>
  <si>
    <t>5,2</t>
  </si>
  <si>
    <t>23-12-2 gam.</t>
  </si>
  <si>
    <r>
      <t>anakrebi rk/betonis Wis montaJi</t>
    </r>
    <r>
      <rPr>
        <sz val="10"/>
        <rFont val="AcadNusx"/>
      </rPr>
      <t xml:space="preserve"> </t>
    </r>
  </si>
  <si>
    <r>
      <t>anakrebi Wis rgolebi</t>
    </r>
    <r>
      <rPr>
        <sz val="10"/>
        <rFont val="Calibri"/>
        <family val="2"/>
        <charset val="204"/>
        <scheme val="minor"/>
      </rPr>
      <t xml:space="preserve">               Ø</t>
    </r>
    <r>
      <rPr>
        <sz val="10"/>
        <rFont val="AcadNusx"/>
      </rPr>
      <t>1000mm;</t>
    </r>
    <r>
      <rPr>
        <sz val="10"/>
        <rFont val="Calibri"/>
        <family val="2"/>
        <charset val="204"/>
        <scheme val="minor"/>
      </rPr>
      <t xml:space="preserve"> H</t>
    </r>
    <r>
      <rPr>
        <sz val="10"/>
        <rFont val="AcadNusx"/>
      </rPr>
      <t>=1.0m</t>
    </r>
  </si>
  <si>
    <t>betoni ბ.15</t>
  </si>
  <si>
    <t>23-22-2</t>
  </si>
  <si>
    <t>arsebul kanalizaciis qselSi SeWra (makompleqtebeli nawilebiT)</t>
  </si>
  <si>
    <t>SeWra</t>
  </si>
  <si>
    <t>betoni ბ.7,5  (m-100)</t>
  </si>
  <si>
    <t>qviSa xreSi</t>
  </si>
  <si>
    <t>kanalizaciis ormouli Wis -- septikis mowyoba</t>
  </si>
  <si>
    <t xml:space="preserve">qvabulis mowyoba ormouli Wis mosawyobad  </t>
  </si>
  <si>
    <r>
      <t>eqskavatori 0.5 m</t>
    </r>
    <r>
      <rPr>
        <vertAlign val="superscript"/>
        <sz val="12"/>
        <rFont val="AcadNusx"/>
      </rPr>
      <t>3</t>
    </r>
  </si>
  <si>
    <t>4,1,231</t>
  </si>
  <si>
    <t>1-79-3
კ=0.8</t>
  </si>
  <si>
    <t>gruntis xeliT damatebiT damuSaveba (tranSeis ZirSi)</t>
  </si>
  <si>
    <t>RorRis safuZvlis mowyoba saZirkvlis filis qveS</t>
  </si>
  <si>
    <t>6-11-3</t>
  </si>
  <si>
    <t>ormouli Wis -- septikis monoliTuri rk.betonis kedlebisa da fskeris mowyoba</t>
  </si>
  <si>
    <t>4,1,344</t>
  </si>
  <si>
    <t>beroni b.25</t>
  </si>
  <si>
    <t>sayalibe fari</t>
  </si>
  <si>
    <t>5,1,1</t>
  </si>
  <si>
    <t>1,10,28</t>
  </si>
  <si>
    <t>WanWiki samSeneblo</t>
  </si>
  <si>
    <t>1,10,14</t>
  </si>
  <si>
    <t>1,1,12</t>
  </si>
  <si>
    <r>
      <t xml:space="preserve">armatura </t>
    </r>
    <r>
      <rPr>
        <sz val="11"/>
        <color rgb="FFFF0000"/>
        <rFont val="Times New Roman"/>
        <family val="1"/>
        <charset val="204"/>
      </rPr>
      <t xml:space="preserve">A-III </t>
    </r>
  </si>
  <si>
    <t>1,1,10</t>
  </si>
  <si>
    <r>
      <t>armatura</t>
    </r>
    <r>
      <rPr>
        <sz val="11"/>
        <color rgb="FFFF0000"/>
        <rFont val="Times New Roman"/>
        <family val="1"/>
        <charset val="204"/>
      </rPr>
      <t xml:space="preserve"> A-I</t>
    </r>
  </si>
  <si>
    <t>ormouli Wis -- septikis monoliTuri rk.betonis kedlebis zedapirebis damuSaveba bitumis emulsiiT (hidroizolacia)</t>
  </si>
  <si>
    <t>4,1,538</t>
  </si>
  <si>
    <t xml:space="preserve">septikis ZirSi RorRis drenaJis mowyoba </t>
  </si>
  <si>
    <t xml:space="preserve">ormouli Wis Tavsaxuri </t>
  </si>
  <si>
    <t>danadgarebi</t>
  </si>
  <si>
    <t>სულ ხარჯთაღრიცხვა  #3</t>
  </si>
  <si>
    <t>სულ ხარჯთაღრიცხვა      #2-3</t>
  </si>
  <si>
    <t>s k v e r i</t>
  </si>
  <si>
    <t>lokaluri ხ ა რ ჯ თ ა ღ რ ი ც ვ ხ ვ ა #3-1</t>
  </si>
  <si>
    <t>skveri #1</t>
  </si>
  <si>
    <t>saproeqto skveris teritoriis momzadeba samSeneblo samuSaoiebis sawarmoeblad</t>
  </si>
  <si>
    <t>Е20-1-255</t>
  </si>
  <si>
    <t>snf 15</t>
  </si>
  <si>
    <t>miwis samuSaoebi</t>
  </si>
  <si>
    <t>1521</t>
  </si>
  <si>
    <t>1522</t>
  </si>
  <si>
    <t>damatebiTi noyieri gruntis Semotana skveris teritoriaze</t>
  </si>
  <si>
    <t>gruntis xeliT datvirTva</t>
  </si>
  <si>
    <t>srf 15</t>
  </si>
  <si>
    <t>damatebiTi gruntis Semotana skveris teritoriaze 20km</t>
  </si>
  <si>
    <t>damatebiTi gruntisGgaSla skveris teritoriaze</t>
  </si>
  <si>
    <t xml:space="preserve">skveris teritoriis planireba, saproeqto niSnulamde gruntis damuSaveba xeliT.   </t>
  </si>
  <si>
    <t>5,3</t>
  </si>
  <si>
    <t>6,1</t>
  </si>
  <si>
    <t>6,2</t>
  </si>
  <si>
    <t xml:space="preserve">teritoriis dekoratiuli SemoRobvis mowyoba </t>
  </si>
  <si>
    <t>4,1</t>
  </si>
  <si>
    <t>gruntis damuSaveba xeliT, liTonis moajiris rk.betonis cokolis saZirkbvlis mosawyobad</t>
  </si>
  <si>
    <t>43,6g/m arsebul betonis cikolze</t>
  </si>
  <si>
    <t>4,2</t>
  </si>
  <si>
    <t>RorRis safuZvlis mowyoba liTonis moajiris rk.betonis  cokolis qveS</t>
  </si>
  <si>
    <t xml:space="preserve">RorRi </t>
  </si>
  <si>
    <t>4,3</t>
  </si>
  <si>
    <t xml:space="preserve">betoni b.25 </t>
  </si>
  <si>
    <r>
      <t>armatura</t>
    </r>
    <r>
      <rPr>
        <sz val="11"/>
        <rFont val="Arial"/>
        <family val="2"/>
        <charset val="204"/>
      </rPr>
      <t xml:space="preserve"> A</t>
    </r>
    <r>
      <rPr>
        <sz val="11"/>
        <rFont val="AcadNusx"/>
      </rPr>
      <t>-III Ф8</t>
    </r>
  </si>
  <si>
    <r>
      <t>armatura</t>
    </r>
    <r>
      <rPr>
        <sz val="11"/>
        <rFont val="Arial"/>
        <family val="2"/>
        <charset val="204"/>
      </rPr>
      <t xml:space="preserve"> A</t>
    </r>
    <r>
      <rPr>
        <sz val="11"/>
        <rFont val="AcadNusx"/>
      </rPr>
      <t>-I</t>
    </r>
  </si>
  <si>
    <t>4,4</t>
  </si>
  <si>
    <t>7-21-10    gam.</t>
  </si>
  <si>
    <r>
      <t xml:space="preserve">liTonis moajiris mowyoba - rk.betonis kedelze Caankereba                     </t>
    </r>
    <r>
      <rPr>
        <sz val="11"/>
        <rFont val="AcadNusx"/>
      </rPr>
      <t>(moc eskiozis mixedviT)</t>
    </r>
  </si>
  <si>
    <t>liTonis mojiri 290g/m</t>
  </si>
  <si>
    <t>0470</t>
  </si>
  <si>
    <t>amwe - kranis momsaxureoba 10t</t>
  </si>
  <si>
    <t>liTonis dgari</t>
  </si>
  <si>
    <r>
      <t xml:space="preserve">betoni </t>
    </r>
    <r>
      <rPr>
        <sz val="11"/>
        <rFont val="Arial"/>
        <family val="2"/>
        <charset val="204"/>
      </rPr>
      <t xml:space="preserve">B7.5 </t>
    </r>
  </si>
  <si>
    <t>liTonis Robe</t>
  </si>
  <si>
    <t>liTonis konstruqcia samontaJo</t>
  </si>
  <si>
    <t>7-22-8</t>
  </si>
  <si>
    <t xml:space="preserve">liTonis kutikaris damzadeba da montaJi  </t>
  </si>
  <si>
    <t>liTonis karebi (aqsesuarebiT)</t>
  </si>
  <si>
    <r>
      <t xml:space="preserve">betoni </t>
    </r>
    <r>
      <rPr>
        <sz val="10"/>
        <rFont val="Arial"/>
        <family val="2"/>
        <charset val="204"/>
      </rPr>
      <t>B7.5</t>
    </r>
  </si>
  <si>
    <t>4,5</t>
  </si>
  <si>
    <t>liTonis konstruqciebis SeRebva antikoroziuli saRebaviT</t>
  </si>
  <si>
    <t>saRebavis gamxsneli</t>
  </si>
  <si>
    <t>7,1</t>
  </si>
  <si>
    <t>tranSeas mowyoba monoliTuri rk/betonis cokolis mosawyobad xeliT</t>
  </si>
  <si>
    <t>7,2</t>
  </si>
  <si>
    <t>27-7-2,</t>
  </si>
  <si>
    <t>qviSa-RorRis fenilis mowyoba anakrebi betonis bordiuris qveS</t>
  </si>
  <si>
    <t>avtogreideri 79 kvt</t>
  </si>
  <si>
    <t>1523</t>
  </si>
  <si>
    <t>satkepni 18 tn</t>
  </si>
  <si>
    <t>qviSa-RorRi</t>
  </si>
  <si>
    <t>7,3</t>
  </si>
  <si>
    <t>7,4</t>
  </si>
  <si>
    <t>27-19-2</t>
  </si>
  <si>
    <t>qviSa-cementis xsnari  m.100</t>
  </si>
  <si>
    <t>betonis anakrebi bordiuris montaJi  200*100</t>
  </si>
  <si>
    <t>anakrebi betonis bordiurebis mowyoba 200X100</t>
  </si>
  <si>
    <t>betonis bordiurebi 200X100</t>
  </si>
  <si>
    <t xml:space="preserve">betoni b-15  </t>
  </si>
  <si>
    <t>11-20-1</t>
  </si>
  <si>
    <t xml:space="preserve">savarjiSoebisa da sabavSvo gasarTobi moednebis armirebuli betonis fenilis mowyoba </t>
  </si>
  <si>
    <t>III kategoriis gruntis damuSaveba qvabulisaTvis xeliT</t>
  </si>
  <si>
    <t>monoliTuri betonis fenilis mowyoba</t>
  </si>
  <si>
    <t>armatura Ф8 АIII b.150</t>
  </si>
  <si>
    <t>დანამ3
11-49
გამოყ.</t>
  </si>
  <si>
    <r>
      <t>მ</t>
    </r>
    <r>
      <rPr>
        <b/>
        <vertAlign val="superscript"/>
        <sz val="10"/>
        <rFont val="Sylfaen"/>
        <family val="1"/>
      </rPr>
      <t>2</t>
    </r>
  </si>
  <si>
    <r>
      <t xml:space="preserve">webopva  </t>
    </r>
    <r>
      <rPr>
        <sz val="11"/>
        <rFont val="Calibri"/>
        <family val="2"/>
        <charset val="204"/>
        <scheme val="minor"/>
      </rPr>
      <t>profesional</t>
    </r>
  </si>
  <si>
    <r>
      <t>მ</t>
    </r>
    <r>
      <rPr>
        <vertAlign val="superscript"/>
        <sz val="10"/>
        <rFont val="Sylfaen"/>
        <family val="1"/>
        <charset val="204"/>
      </rPr>
      <t>2</t>
    </r>
  </si>
  <si>
    <t>ლ</t>
  </si>
  <si>
    <t>trenaJorebis gadaxurvis mowyoba</t>
  </si>
  <si>
    <t>8,1</t>
  </si>
  <si>
    <t>liTonis dgarebis wertilovani saZirkvlebis mowyoba</t>
  </si>
  <si>
    <r>
      <t xml:space="preserve">armatura </t>
    </r>
    <r>
      <rPr>
        <sz val="11"/>
        <color rgb="FFFF0000"/>
        <rFont val="Times New Roman"/>
        <family val="1"/>
        <charset val="204"/>
      </rPr>
      <t xml:space="preserve">A-III  </t>
    </r>
  </si>
  <si>
    <r>
      <t xml:space="preserve">armatura </t>
    </r>
    <r>
      <rPr>
        <sz val="11"/>
        <color rgb="FFFF0000"/>
        <rFont val="Times New Roman"/>
        <family val="1"/>
        <charset val="204"/>
      </rPr>
      <t>A-I</t>
    </r>
    <r>
      <rPr>
        <sz val="11"/>
        <color theme="1"/>
        <rFont val="Calibri"/>
        <family val="2"/>
        <charset val="1"/>
        <scheme val="minor"/>
      </rPr>
      <t/>
    </r>
  </si>
  <si>
    <t>8,2</t>
  </si>
  <si>
    <t>gadaxurvis liTonis konstruqciis montaJi</t>
  </si>
  <si>
    <t>liTonis kv mili 110*110*6 20g/m</t>
  </si>
  <si>
    <t>liTonis kv mili 40*40*3  80g/m</t>
  </si>
  <si>
    <t>foladis furceli  6mm 0,53kvm</t>
  </si>
  <si>
    <t>liTonis marTkuTxa mili 80*60*3  72m</t>
  </si>
  <si>
    <t>foladis furceli  3mm 0,10kvm</t>
  </si>
  <si>
    <t xml:space="preserve">sul liTonis konstruqcia </t>
  </si>
  <si>
    <t>9-10-2</t>
  </si>
  <si>
    <t>liTonis svetebisa da
fermebis damontaJeba (proeqtiT)</t>
  </si>
  <si>
    <t>gafarToebadTaviani ankeri, diametriT 12 mm, sigrZiT 150 mm</t>
  </si>
  <si>
    <t>8,3</t>
  </si>
  <si>
    <t>liTonis konstruqciebis antikoroziuli
damuSaveba</t>
  </si>
  <si>
    <t>antikoroziuli laqi</t>
  </si>
  <si>
    <t>8,4</t>
  </si>
  <si>
    <t>karboluqsis  furceli (nacrisferi, 8-10mm sisqis)</t>
  </si>
  <si>
    <t>kulumbebis betonis cokolis mowyoba</t>
  </si>
  <si>
    <t>10,1</t>
  </si>
  <si>
    <t>kulumbis betonis cokolis saZirkvlis qvabulis mowyoba xeliT</t>
  </si>
  <si>
    <t>10,2</t>
  </si>
  <si>
    <t xml:space="preserve">kulumbis betonis cokolis saZirkvlis qveS RorRis safuZvlis mowyoba </t>
  </si>
  <si>
    <t>10,3</t>
  </si>
  <si>
    <t>kulumbis betonis cokolis saZirkvlisa da cokolis  mowyoba</t>
  </si>
  <si>
    <t>armatura A-III Ф-8  b.150</t>
  </si>
  <si>
    <t>armatura A-I</t>
  </si>
  <si>
    <t>10,4</t>
  </si>
  <si>
    <t>kulumbis betonis cokola da cokolis gidrizolaciis mowyoba</t>
  </si>
  <si>
    <t>mastika bitumis</t>
  </si>
  <si>
    <t>10,5</t>
  </si>
  <si>
    <t>15-5-8 gam.</t>
  </si>
  <si>
    <t>kulumbis betonis kedlebis mopirkeTeba granitis filiT</t>
  </si>
  <si>
    <t>qviSa-cementis xsnari               m-200</t>
  </si>
  <si>
    <t>granitis fila  30mm sisqis</t>
  </si>
  <si>
    <t>13</t>
  </si>
  <si>
    <t>11-3-5 gamoy</t>
  </si>
  <si>
    <t>cveTamedegi Sre</t>
  </si>
  <si>
    <t>9,2</t>
  </si>
  <si>
    <t>9,3</t>
  </si>
  <si>
    <t>9,4</t>
  </si>
  <si>
    <t>9,5</t>
  </si>
  <si>
    <t>9,6</t>
  </si>
  <si>
    <t>11</t>
  </si>
  <si>
    <t>gamwvaneba - gazonis mowyoba</t>
  </si>
  <si>
    <t>48-18-4</t>
  </si>
  <si>
    <t>teritoriaze balaxis daTesva</t>
  </si>
  <si>
    <t>balaxis Tesli</t>
  </si>
  <si>
    <t>mravalwlovani da yvavilovani mcenareebis dargva</t>
  </si>
  <si>
    <r>
      <t xml:space="preserve">irmis rqa,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>=2,00m</t>
    </r>
  </si>
  <si>
    <t>48-5-6</t>
  </si>
  <si>
    <t>xeebisa da buCqebis dasargavi teritoriss momzadeba xeliT</t>
  </si>
  <si>
    <t>48-7-2</t>
  </si>
  <si>
    <t>xeebisa da buCqebis dargva</t>
  </si>
  <si>
    <t>mosarwyav mosdarecxi 600 l</t>
  </si>
  <si>
    <t>amwe  saavtomobilo svlaze 5t</t>
  </si>
  <si>
    <t>xeebi da buCqebi</t>
  </si>
  <si>
    <t xml:space="preserve">xis Ria fanCaturis ("besetkis") mowyoba </t>
  </si>
  <si>
    <t>xis mzidi konstruqciebis monoliTuri rkinabetonis saZirkvlis filis mowyoba</t>
  </si>
  <si>
    <t>III jgufis gruntis damuSaveba xeliT, qvabulis mowyoba monoliTuri                  saZirkvlis filis mosawyobad,  qvabulis mosworeba saproeqto niSnulze</t>
  </si>
  <si>
    <t>monoliTuri saZirkvlis filis qveS RorRis fenilis mowyoba, sisqiT 10sm</t>
  </si>
  <si>
    <t>betonis mosamzadebeli 8sm  fenilis mowyoba monoliTuri rk.betonis saZirkvlis filis  qveS</t>
  </si>
  <si>
    <t xml:space="preserve">betoni m-7,5 </t>
  </si>
  <si>
    <t xml:space="preserve">monoliTuri rk/betonis saZirkvlis filis mowyoba  </t>
  </si>
  <si>
    <t xml:space="preserve"> kbm</t>
  </si>
  <si>
    <t xml:space="preserve">armatura Ф12  АIII </t>
  </si>
  <si>
    <t xml:space="preserve">armatura Ф6  АI </t>
  </si>
  <si>
    <t>12,5</t>
  </si>
  <si>
    <t>fanCaturis xis konstruqciis mowyoba</t>
  </si>
  <si>
    <t>xis masala;</t>
  </si>
  <si>
    <t>samSeneblo qanCi</t>
  </si>
  <si>
    <t>naWedi samSeneblo</t>
  </si>
  <si>
    <r>
      <t xml:space="preserve">liTonis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 xml:space="preserve">=6mm   162*112*1c *39c                         </t>
    </r>
    <r>
      <rPr>
        <b/>
        <sz val="11"/>
        <rFont val="AcadNusx"/>
      </rPr>
      <t>(proeqtiT)</t>
    </r>
  </si>
  <si>
    <t xml:space="preserve">tn   </t>
  </si>
  <si>
    <r>
      <t xml:space="preserve">liTonis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 xml:space="preserve">=6mm   200*150*2c *39c                              </t>
    </r>
    <r>
      <rPr>
        <b/>
        <sz val="11"/>
        <rFont val="AcadNusx"/>
      </rPr>
      <t>(proeqtiT)</t>
    </r>
  </si>
  <si>
    <r>
      <t xml:space="preserve">liTonis furceli </t>
    </r>
    <r>
      <rPr>
        <sz val="11"/>
        <rFont val="Calibri"/>
        <family val="2"/>
        <charset val="204"/>
        <scheme val="minor"/>
      </rPr>
      <t>t</t>
    </r>
    <r>
      <rPr>
        <sz val="11"/>
        <rFont val="AcadNusx"/>
      </rPr>
      <t xml:space="preserve">=6mm   200*112*2c *39c     </t>
    </r>
    <r>
      <rPr>
        <b/>
        <sz val="11"/>
        <rFont val="AcadNusx"/>
      </rPr>
      <t>(proeqtiT)</t>
    </r>
  </si>
  <si>
    <r>
      <t>liTonis ankeri                                            d-12mm</t>
    </r>
    <r>
      <rPr>
        <sz val="11"/>
        <rFont val="Calibri"/>
        <family val="2"/>
        <charset val="204"/>
        <scheme val="minor"/>
      </rPr>
      <t xml:space="preserve"> L</t>
    </r>
    <r>
      <rPr>
        <sz val="11"/>
        <rFont val="AcadNusx"/>
      </rPr>
      <t xml:space="preserve">=260mm  1c*39c  </t>
    </r>
    <r>
      <rPr>
        <b/>
        <sz val="11"/>
        <rFont val="AcadNusx"/>
      </rPr>
      <t>(proeqtiT)</t>
    </r>
  </si>
  <si>
    <r>
      <t xml:space="preserve">liT armtura                        d-12mm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=300mm 2c*39c    </t>
    </r>
    <r>
      <rPr>
        <b/>
        <sz val="11"/>
        <rFont val="AcadNusx"/>
      </rPr>
      <t>(proeqtiT)</t>
    </r>
  </si>
  <si>
    <r>
      <t xml:space="preserve">lursmani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=250mm  4c*39c             </t>
    </r>
    <r>
      <rPr>
        <b/>
        <sz val="11"/>
        <rFont val="AcadNusx"/>
      </rPr>
      <t>(proeqtiT)</t>
    </r>
  </si>
  <si>
    <r>
      <t xml:space="preserve">lursmani </t>
    </r>
    <r>
      <rPr>
        <sz val="11"/>
        <rFont val="Calibri"/>
        <family val="2"/>
        <charset val="204"/>
        <scheme val="minor"/>
      </rPr>
      <t>L</t>
    </r>
    <r>
      <rPr>
        <sz val="11"/>
        <rFont val="AcadNusx"/>
      </rPr>
      <t xml:space="preserve">=200mm  4c*39c     </t>
    </r>
    <r>
      <rPr>
        <b/>
        <sz val="11"/>
        <rFont val="AcadNusx"/>
      </rPr>
      <t>(proeqtiT)</t>
    </r>
  </si>
  <si>
    <r>
      <t xml:space="preserve">eleqtrodi   </t>
    </r>
    <r>
      <rPr>
        <b/>
        <sz val="11"/>
        <rFont val="AcadNusx"/>
      </rPr>
      <t>(proeqtiT)</t>
    </r>
  </si>
  <si>
    <t>xis masalis antiseptikuri damuSaveba da cecxldacva</t>
  </si>
  <si>
    <t>12,6</t>
  </si>
  <si>
    <t>xis konstruqciis cecxldacva</t>
  </si>
  <si>
    <t>12,7</t>
  </si>
  <si>
    <t>10-39-2</t>
  </si>
  <si>
    <t>xis konsreuqciis antiseptikuri damuSaveba</t>
  </si>
  <si>
    <t>pasta antiseptikuri</t>
  </si>
  <si>
    <t>12,8</t>
  </si>
  <si>
    <t>15-165-7 gamoy</t>
  </si>
  <si>
    <t>xis detalebis damuSaveba gare samuSaoebis xis laqiT</t>
  </si>
  <si>
    <t>4,2,12</t>
  </si>
  <si>
    <t xml:space="preserve">laqi xis zedapirebis gare dafarvisaTvis </t>
  </si>
  <si>
    <t>sxva samuSaoebi</t>
  </si>
  <si>
    <t>fanCaturis saxuravis mowyoba</t>
  </si>
  <si>
    <t>12,9</t>
  </si>
  <si>
    <t>10-36-4</t>
  </si>
  <si>
    <t>xis molartyvis mowyoba</t>
  </si>
  <si>
    <t>xis ficari 3x.25-32mm</t>
  </si>
  <si>
    <t>12,10</t>
  </si>
  <si>
    <t>dsp-s fenilis mowyoba</t>
  </si>
  <si>
    <t xml:space="preserve">dsp </t>
  </si>
  <si>
    <t>12,11</t>
  </si>
  <si>
    <t>10-37-3</t>
  </si>
  <si>
    <t>xis molartyvis cecxldacva</t>
  </si>
  <si>
    <t>12,13</t>
  </si>
  <si>
    <t>10-39-3</t>
  </si>
  <si>
    <t>xis molartyvis antiseptireba</t>
  </si>
  <si>
    <t>12,14</t>
  </si>
  <si>
    <t>12-1-1</t>
  </si>
  <si>
    <t>saxuravis mowyoba "Singlis feniliT"</t>
  </si>
  <si>
    <t>saxuravis mosapirkeTebeli masala Singli</t>
  </si>
  <si>
    <t>12,15</t>
  </si>
  <si>
    <t>12-8-5</t>
  </si>
  <si>
    <t xml:space="preserve">კეხის მოწყობა  </t>
  </si>
  <si>
    <t>kexi igive masalis</t>
  </si>
  <si>
    <t>laqi xis zedapirebis gare dafarvisaTvis antiseptikuri</t>
  </si>
  <si>
    <t>სულ პირდაპირი დანახარჯები</t>
  </si>
  <si>
    <t>samSeneblo masalis transportirebis xrjebi  (samSeneblo masalis Rirebulebidan)</t>
  </si>
  <si>
    <t>sul xarjTaTricxva #1</t>
  </si>
  <si>
    <t>sul xarjTaTricxva #3-1</t>
  </si>
  <si>
    <t>skveris teritoriis gare el montaJi</t>
  </si>
  <si>
    <t>lokaluri ხ ა რ ჯ თ ა ღ რ ი ც ვ ხ ვ ა #3-2</t>
  </si>
  <si>
    <t>#2-1</t>
  </si>
  <si>
    <t>I სამშენებლო სამუSაოები</t>
  </si>
  <si>
    <t>გარე განათების ლამპიონების მონტაჟი  h=2,5-3,3</t>
  </si>
  <si>
    <t>1-12-6.</t>
  </si>
  <si>
    <t>საკაბელო თხრილის მოწყობა ექსკავატორით, ჩამჩის მოც. 0,25 კუბ.მ. (კაბელებისთვის)</t>
  </si>
  <si>
    <t>1000 კბმ</t>
  </si>
  <si>
    <t>ექსკავატორის ექსპლუატაცია</t>
  </si>
  <si>
    <t>მ/სთ</t>
  </si>
  <si>
    <t>ქვაბულის მოწყობა სკვერის განათების ანძების ჩასაბეტონებლად (ხელით)</t>
  </si>
  <si>
    <t>გრუნტის შემდგომი დამუშავება ხელით</t>
  </si>
  <si>
    <t>ქვიშის საფარის მოწყობა მილებისთვის</t>
  </si>
  <si>
    <t>კუბ.მ</t>
  </si>
  <si>
    <t>4,1,226</t>
  </si>
  <si>
    <t xml:space="preserve">ქვისა </t>
  </si>
  <si>
    <t>გრძ/მ</t>
  </si>
  <si>
    <t>მანქანები</t>
  </si>
  <si>
    <t>8-281-3,</t>
  </si>
  <si>
    <t>კაბელის დაფარვა სასიგნალო ლენტით</t>
  </si>
  <si>
    <t>სასიგნალო ლენტი</t>
  </si>
  <si>
    <t>გრუნტის უკან ჩაყრა ხელით და მოსწორება</t>
  </si>
  <si>
    <t>სკვერის განათების ანძების დაბეტონება</t>
  </si>
  <si>
    <t xml:space="preserve">ბეტონი ბ.25 </t>
  </si>
  <si>
    <t>1,1,11</t>
  </si>
  <si>
    <t>არმატურა Ф8 АIII ბ.150</t>
  </si>
  <si>
    <t>ტნ</t>
  </si>
  <si>
    <t xml:space="preserve">სხვა მასალა </t>
  </si>
  <si>
    <t>ზედნადები ხარჯები</t>
  </si>
  <si>
    <t>სულ I თავი</t>
  </si>
  <si>
    <t>II სამონტაჟო სამუშაოები</t>
  </si>
  <si>
    <t>სკვერის გარე განათების დეკორატიული ლამპიონების მონტაჟი</t>
  </si>
  <si>
    <r>
      <t xml:space="preserve">dekoratiuli lampioni, ledi sanaTiT </t>
    </r>
    <r>
      <rPr>
        <sz val="11"/>
        <rFont val="Calibri"/>
        <family val="2"/>
        <charset val="204"/>
        <scheme val="minor"/>
      </rPr>
      <t xml:space="preserve">LED 50w </t>
    </r>
    <r>
      <rPr>
        <sz val="11"/>
        <rFont val="AcadNusx"/>
      </rPr>
      <t xml:space="preserve">                (ix. eskizi) </t>
    </r>
    <r>
      <rPr>
        <sz val="11"/>
        <rFont val="Calibri"/>
        <family val="2"/>
        <charset val="204"/>
        <scheme val="minor"/>
      </rPr>
      <t>h</t>
    </r>
    <r>
      <rPr>
        <sz val="11"/>
        <rFont val="AcadNusx"/>
      </rPr>
      <t xml:space="preserve">=2,5-3,3         </t>
    </r>
  </si>
  <si>
    <t>450/1,18</t>
  </si>
  <si>
    <t>სპილენძის სადენების montaJi</t>
  </si>
  <si>
    <r>
      <t xml:space="preserve">sp. sadeni </t>
    </r>
    <r>
      <rPr>
        <sz val="11"/>
        <rFont val="Calibri"/>
        <family val="2"/>
        <charset val="204"/>
        <scheme val="minor"/>
      </rPr>
      <t>NYY</t>
    </r>
    <r>
      <rPr>
        <sz val="11"/>
        <rFont val="AcadNusx"/>
      </rPr>
      <t xml:space="preserve">3*6 </t>
    </r>
  </si>
  <si>
    <r>
      <t xml:space="preserve">სადენი </t>
    </r>
    <r>
      <rPr>
        <sz val="11"/>
        <rFont val="Calibri"/>
        <family val="2"/>
        <charset val="204"/>
        <scheme val="minor"/>
      </rPr>
      <t xml:space="preserve">NYY </t>
    </r>
    <r>
      <rPr>
        <sz val="11"/>
        <rFont val="AcadNusx"/>
      </rPr>
      <t xml:space="preserve">3*2,5  </t>
    </r>
  </si>
  <si>
    <r>
      <t xml:space="preserve">სადენი </t>
    </r>
    <r>
      <rPr>
        <sz val="11"/>
        <rFont val="Calibri"/>
        <family val="2"/>
        <charset val="204"/>
        <scheme val="minor"/>
      </rPr>
      <t xml:space="preserve">NYY </t>
    </r>
    <r>
      <rPr>
        <sz val="11"/>
        <rFont val="AcadNusx"/>
      </rPr>
      <t xml:space="preserve">3*1,5  </t>
    </r>
  </si>
  <si>
    <t>21-27-4</t>
  </si>
  <si>
    <t>Zalovani faris montaJi</t>
  </si>
  <si>
    <r>
      <t xml:space="preserve">ძალოვანი გამ.ფარი </t>
    </r>
    <r>
      <rPr>
        <sz val="10"/>
        <rFont val="Calibri"/>
        <family val="2"/>
        <charset val="204"/>
        <scheme val="minor"/>
      </rPr>
      <t>GF01</t>
    </r>
    <r>
      <rPr>
        <sz val="10"/>
        <rFont val="AcadNusx"/>
      </rPr>
      <t xml:space="preserve">, კედელზე ჩამოსაკიდი , მეტალის, ქარხნული შესრულებით, ზომები </t>
    </r>
    <r>
      <rPr>
        <sz val="10"/>
        <rFont val="Calibri"/>
        <family val="2"/>
        <charset val="204"/>
        <scheme val="minor"/>
      </rPr>
      <t xml:space="preserve">400x400x100, </t>
    </r>
    <r>
      <rPr>
        <sz val="10"/>
        <rFont val="AcadNusx"/>
      </rPr>
      <t>დაცვის კლასი</t>
    </r>
    <r>
      <rPr>
        <sz val="10"/>
        <rFont val="Calibri"/>
        <family val="2"/>
        <charset val="204"/>
        <scheme val="minor"/>
      </rPr>
      <t xml:space="preserve"> IP67, IK08, </t>
    </r>
    <r>
      <rPr>
        <sz val="10"/>
        <rFont val="AcadNusx"/>
      </rPr>
      <t>ნეიტრალის</t>
    </r>
    <r>
      <rPr>
        <sz val="10"/>
        <rFont val="Calibri"/>
        <family val="2"/>
        <charset val="204"/>
        <scheme val="minor"/>
      </rPr>
      <t xml:space="preserve"> N </t>
    </r>
    <r>
      <rPr>
        <sz val="10"/>
        <rFont val="AcadNusx"/>
      </rPr>
      <t>სალტით და დამიწების</t>
    </r>
    <r>
      <rPr>
        <sz val="10"/>
        <rFont val="Calibri"/>
        <family val="2"/>
        <charset val="204"/>
        <scheme val="minor"/>
      </rPr>
      <t xml:space="preserve"> PE</t>
    </r>
    <r>
      <rPr>
        <sz val="10"/>
        <rFont val="AcadNusx"/>
      </rPr>
      <t xml:space="preserve"> სალტით.</t>
    </r>
  </si>
  <si>
    <r>
      <t>ავტ.გამთიშველი კლასი</t>
    </r>
    <r>
      <rPr>
        <sz val="10"/>
        <rFont val="Calibri"/>
        <family val="2"/>
        <charset val="204"/>
        <scheme val="minor"/>
      </rPr>
      <t xml:space="preserve"> C, 1P,32A, 6kA</t>
    </r>
  </si>
  <si>
    <r>
      <t>ავტ.გამთიშველი კლასი</t>
    </r>
    <r>
      <rPr>
        <sz val="10"/>
        <rFont val="Calibri"/>
        <family val="2"/>
        <charset val="204"/>
        <scheme val="minor"/>
      </rPr>
      <t xml:space="preserve"> C, 1P, 16A, 6kA</t>
    </r>
  </si>
  <si>
    <r>
      <t>ავტ.გამთიშველი კლასი</t>
    </r>
    <r>
      <rPr>
        <sz val="10"/>
        <rFont val="Calibri"/>
        <family val="2"/>
        <charset val="204"/>
        <scheme val="minor"/>
      </rPr>
      <t xml:space="preserve"> C, 1P, 6A, 6kA</t>
    </r>
  </si>
  <si>
    <r>
      <t>კონტაქტორი</t>
    </r>
    <r>
      <rPr>
        <sz val="10"/>
        <rFont val="Calibri"/>
        <family val="2"/>
        <charset val="204"/>
        <scheme val="minor"/>
      </rPr>
      <t xml:space="preserve"> , 3P, 32 A</t>
    </r>
  </si>
  <si>
    <r>
      <t>რელე</t>
    </r>
    <r>
      <rPr>
        <sz val="10"/>
        <rFont val="Calibri"/>
        <family val="2"/>
        <charset val="204"/>
        <scheme val="minor"/>
      </rPr>
      <t xml:space="preserve"> 230v/5A</t>
    </r>
  </si>
  <si>
    <r>
      <t>ჩამრთველი</t>
    </r>
    <r>
      <rPr>
        <sz val="10"/>
        <rFont val="Calibri"/>
        <family val="2"/>
        <charset val="204"/>
        <scheme val="minor"/>
      </rPr>
      <t xml:space="preserve"> 0‐1‐2, 1x20A</t>
    </r>
  </si>
  <si>
    <r>
      <t>მრიცხველი,</t>
    </r>
    <r>
      <rPr>
        <sz val="10"/>
        <rFont val="Calibri"/>
        <family val="2"/>
        <charset val="204"/>
        <scheme val="minor"/>
      </rPr>
      <t xml:space="preserve"> 2P, 25A</t>
    </r>
  </si>
  <si>
    <t>ფოტორელე</t>
  </si>
  <si>
    <t>damiwebis Wa</t>
  </si>
  <si>
    <t>ზედნადები ხარჯები                                  (მუშა მოსამსახურეთა ძირითადი ხელფასიდან)</t>
  </si>
  <si>
    <t>სულ II თავი</t>
  </si>
  <si>
    <t>სულ  I და  II თავი</t>
  </si>
  <si>
    <t>გეგმიური დაგროვება</t>
  </si>
  <si>
    <t>sul #1</t>
  </si>
  <si>
    <t>#2-2</t>
  </si>
  <si>
    <t>ვიდეო მონიტორინგის მონტაჟი</t>
  </si>
  <si>
    <r>
      <t>ვიდეოკამერა</t>
    </r>
    <r>
      <rPr>
        <b/>
        <sz val="11"/>
        <rFont val="Calibri"/>
        <family val="2"/>
        <charset val="204"/>
        <scheme val="minor"/>
      </rPr>
      <t xml:space="preserve"> D5-T200-2,8</t>
    </r>
  </si>
  <si>
    <r>
      <t>ჩამწერი</t>
    </r>
    <r>
      <rPr>
        <b/>
        <sz val="11"/>
        <rFont val="Calibri"/>
        <family val="2"/>
        <charset val="204"/>
        <scheme val="minor"/>
      </rPr>
      <t xml:space="preserve"> DS-H204Q</t>
    </r>
  </si>
  <si>
    <r>
      <t xml:space="preserve">მყარი დისკი                        </t>
    </r>
    <r>
      <rPr>
        <b/>
        <sz val="11"/>
        <rFont val="Calibri"/>
        <family val="2"/>
        <charset val="204"/>
        <scheme val="minor"/>
      </rPr>
      <t>1TB DT01ABA100V</t>
    </r>
  </si>
  <si>
    <t>CCtV კაბელი CCTV+2X0,50+0,22</t>
  </si>
  <si>
    <r>
      <t>კონექტორი</t>
    </r>
    <r>
      <rPr>
        <b/>
        <sz val="11"/>
        <rFont val="Calibri"/>
        <family val="2"/>
        <charset val="204"/>
        <scheme val="minor"/>
      </rPr>
      <t xml:space="preserve"> TT-BC16</t>
    </r>
  </si>
  <si>
    <r>
      <t>კონექტორი</t>
    </r>
    <r>
      <rPr>
        <b/>
        <sz val="11"/>
        <rFont val="Calibri"/>
        <family val="2"/>
        <charset val="204"/>
        <scheme val="minor"/>
      </rPr>
      <t xml:space="preserve"> TT-BC01</t>
    </r>
  </si>
  <si>
    <t>შრომის დანახარჯები მონტაჟზე</t>
  </si>
  <si>
    <t>კომპლ</t>
  </si>
  <si>
    <t>ზედნადები ხარჯები (მუშა მოსამსახურეთა ძირითადი ხელფასიდან)</t>
  </si>
  <si>
    <t>სულ  #2</t>
  </si>
  <si>
    <t>გაუთვალისწინებელი ხარჯები</t>
  </si>
  <si>
    <t>დღგ</t>
  </si>
  <si>
    <t>sul xarjTaRricxva #2</t>
  </si>
  <si>
    <t>sul xarjTaRricxva #3-2</t>
  </si>
  <si>
    <t>lokaluri ხ ა რ ჯ თ ა ღ რ ი ც ვ ხ ვ ა #3-3</t>
  </si>
  <si>
    <t>skveris gare wyalsadenisa da kanalizaciis qselis montaJi</t>
  </si>
  <si>
    <t>sarwyavi sistemisa da wylis dasalevi "soko" wyalsadenisa da kanalizaciis qselis montaji</t>
  </si>
  <si>
    <t>wyalmomaragebis gare qseli   (d-20)</t>
  </si>
  <si>
    <t>ცივი წყლისათვის პლასტმასის მინაბოჭკოვანი მილების მოntaJi d-20</t>
  </si>
  <si>
    <r>
      <t xml:space="preserve">მილი პლ. d-20*2,9                  </t>
    </r>
    <r>
      <rPr>
        <sz val="11"/>
        <rFont val="Calibri"/>
        <family val="2"/>
        <charset val="204"/>
        <scheme val="minor"/>
      </rPr>
      <t xml:space="preserve"> DIZAIN PN20</t>
    </r>
  </si>
  <si>
    <t>სფერული ვენტილი დ= 20 მმ</t>
  </si>
  <si>
    <r>
      <t xml:space="preserve">arsebul wylis qselSi SeWra </t>
    </r>
    <r>
      <rPr>
        <sz val="11"/>
        <rFont val="AcadNusx"/>
      </rPr>
      <t>(makompleqtebeli nawilebiT)</t>
    </r>
  </si>
  <si>
    <r>
      <t xml:space="preserve">kanalizaciis pl milis montaJi TxrilSi </t>
    </r>
    <r>
      <rPr>
        <b/>
        <sz val="11"/>
        <rFont val="Arial"/>
        <family val="2"/>
        <charset val="204"/>
      </rPr>
      <t>Ø</t>
    </r>
    <r>
      <rPr>
        <b/>
        <sz val="11"/>
        <rFont val="AcadNusx"/>
      </rPr>
      <t>50mm</t>
    </r>
  </si>
  <si>
    <r>
      <t xml:space="preserve">plastmasis mili </t>
    </r>
    <r>
      <rPr>
        <sz val="11"/>
        <rFont val="Calibri"/>
        <family val="2"/>
        <charset val="204"/>
      </rPr>
      <t>Ø</t>
    </r>
    <r>
      <rPr>
        <sz val="11"/>
        <rFont val="AcadNusx"/>
      </rPr>
      <t>50*2,4mm</t>
    </r>
  </si>
  <si>
    <t>მილის gadamyvani d-50</t>
  </si>
  <si>
    <t>saproeqto ormoul sakanlizacio WaSi SeWra (makompleqtebeli nawilebiT)</t>
  </si>
  <si>
    <t>sarwyavi ventilis damateba  2c</t>
  </si>
  <si>
    <t xml:space="preserve">zednadebi xarjebi                 </t>
  </si>
  <si>
    <t>sul xarjTaTricxva #3-3</t>
  </si>
  <si>
    <t>lokaluri ხ ა რ ჯ თ ა ღ რ ი ც ვ ხ ვ ა #3-4</t>
  </si>
  <si>
    <t>sabaRe skamebis SeZena montaJi (eskizis mixedviT)</t>
  </si>
  <si>
    <t>urnebi SeZena montaJi</t>
  </si>
  <si>
    <t>wylis dasalevi "soko"</t>
  </si>
  <si>
    <t>atraqcionebis montaJi (ix.eskizebi)</t>
  </si>
  <si>
    <t>aiwona 158*43*73 liTonis karkasiT da pl skamebiT</t>
  </si>
  <si>
    <t>saxtunao saqanela zambaraze   100*50*100
rkinis zambaraze plastmasis dasajdomiT</t>
  </si>
  <si>
    <t>sasrialo  (xis detalebiT)</t>
  </si>
  <si>
    <t>saqanela ori skamiT (xis detalebiT)</t>
  </si>
  <si>
    <t>sportuli trenaJorebi</t>
  </si>
  <si>
    <t>S.p.s.`mailendi~-s invoisi p.3</t>
  </si>
  <si>
    <t xml:space="preserve">ტრენაჟორი „ნიჩბოსანი“ 
miwodeba-montaJi (Sesabamisi masalebisa da samuSaoebis Rirebulebis gaTvaliswinebiT) eskizis Sesabamisad                 </t>
  </si>
  <si>
    <t>გაბარიტული ზომები: სიგრძე სმ. 124 სიგანე, სმ. 79 სიმაღლე, სმ. 102მომხმარებლის მაქსიმალური წონა, კგ. 150</t>
  </si>
  <si>
    <t xml:space="preserve">ტრენაჟორი „სხეულის ამზიდი“   
miwodeba-montaJi (Sesabamisi masalebisa da samuSaoebis Rirebulebis gaTvaliswinebiT) eskizis Sesabamisad </t>
  </si>
  <si>
    <t>გაბარიტული ზომები: სიგრძე სმ. 101,5 სიგანე, სმ. 78 სიმაღლე, სმ. 180,5მომხმარებლის მაქსიმალური წონა, კგ. 150</t>
  </si>
  <si>
    <t xml:space="preserve">ტრენაჟორი „აზიდვა მკერდიდან“ 
miwodeba-montaJi (Sesabamisi masalebisa da samuSaoebis Rirebulebis gaTvaliswinebiT) eskizis Sesabamisad               </t>
  </si>
  <si>
    <t>გაბარიტული ზომები: სიგრძე სმ. 108 სიგანე, სმ. 78 სიმაღლე, სმ. 180,5მომხმარებლის მაქსიმალური წონა, კგ. 150</t>
  </si>
  <si>
    <t xml:space="preserve">ტრენაჟორი „მიზიდვა მკერდისაკენ“
miwodeba-montaJi (Sesabamisi masalebisa da samuSaoebis Rirebulebis gaTvaliswinebiT) eskizis Sesabamisad               </t>
  </si>
  <si>
    <t>გაბარიტული ზომები: სიგრძე სმ. 106 სიგანე, სმ. 78 სიმაღლე, სმ. 116,5მომხმარებლის მაქსიმალური წონა, კგ. 150</t>
  </si>
  <si>
    <t xml:space="preserve">ტრენაჟორი „აზიდვა ფეხებით“ 
miwodeba-montaJi (Sesabamisi masalebisa da samuSaoebis Rirebulebis gaTvaliswinebiT) eskizis Sesabamisad      </t>
  </si>
  <si>
    <t>გაბარიტული ზომები: სიგრძე სმ. 131 სიგანე, სმ. 54 სიმაღლე, სმ. 126,5 მომხმარებლის მაქსიმალური წონა, კგ. 150</t>
  </si>
  <si>
    <t xml:space="preserve">ტრენაჟორი „ტვისტერი“ 
miwodeba-montaJi (Sesabamisi masalebisa da samuSaoebis Rirebulebis gaTvaliswinebiT) eskizis Sesabamisad                    </t>
  </si>
  <si>
    <t>გაბარიტული ზომები: სიგრძე სმ. 76 სიგანე, სმ. 63,5 სიმაღლე, სმ. 120მომხმარებლის მაქსიმალური წონა, კგ. 150</t>
  </si>
  <si>
    <t xml:space="preserve">ტრენაჟორი „მუცლის კუნთებისათვის“ 
miwodeba-montaJi (Sesabamisi masalebisa da samuSaoebis Rirebulebis gaTvaliswinebiT) eskizis Sesabamisad </t>
  </si>
  <si>
    <t>გაბარიტული ზომები: სიგრძე სმ. 98,2 სიგანე, სმ. 44,3 სიმაღლე, სმ. 54,9მომხმარებლის მაქსიმალური წონა, კგ. 150</t>
  </si>
  <si>
    <t xml:space="preserve">ტრენაჟორი „ელიფტური“       
miwodeba-montaJi (Sesabamisi masalebisa da samuSaoebis Rirebulebis gaTvaliswinebiT) eskizis Sesabamisad </t>
  </si>
  <si>
    <t>გაბარიტული ზომები: სიგრძე სმ. 148,5 სიგანე, სმ. 72,7 სიმაღლე, სმ. 163,5მომხმარებლის მაქსიმალური წონა, კგ. 150</t>
  </si>
  <si>
    <t xml:space="preserve">ტრენაჟორი „ქანქარა - წელის კორექციისთვის"
miwodeba-montaJi (Sesabamisi masalebisa da samuSaoebis Rirebulebis gaTvaliswinebiT) eskizis Sesabamisad </t>
  </si>
  <si>
    <t>გაბარიტული ზომები: სიგრძე სმ. 74 სიგანე, სმ. 76 სიმაღლე, სმ. 120მომხმარებლის მაქსიმალური წონა, კგ. 150</t>
  </si>
  <si>
    <t xml:space="preserve">ტრენაჟორი „ორმხრივი ძელი“  
miwodeba-montaJi (Sesabamisi masalebisa da samuSaoebis Rirebulebis gaTvaliswinebiT) eskizis Sesabamisad                       </t>
  </si>
  <si>
    <t>გაბარიტული ზომები: სიგრძე სმ. 140 სიგანე, სმ. 65 სიმაღლე, სმ. 150მომხმარებლის მაქსიმალური წონა, კგ. 150</t>
  </si>
  <si>
    <t>zednadebi xarjebi                       (muSa mosamsaxureTa ZiriTadi xelfasidan)</t>
  </si>
  <si>
    <t>sul xarjTaTricxva #3-4</t>
  </si>
  <si>
    <t>lk #3-1</t>
  </si>
  <si>
    <t>lk #3-3</t>
  </si>
  <si>
    <t>lk #3-4</t>
  </si>
  <si>
    <t>krebsiTi xarjTaRicxva</t>
  </si>
  <si>
    <t>saxarjTaRricxvo gaangariSebis #</t>
  </si>
  <si>
    <t>samuSaoebisa da danaxarjebis dasaxeleba</t>
  </si>
  <si>
    <t>saxarjTaRricxvo Rirebuleba</t>
  </si>
  <si>
    <t>samSeneblo samuSaoebi</t>
  </si>
  <si>
    <t>samontaJo samuSaoebi</t>
  </si>
  <si>
    <t>mowyobiloba</t>
  </si>
  <si>
    <t>jami        lari</t>
  </si>
  <si>
    <t>sportuli moednis mowyobis samuSaoebi</t>
  </si>
  <si>
    <t>lk 1-1</t>
  </si>
  <si>
    <t>lk 1-2</t>
  </si>
  <si>
    <t xml:space="preserve"> el montaJis samuSaoebi</t>
  </si>
  <si>
    <t>lk 1-3</t>
  </si>
  <si>
    <t>sportuli moednis mimdebared sazogadoebrivi daniSnulebis reteratis mowyobis samuSaoebi</t>
  </si>
  <si>
    <t>lk 2-1</t>
  </si>
  <si>
    <t>lk 2-2</t>
  </si>
  <si>
    <t>Senobis el montaJis samuSaoebi</t>
  </si>
  <si>
    <t>lk 2-3</t>
  </si>
  <si>
    <t>skveris mowyoba</t>
  </si>
  <si>
    <t>lk #3-2</t>
  </si>
  <si>
    <t xml:space="preserve">skveris teritoriis gare el montaJi </t>
  </si>
  <si>
    <t>gadaxurvis mowyoba gamWvirvale karboluqsis  furcliT (nacrisferi,   8-10mm sisqis)</t>
  </si>
  <si>
    <t>kanalizaciis gare qseli                            (d-50 pl)                      (saproeqto ormoul Waze daerTeba)</t>
  </si>
  <si>
    <t>kauCukis fila  25-30mm</t>
  </si>
  <si>
    <t>((0,3+0,3)*2*((40,3+23,3)*2/0,15+1)) *1,03*0,222/1000</t>
  </si>
  <si>
    <t>((0,3+0,3)*2*((40,3+23,3)/0,15+1)) *1,03*0,222/1000</t>
  </si>
  <si>
    <t>skveris gamwvanebis teritoria 1505kvm = *0,05  =75kbm</t>
  </si>
  <si>
    <t>xis pergolis mowyoba</t>
  </si>
  <si>
    <t>pergolis xis dgarebis rk betonis saZirkvlis mowyoba</t>
  </si>
  <si>
    <t>qvabulis mowyoba lenturi saZirkvlis mosawyobad</t>
  </si>
  <si>
    <t>RorRis fenilis mowyoba rk.bet saZirkvlis qveS</t>
  </si>
  <si>
    <t>rk.betonis lenturi saZirkvlis mowyoba</t>
  </si>
  <si>
    <t>sxava masala</t>
  </si>
  <si>
    <t>armatura Ф8АIII</t>
  </si>
  <si>
    <t>xis pergolis montaJi rk.betonis lentur saZirkvelSi (mocemuli eskizis mixedviT)</t>
  </si>
  <si>
    <t>xis koWi 150*100             2,5g/m*39c</t>
  </si>
  <si>
    <t>xis dgari  150*100                 2,0g/m*39c</t>
  </si>
  <si>
    <t>xis iribana  100*100                     0,70g/m*39c</t>
  </si>
  <si>
    <t xml:space="preserve">grZiva  70*70  </t>
  </si>
  <si>
    <t>10-4-1</t>
  </si>
  <si>
    <t>su xis masala</t>
  </si>
  <si>
    <t>9,7</t>
  </si>
  <si>
    <t>xis konsreuqciis antiseptireba</t>
  </si>
  <si>
    <t>15-165-7gamoy</t>
  </si>
  <si>
    <t>pergolis xis detalebis damuSaveba gare samuSaoebis xis laqiT</t>
  </si>
  <si>
    <t>moednis safaris mowyoba kauCukis filebiT 25-30მმ</t>
  </si>
  <si>
    <r>
      <t xml:space="preserve">მილი პლ. d-25*3,5                  </t>
    </r>
    <r>
      <rPr>
        <sz val="11"/>
        <rFont val="Calibri"/>
        <family val="2"/>
        <charset val="204"/>
        <scheme val="minor"/>
      </rPr>
      <t xml:space="preserve"> DIZAIN PN20</t>
    </r>
  </si>
  <si>
    <t>მილი პლ. Ppolipropilenis              d-25*3,5</t>
  </si>
  <si>
    <t>betoni m-150</t>
  </si>
  <si>
    <t xml:space="preserve">eleqtrodi </t>
  </si>
  <si>
    <r>
      <rPr>
        <sz val="11"/>
        <rFont val="Calibri"/>
        <family val="2"/>
        <charset val="204"/>
      </rPr>
      <t>PVC</t>
    </r>
    <r>
      <rPr>
        <sz val="11"/>
        <rFont val="AcadNusx"/>
      </rPr>
      <t xml:space="preserve">orkedliani gofrirebuli  mili </t>
    </r>
    <r>
      <rPr>
        <sz val="11"/>
        <rFont val="Calibri"/>
        <family val="2"/>
        <charset val="204"/>
      </rPr>
      <t>Ø50</t>
    </r>
    <r>
      <rPr>
        <sz val="11"/>
        <rFont val="AcadNusx"/>
      </rPr>
      <t>mm</t>
    </r>
    <r>
      <rPr>
        <sz val="12.1"/>
        <rFont val="AcadNusx"/>
      </rPr>
      <t/>
    </r>
  </si>
  <si>
    <r>
      <rPr>
        <sz val="11"/>
        <rFont val="Calibri"/>
        <family val="2"/>
        <charset val="204"/>
      </rPr>
      <t>PVCორკედლიანი გოფრირებული მილი</t>
    </r>
    <r>
      <rPr>
        <sz val="11"/>
        <rFont val="AcadNusx"/>
      </rPr>
      <t xml:space="preserve"> </t>
    </r>
    <r>
      <rPr>
        <sz val="11"/>
        <rFont val="Calibri"/>
        <family val="2"/>
        <charset val="204"/>
      </rPr>
      <t>Ø50მმ</t>
    </r>
  </si>
  <si>
    <t>dmanisis municipalitetis sofel javaxSi sportuli moednis, sazogadoebrivi daniSnulebis reteratisa da skveris mowyobis samuSaoebi</t>
  </si>
  <si>
    <t>16</t>
  </si>
  <si>
    <t>17</t>
  </si>
  <si>
    <t>18</t>
  </si>
  <si>
    <t>19</t>
  </si>
  <si>
    <r>
      <rPr>
        <b/>
        <sz val="11"/>
        <rFont val="Calibri"/>
        <family val="2"/>
        <charset val="204"/>
      </rPr>
      <t xml:space="preserve">PVC </t>
    </r>
    <r>
      <rPr>
        <b/>
        <sz val="11"/>
        <rFont val="AcadNusx"/>
      </rPr>
      <t xml:space="preserve">orkedliani gofrirebuli milis </t>
    </r>
    <r>
      <rPr>
        <b/>
        <sz val="11"/>
        <rFont val="Calibri"/>
        <family val="2"/>
        <charset val="204"/>
      </rPr>
      <t xml:space="preserve">Ø50 </t>
    </r>
    <r>
      <rPr>
        <b/>
        <sz val="11"/>
        <rFont val="AcadNusx"/>
      </rPr>
      <t>mm mowyoba</t>
    </r>
  </si>
  <si>
    <r>
      <rPr>
        <b/>
        <sz val="11"/>
        <rFont val="Calibri"/>
        <family val="2"/>
        <charset val="204"/>
      </rPr>
      <t>PVC ორკედლიანი გოფრირებული მილის</t>
    </r>
    <r>
      <rPr>
        <b/>
        <sz val="11"/>
        <rFont val="AcadNusx"/>
      </rPr>
      <t xml:space="preserve"> </t>
    </r>
    <r>
      <rPr>
        <b/>
        <sz val="11"/>
        <rFont val="Calibri"/>
        <family val="2"/>
        <charset val="204"/>
      </rPr>
      <t xml:space="preserve">Ø50 </t>
    </r>
    <r>
      <rPr>
        <b/>
        <sz val="11"/>
        <rFont val="AcadNusx"/>
      </rPr>
      <t>მმ მოწყობა</t>
    </r>
  </si>
  <si>
    <t>20</t>
  </si>
  <si>
    <t>3,3</t>
  </si>
  <si>
    <t>betonis cokolis Sida da gare zedapiris mopirkeTeba bazaltis filiT (25-30mm sisqis)</t>
  </si>
  <si>
    <t>bazaltis fila 25-30mm sisqis</t>
  </si>
  <si>
    <t>15-5-6</t>
  </si>
  <si>
    <t>betoni В-25  (m-350)</t>
  </si>
  <si>
    <t>armatura Ф6 АIII b.150</t>
  </si>
  <si>
    <t>bazaltis filis natexi "bregCea"</t>
  </si>
  <si>
    <t>11-11-12</t>
  </si>
  <si>
    <t>kvarcis sila</t>
  </si>
  <si>
    <t>cementi m-400</t>
  </si>
  <si>
    <t>6,3</t>
  </si>
  <si>
    <t>6,4</t>
  </si>
  <si>
    <t>bilikebis mopirkeTeba bazaltis namcxvrevi filiT,  brgCeaTi                           (80% fila)</t>
  </si>
  <si>
    <t>qvafenilis mowyoba bazaltis namsxvrevi filiT   ("bregCea")  80%</t>
  </si>
  <si>
    <t>RorRis fenilis mowyoba</t>
  </si>
  <si>
    <t>betonis fenilis mowyoba</t>
  </si>
  <si>
    <t>cementis xsnari m-200, (marmarilos namsxvrevebiani (marmarilos"kroSka") cementis xsnariT nakerebis amolesva)</t>
  </si>
  <si>
    <t xml:space="preserve">bazaltis namsxvrevi filiT --  "bregCeiT" -- mopirketebis moxvewa </t>
  </si>
  <si>
    <t>RorRis safuZvlis mowyoba datkepvniT</t>
  </si>
  <si>
    <t>sportuli moednis safaris mowyoba kauCukis masiuri feniliT, sisiqiT 30mm</t>
  </si>
  <si>
    <t>kauCukis fenili, masiuri, 30mm sisqis</t>
  </si>
  <si>
    <t xml:space="preserve">dekoratiuli Robis qveS rk/betonis cokolis mowyoba </t>
  </si>
  <si>
    <t>0.21</t>
  </si>
  <si>
    <t>8.9</t>
  </si>
  <si>
    <t>0.0097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</si>
</sst>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\ _L_a_r_i_-;\-* #,##0.00\ _L_a_r_i_-;_-* &quot;-&quot;??\ _L_a_r_i_-;_-@_-"/>
    <numFmt numFmtId="165" formatCode="0.0"/>
    <numFmt numFmtId="166" formatCode="0.000"/>
    <numFmt numFmtId="167" formatCode="_-* #,##0.00_р_._-;\-* #,##0.00_р_._-;_-* &quot;-&quot;??_р_._-;_-@_-"/>
    <numFmt numFmtId="168" formatCode="_-* #,##0.00_-;\-* #,##0.00_-;_-* &quot;-&quot;??_-;_-@_-"/>
    <numFmt numFmtId="169" formatCode="_-* #,##0.000_-;\-* #,##0.000_-;_-* &quot;-&quot;??_-;_-@_-"/>
    <numFmt numFmtId="170" formatCode="_-* #,##0.0000_-;\-* #,##0.0000_-;_-* &quot;-&quot;??_-;_-@_-"/>
  </numFmts>
  <fonts count="1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cadNusx"/>
    </font>
    <font>
      <sz val="12"/>
      <color theme="1"/>
      <name val="AcadNusx"/>
    </font>
    <font>
      <sz val="12"/>
      <name val="AcadNusx"/>
    </font>
    <font>
      <sz val="10"/>
      <color theme="1"/>
      <name val="AcadNusx"/>
    </font>
    <font>
      <sz val="10"/>
      <name val="AcadNusx"/>
    </font>
    <font>
      <b/>
      <sz val="12"/>
      <name val="AcadNusx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sz val="11"/>
      <color theme="1"/>
      <name val="AcadNusx"/>
    </font>
    <font>
      <b/>
      <sz val="11"/>
      <color theme="1"/>
      <name val="AcadNusx"/>
    </font>
    <font>
      <sz val="11"/>
      <name val="Calibri"/>
      <family val="2"/>
      <charset val="204"/>
      <scheme val="minor"/>
    </font>
    <font>
      <b/>
      <sz val="10"/>
      <color theme="1"/>
      <name val="AcadNusx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1"/>
      <name val="AcadNusx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b/>
      <sz val="10"/>
      <name val="AcadNusx"/>
    </font>
    <font>
      <b/>
      <sz val="12"/>
      <color theme="1"/>
      <name val="Calibri"/>
      <family val="2"/>
      <charset val="204"/>
      <scheme val="minor"/>
    </font>
    <font>
      <b/>
      <sz val="10"/>
      <color rgb="FF0000FF"/>
      <name val="AcadNusx"/>
    </font>
    <font>
      <sz val="10"/>
      <name val="Calibri"/>
      <family val="2"/>
    </font>
    <font>
      <b/>
      <vertAlign val="superscript"/>
      <sz val="10"/>
      <name val="AcadNusx"/>
    </font>
    <font>
      <sz val="10"/>
      <name val="Calibri"/>
      <family val="2"/>
      <charset val="204"/>
    </font>
    <font>
      <vertAlign val="superscript"/>
      <sz val="10"/>
      <name val="AcadNusx"/>
    </font>
    <font>
      <vertAlign val="superscript"/>
      <sz val="11"/>
      <name val="AcadNusx"/>
    </font>
    <font>
      <sz val="10"/>
      <color rgb="FFFF0000"/>
      <name val="AcadNusx"/>
    </font>
    <font>
      <sz val="10"/>
      <name val="Calibri"/>
      <family val="2"/>
      <scheme val="minor"/>
    </font>
    <font>
      <sz val="11"/>
      <color rgb="FFFF0000"/>
      <name val="AcadNusx"/>
    </font>
    <font>
      <b/>
      <sz val="10"/>
      <color rgb="FF000000"/>
      <name val="AcadNusx"/>
    </font>
    <font>
      <sz val="10"/>
      <color rgb="FF000000"/>
      <name val="AcadNusx"/>
    </font>
    <font>
      <sz val="11"/>
      <color rgb="FF000000"/>
      <name val="AcadNusx"/>
    </font>
    <font>
      <b/>
      <sz val="11"/>
      <color rgb="FF000000"/>
      <name val="AcadNusx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2.1"/>
      <name val="AcadNusx"/>
    </font>
    <font>
      <sz val="12"/>
      <color rgb="FF000000"/>
      <name val="AcadNusx"/>
    </font>
    <font>
      <b/>
      <sz val="12"/>
      <color rgb="FF000000"/>
      <name val="AcadNusx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b/>
      <sz val="12"/>
      <color rgb="FF0000FF"/>
      <name val="AcadNusx"/>
    </font>
    <font>
      <b/>
      <sz val="10"/>
      <name val="Calibri"/>
      <family val="2"/>
    </font>
    <font>
      <b/>
      <sz val="10"/>
      <color rgb="FFFF0000"/>
      <name val="AcadNusx"/>
    </font>
    <font>
      <b/>
      <sz val="9"/>
      <color theme="1"/>
      <name val="AcadNusx"/>
    </font>
    <font>
      <sz val="9"/>
      <color theme="1"/>
      <name val="AcadNusx"/>
    </font>
    <font>
      <b/>
      <sz val="10"/>
      <name val="Calibri"/>
      <family val="2"/>
      <scheme val="minor"/>
    </font>
    <font>
      <sz val="12"/>
      <color rgb="FFFF0000"/>
      <name val="AcadNusx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cadNusx"/>
    </font>
    <font>
      <b/>
      <sz val="9"/>
      <name val="AcadNusx"/>
    </font>
    <font>
      <vertAlign val="superscript"/>
      <sz val="9"/>
      <name val="AcadNusx"/>
    </font>
    <font>
      <b/>
      <sz val="11"/>
      <name val="Arial"/>
      <family val="2"/>
    </font>
    <font>
      <sz val="11"/>
      <name val="Grigolia"/>
    </font>
    <font>
      <b/>
      <sz val="10"/>
      <name val="Arial"/>
      <family val="2"/>
    </font>
    <font>
      <vertAlign val="superscript"/>
      <sz val="12"/>
      <name val="AcadNusx"/>
    </font>
    <font>
      <b/>
      <sz val="11"/>
      <name val="Calibri"/>
      <family val="2"/>
    </font>
    <font>
      <sz val="11"/>
      <color rgb="FFFF0000"/>
      <name val="Times New Roman"/>
      <family val="1"/>
      <charset val="204"/>
    </font>
    <font>
      <b/>
      <sz val="14"/>
      <color rgb="FF0000FF"/>
      <name val="AcadNusx"/>
    </font>
    <font>
      <sz val="10"/>
      <color theme="1"/>
      <name val="Times New Roman"/>
      <family val="1"/>
    </font>
    <font>
      <b/>
      <sz val="11"/>
      <color theme="0"/>
      <name val="AcadNusx"/>
    </font>
    <font>
      <b/>
      <sz val="10"/>
      <name val="Sylfaen"/>
      <family val="1"/>
    </font>
    <font>
      <b/>
      <vertAlign val="superscript"/>
      <sz val="10"/>
      <name val="Sylfaen"/>
      <family val="1"/>
    </font>
    <font>
      <vertAlign val="superscript"/>
      <sz val="10"/>
      <name val="Sylfaen"/>
      <family val="1"/>
      <charset val="204"/>
    </font>
    <font>
      <sz val="11"/>
      <name val="Calibri"/>
      <family val="2"/>
      <scheme val="minor"/>
    </font>
    <font>
      <b/>
      <sz val="10"/>
      <name val="Sylfaen"/>
      <family val="1"/>
      <charset val="204"/>
    </font>
    <font>
      <b/>
      <sz val="10"/>
      <name val="Arial"/>
      <family val="2"/>
      <charset val="204"/>
    </font>
    <font>
      <sz val="9"/>
      <color rgb="FFFF0000"/>
      <name val="AcadNusx"/>
    </font>
    <font>
      <sz val="10"/>
      <color theme="0"/>
      <name val="AcadNusx"/>
    </font>
  </fonts>
  <fills count="4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11">
    <xf numFmtId="0" fontId="0" fillId="0" borderId="0"/>
    <xf numFmtId="0" fontId="11" fillId="0" borderId="0"/>
    <xf numFmtId="0" fontId="17" fillId="0" borderId="0"/>
    <xf numFmtId="0" fontId="19" fillId="0" borderId="0"/>
    <xf numFmtId="0" fontId="21" fillId="0" borderId="0"/>
    <xf numFmtId="0" fontId="2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4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42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2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2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2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42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42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42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42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42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43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4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26" fillId="22" borderId="5" applyNumberFormat="0" applyAlignment="0" applyProtection="0"/>
    <xf numFmtId="0" fontId="45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0" fontId="27" fillId="23" borderId="6" applyNumberFormat="0" applyAlignment="0" applyProtection="0"/>
    <xf numFmtId="43" fontId="21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8" fillId="0" borderId="0" applyFont="0" applyFill="0" applyBorder="0" applyAlignment="0" applyProtection="0"/>
    <xf numFmtId="166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21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8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9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50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1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33" fillId="9" borderId="5" applyNumberFormat="0" applyAlignment="0" applyProtection="0"/>
    <xf numFmtId="0" fontId="52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53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36" fillId="0" borderId="0"/>
    <xf numFmtId="0" fontId="21" fillId="0" borderId="0"/>
    <xf numFmtId="0" fontId="60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61" fillId="0" borderId="0"/>
    <xf numFmtId="0" fontId="17" fillId="0" borderId="0"/>
    <xf numFmtId="0" fontId="11" fillId="0" borderId="0"/>
    <xf numFmtId="0" fontId="18" fillId="0" borderId="0"/>
    <xf numFmtId="0" fontId="11" fillId="0" borderId="0"/>
    <xf numFmtId="0" fontId="18" fillId="0" borderId="0"/>
    <xf numFmtId="0" fontId="17" fillId="0" borderId="0"/>
    <xf numFmtId="0" fontId="59" fillId="0" borderId="0"/>
    <xf numFmtId="0" fontId="17" fillId="0" borderId="0"/>
    <xf numFmtId="0" fontId="59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17" fillId="25" borderId="11" applyNumberFormat="0" applyFont="0" applyAlignment="0" applyProtection="0"/>
    <xf numFmtId="0" fontId="54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0" fontId="37" fillId="22" borderId="12" applyNumberFormat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8" fillId="0" borderId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0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1" fillId="0" borderId="0"/>
    <xf numFmtId="0" fontId="21" fillId="0" borderId="0"/>
    <xf numFmtId="0" fontId="17" fillId="0" borderId="0"/>
    <xf numFmtId="0" fontId="17" fillId="0" borderId="0"/>
    <xf numFmtId="0" fontId="59" fillId="0" borderId="0"/>
    <xf numFmtId="0" fontId="3" fillId="0" borderId="0"/>
    <xf numFmtId="0" fontId="3" fillId="0" borderId="0"/>
    <xf numFmtId="0" fontId="17" fillId="0" borderId="0"/>
    <xf numFmtId="0" fontId="63" fillId="3" borderId="0" applyNumberFormat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164" fontId="10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/>
    <xf numFmtId="0" fontId="17" fillId="0" borderId="0"/>
    <xf numFmtId="0" fontId="59" fillId="0" borderId="0"/>
    <xf numFmtId="0" fontId="18" fillId="0" borderId="0"/>
    <xf numFmtId="0" fontId="21" fillId="0" borderId="0"/>
    <xf numFmtId="0" fontId="17" fillId="0" borderId="0"/>
    <xf numFmtId="0" fontId="17" fillId="0" borderId="0"/>
  </cellStyleXfs>
  <cellXfs count="1023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14" fillId="28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6" fillId="30" borderId="1" xfId="0" applyNumberFormat="1" applyFont="1" applyFill="1" applyBorder="1" applyAlignment="1">
      <alignment horizontal="center" vertical="center" wrapText="1"/>
    </xf>
    <xf numFmtId="49" fontId="14" fillId="30" borderId="1" xfId="0" applyNumberFormat="1" applyFont="1" applyFill="1" applyBorder="1" applyAlignment="1">
      <alignment horizontal="center" vertical="center" wrapText="1"/>
    </xf>
    <xf numFmtId="0" fontId="16" fillId="30" borderId="1" xfId="0" applyNumberFormat="1" applyFont="1" applyFill="1" applyBorder="1" applyAlignment="1">
      <alignment horizontal="center" vertical="center" wrapText="1"/>
    </xf>
    <xf numFmtId="0" fontId="14" fillId="3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49" fontId="16" fillId="31" borderId="1" xfId="0" applyNumberFormat="1" applyFont="1" applyFill="1" applyBorder="1" applyAlignment="1">
      <alignment horizontal="center" vertical="center" wrapText="1"/>
    </xf>
    <xf numFmtId="49" fontId="14" fillId="31" borderId="1" xfId="0" applyNumberFormat="1" applyFont="1" applyFill="1" applyBorder="1" applyAlignment="1">
      <alignment horizontal="center" vertical="center" wrapText="1"/>
    </xf>
    <xf numFmtId="0" fontId="16" fillId="31" borderId="1" xfId="0" applyNumberFormat="1" applyFont="1" applyFill="1" applyBorder="1" applyAlignment="1">
      <alignment horizontal="center" vertical="center" wrapText="1"/>
    </xf>
    <xf numFmtId="0" fontId="14" fillId="31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vertical="center" wrapText="1"/>
    </xf>
    <xf numFmtId="0" fontId="64" fillId="0" borderId="1" xfId="0" applyNumberFormat="1" applyFont="1" applyFill="1" applyBorder="1" applyAlignment="1">
      <alignment horizontal="center" vertical="center" wrapText="1"/>
    </xf>
    <xf numFmtId="0" fontId="20" fillId="32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12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12" fillId="33" borderId="1" xfId="0" applyNumberFormat="1" applyFont="1" applyFill="1" applyBorder="1" applyAlignment="1">
      <alignment vertical="center" wrapText="1"/>
    </xf>
    <xf numFmtId="49" fontId="8" fillId="33" borderId="4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49" fontId="72" fillId="0" borderId="1" xfId="0" applyNumberFormat="1" applyFont="1" applyFill="1" applyBorder="1" applyAlignment="1">
      <alignment horizontal="center" vertical="center" wrapText="1"/>
    </xf>
    <xf numFmtId="49" fontId="16" fillId="0" borderId="1" xfId="654" applyNumberFormat="1" applyFont="1" applyBorder="1" applyAlignment="1">
      <alignment horizontal="center" vertical="center" wrapText="1"/>
    </xf>
    <xf numFmtId="49" fontId="7" fillId="0" borderId="1" xfId="654" applyNumberFormat="1" applyFont="1" applyBorder="1" applyAlignment="1">
      <alignment horizontal="center" vertical="center" wrapText="1"/>
    </xf>
    <xf numFmtId="49" fontId="12" fillId="0" borderId="1" xfId="902" applyNumberFormat="1" applyFont="1" applyBorder="1" applyAlignment="1">
      <alignment horizontal="center" vertical="center" wrapText="1"/>
    </xf>
    <xf numFmtId="0" fontId="7" fillId="0" borderId="1" xfId="654" applyNumberFormat="1" applyFont="1" applyBorder="1" applyAlignment="1">
      <alignment horizontal="center" vertical="center" wrapText="1"/>
    </xf>
    <xf numFmtId="0" fontId="13" fillId="0" borderId="1" xfId="654" applyNumberFormat="1" applyFont="1" applyBorder="1" applyAlignment="1">
      <alignment horizontal="center" vertical="center" wrapText="1"/>
    </xf>
    <xf numFmtId="2" fontId="12" fillId="0" borderId="1" xfId="903" applyNumberFormat="1" applyFont="1" applyFill="1" applyBorder="1" applyAlignment="1">
      <alignment horizontal="center" vertical="center" wrapText="1"/>
    </xf>
    <xf numFmtId="2" fontId="12" fillId="0" borderId="1" xfId="904" applyNumberFormat="1" applyFont="1" applyFill="1" applyBorder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center" wrapText="1"/>
    </xf>
    <xf numFmtId="49" fontId="64" fillId="0" borderId="1" xfId="1" quotePrefix="1" applyNumberFormat="1" applyFont="1" applyFill="1" applyBorder="1" applyAlignment="1" applyProtection="1">
      <alignment horizontal="center" vertical="center" wrapText="1"/>
    </xf>
    <xf numFmtId="0" fontId="20" fillId="32" borderId="1" xfId="901" applyNumberFormat="1" applyFont="1" applyFill="1" applyBorder="1" applyAlignment="1" applyProtection="1">
      <alignment horizontal="center" vertical="center" wrapText="1"/>
    </xf>
    <xf numFmtId="2" fontId="12" fillId="0" borderId="1" xfId="901" applyNumberFormat="1" applyFont="1" applyFill="1" applyBorder="1" applyAlignment="1" applyProtection="1">
      <alignment horizontal="center" vertical="center" wrapText="1"/>
    </xf>
    <xf numFmtId="49" fontId="13" fillId="0" borderId="1" xfId="0" applyNumberFormat="1" applyFont="1" applyBorder="1" applyAlignment="1">
      <alignment vertical="center" wrapText="1"/>
    </xf>
    <xf numFmtId="49" fontId="72" fillId="0" borderId="1" xfId="0" applyNumberFormat="1" applyFont="1" applyBorder="1" applyAlignment="1">
      <alignment horizontal="center" vertical="center" wrapText="1"/>
    </xf>
    <xf numFmtId="49" fontId="64" fillId="0" borderId="1" xfId="2" applyNumberFormat="1" applyFont="1" applyFill="1" applyBorder="1" applyAlignment="1">
      <alignment horizontal="center" vertical="center" wrapText="1"/>
    </xf>
    <xf numFmtId="49" fontId="20" fillId="2" borderId="1" xfId="2" applyNumberFormat="1" applyFont="1" applyFill="1" applyBorder="1" applyAlignment="1">
      <alignment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0" fontId="20" fillId="32" borderId="1" xfId="2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vertical="center" wrapText="1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2" fontId="12" fillId="0" borderId="1" xfId="2" applyNumberFormat="1" applyFont="1" applyFill="1" applyBorder="1" applyAlignment="1">
      <alignment horizontal="center" vertical="center" wrapText="1"/>
    </xf>
    <xf numFmtId="49" fontId="8" fillId="33" borderId="1" xfId="0" applyNumberFormat="1" applyFont="1" applyFill="1" applyBorder="1" applyAlignment="1">
      <alignment horizontal="left" vertical="center" wrapText="1"/>
    </xf>
    <xf numFmtId="49" fontId="8" fillId="33" borderId="19" xfId="0" applyNumberFormat="1" applyFont="1" applyFill="1" applyBorder="1" applyAlignment="1">
      <alignment horizontal="left" vertical="center" wrapText="1"/>
    </xf>
    <xf numFmtId="49" fontId="74" fillId="0" borderId="1" xfId="2" applyNumberFormat="1" applyFont="1" applyFill="1" applyBorder="1" applyAlignment="1">
      <alignment vertical="center" wrapText="1"/>
    </xf>
    <xf numFmtId="0" fontId="74" fillId="0" borderId="1" xfId="2" applyNumberFormat="1" applyFont="1" applyFill="1" applyBorder="1" applyAlignment="1">
      <alignment horizontal="center" vertical="center" wrapText="1"/>
    </xf>
    <xf numFmtId="49" fontId="20" fillId="34" borderId="1" xfId="0" applyNumberFormat="1" applyFont="1" applyFill="1" applyBorder="1" applyAlignment="1">
      <alignment vertical="center" wrapText="1"/>
    </xf>
    <xf numFmtId="49" fontId="64" fillId="33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4" fillId="27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8" fillId="27" borderId="1" xfId="0" applyNumberFormat="1" applyFont="1" applyFill="1" applyBorder="1" applyAlignment="1">
      <alignment vertical="center" wrapText="1"/>
    </xf>
    <xf numFmtId="49" fontId="20" fillId="27" borderId="1" xfId="0" applyNumberFormat="1" applyFont="1" applyFill="1" applyBorder="1" applyAlignment="1">
      <alignment vertical="center" wrapText="1"/>
    </xf>
    <xf numFmtId="0" fontId="8" fillId="27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12" fillId="27" borderId="1" xfId="0" applyNumberFormat="1" applyFont="1" applyFill="1" applyBorder="1" applyAlignment="1">
      <alignment vertical="center" wrapText="1"/>
    </xf>
    <xf numFmtId="49" fontId="8" fillId="27" borderId="1" xfId="0" applyNumberFormat="1" applyFont="1" applyFill="1" applyBorder="1" applyAlignment="1">
      <alignment horizontal="center" vertical="center" wrapText="1"/>
    </xf>
    <xf numFmtId="0" fontId="12" fillId="27" borderId="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4" fillId="32" borderId="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20" fillId="2" borderId="21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20" fillId="32" borderId="21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49" fontId="64" fillId="0" borderId="3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64" fillId="0" borderId="1" xfId="901" applyNumberFormat="1" applyFont="1" applyFill="1" applyBorder="1" applyAlignment="1">
      <alignment horizontal="center" vertical="center" wrapText="1"/>
    </xf>
    <xf numFmtId="49" fontId="64" fillId="0" borderId="3" xfId="901" applyNumberFormat="1" applyFont="1" applyFill="1" applyBorder="1" applyAlignment="1">
      <alignment horizontal="center" vertical="center" wrapText="1"/>
    </xf>
    <xf numFmtId="0" fontId="64" fillId="0" borderId="1" xfId="901" applyNumberFormat="1" applyFont="1" applyFill="1" applyBorder="1" applyAlignment="1">
      <alignment horizontal="center" vertical="center" wrapText="1"/>
    </xf>
    <xf numFmtId="0" fontId="20" fillId="32" borderId="1" xfId="901" applyNumberFormat="1" applyFont="1" applyFill="1" applyBorder="1" applyAlignment="1">
      <alignment horizontal="center" vertical="center" wrapText="1"/>
    </xf>
    <xf numFmtId="2" fontId="12" fillId="0" borderId="1" xfId="901" applyNumberFormat="1" applyFont="1" applyFill="1" applyBorder="1" applyAlignment="1">
      <alignment horizontal="center" vertical="center" wrapText="1"/>
    </xf>
    <xf numFmtId="49" fontId="8" fillId="0" borderId="3" xfId="901" applyNumberFormat="1" applyFont="1" applyFill="1" applyBorder="1" applyAlignment="1">
      <alignment horizontal="center" vertical="center" wrapText="1"/>
    </xf>
    <xf numFmtId="49" fontId="12" fillId="0" borderId="1" xfId="901" applyNumberFormat="1" applyFont="1" applyFill="1" applyBorder="1" applyAlignment="1">
      <alignment horizontal="left" vertical="center" wrapText="1"/>
    </xf>
    <xf numFmtId="0" fontId="8" fillId="0" borderId="1" xfId="901" applyNumberFormat="1" applyFont="1" applyFill="1" applyBorder="1" applyAlignment="1">
      <alignment horizontal="center" vertical="center" wrapText="1"/>
    </xf>
    <xf numFmtId="49" fontId="20" fillId="0" borderId="1" xfId="901" applyNumberFormat="1" applyFont="1" applyFill="1" applyBorder="1" applyAlignment="1">
      <alignment vertical="center" wrapText="1"/>
    </xf>
    <xf numFmtId="49" fontId="8" fillId="0" borderId="1" xfId="901" applyNumberFormat="1" applyFont="1" applyFill="1" applyBorder="1" applyAlignment="1">
      <alignment horizontal="center" vertical="center" wrapText="1"/>
    </xf>
    <xf numFmtId="0" fontId="12" fillId="0" borderId="1" xfId="901" applyNumberFormat="1" applyFont="1" applyFill="1" applyBorder="1" applyAlignment="1">
      <alignment horizontal="center" vertical="center" wrapText="1"/>
    </xf>
    <xf numFmtId="49" fontId="20" fillId="0" borderId="1" xfId="901" applyNumberFormat="1" applyFont="1" applyFill="1" applyBorder="1" applyAlignment="1">
      <alignment horizontal="left" vertical="center" wrapText="1"/>
    </xf>
    <xf numFmtId="0" fontId="20" fillId="0" borderId="1" xfId="901" applyNumberFormat="1" applyFont="1" applyFill="1" applyBorder="1" applyAlignment="1">
      <alignment horizontal="center" vertical="center" wrapText="1"/>
    </xf>
    <xf numFmtId="49" fontId="12" fillId="0" borderId="1" xfId="901" applyNumberFormat="1" applyFont="1" applyFill="1" applyBorder="1" applyAlignment="1">
      <alignment vertical="center" wrapText="1"/>
    </xf>
    <xf numFmtId="49" fontId="20" fillId="0" borderId="1" xfId="901" applyNumberFormat="1" applyFont="1" applyFill="1" applyBorder="1" applyAlignment="1">
      <alignment horizontal="center" vertical="center" wrapText="1"/>
    </xf>
    <xf numFmtId="49" fontId="20" fillId="0" borderId="21" xfId="901" applyNumberFormat="1" applyFont="1" applyFill="1" applyBorder="1" applyAlignment="1">
      <alignment horizontal="center" vertical="center" wrapText="1"/>
    </xf>
    <xf numFmtId="2" fontId="12" fillId="0" borderId="21" xfId="901" applyNumberFormat="1" applyFont="1" applyFill="1" applyBorder="1" applyAlignment="1">
      <alignment horizontal="center" vertical="center" wrapText="1"/>
    </xf>
    <xf numFmtId="2" fontId="13" fillId="0" borderId="1" xfId="901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/>
    </xf>
    <xf numFmtId="49" fontId="8" fillId="0" borderId="1" xfId="682" applyNumberFormat="1" applyFont="1" applyFill="1" applyBorder="1" applyAlignment="1">
      <alignment horizontal="center" vertical="center" wrapText="1"/>
    </xf>
    <xf numFmtId="0" fontId="12" fillId="0" borderId="1" xfId="682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49" fontId="8" fillId="0" borderId="21" xfId="901" applyNumberFormat="1" applyFont="1" applyFill="1" applyBorder="1" applyAlignment="1">
      <alignment horizontal="center" vertical="center" wrapText="1"/>
    </xf>
    <xf numFmtId="49" fontId="12" fillId="0" borderId="21" xfId="901" applyNumberFormat="1" applyFont="1" applyFill="1" applyBorder="1" applyAlignment="1">
      <alignment horizontal="left" vertical="center" wrapText="1"/>
    </xf>
    <xf numFmtId="0" fontId="8" fillId="0" borderId="21" xfId="901" applyNumberFormat="1" applyFont="1" applyFill="1" applyBorder="1" applyAlignment="1">
      <alignment horizontal="center" vertical="center" wrapText="1"/>
    </xf>
    <xf numFmtId="0" fontId="12" fillId="0" borderId="21" xfId="901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2" fillId="0" borderId="1" xfId="1" applyNumberFormat="1" applyFont="1" applyFill="1" applyBorder="1" applyAlignment="1" applyProtection="1">
      <alignment vertical="center" wrapText="1"/>
    </xf>
    <xf numFmtId="49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901" applyNumberFormat="1" applyFont="1" applyFill="1" applyBorder="1" applyAlignment="1" applyProtection="1">
      <alignment horizontal="center" vertical="center" wrapText="1"/>
    </xf>
    <xf numFmtId="49" fontId="8" fillId="0" borderId="1" xfId="1" quotePrefix="1" applyNumberFormat="1" applyFont="1" applyFill="1" applyBorder="1" applyAlignment="1" applyProtection="1">
      <alignment horizontal="center" vertical="center" wrapText="1"/>
    </xf>
    <xf numFmtId="49" fontId="20" fillId="2" borderId="1" xfId="1" applyNumberFormat="1" applyFont="1" applyFill="1" applyBorder="1" applyAlignment="1" applyProtection="1">
      <alignment vertical="center" wrapText="1"/>
    </xf>
    <xf numFmtId="49" fontId="20" fillId="2" borderId="1" xfId="0" applyNumberFormat="1" applyFont="1" applyFill="1" applyBorder="1" applyAlignment="1" applyProtection="1">
      <alignment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16" fillId="28" borderId="1" xfId="0" applyNumberFormat="1" applyFont="1" applyFill="1" applyBorder="1" applyAlignment="1">
      <alignment horizontal="center" vertical="center" wrapText="1"/>
    </xf>
    <xf numFmtId="0" fontId="16" fillId="28" borderId="1" xfId="0" applyNumberFormat="1" applyFont="1" applyFill="1" applyBorder="1" applyAlignment="1">
      <alignment horizontal="center" vertical="center" wrapText="1"/>
    </xf>
    <xf numFmtId="0" fontId="14" fillId="28" borderId="1" xfId="0" applyNumberFormat="1" applyFont="1" applyFill="1" applyBorder="1" applyAlignment="1">
      <alignment horizontal="center" vertical="center" wrapText="1"/>
    </xf>
    <xf numFmtId="2" fontId="14" fillId="28" borderId="1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9" fontId="13" fillId="2" borderId="4" xfId="0" applyNumberFormat="1" applyFont="1" applyFill="1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49" fontId="75" fillId="0" borderId="1" xfId="0" applyNumberFormat="1" applyFont="1" applyBorder="1" applyAlignment="1">
      <alignment horizontal="center" vertical="center" wrapText="1"/>
    </xf>
    <xf numFmtId="49" fontId="76" fillId="0" borderId="4" xfId="0" applyNumberFormat="1" applyFont="1" applyBorder="1" applyAlignment="1">
      <alignment horizontal="center" vertical="center" wrapText="1"/>
    </xf>
    <xf numFmtId="49" fontId="77" fillId="0" borderId="4" xfId="0" applyNumberFormat="1" applyFont="1" applyBorder="1" applyAlignment="1">
      <alignment vertical="center" wrapText="1"/>
    </xf>
    <xf numFmtId="0" fontId="76" fillId="0" borderId="4" xfId="0" applyNumberFormat="1" applyFont="1" applyBorder="1" applyAlignment="1">
      <alignment horizontal="center" vertical="center" wrapText="1"/>
    </xf>
    <xf numFmtId="0" fontId="77" fillId="2" borderId="4" xfId="0" applyNumberFormat="1" applyFont="1" applyFill="1" applyBorder="1" applyAlignment="1">
      <alignment horizontal="center" vertical="center" wrapText="1"/>
    </xf>
    <xf numFmtId="2" fontId="77" fillId="0" borderId="4" xfId="0" applyNumberFormat="1" applyFont="1" applyBorder="1" applyAlignment="1">
      <alignment horizontal="center" vertical="center" wrapText="1"/>
    </xf>
    <xf numFmtId="49" fontId="75" fillId="0" borderId="21" xfId="0" applyNumberFormat="1" applyFont="1" applyBorder="1" applyAlignment="1">
      <alignment horizontal="center" vertical="center" wrapText="1"/>
    </xf>
    <xf numFmtId="49" fontId="76" fillId="0" borderId="19" xfId="0" applyNumberFormat="1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vertical="center" wrapText="1"/>
    </xf>
    <xf numFmtId="0" fontId="76" fillId="0" borderId="19" xfId="0" applyNumberFormat="1" applyFont="1" applyBorder="1" applyAlignment="1">
      <alignment horizontal="center" vertical="center" wrapText="1"/>
    </xf>
    <xf numFmtId="0" fontId="77" fillId="0" borderId="19" xfId="0" applyNumberFormat="1" applyFont="1" applyBorder="1" applyAlignment="1">
      <alignment horizontal="center" vertical="center" wrapText="1"/>
    </xf>
    <xf numFmtId="2" fontId="77" fillId="0" borderId="19" xfId="0" applyNumberFormat="1" applyFont="1" applyBorder="1" applyAlignment="1">
      <alignment horizontal="center" vertical="center" wrapText="1"/>
    </xf>
    <xf numFmtId="0" fontId="77" fillId="2" borderId="19" xfId="0" applyNumberFormat="1" applyFont="1" applyFill="1" applyBorder="1" applyAlignment="1">
      <alignment horizontal="center" vertical="center" wrapText="1"/>
    </xf>
    <xf numFmtId="49" fontId="75" fillId="28" borderId="21" xfId="0" applyNumberFormat="1" applyFont="1" applyFill="1" applyBorder="1" applyAlignment="1">
      <alignment horizontal="center" vertical="center" wrapText="1"/>
    </xf>
    <xf numFmtId="49" fontId="76" fillId="28" borderId="19" xfId="0" applyNumberFormat="1" applyFont="1" applyFill="1" applyBorder="1" applyAlignment="1">
      <alignment horizontal="center" vertical="center" wrapText="1"/>
    </xf>
    <xf numFmtId="0" fontId="76" fillId="28" borderId="19" xfId="0" applyNumberFormat="1" applyFont="1" applyFill="1" applyBorder="1" applyAlignment="1">
      <alignment horizontal="center" vertical="center" wrapText="1"/>
    </xf>
    <xf numFmtId="0" fontId="77" fillId="28" borderId="19" xfId="0" applyNumberFormat="1" applyFont="1" applyFill="1" applyBorder="1" applyAlignment="1">
      <alignment horizontal="center" vertical="center" wrapText="1"/>
    </xf>
    <xf numFmtId="2" fontId="77" fillId="28" borderId="19" xfId="0" applyNumberFormat="1" applyFont="1" applyFill="1" applyBorder="1" applyAlignment="1">
      <alignment horizontal="center" vertical="center" wrapText="1"/>
    </xf>
    <xf numFmtId="2" fontId="78" fillId="35" borderId="19" xfId="0" applyNumberFormat="1" applyFont="1" applyFill="1" applyBorder="1" applyAlignment="1">
      <alignment horizontal="center" vertical="center" wrapText="1"/>
    </xf>
    <xf numFmtId="0" fontId="77" fillId="36" borderId="19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79" fillId="0" borderId="0" xfId="0" applyNumberFormat="1" applyFont="1" applyAlignment="1">
      <alignment horizontal="center" vertical="center" wrapText="1"/>
    </xf>
    <xf numFmtId="0" fontId="80" fillId="0" borderId="0" xfId="0" applyNumberFormat="1" applyFont="1" applyAlignment="1">
      <alignment horizontal="center" vertical="center" wrapText="1"/>
    </xf>
    <xf numFmtId="0" fontId="79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12" fillId="28" borderId="1" xfId="900" applyNumberFormat="1" applyFont="1" applyFill="1" applyBorder="1" applyAlignment="1">
      <alignment horizontal="center" vertical="center" wrapText="1"/>
    </xf>
    <xf numFmtId="0" fontId="20" fillId="28" borderId="1" xfId="900" applyNumberFormat="1" applyFont="1" applyFill="1" applyBorder="1" applyAlignment="1">
      <alignment horizontal="center" vertical="center" wrapText="1"/>
    </xf>
    <xf numFmtId="0" fontId="20" fillId="0" borderId="1" xfId="902" applyNumberFormat="1" applyFont="1" applyBorder="1" applyAlignment="1">
      <alignment horizontal="center" vertical="center" wrapText="1"/>
    </xf>
    <xf numFmtId="0" fontId="12" fillId="0" borderId="1" xfId="902" applyNumberFormat="1" applyFont="1" applyBorder="1" applyAlignment="1">
      <alignment horizontal="center" vertical="center" wrapText="1"/>
    </xf>
    <xf numFmtId="0" fontId="12" fillId="32" borderId="1" xfId="902" applyNumberFormat="1" applyFont="1" applyFill="1" applyBorder="1" applyAlignment="1">
      <alignment horizontal="center" vertical="center" wrapText="1"/>
    </xf>
    <xf numFmtId="0" fontId="14" fillId="0" borderId="1" xfId="654" applyNumberFormat="1" applyFont="1" applyBorder="1" applyAlignment="1">
      <alignment horizontal="center" vertical="center" wrapText="1"/>
    </xf>
    <xf numFmtId="0" fontId="12" fillId="0" borderId="1" xfId="654" applyNumberFormat="1" applyFont="1" applyBorder="1" applyAlignment="1">
      <alignment horizontal="center" vertical="center" wrapText="1"/>
    </xf>
    <xf numFmtId="0" fontId="12" fillId="32" borderId="1" xfId="654" applyNumberFormat="1" applyFont="1" applyFill="1" applyBorder="1" applyAlignment="1">
      <alignment horizontal="center" vertical="center" wrapText="1"/>
    </xf>
    <xf numFmtId="0" fontId="20" fillId="0" borderId="1" xfId="735" applyNumberFormat="1" applyFont="1" applyBorder="1" applyAlignment="1">
      <alignment horizontal="center" vertical="center" wrapText="1"/>
    </xf>
    <xf numFmtId="0" fontId="12" fillId="0" borderId="1" xfId="735" applyNumberFormat="1" applyFont="1" applyBorder="1" applyAlignment="1">
      <alignment horizontal="center" vertical="center" wrapText="1"/>
    </xf>
    <xf numFmtId="0" fontId="12" fillId="32" borderId="1" xfId="735" applyNumberFormat="1" applyFont="1" applyFill="1" applyBorder="1" applyAlignment="1">
      <alignment horizontal="center" vertical="center" wrapText="1"/>
    </xf>
    <xf numFmtId="0" fontId="20" fillId="0" borderId="1" xfId="681" applyNumberFormat="1" applyFont="1" applyBorder="1" applyAlignment="1">
      <alignment horizontal="center" vertical="center" wrapText="1"/>
    </xf>
    <xf numFmtId="0" fontId="12" fillId="0" borderId="1" xfId="681" applyNumberFormat="1" applyFont="1" applyBorder="1" applyAlignment="1">
      <alignment horizontal="center" vertical="center" wrapText="1"/>
    </xf>
    <xf numFmtId="0" fontId="20" fillId="0" borderId="1" xfId="633" applyNumberFormat="1" applyFont="1" applyBorder="1" applyAlignment="1">
      <alignment horizontal="center" vertical="center" wrapText="1"/>
    </xf>
    <xf numFmtId="0" fontId="12" fillId="0" borderId="1" xfId="633" applyNumberFormat="1" applyFont="1" applyBorder="1" applyAlignment="1">
      <alignment horizontal="center" vertical="center" wrapText="1"/>
    </xf>
    <xf numFmtId="0" fontId="12" fillId="32" borderId="1" xfId="633" applyNumberFormat="1" applyFont="1" applyFill="1" applyBorder="1" applyAlignment="1">
      <alignment horizontal="center" vertical="center" wrapText="1"/>
    </xf>
    <xf numFmtId="0" fontId="12" fillId="0" borderId="1" xfId="905" applyNumberFormat="1" applyFont="1" applyBorder="1" applyAlignment="1">
      <alignment horizontal="center" vertical="center" wrapText="1"/>
    </xf>
    <xf numFmtId="0" fontId="20" fillId="0" borderId="1" xfId="870" applyNumberFormat="1" applyFont="1" applyBorder="1" applyAlignment="1">
      <alignment horizontal="center" vertical="center" wrapText="1"/>
    </xf>
    <xf numFmtId="0" fontId="12" fillId="0" borderId="1" xfId="870" applyNumberFormat="1" applyFont="1" applyBorder="1" applyAlignment="1">
      <alignment horizontal="center" vertical="center" wrapText="1"/>
    </xf>
    <xf numFmtId="0" fontId="12" fillId="32" borderId="1" xfId="870" applyNumberFormat="1" applyFont="1" applyFill="1" applyBorder="1" applyAlignment="1">
      <alignment horizontal="center" vertical="center" wrapText="1"/>
    </xf>
    <xf numFmtId="0" fontId="12" fillId="0" borderId="2" xfId="870" applyNumberFormat="1" applyFont="1" applyBorder="1" applyAlignment="1">
      <alignment horizontal="center" vertical="center" wrapText="1"/>
    </xf>
    <xf numFmtId="0" fontId="12" fillId="0" borderId="4" xfId="87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0" fillId="0" borderId="2" xfId="654" applyNumberFormat="1" applyFont="1" applyBorder="1" applyAlignment="1">
      <alignment horizontal="center" vertical="center" wrapText="1"/>
    </xf>
    <xf numFmtId="0" fontId="12" fillId="0" borderId="4" xfId="654" applyNumberFormat="1" applyFont="1" applyBorder="1" applyAlignment="1">
      <alignment horizontal="center" vertical="center" wrapText="1"/>
    </xf>
    <xf numFmtId="0" fontId="12" fillId="0" borderId="21" xfId="654" applyNumberFormat="1" applyFont="1" applyBorder="1" applyAlignment="1">
      <alignment horizontal="center" vertical="center" wrapText="1"/>
    </xf>
    <xf numFmtId="0" fontId="20" fillId="0" borderId="21" xfId="654" applyNumberFormat="1" applyFont="1" applyBorder="1" applyAlignment="1">
      <alignment horizontal="center" vertical="center" wrapText="1"/>
    </xf>
    <xf numFmtId="0" fontId="12" fillId="27" borderId="1" xfId="633" applyNumberFormat="1" applyFont="1" applyFill="1" applyBorder="1" applyAlignment="1">
      <alignment horizontal="center" vertical="center" wrapText="1"/>
    </xf>
    <xf numFmtId="0" fontId="20" fillId="0" borderId="1" xfId="633" applyNumberFormat="1" applyFont="1" applyFill="1" applyBorder="1" applyAlignment="1">
      <alignment horizontal="center" vertical="center" wrapText="1"/>
    </xf>
    <xf numFmtId="0" fontId="12" fillId="0" borderId="1" xfId="646" applyNumberFormat="1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20" fillId="2" borderId="1" xfId="646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2" fontId="20" fillId="2" borderId="1" xfId="903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2" fontId="20" fillId="2" borderId="1" xfId="904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20" fillId="0" borderId="4" xfId="646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2" fontId="20" fillId="0" borderId="4" xfId="903" applyNumberFormat="1" applyFont="1" applyFill="1" applyBorder="1" applyAlignment="1">
      <alignment horizontal="center" vertical="center" wrapText="1"/>
    </xf>
    <xf numFmtId="2" fontId="20" fillId="0" borderId="4" xfId="904" applyNumberFormat="1" applyFont="1" applyFill="1" applyBorder="1" applyAlignment="1">
      <alignment horizontal="center" vertical="center" wrapText="1"/>
    </xf>
    <xf numFmtId="49" fontId="78" fillId="0" borderId="1" xfId="0" applyNumberFormat="1" applyFont="1" applyBorder="1" applyAlignment="1">
      <alignment horizontal="center" vertical="center" wrapText="1"/>
    </xf>
    <xf numFmtId="0" fontId="84" fillId="0" borderId="4" xfId="0" applyFont="1" applyBorder="1" applyAlignment="1">
      <alignment vertical="center" wrapText="1"/>
    </xf>
    <xf numFmtId="0" fontId="77" fillId="0" borderId="4" xfId="0" applyNumberFormat="1" applyFont="1" applyBorder="1" applyAlignment="1">
      <alignment horizontal="center" vertical="center" wrapText="1"/>
    </xf>
    <xf numFmtId="49" fontId="78" fillId="2" borderId="21" xfId="0" applyNumberFormat="1" applyFont="1" applyFill="1" applyBorder="1" applyAlignment="1">
      <alignment horizontal="center" vertical="center" wrapText="1"/>
    </xf>
    <xf numFmtId="49" fontId="76" fillId="2" borderId="19" xfId="0" applyNumberFormat="1" applyFont="1" applyFill="1" applyBorder="1" applyAlignment="1">
      <alignment horizontal="center" vertical="center" wrapText="1"/>
    </xf>
    <xf numFmtId="0" fontId="85" fillId="2" borderId="19" xfId="0" applyFont="1" applyFill="1" applyBorder="1" applyAlignment="1">
      <alignment vertical="center" wrapText="1"/>
    </xf>
    <xf numFmtId="2" fontId="77" fillId="2" borderId="19" xfId="0" applyNumberFormat="1" applyFont="1" applyFill="1" applyBorder="1" applyAlignment="1">
      <alignment horizontal="center" vertical="center" wrapText="1"/>
    </xf>
    <xf numFmtId="2" fontId="78" fillId="2" borderId="19" xfId="0" applyNumberFormat="1" applyFont="1" applyFill="1" applyBorder="1" applyAlignment="1">
      <alignment horizontal="center" vertical="center" wrapText="1"/>
    </xf>
    <xf numFmtId="2" fontId="12" fillId="0" borderId="1" xfId="903" applyNumberFormat="1" applyFont="1" applyBorder="1" applyAlignment="1">
      <alignment horizontal="center" vertical="center" wrapText="1"/>
    </xf>
    <xf numFmtId="2" fontId="12" fillId="0" borderId="1" xfId="904" applyNumberFormat="1" applyFont="1" applyBorder="1" applyAlignment="1">
      <alignment horizontal="center" vertical="center" wrapText="1"/>
    </xf>
    <xf numFmtId="49" fontId="64" fillId="0" borderId="1" xfId="906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2" fontId="20" fillId="32" borderId="1" xfId="0" applyNumberFormat="1" applyFont="1" applyFill="1" applyBorder="1" applyAlignment="1">
      <alignment horizontal="center" vertical="center" wrapText="1"/>
    </xf>
    <xf numFmtId="49" fontId="8" fillId="0" borderId="1" xfId="870" applyNumberFormat="1" applyFont="1" applyFill="1" applyBorder="1" applyAlignment="1">
      <alignment horizontal="center" vertical="center" wrapText="1"/>
    </xf>
    <xf numFmtId="49" fontId="12" fillId="0" borderId="1" xfId="870" applyNumberFormat="1" applyFont="1" applyFill="1" applyBorder="1" applyAlignment="1">
      <alignment horizontal="left" vertical="center" wrapText="1"/>
    </xf>
    <xf numFmtId="0" fontId="12" fillId="0" borderId="1" xfId="870" applyNumberFormat="1" applyFont="1" applyFill="1" applyBorder="1" applyAlignment="1">
      <alignment horizontal="center" vertical="center" wrapText="1"/>
    </xf>
    <xf numFmtId="166" fontId="12" fillId="0" borderId="1" xfId="87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49" fontId="8" fillId="0" borderId="1" xfId="906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74" fillId="0" borderId="1" xfId="0" applyNumberFormat="1" applyFont="1" applyFill="1" applyBorder="1" applyAlignment="1">
      <alignment horizontal="center" vertical="center" wrapText="1"/>
    </xf>
    <xf numFmtId="166" fontId="74" fillId="0" borderId="1" xfId="0" applyNumberFormat="1" applyFont="1" applyFill="1" applyBorder="1" applyAlignment="1">
      <alignment horizontal="center" vertical="center" wrapText="1"/>
    </xf>
    <xf numFmtId="2" fontId="74" fillId="0" borderId="1" xfId="0" applyNumberFormat="1" applyFont="1" applyFill="1" applyBorder="1" applyAlignment="1">
      <alignment horizontal="center" vertical="center" wrapText="1"/>
    </xf>
    <xf numFmtId="2" fontId="74" fillId="0" borderId="1" xfId="903" applyNumberFormat="1" applyFont="1" applyFill="1" applyBorder="1" applyAlignment="1">
      <alignment horizontal="center" vertical="center" wrapText="1"/>
    </xf>
    <xf numFmtId="49" fontId="8" fillId="0" borderId="1" xfId="901" applyNumberFormat="1" applyFont="1" applyFill="1" applyBorder="1" applyAlignment="1">
      <alignment horizontal="center" vertical="center"/>
    </xf>
    <xf numFmtId="0" fontId="20" fillId="0" borderId="1" xfId="901" applyNumberFormat="1" applyFont="1" applyFill="1" applyBorder="1" applyAlignment="1">
      <alignment horizontal="center" vertical="center"/>
    </xf>
    <xf numFmtId="2" fontId="20" fillId="32" borderId="1" xfId="901" applyNumberFormat="1" applyFont="1" applyFill="1" applyBorder="1" applyAlignment="1">
      <alignment horizontal="center" vertical="center" wrapText="1"/>
    </xf>
    <xf numFmtId="0" fontId="12" fillId="0" borderId="1" xfId="901" applyNumberFormat="1" applyFont="1" applyFill="1" applyBorder="1" applyAlignment="1">
      <alignment horizontal="center" vertical="center"/>
    </xf>
    <xf numFmtId="166" fontId="12" fillId="0" borderId="1" xfId="901" applyNumberFormat="1" applyFont="1" applyFill="1" applyBorder="1" applyAlignment="1">
      <alignment horizontal="center" vertical="center" wrapText="1"/>
    </xf>
    <xf numFmtId="166" fontId="12" fillId="0" borderId="1" xfId="901" applyNumberFormat="1" applyFont="1" applyFill="1" applyBorder="1" applyAlignment="1">
      <alignment horizontal="center" vertical="center"/>
    </xf>
    <xf numFmtId="49" fontId="86" fillId="0" borderId="1" xfId="901" applyNumberFormat="1" applyFont="1" applyFill="1" applyBorder="1" applyAlignment="1">
      <alignment horizontal="center" vertical="center" wrapText="1"/>
    </xf>
    <xf numFmtId="49" fontId="8" fillId="0" borderId="1" xfId="901" applyNumberFormat="1" applyFont="1" applyFill="1" applyBorder="1" applyAlignment="1" applyProtection="1">
      <alignment horizontal="center" vertical="center" wrapText="1"/>
    </xf>
    <xf numFmtId="0" fontId="87" fillId="0" borderId="1" xfId="901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left" vertical="center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20" fillId="28" borderId="1" xfId="0" applyNumberFormat="1" applyFont="1" applyFill="1" applyBorder="1" applyAlignment="1">
      <alignment horizontal="center" vertical="center" wrapText="1"/>
    </xf>
    <xf numFmtId="0" fontId="13" fillId="28" borderId="1" xfId="0" applyNumberFormat="1" applyFont="1" applyFill="1" applyBorder="1" applyAlignment="1">
      <alignment horizontal="center" vertical="center" wrapText="1"/>
    </xf>
    <xf numFmtId="0" fontId="12" fillId="28" borderId="1" xfId="0" applyNumberFormat="1" applyFont="1" applyFill="1" applyBorder="1" applyAlignment="1">
      <alignment horizontal="center" vertical="center" wrapText="1"/>
    </xf>
    <xf numFmtId="2" fontId="13" fillId="28" borderId="1" xfId="0" applyNumberFormat="1" applyFont="1" applyFill="1" applyBorder="1" applyAlignment="1">
      <alignment horizontal="center" vertical="center" wrapText="1"/>
    </xf>
    <xf numFmtId="2" fontId="14" fillId="26" borderId="1" xfId="0" applyNumberFormat="1" applyFont="1" applyFill="1" applyBorder="1" applyAlignment="1">
      <alignment horizontal="center" vertical="center" wrapText="1"/>
    </xf>
    <xf numFmtId="9" fontId="12" fillId="3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/>
    <xf numFmtId="49" fontId="80" fillId="0" borderId="0" xfId="0" applyNumberFormat="1" applyFont="1" applyAlignment="1">
      <alignment wrapText="1"/>
    </xf>
    <xf numFmtId="0" fontId="79" fillId="0" borderId="0" xfId="0" applyFont="1"/>
    <xf numFmtId="0" fontId="0" fillId="0" borderId="0" xfId="0" applyNumberFormat="1" applyFont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13" fillId="32" borderId="1" xfId="0" applyNumberFormat="1" applyFont="1" applyFill="1" applyBorder="1" applyAlignment="1">
      <alignment horizontal="center" vertical="center" wrapText="1"/>
    </xf>
    <xf numFmtId="0" fontId="12" fillId="0" borderId="1" xfId="907" applyNumberFormat="1" applyFont="1" applyFill="1" applyBorder="1" applyAlignment="1">
      <alignment horizontal="center" vertical="center" wrapText="1"/>
    </xf>
    <xf numFmtId="0" fontId="8" fillId="0" borderId="1" xfId="907" applyNumberFormat="1" applyFont="1" applyFill="1" applyBorder="1" applyAlignment="1">
      <alignment horizontal="center" vertical="center" wrapText="1"/>
    </xf>
    <xf numFmtId="0" fontId="6" fillId="0" borderId="1" xfId="907" applyNumberFormat="1" applyFont="1" applyFill="1" applyBorder="1" applyAlignment="1">
      <alignment horizontal="center" vertical="center" wrapText="1"/>
    </xf>
    <xf numFmtId="0" fontId="20" fillId="0" borderId="1" xfId="907" applyNumberFormat="1" applyFont="1" applyFill="1" applyBorder="1" applyAlignment="1">
      <alignment horizontal="center" vertical="center" wrapText="1"/>
    </xf>
    <xf numFmtId="0" fontId="4" fillId="28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7" fillId="28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49" fontId="64" fillId="0" borderId="0" xfId="0" applyNumberFormat="1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64" fillId="0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Fill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64" fillId="28" borderId="1" xfId="0" applyNumberFormat="1" applyFont="1" applyFill="1" applyBorder="1" applyAlignment="1">
      <alignment horizontal="center" vertical="center" wrapText="1"/>
    </xf>
    <xf numFmtId="0" fontId="64" fillId="28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9" fontId="64" fillId="2" borderId="3" xfId="0" applyNumberFormat="1" applyFont="1" applyFill="1" applyBorder="1" applyAlignment="1">
      <alignment horizontal="center" vertical="center" wrapText="1"/>
    </xf>
    <xf numFmtId="49" fontId="64" fillId="2" borderId="1" xfId="0" applyNumberFormat="1" applyFont="1" applyFill="1" applyBorder="1" applyAlignment="1">
      <alignment vertical="center" wrapText="1"/>
    </xf>
    <xf numFmtId="0" fontId="20" fillId="2" borderId="1" xfId="0" applyNumberFormat="1" applyFont="1" applyFill="1" applyBorder="1" applyAlignment="1">
      <alignment vertical="center" wrapText="1"/>
    </xf>
    <xf numFmtId="0" fontId="64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0" fillId="0" borderId="1" xfId="0" applyNumberFormat="1" applyFont="1" applyFill="1" applyBorder="1" applyAlignment="1">
      <alignment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91" fillId="38" borderId="21" xfId="0" applyFont="1" applyFill="1" applyBorder="1" applyAlignment="1">
      <alignment horizontal="center" vertical="center" wrapText="1"/>
    </xf>
    <xf numFmtId="0" fontId="91" fillId="38" borderId="20" xfId="0" applyFont="1" applyFill="1" applyBorder="1" applyAlignment="1">
      <alignment horizontal="center" vertical="center" wrapText="1"/>
    </xf>
    <xf numFmtId="0" fontId="92" fillId="0" borderId="21" xfId="0" applyFont="1" applyBorder="1" applyAlignment="1">
      <alignment horizontal="center" vertical="center" wrapText="1"/>
    </xf>
    <xf numFmtId="0" fontId="91" fillId="2" borderId="21" xfId="0" applyFont="1" applyFill="1" applyBorder="1" applyAlignment="1">
      <alignment horizontal="center" vertical="center" wrapText="1"/>
    </xf>
    <xf numFmtId="49" fontId="94" fillId="0" borderId="3" xfId="0" applyNumberFormat="1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0" fillId="0" borderId="1" xfId="2" applyNumberFormat="1" applyFont="1" applyFill="1" applyBorder="1" applyAlignment="1">
      <alignment vertical="center" wrapText="1"/>
    </xf>
    <xf numFmtId="0" fontId="20" fillId="0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vertical="center" wrapText="1"/>
    </xf>
    <xf numFmtId="0" fontId="8" fillId="0" borderId="1" xfId="90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vertical="center" wrapText="1"/>
    </xf>
    <xf numFmtId="49" fontId="8" fillId="0" borderId="21" xfId="0" applyNumberFormat="1" applyFont="1" applyFill="1" applyBorder="1" applyAlignment="1">
      <alignment vertical="center" wrapText="1"/>
    </xf>
    <xf numFmtId="0" fontId="20" fillId="0" borderId="21" xfId="0" applyNumberFormat="1" applyFont="1" applyFill="1" applyBorder="1" applyAlignment="1">
      <alignment vertical="center" wrapText="1"/>
    </xf>
    <xf numFmtId="0" fontId="20" fillId="0" borderId="2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9" fontId="64" fillId="0" borderId="21" xfId="0" applyNumberFormat="1" applyFont="1" applyFill="1" applyBorder="1" applyAlignment="1">
      <alignment horizontal="center" vertical="center" wrapText="1"/>
    </xf>
    <xf numFmtId="49" fontId="64" fillId="0" borderId="1" xfId="1" quotePrefix="1" applyNumberFormat="1" applyFont="1" applyFill="1" applyBorder="1" applyAlignment="1" applyProtection="1">
      <alignment vertical="top" wrapText="1"/>
    </xf>
    <xf numFmtId="0" fontId="20" fillId="0" borderId="1" xfId="0" applyNumberFormat="1" applyFont="1" applyFill="1" applyBorder="1" applyAlignment="1" applyProtection="1">
      <alignment vertical="center" wrapText="1"/>
    </xf>
    <xf numFmtId="0" fontId="64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left" vertical="center" wrapText="1"/>
    </xf>
    <xf numFmtId="0" fontId="64" fillId="0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vertical="center" wrapText="1"/>
    </xf>
    <xf numFmtId="0" fontId="64" fillId="0" borderId="1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 applyProtection="1">
      <alignment vertical="center" wrapText="1"/>
    </xf>
    <xf numFmtId="2" fontId="12" fillId="0" borderId="1" xfId="899" applyNumberFormat="1" applyFont="1" applyFill="1" applyBorder="1" applyAlignment="1">
      <alignment horizontal="center" vertical="center" wrapText="1"/>
    </xf>
    <xf numFmtId="49" fontId="64" fillId="0" borderId="1" xfId="2" applyNumberFormat="1" applyFont="1" applyFill="1" applyBorder="1" applyAlignment="1">
      <alignment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64" fillId="0" borderId="3" xfId="0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9" fontId="99" fillId="0" borderId="0" xfId="0" applyNumberFormat="1" applyFont="1" applyFill="1" applyAlignment="1">
      <alignment horizontal="center" vertical="center"/>
    </xf>
    <xf numFmtId="0" fontId="20" fillId="0" borderId="1" xfId="1" applyNumberFormat="1" applyFont="1" applyFill="1" applyBorder="1" applyAlignment="1" applyProtection="1">
      <alignment vertical="center" wrapText="1"/>
    </xf>
    <xf numFmtId="0" fontId="20" fillId="0" borderId="1" xfId="1" applyNumberFormat="1" applyFont="1" applyFill="1" applyBorder="1" applyAlignment="1" applyProtection="1">
      <alignment horizontal="center" vertical="center" wrapText="1"/>
    </xf>
    <xf numFmtId="0" fontId="20" fillId="0" borderId="1" xfId="901" applyNumberFormat="1" applyFont="1" applyFill="1" applyBorder="1" applyAlignment="1" applyProtection="1">
      <alignment horizontal="center" vertical="center" wrapText="1"/>
    </xf>
    <xf numFmtId="49" fontId="64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49" fontId="64" fillId="0" borderId="4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64" fillId="0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left" vertical="center" wrapText="1"/>
    </xf>
    <xf numFmtId="0" fontId="64" fillId="0" borderId="19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center" wrapText="1"/>
    </xf>
    <xf numFmtId="2" fontId="20" fillId="26" borderId="1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 horizontal="left" vertical="center" wrapText="1"/>
    </xf>
    <xf numFmtId="0" fontId="20" fillId="32" borderId="19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49" fontId="102" fillId="0" borderId="0" xfId="0" applyNumberFormat="1" applyFont="1" applyFill="1" applyAlignment="1">
      <alignment horizontal="center" vertical="center" wrapText="1"/>
    </xf>
    <xf numFmtId="49" fontId="103" fillId="0" borderId="0" xfId="0" applyNumberFormat="1" applyFont="1" applyFill="1" applyAlignment="1">
      <alignment horizontal="center" vertical="center" wrapText="1"/>
    </xf>
    <xf numFmtId="0" fontId="98" fillId="0" borderId="0" xfId="0" applyNumberFormat="1" applyFont="1" applyFill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7" fillId="30" borderId="1" xfId="0" applyNumberFormat="1" applyFont="1" applyFill="1" applyBorder="1" applyAlignment="1">
      <alignment horizontal="center" vertical="center" wrapText="1"/>
    </xf>
    <xf numFmtId="0" fontId="8" fillId="3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64" fillId="39" borderId="1" xfId="0" applyNumberFormat="1" applyFont="1" applyFill="1" applyBorder="1" applyAlignment="1">
      <alignment horizontal="left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left" vertical="center" wrapText="1"/>
    </xf>
    <xf numFmtId="49" fontId="64" fillId="27" borderId="1" xfId="0" applyNumberFormat="1" applyFont="1" applyFill="1" applyBorder="1" applyAlignment="1">
      <alignment horizontal="center" vertical="center"/>
    </xf>
    <xf numFmtId="0" fontId="64" fillId="32" borderId="21" xfId="0" applyNumberFormat="1" applyFont="1" applyFill="1" applyBorder="1" applyAlignment="1">
      <alignment horizontal="center" vertical="center" wrapText="1"/>
    </xf>
    <xf numFmtId="2" fontId="64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64" fillId="0" borderId="2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27" borderId="1" xfId="0" applyNumberFormat="1" applyFont="1" applyFill="1" applyBorder="1" applyAlignment="1">
      <alignment horizontal="center" vertical="center"/>
    </xf>
    <xf numFmtId="0" fontId="8" fillId="27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49" fontId="102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27" borderId="21" xfId="0" applyNumberFormat="1" applyFont="1" applyFill="1" applyBorder="1" applyAlignment="1">
      <alignment horizontal="center" vertical="center"/>
    </xf>
    <xf numFmtId="0" fontId="8" fillId="27" borderId="21" xfId="0" applyNumberFormat="1" applyFont="1" applyFill="1" applyBorder="1" applyAlignment="1">
      <alignment horizontal="center" vertical="center" wrapText="1"/>
    </xf>
    <xf numFmtId="49" fontId="8" fillId="0" borderId="1" xfId="908" applyNumberFormat="1" applyFont="1" applyBorder="1" applyAlignment="1">
      <alignment horizontal="center" vertical="center" wrapText="1"/>
    </xf>
    <xf numFmtId="49" fontId="64" fillId="0" borderId="1" xfId="908" applyNumberFormat="1" applyFont="1" applyBorder="1" applyAlignment="1">
      <alignment horizontal="left" vertical="center" wrapText="1"/>
    </xf>
    <xf numFmtId="0" fontId="64" fillId="32" borderId="1" xfId="908" applyNumberFormat="1" applyFont="1" applyFill="1" applyBorder="1" applyAlignment="1">
      <alignment horizontal="center" vertical="center" wrapText="1"/>
    </xf>
    <xf numFmtId="2" fontId="8" fillId="0" borderId="1" xfId="908" applyNumberFormat="1" applyFont="1" applyFill="1" applyBorder="1" applyAlignment="1">
      <alignment horizontal="center" vertical="center" wrapText="1"/>
    </xf>
    <xf numFmtId="49" fontId="8" fillId="0" borderId="1" xfId="908" applyNumberFormat="1" applyFont="1" applyBorder="1" applyAlignment="1">
      <alignment horizontal="left" vertical="center" wrapText="1"/>
    </xf>
    <xf numFmtId="0" fontId="8" fillId="0" borderId="1" xfId="908" applyNumberFormat="1" applyFont="1" applyBorder="1" applyAlignment="1">
      <alignment horizontal="center" vertical="center" wrapText="1"/>
    </xf>
    <xf numFmtId="49" fontId="8" fillId="0" borderId="1" xfId="875" applyNumberFormat="1" applyFont="1" applyBorder="1" applyAlignment="1">
      <alignment horizontal="center" vertical="center" wrapText="1"/>
    </xf>
    <xf numFmtId="0" fontId="8" fillId="0" borderId="1" xfId="875" applyNumberFormat="1" applyFont="1" applyBorder="1" applyAlignment="1">
      <alignment horizontal="center" vertical="center" wrapText="1"/>
    </xf>
    <xf numFmtId="2" fontId="8" fillId="0" borderId="1" xfId="875" applyNumberFormat="1" applyFont="1" applyFill="1" applyBorder="1" applyAlignment="1">
      <alignment horizontal="center" vertical="center" wrapText="1"/>
    </xf>
    <xf numFmtId="2" fontId="8" fillId="0" borderId="1" xfId="909" applyNumberFormat="1" applyFont="1" applyFill="1" applyBorder="1" applyAlignment="1">
      <alignment horizontal="center" vertical="center" wrapText="1"/>
    </xf>
    <xf numFmtId="2" fontId="8" fillId="0" borderId="1" xfId="900" applyNumberFormat="1" applyFont="1" applyFill="1" applyBorder="1" applyAlignment="1">
      <alignment horizontal="center" vertical="center" wrapText="1"/>
    </xf>
    <xf numFmtId="2" fontId="8" fillId="0" borderId="1" xfId="899" applyNumberFormat="1" applyFont="1" applyFill="1" applyBorder="1" applyAlignment="1">
      <alignment horizontal="center" vertical="center" wrapText="1"/>
    </xf>
    <xf numFmtId="0" fontId="64" fillId="32" borderId="1" xfId="0" applyNumberFormat="1" applyFont="1" applyFill="1" applyBorder="1" applyAlignment="1">
      <alignment horizontal="center" vertical="center" wrapText="1"/>
    </xf>
    <xf numFmtId="49" fontId="8" fillId="27" borderId="2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0" fontId="79" fillId="0" borderId="1" xfId="0" applyNumberFormat="1" applyFont="1" applyBorder="1" applyAlignment="1">
      <alignment horizontal="center" vertical="center" wrapText="1"/>
    </xf>
    <xf numFmtId="49" fontId="8" fillId="0" borderId="1" xfId="909" applyNumberFormat="1" applyFont="1" applyBorder="1" applyAlignment="1">
      <alignment horizontal="center" vertical="center" wrapText="1"/>
    </xf>
    <xf numFmtId="49" fontId="64" fillId="0" borderId="1" xfId="908" applyNumberFormat="1" applyFont="1" applyBorder="1" applyAlignment="1">
      <alignment vertical="center" wrapText="1"/>
    </xf>
    <xf numFmtId="49" fontId="79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2" fontId="8" fillId="0" borderId="1" xfId="903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903" applyNumberFormat="1" applyFont="1" applyFill="1" applyBorder="1" applyAlignment="1">
      <alignment horizontal="center" vertical="center" wrapText="1"/>
    </xf>
    <xf numFmtId="49" fontId="8" fillId="0" borderId="1" xfId="870" applyNumberFormat="1" applyFont="1" applyFill="1" applyBorder="1" applyAlignment="1">
      <alignment horizontal="left" vertical="center" wrapText="1"/>
    </xf>
    <xf numFmtId="0" fontId="8" fillId="0" borderId="1" xfId="870" applyNumberFormat="1" applyFont="1" applyFill="1" applyBorder="1" applyAlignment="1">
      <alignment horizontal="center" vertical="center" wrapText="1"/>
    </xf>
    <xf numFmtId="2" fontId="8" fillId="0" borderId="1" xfId="90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64" fillId="0" borderId="1" xfId="0" applyNumberFormat="1" applyFont="1" applyBorder="1" applyAlignment="1">
      <alignment horizontal="left" vertical="center" wrapText="1"/>
    </xf>
    <xf numFmtId="49" fontId="104" fillId="0" borderId="1" xfId="0" applyNumberFormat="1" applyFont="1" applyBorder="1" applyAlignment="1">
      <alignment horizontal="center" vertical="center" wrapText="1"/>
    </xf>
    <xf numFmtId="0" fontId="104" fillId="0" borderId="1" xfId="0" applyNumberFormat="1" applyFont="1" applyBorder="1" applyAlignment="1">
      <alignment horizontal="center" vertical="center" wrapText="1"/>
    </xf>
    <xf numFmtId="2" fontId="8" fillId="0" borderId="1" xfId="633" applyNumberFormat="1" applyFont="1" applyFill="1" applyBorder="1" applyAlignment="1">
      <alignment horizontal="center" vertical="center" wrapText="1"/>
    </xf>
    <xf numFmtId="49" fontId="104" fillId="27" borderId="1" xfId="633" applyNumberFormat="1" applyFont="1" applyFill="1" applyBorder="1" applyAlignment="1">
      <alignment horizontal="center"/>
    </xf>
    <xf numFmtId="49" fontId="8" fillId="27" borderId="1" xfId="633" applyNumberFormat="1" applyFont="1" applyFill="1" applyBorder="1" applyAlignment="1">
      <alignment horizontal="left" wrapText="1"/>
    </xf>
    <xf numFmtId="0" fontId="104" fillId="27" borderId="1" xfId="633" applyNumberFormat="1" applyFont="1" applyFill="1" applyBorder="1" applyAlignment="1">
      <alignment horizontal="center"/>
    </xf>
    <xf numFmtId="0" fontId="8" fillId="27" borderId="1" xfId="633" applyNumberFormat="1" applyFont="1" applyFill="1" applyBorder="1" applyAlignment="1">
      <alignment horizontal="center"/>
    </xf>
    <xf numFmtId="2" fontId="8" fillId="0" borderId="1" xfId="633" applyNumberFormat="1" applyFont="1" applyFill="1" applyBorder="1" applyAlignment="1">
      <alignment horizontal="center"/>
    </xf>
    <xf numFmtId="2" fontId="8" fillId="0" borderId="1" xfId="646" applyNumberFormat="1" applyFont="1" applyFill="1" applyBorder="1" applyAlignment="1">
      <alignment horizontal="center" vertical="center" wrapText="1"/>
    </xf>
    <xf numFmtId="49" fontId="104" fillId="27" borderId="1" xfId="633" applyNumberFormat="1" applyFont="1" applyFill="1" applyBorder="1" applyAlignment="1">
      <alignment horizontal="center" vertical="center"/>
    </xf>
    <xf numFmtId="49" fontId="8" fillId="27" borderId="1" xfId="0" applyNumberFormat="1" applyFont="1" applyFill="1" applyBorder="1" applyAlignment="1">
      <alignment horizontal="left" vertical="center" wrapText="1"/>
    </xf>
    <xf numFmtId="0" fontId="104" fillId="27" borderId="1" xfId="633" applyNumberFormat="1" applyFont="1" applyFill="1" applyBorder="1" applyAlignment="1">
      <alignment horizontal="center" vertical="center"/>
    </xf>
    <xf numFmtId="0" fontId="8" fillId="27" borderId="1" xfId="633" applyNumberFormat="1" applyFont="1" applyFill="1" applyBorder="1" applyAlignment="1">
      <alignment horizontal="center" vertical="center"/>
    </xf>
    <xf numFmtId="2" fontId="8" fillId="0" borderId="1" xfId="633" applyNumberFormat="1" applyFont="1" applyFill="1" applyBorder="1" applyAlignment="1">
      <alignment horizontal="center" vertical="center"/>
    </xf>
    <xf numFmtId="49" fontId="8" fillId="27" borderId="1" xfId="633" applyNumberFormat="1" applyFont="1" applyFill="1" applyBorder="1" applyAlignment="1">
      <alignment horizontal="left" vertical="center" wrapText="1"/>
    </xf>
    <xf numFmtId="49" fontId="104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9" fontId="20" fillId="3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98" fillId="0" borderId="0" xfId="0" applyNumberFormat="1" applyFont="1" applyFill="1"/>
    <xf numFmtId="49" fontId="8" fillId="28" borderId="1" xfId="0" applyNumberFormat="1" applyFont="1" applyFill="1" applyBorder="1" applyAlignment="1">
      <alignment horizontal="center" vertical="center" wrapText="1"/>
    </xf>
    <xf numFmtId="49" fontId="64" fillId="0" borderId="1" xfId="907" applyNumberFormat="1" applyFont="1" applyFill="1" applyBorder="1" applyAlignment="1">
      <alignment horizontal="center" vertical="center" wrapText="1"/>
    </xf>
    <xf numFmtId="0" fontId="20" fillId="0" borderId="1" xfId="907" applyNumberFormat="1" applyFont="1" applyFill="1" applyBorder="1" applyAlignment="1">
      <alignment horizontal="left" vertical="center" wrapText="1"/>
    </xf>
    <xf numFmtId="0" fontId="20" fillId="32" borderId="1" xfId="907" applyNumberFormat="1" applyFont="1" applyFill="1" applyBorder="1" applyAlignment="1">
      <alignment horizontal="center" vertical="center" wrapText="1"/>
    </xf>
    <xf numFmtId="2" fontId="97" fillId="0" borderId="1" xfId="0" applyNumberFormat="1" applyFont="1" applyFill="1" applyBorder="1" applyAlignment="1">
      <alignment horizontal="center" vertical="center" wrapText="1"/>
    </xf>
    <xf numFmtId="49" fontId="8" fillId="0" borderId="1" xfId="907" applyNumberFormat="1" applyFont="1" applyFill="1" applyBorder="1" applyAlignment="1">
      <alignment horizontal="center" vertical="center" wrapText="1"/>
    </xf>
    <xf numFmtId="2" fontId="96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20" fillId="0" borderId="1" xfId="907" applyNumberFormat="1" applyFont="1" applyFill="1" applyBorder="1" applyAlignment="1">
      <alignment vertical="center" wrapText="1"/>
    </xf>
    <xf numFmtId="0" fontId="15" fillId="0" borderId="20" xfId="0" applyNumberFormat="1" applyFont="1" applyFill="1" applyBorder="1" applyAlignment="1">
      <alignment vertical="center" wrapText="1"/>
    </xf>
    <xf numFmtId="0" fontId="15" fillId="0" borderId="20" xfId="0" applyNumberFormat="1" applyFont="1" applyFill="1" applyBorder="1" applyAlignment="1">
      <alignment horizontal="center" vertical="center" wrapText="1"/>
    </xf>
    <xf numFmtId="2" fontId="15" fillId="0" borderId="20" xfId="0" applyNumberFormat="1" applyFont="1" applyFill="1" applyBorder="1" applyAlignment="1">
      <alignment horizontal="center" vertical="center" wrapText="1"/>
    </xf>
    <xf numFmtId="49" fontId="20" fillId="0" borderId="1" xfId="907" applyNumberFormat="1" applyFont="1" applyFill="1" applyBorder="1" applyAlignment="1">
      <alignment horizontal="left" vertical="center" wrapText="1"/>
    </xf>
    <xf numFmtId="0" fontId="64" fillId="0" borderId="1" xfId="907" applyNumberFormat="1" applyFont="1" applyFill="1" applyBorder="1" applyAlignment="1">
      <alignment horizontal="center" vertical="center" wrapText="1"/>
    </xf>
    <xf numFmtId="49" fontId="20" fillId="0" borderId="1" xfId="910" applyNumberFormat="1" applyFont="1" applyFill="1" applyBorder="1" applyAlignment="1">
      <alignment horizontal="left" vertical="center" wrapText="1"/>
    </xf>
    <xf numFmtId="2" fontId="20" fillId="0" borderId="1" xfId="901" applyNumberFormat="1" applyFont="1" applyFill="1" applyBorder="1" applyAlignment="1">
      <alignment horizontal="center" vertical="center" wrapText="1"/>
    </xf>
    <xf numFmtId="49" fontId="20" fillId="0" borderId="1" xfId="681" applyNumberFormat="1" applyFont="1" applyFill="1" applyBorder="1" applyAlignment="1">
      <alignment horizontal="left" vertical="center" wrapText="1"/>
    </xf>
    <xf numFmtId="0" fontId="20" fillId="0" borderId="1" xfId="681" applyNumberFormat="1" applyFont="1" applyFill="1" applyBorder="1" applyAlignment="1">
      <alignment horizontal="center" vertical="center" wrapText="1"/>
    </xf>
    <xf numFmtId="49" fontId="104" fillId="0" borderId="1" xfId="0" applyNumberFormat="1" applyFont="1" applyFill="1" applyBorder="1" applyAlignment="1" applyProtection="1">
      <alignment horizontal="center" vertical="center" wrapText="1"/>
    </xf>
    <xf numFmtId="49" fontId="64" fillId="0" borderId="2" xfId="0" applyNumberFormat="1" applyFont="1" applyFill="1" applyBorder="1" applyAlignment="1">
      <alignment vertical="center" wrapText="1"/>
    </xf>
    <xf numFmtId="49" fontId="105" fillId="0" borderId="1" xfId="0" applyNumberFormat="1" applyFont="1" applyFill="1" applyBorder="1" applyAlignment="1">
      <alignment horizontal="center" vertical="center" wrapText="1"/>
    </xf>
    <xf numFmtId="0" fontId="105" fillId="0" borderId="2" xfId="0" applyNumberFormat="1" applyFont="1" applyFill="1" applyBorder="1" applyAlignment="1">
      <alignment horizontal="center" vertical="center" wrapText="1"/>
    </xf>
    <xf numFmtId="2" fontId="8" fillId="0" borderId="1" xfId="901" applyNumberFormat="1" applyFont="1" applyFill="1" applyBorder="1" applyAlignment="1" applyProtection="1">
      <alignment horizontal="center" vertical="center" wrapText="1"/>
    </xf>
    <xf numFmtId="49" fontId="8" fillId="0" borderId="2" xfId="633" applyNumberFormat="1" applyFont="1" applyFill="1" applyBorder="1" applyAlignment="1">
      <alignment vertical="center" wrapText="1"/>
    </xf>
    <xf numFmtId="0" fontId="20" fillId="0" borderId="1" xfId="681" applyNumberFormat="1" applyFont="1" applyFill="1" applyBorder="1" applyAlignment="1">
      <alignment vertical="center" wrapText="1"/>
    </xf>
    <xf numFmtId="49" fontId="8" fillId="27" borderId="1" xfId="633" applyNumberFormat="1" applyFont="1" applyFill="1" applyBorder="1" applyAlignment="1">
      <alignment horizontal="center" vertical="center" wrapText="1"/>
    </xf>
    <xf numFmtId="49" fontId="104" fillId="0" borderId="1" xfId="907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vertical="center" wrapText="1"/>
    </xf>
    <xf numFmtId="0" fontId="104" fillId="0" borderId="1" xfId="0" applyNumberFormat="1" applyFont="1" applyFill="1" applyBorder="1" applyAlignment="1">
      <alignment horizontal="center" vertical="center" wrapText="1"/>
    </xf>
    <xf numFmtId="0" fontId="64" fillId="32" borderId="1" xfId="907" applyNumberFormat="1" applyFont="1" applyFill="1" applyBorder="1" applyAlignment="1">
      <alignment horizontal="center" vertical="center" wrapText="1"/>
    </xf>
    <xf numFmtId="2" fontId="64" fillId="27" borderId="1" xfId="901" applyNumberFormat="1" applyFont="1" applyFill="1" applyBorder="1" applyAlignment="1">
      <alignment horizontal="center" vertical="center" wrapText="1"/>
    </xf>
    <xf numFmtId="49" fontId="104" fillId="0" borderId="1" xfId="633" applyNumberFormat="1" applyFont="1" applyFill="1" applyBorder="1" applyAlignment="1">
      <alignment horizontal="center" vertical="center" wrapText="1"/>
    </xf>
    <xf numFmtId="49" fontId="64" fillId="0" borderId="1" xfId="633" applyNumberFormat="1" applyFont="1" applyFill="1" applyBorder="1" applyAlignment="1">
      <alignment vertical="center" wrapText="1"/>
    </xf>
    <xf numFmtId="0" fontId="104" fillId="0" borderId="1" xfId="633" applyNumberFormat="1" applyFont="1" applyFill="1" applyBorder="1" applyAlignment="1">
      <alignment horizontal="center" vertical="center" wrapText="1"/>
    </xf>
    <xf numFmtId="2" fontId="8" fillId="0" borderId="1" xfId="901" applyNumberFormat="1" applyFont="1" applyFill="1" applyBorder="1" applyAlignment="1">
      <alignment horizontal="center" vertical="center" wrapText="1"/>
    </xf>
    <xf numFmtId="49" fontId="8" fillId="0" borderId="1" xfId="633" applyNumberFormat="1" applyFont="1" applyFill="1" applyBorder="1" applyAlignment="1">
      <alignment vertical="center" wrapText="1"/>
    </xf>
    <xf numFmtId="0" fontId="104" fillId="0" borderId="21" xfId="633" applyNumberFormat="1" applyFont="1" applyFill="1" applyBorder="1" applyAlignment="1">
      <alignment horizontal="center" vertical="center" wrapText="1"/>
    </xf>
    <xf numFmtId="0" fontId="8" fillId="0" borderId="21" xfId="633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2" fontId="108" fillId="0" borderId="1" xfId="0" applyNumberFormat="1" applyFont="1" applyFill="1" applyBorder="1" applyAlignment="1">
      <alignment horizontal="center" vertical="center" wrapText="1"/>
    </xf>
    <xf numFmtId="49" fontId="64" fillId="27" borderId="1" xfId="633" applyNumberFormat="1" applyFont="1" applyFill="1" applyBorder="1" applyAlignment="1">
      <alignment horizontal="center" vertical="center" wrapText="1"/>
    </xf>
    <xf numFmtId="49" fontId="64" fillId="0" borderId="2" xfId="1" applyNumberFormat="1" applyFont="1" applyFill="1" applyBorder="1" applyAlignment="1" applyProtection="1">
      <alignment vertical="center" wrapText="1"/>
    </xf>
    <xf numFmtId="0" fontId="8" fillId="27" borderId="1" xfId="633" applyNumberFormat="1" applyFont="1" applyFill="1" applyBorder="1" applyAlignment="1">
      <alignment horizontal="center" vertical="center" wrapText="1"/>
    </xf>
    <xf numFmtId="0" fontId="20" fillId="32" borderId="1" xfId="633" applyNumberFormat="1" applyFont="1" applyFill="1" applyBorder="1" applyAlignment="1">
      <alignment horizontal="center" vertical="center" wrapText="1"/>
    </xf>
    <xf numFmtId="0" fontId="12" fillId="0" borderId="1" xfId="633" applyNumberFormat="1" applyFont="1" applyFill="1" applyBorder="1" applyAlignment="1">
      <alignment horizontal="center" vertical="center" wrapText="1"/>
    </xf>
    <xf numFmtId="2" fontId="12" fillId="0" borderId="1" xfId="633" applyNumberFormat="1" applyFont="1" applyFill="1" applyBorder="1" applyAlignment="1">
      <alignment horizontal="center" vertical="center" wrapText="1"/>
    </xf>
    <xf numFmtId="0" fontId="6" fillId="27" borderId="1" xfId="633" applyNumberFormat="1" applyFont="1" applyFill="1" applyBorder="1" applyAlignment="1">
      <alignment horizontal="left" vertical="center" wrapText="1"/>
    </xf>
    <xf numFmtId="2" fontId="12" fillId="0" borderId="1" xfId="682" applyNumberFormat="1" applyFont="1" applyFill="1" applyBorder="1" applyAlignment="1">
      <alignment horizontal="center" vertical="center" wrapText="1"/>
    </xf>
    <xf numFmtId="49" fontId="8" fillId="0" borderId="21" xfId="633" applyNumberFormat="1" applyFont="1" applyFill="1" applyBorder="1" applyAlignment="1">
      <alignment horizontal="center" vertical="center" wrapText="1"/>
    </xf>
    <xf numFmtId="0" fontId="8" fillId="0" borderId="1" xfId="633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 applyProtection="1">
      <alignment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49" fontId="12" fillId="0" borderId="1" xfId="633" applyNumberFormat="1" applyFont="1" applyFill="1" applyBorder="1" applyAlignment="1">
      <alignment horizontal="left" vertical="center" wrapText="1"/>
    </xf>
    <xf numFmtId="166" fontId="12" fillId="0" borderId="1" xfId="633" applyNumberFormat="1" applyFont="1" applyFill="1" applyBorder="1" applyAlignment="1">
      <alignment horizontal="center" vertical="center" wrapText="1"/>
    </xf>
    <xf numFmtId="166" fontId="12" fillId="0" borderId="21" xfId="633" applyNumberFormat="1" applyFont="1" applyFill="1" applyBorder="1" applyAlignment="1">
      <alignment horizontal="center" vertical="center" wrapText="1"/>
    </xf>
    <xf numFmtId="0" fontId="14" fillId="40" borderId="1" xfId="0" applyNumberFormat="1" applyFont="1" applyFill="1" applyBorder="1" applyAlignment="1">
      <alignment horizontal="center" vertical="center" wrapText="1"/>
    </xf>
    <xf numFmtId="49" fontId="7" fillId="40" borderId="1" xfId="0" applyNumberFormat="1" applyFont="1" applyFill="1" applyBorder="1" applyAlignment="1">
      <alignment horizontal="center" vertical="center" wrapText="1"/>
    </xf>
    <xf numFmtId="0" fontId="4" fillId="40" borderId="1" xfId="0" applyNumberFormat="1" applyFont="1" applyFill="1" applyBorder="1" applyAlignment="1">
      <alignment horizontal="center" vertical="center" wrapText="1"/>
    </xf>
    <xf numFmtId="0" fontId="16" fillId="40" borderId="1" xfId="0" applyNumberFormat="1" applyFont="1" applyFill="1" applyBorder="1" applyAlignment="1">
      <alignment horizontal="center" vertical="center" wrapText="1"/>
    </xf>
    <xf numFmtId="0" fontId="20" fillId="40" borderId="1" xfId="0" applyNumberFormat="1" applyFont="1" applyFill="1" applyBorder="1" applyAlignment="1">
      <alignment horizontal="center" vertical="center" wrapText="1"/>
    </xf>
    <xf numFmtId="2" fontId="20" fillId="0" borderId="21" xfId="901" applyNumberFormat="1" applyFont="1" applyFill="1" applyBorder="1" applyAlignment="1">
      <alignment horizontal="center" vertical="center" wrapText="1"/>
    </xf>
    <xf numFmtId="49" fontId="20" fillId="0" borderId="1" xfId="633" applyNumberFormat="1" applyFont="1" applyFill="1" applyBorder="1" applyAlignment="1">
      <alignment horizontal="left" vertical="center" wrapText="1"/>
    </xf>
    <xf numFmtId="49" fontId="64" fillId="0" borderId="1" xfId="633" applyNumberFormat="1" applyFont="1" applyFill="1" applyBorder="1" applyAlignment="1">
      <alignment horizontal="center" vertical="center" wrapText="1"/>
    </xf>
    <xf numFmtId="0" fontId="12" fillId="0" borderId="21" xfId="633" applyNumberFormat="1" applyFont="1" applyFill="1" applyBorder="1" applyAlignment="1">
      <alignment horizontal="center" vertical="center" wrapText="1"/>
    </xf>
    <xf numFmtId="49" fontId="11" fillId="0" borderId="1" xfId="633" applyNumberFormat="1" applyFont="1" applyFill="1" applyBorder="1" applyAlignment="1">
      <alignment horizontal="center" vertical="center" wrapText="1"/>
    </xf>
    <xf numFmtId="2" fontId="12" fillId="0" borderId="1" xfId="504" applyNumberFormat="1" applyFont="1" applyFill="1" applyBorder="1" applyAlignment="1">
      <alignment horizontal="center" vertical="center" wrapText="1"/>
    </xf>
    <xf numFmtId="49" fontId="8" fillId="0" borderId="1" xfId="681" applyNumberFormat="1" applyFont="1" applyFill="1" applyBorder="1" applyAlignment="1">
      <alignment horizontal="center" vertical="center" wrapText="1"/>
    </xf>
    <xf numFmtId="49" fontId="8" fillId="27" borderId="20" xfId="633" applyNumberFormat="1" applyFont="1" applyFill="1" applyBorder="1" applyAlignment="1">
      <alignment horizontal="center" vertical="center" wrapText="1"/>
    </xf>
    <xf numFmtId="49" fontId="64" fillId="0" borderId="1" xfId="910" applyNumberFormat="1" applyFont="1" applyFill="1" applyBorder="1" applyAlignment="1">
      <alignment vertical="center" wrapText="1"/>
    </xf>
    <xf numFmtId="49" fontId="105" fillId="0" borderId="1" xfId="633" applyNumberFormat="1" applyFont="1" applyFill="1" applyBorder="1" applyAlignment="1">
      <alignment horizontal="center" vertical="center" wrapText="1"/>
    </xf>
    <xf numFmtId="0" fontId="105" fillId="0" borderId="1" xfId="633" applyNumberFormat="1" applyFont="1" applyFill="1" applyBorder="1" applyAlignment="1">
      <alignment horizontal="center" vertical="center" wrapText="1"/>
    </xf>
    <xf numFmtId="2" fontId="64" fillId="0" borderId="1" xfId="633" applyNumberFormat="1" applyFont="1" applyFill="1" applyBorder="1" applyAlignment="1">
      <alignment horizontal="center" vertical="center" wrapText="1"/>
    </xf>
    <xf numFmtId="2" fontId="8" fillId="0" borderId="1" xfId="682" applyNumberFormat="1" applyFont="1" applyFill="1" applyBorder="1" applyAlignment="1">
      <alignment horizontal="center" vertical="center" wrapText="1"/>
    </xf>
    <xf numFmtId="2" fontId="12" fillId="27" borderId="1" xfId="633" applyNumberFormat="1" applyFont="1" applyFill="1" applyBorder="1" applyAlignment="1">
      <alignment horizontal="center" vertical="center" wrapText="1"/>
    </xf>
    <xf numFmtId="49" fontId="64" fillId="0" borderId="1" xfId="681" applyNumberFormat="1" applyFont="1" applyFill="1" applyBorder="1" applyAlignment="1">
      <alignment horizontal="center" vertical="center" wrapText="1"/>
    </xf>
    <xf numFmtId="2" fontId="20" fillId="0" borderId="1" xfId="681" applyNumberFormat="1" applyFont="1" applyFill="1" applyBorder="1" applyAlignment="1">
      <alignment horizontal="center" vertical="center" wrapText="1"/>
    </xf>
    <xf numFmtId="49" fontId="109" fillId="0" borderId="1" xfId="0" applyNumberFormat="1" applyFont="1" applyFill="1" applyBorder="1" applyAlignment="1">
      <alignment horizontal="center" vertical="center" wrapText="1"/>
    </xf>
    <xf numFmtId="49" fontId="8" fillId="0" borderId="1" xfId="91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27" borderId="1" xfId="633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0" fontId="74" fillId="0" borderId="1" xfId="2" applyFont="1" applyFill="1" applyBorder="1" applyAlignment="1">
      <alignment vertical="center" wrapText="1"/>
    </xf>
    <xf numFmtId="0" fontId="9" fillId="2" borderId="1" xfId="2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0" fontId="6" fillId="33" borderId="1" xfId="0" applyFont="1" applyFill="1" applyBorder="1" applyAlignment="1">
      <alignment horizontal="left" vertical="center" wrapText="1"/>
    </xf>
    <xf numFmtId="0" fontId="12" fillId="0" borderId="21" xfId="907" applyNumberFormat="1" applyFont="1" applyFill="1" applyBorder="1" applyAlignment="1">
      <alignment horizontal="center" vertical="center" wrapText="1"/>
    </xf>
    <xf numFmtId="0" fontId="9" fillId="27" borderId="1" xfId="633" applyNumberFormat="1" applyFont="1" applyFill="1" applyBorder="1" applyAlignment="1">
      <alignment horizontal="left" vertical="center" wrapText="1"/>
    </xf>
    <xf numFmtId="9" fontId="20" fillId="2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8" fillId="30" borderId="1" xfId="0" applyNumberFormat="1" applyFont="1" applyFill="1" applyBorder="1" applyAlignment="1">
      <alignment horizontal="center" vertical="center" wrapText="1"/>
    </xf>
    <xf numFmtId="49" fontId="20" fillId="30" borderId="1" xfId="0" applyNumberFormat="1" applyFont="1" applyFill="1" applyBorder="1" applyAlignment="1">
      <alignment horizontal="center" vertical="center" wrapText="1"/>
    </xf>
    <xf numFmtId="49" fontId="64" fillId="30" borderId="1" xfId="0" applyNumberFormat="1" applyFont="1" applyFill="1" applyBorder="1" applyAlignment="1">
      <alignment horizontal="center" vertical="center" wrapText="1"/>
    </xf>
    <xf numFmtId="49" fontId="8" fillId="39" borderId="1" xfId="0" applyNumberFormat="1" applyFont="1" applyFill="1" applyBorder="1" applyAlignment="1">
      <alignment horizontal="center" vertical="center" wrapText="1"/>
    </xf>
    <xf numFmtId="49" fontId="20" fillId="39" borderId="1" xfId="0" applyNumberFormat="1" applyFont="1" applyFill="1" applyBorder="1" applyAlignment="1">
      <alignment horizontal="center" vertical="center" wrapText="1"/>
    </xf>
    <xf numFmtId="49" fontId="64" fillId="39" borderId="1" xfId="0" applyNumberFormat="1" applyFont="1" applyFill="1" applyBorder="1" applyAlignment="1">
      <alignment horizontal="center" vertical="center" wrapText="1"/>
    </xf>
    <xf numFmtId="0" fontId="20" fillId="39" borderId="1" xfId="0" applyNumberFormat="1" applyFont="1" applyFill="1" applyBorder="1" applyAlignment="1">
      <alignment horizontal="center" vertical="center" wrapText="1"/>
    </xf>
    <xf numFmtId="2" fontId="12" fillId="26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left" vertical="center" wrapText="1"/>
    </xf>
    <xf numFmtId="49" fontId="114" fillId="0" borderId="1" xfId="0" applyNumberFormat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 applyProtection="1">
      <alignment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67" fillId="0" borderId="2" xfId="0" applyNumberFormat="1" applyFont="1" applyFill="1" applyBorder="1" applyAlignment="1">
      <alignment horizontal="center" vertical="center" wrapText="1"/>
    </xf>
    <xf numFmtId="0" fontId="114" fillId="0" borderId="0" xfId="0" applyFont="1" applyFill="1" applyAlignment="1">
      <alignment horizontal="center" vertical="center"/>
    </xf>
    <xf numFmtId="0" fontId="64" fillId="0" borderId="1" xfId="0" applyFont="1" applyFill="1" applyBorder="1" applyAlignment="1">
      <alignment vertical="center" wrapText="1"/>
    </xf>
    <xf numFmtId="0" fontId="64" fillId="0" borderId="1" xfId="654" applyNumberFormat="1" applyFont="1" applyFill="1" applyBorder="1" applyAlignment="1">
      <alignment horizontal="center" vertical="center" wrapText="1"/>
    </xf>
    <xf numFmtId="0" fontId="8" fillId="0" borderId="1" xfId="654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67" fillId="0" borderId="21" xfId="0" applyNumberFormat="1" applyFont="1" applyFill="1" applyBorder="1" applyAlignment="1">
      <alignment horizontal="center" vertical="center" wrapText="1"/>
    </xf>
    <xf numFmtId="49" fontId="8" fillId="0" borderId="1" xfId="654" applyNumberFormat="1" applyFont="1" applyFill="1" applyBorder="1" applyAlignment="1">
      <alignment horizontal="center" vertical="center" wrapText="1"/>
    </xf>
    <xf numFmtId="49" fontId="20" fillId="0" borderId="2" xfId="902" applyNumberFormat="1" applyFont="1" applyFill="1" applyBorder="1" applyAlignment="1">
      <alignment vertical="center" wrapText="1"/>
    </xf>
    <xf numFmtId="49" fontId="64" fillId="0" borderId="1" xfId="654" applyNumberFormat="1" applyFont="1" applyFill="1" applyBorder="1" applyAlignment="1">
      <alignment horizontal="center" vertical="center" wrapText="1"/>
    </xf>
    <xf numFmtId="0" fontId="12" fillId="0" borderId="1" xfId="654" applyNumberFormat="1" applyFont="1" applyFill="1" applyBorder="1" applyAlignment="1">
      <alignment horizontal="center" vertical="center" wrapText="1"/>
    </xf>
    <xf numFmtId="0" fontId="20" fillId="32" borderId="1" xfId="654" applyNumberFormat="1" applyFont="1" applyFill="1" applyBorder="1" applyAlignment="1">
      <alignment horizontal="center" vertical="center" wrapText="1"/>
    </xf>
    <xf numFmtId="49" fontId="20" fillId="0" borderId="1" xfId="902" applyNumberFormat="1" applyFont="1" applyFill="1" applyBorder="1" applyAlignment="1">
      <alignment horizontal="left" vertical="center" wrapText="1"/>
    </xf>
    <xf numFmtId="49" fontId="12" fillId="0" borderId="1" xfId="902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49" fontId="12" fillId="0" borderId="21" xfId="633" applyNumberFormat="1" applyFont="1" applyFill="1" applyBorder="1" applyAlignment="1">
      <alignment horizontal="left" vertical="center" wrapText="1"/>
    </xf>
    <xf numFmtId="49" fontId="8" fillId="0" borderId="1" xfId="2" applyNumberFormat="1" applyFont="1" applyFill="1" applyBorder="1" applyAlignment="1">
      <alignment horizontal="left" vertical="center" wrapText="1"/>
    </xf>
    <xf numFmtId="2" fontId="82" fillId="0" borderId="1" xfId="0" applyNumberFormat="1" applyFont="1" applyFill="1" applyBorder="1" applyAlignment="1">
      <alignment horizontal="center" vertical="center" wrapText="1"/>
    </xf>
    <xf numFmtId="0" fontId="96" fillId="0" borderId="1" xfId="2" applyNumberFormat="1" applyFont="1" applyFill="1" applyBorder="1" applyAlignment="1">
      <alignment horizontal="center" vertical="center" wrapText="1"/>
    </xf>
    <xf numFmtId="0" fontId="6" fillId="27" borderId="21" xfId="0" applyFont="1" applyFill="1" applyBorder="1" applyAlignment="1">
      <alignment horizontal="left" vertical="center" wrapText="1"/>
    </xf>
    <xf numFmtId="0" fontId="16" fillId="32" borderId="1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12" fillId="0" borderId="1" xfId="3" applyNumberFormat="1" applyFont="1" applyFill="1" applyBorder="1" applyAlignment="1">
      <alignment vertical="top" wrapText="1"/>
    </xf>
    <xf numFmtId="49" fontId="74" fillId="0" borderId="1" xfId="0" applyNumberFormat="1" applyFont="1" applyFill="1" applyBorder="1" applyAlignment="1">
      <alignment vertical="center" wrapText="1"/>
    </xf>
    <xf numFmtId="49" fontId="8" fillId="2" borderId="1" xfId="901" applyNumberFormat="1" applyFont="1" applyFill="1" applyBorder="1" applyAlignment="1">
      <alignment horizontal="center" vertical="center" wrapText="1"/>
    </xf>
    <xf numFmtId="49" fontId="64" fillId="2" borderId="1" xfId="901" applyNumberFormat="1" applyFont="1" applyFill="1" applyBorder="1" applyAlignment="1">
      <alignment horizontal="center" vertical="center" wrapText="1"/>
    </xf>
    <xf numFmtId="0" fontId="64" fillId="2" borderId="1" xfId="901" applyNumberFormat="1" applyFont="1" applyFill="1" applyBorder="1" applyAlignment="1">
      <alignment horizontal="center" vertical="center" wrapText="1"/>
    </xf>
    <xf numFmtId="0" fontId="20" fillId="2" borderId="1" xfId="901" applyNumberFormat="1" applyFont="1" applyFill="1" applyBorder="1" applyAlignment="1">
      <alignment horizontal="center" vertical="center" wrapText="1"/>
    </xf>
    <xf numFmtId="2" fontId="12" fillId="0" borderId="3" xfId="901" applyNumberFormat="1" applyFont="1" applyFill="1" applyBorder="1" applyAlignment="1">
      <alignment horizontal="center" vertical="center" wrapText="1"/>
    </xf>
    <xf numFmtId="49" fontId="8" fillId="0" borderId="1" xfId="901" applyNumberFormat="1" applyFont="1" applyFill="1" applyBorder="1" applyAlignment="1">
      <alignment horizontal="left" vertical="center" wrapText="1"/>
    </xf>
    <xf numFmtId="49" fontId="116" fillId="0" borderId="1" xfId="901" applyNumberFormat="1" applyFont="1" applyFill="1" applyBorder="1" applyAlignment="1">
      <alignment horizontal="center" vertical="center" wrapText="1"/>
    </xf>
    <xf numFmtId="2" fontId="87" fillId="0" borderId="1" xfId="901" applyNumberFormat="1" applyFont="1" applyFill="1" applyBorder="1" applyAlignment="1">
      <alignment horizontal="center" vertical="center"/>
    </xf>
    <xf numFmtId="49" fontId="12" fillId="0" borderId="1" xfId="901" applyNumberFormat="1" applyFont="1" applyFill="1" applyBorder="1" applyAlignment="1">
      <alignment horizontal="left" vertical="top" wrapText="1"/>
    </xf>
    <xf numFmtId="2" fontId="87" fillId="0" borderId="3" xfId="901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 wrapText="1"/>
    </xf>
    <xf numFmtId="0" fontId="12" fillId="0" borderId="3" xfId="2" applyNumberFormat="1" applyFont="1" applyFill="1" applyBorder="1" applyAlignment="1">
      <alignment horizontal="center" vertical="center" wrapText="1"/>
    </xf>
    <xf numFmtId="2" fontId="12" fillId="0" borderId="2" xfId="901" applyNumberFormat="1" applyFont="1" applyFill="1" applyBorder="1" applyAlignment="1">
      <alignment vertical="center" wrapText="1"/>
    </xf>
    <xf numFmtId="2" fontId="12" fillId="0" borderId="20" xfId="901" applyNumberFormat="1" applyFont="1" applyFill="1" applyBorder="1" applyAlignment="1">
      <alignment vertical="center" wrapText="1"/>
    </xf>
    <xf numFmtId="2" fontId="12" fillId="0" borderId="21" xfId="901" applyNumberFormat="1" applyFont="1" applyFill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20" fillId="2" borderId="1" xfId="901" applyNumberFormat="1" applyFont="1" applyFill="1" applyBorder="1" applyAlignment="1">
      <alignment horizontal="center" vertical="center" wrapText="1"/>
    </xf>
    <xf numFmtId="49" fontId="20" fillId="2" borderId="1" xfId="901" applyNumberFormat="1" applyFont="1" applyFill="1" applyBorder="1" applyAlignment="1">
      <alignment horizontal="left" vertical="top" wrapText="1"/>
    </xf>
    <xf numFmtId="0" fontId="64" fillId="2" borderId="3" xfId="0" applyNumberFormat="1" applyFont="1" applyFill="1" applyBorder="1" applyAlignment="1">
      <alignment horizontal="center" vertical="center" wrapText="1"/>
    </xf>
    <xf numFmtId="49" fontId="20" fillId="0" borderId="1" xfId="901" applyNumberFormat="1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12" fillId="0" borderId="3" xfId="901" applyNumberFormat="1" applyFont="1" applyFill="1" applyBorder="1" applyAlignment="1">
      <alignment horizontal="center" vertical="center"/>
    </xf>
    <xf numFmtId="49" fontId="64" fillId="0" borderId="1" xfId="902" applyNumberFormat="1" applyFont="1" applyFill="1" applyBorder="1" applyAlignment="1">
      <alignment horizontal="left" vertical="center" wrapText="1"/>
    </xf>
    <xf numFmtId="49" fontId="8" fillId="0" borderId="1" xfId="902" applyNumberFormat="1" applyFont="1" applyFill="1" applyBorder="1" applyAlignment="1">
      <alignment horizontal="left" vertical="center" wrapText="1"/>
    </xf>
    <xf numFmtId="0" fontId="17" fillId="0" borderId="1" xfId="2" applyNumberFormat="1" applyFont="1" applyFill="1" applyBorder="1" applyAlignment="1">
      <alignment horizontal="center" vertical="center" wrapText="1"/>
    </xf>
    <xf numFmtId="0" fontId="121" fillId="32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8" fillId="0" borderId="21" xfId="2" applyNumberFormat="1" applyFont="1" applyFill="1" applyBorder="1" applyAlignment="1">
      <alignment horizontal="center" vertical="center" wrapText="1"/>
    </xf>
    <xf numFmtId="49" fontId="12" fillId="0" borderId="1" xfId="681" applyNumberFormat="1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49" fontId="20" fillId="39" borderId="21" xfId="0" applyNumberFormat="1" applyFont="1" applyFill="1" applyBorder="1" applyAlignment="1">
      <alignment horizontal="center" vertical="center" wrapText="1"/>
    </xf>
    <xf numFmtId="0" fontId="12" fillId="39" borderId="1" xfId="0" applyNumberFormat="1" applyFont="1" applyFill="1" applyBorder="1" applyAlignment="1">
      <alignment horizontal="center" vertical="center" wrapText="1"/>
    </xf>
    <xf numFmtId="0" fontId="20" fillId="41" borderId="1" xfId="0" applyNumberFormat="1" applyFont="1" applyFill="1" applyBorder="1" applyAlignment="1">
      <alignment horizontal="center" vertical="center" wrapText="1"/>
    </xf>
    <xf numFmtId="49" fontId="12" fillId="0" borderId="21" xfId="901" applyNumberFormat="1" applyFont="1" applyFill="1" applyBorder="1" applyAlignment="1">
      <alignment horizontal="left" vertical="top" wrapText="1"/>
    </xf>
    <xf numFmtId="0" fontId="8" fillId="0" borderId="18" xfId="0" applyNumberFormat="1" applyFont="1" applyFill="1" applyBorder="1" applyAlignment="1">
      <alignment horizontal="center" vertical="center" wrapText="1"/>
    </xf>
    <xf numFmtId="2" fontId="12" fillId="0" borderId="18" xfId="901" applyNumberFormat="1" applyFont="1" applyFill="1" applyBorder="1" applyAlignment="1">
      <alignment horizontal="center" vertical="center"/>
    </xf>
    <xf numFmtId="2" fontId="12" fillId="0" borderId="1" xfId="901" applyNumberFormat="1" applyFont="1" applyFill="1" applyBorder="1" applyAlignment="1">
      <alignment horizontal="center" vertical="center"/>
    </xf>
    <xf numFmtId="49" fontId="64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quotePrefix="1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12" fillId="0" borderId="1" xfId="910" applyNumberFormat="1" applyFont="1" applyFill="1" applyBorder="1" applyAlignment="1">
      <alignment horizontal="center" vertical="center" wrapText="1"/>
    </xf>
    <xf numFmtId="49" fontId="105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49" fontId="12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104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114" fillId="0" borderId="0" xfId="0" applyNumberFormat="1" applyFont="1" applyFill="1" applyAlignment="1">
      <alignment horizontal="center" vertical="center"/>
    </xf>
    <xf numFmtId="2" fontId="20" fillId="39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9" fontId="20" fillId="29" borderId="4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20" fillId="29" borderId="4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20" fillId="29" borderId="19" xfId="0" applyNumberFormat="1" applyFont="1" applyFill="1" applyBorder="1" applyAlignment="1">
      <alignment horizontal="center" vertical="center" wrapText="1"/>
    </xf>
    <xf numFmtId="49" fontId="8" fillId="39" borderId="21" xfId="0" applyNumberFormat="1" applyFont="1" applyFill="1" applyBorder="1" applyAlignment="1">
      <alignment horizontal="center" vertical="center" wrapText="1"/>
    </xf>
    <xf numFmtId="49" fontId="8" fillId="39" borderId="19" xfId="0" applyNumberFormat="1" applyFont="1" applyFill="1" applyBorder="1" applyAlignment="1">
      <alignment horizontal="center" vertical="center" wrapText="1"/>
    </xf>
    <xf numFmtId="49" fontId="64" fillId="39" borderId="19" xfId="0" applyNumberFormat="1" applyFont="1" applyFill="1" applyBorder="1" applyAlignment="1">
      <alignment horizontal="center" vertical="center" wrapText="1"/>
    </xf>
    <xf numFmtId="0" fontId="20" fillId="39" borderId="19" xfId="0" applyNumberFormat="1" applyFont="1" applyFill="1" applyBorder="1" applyAlignment="1">
      <alignment horizontal="center" vertical="center" wrapText="1"/>
    </xf>
    <xf numFmtId="2" fontId="20" fillId="39" borderId="19" xfId="0" applyNumberFormat="1" applyFont="1" applyFill="1" applyBorder="1" applyAlignment="1">
      <alignment horizontal="center" vertical="center" wrapText="1"/>
    </xf>
    <xf numFmtId="2" fontId="20" fillId="26" borderId="19" xfId="0" applyNumberFormat="1" applyFont="1" applyFill="1" applyBorder="1" applyAlignment="1">
      <alignment horizontal="center" vertical="center" wrapText="1"/>
    </xf>
    <xf numFmtId="2" fontId="12" fillId="39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/>
    <xf numFmtId="49" fontId="64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horizontal="center" vertical="center" wrapText="1"/>
    </xf>
    <xf numFmtId="49" fontId="98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166" fontId="15" fillId="0" borderId="0" xfId="0" applyNumberFormat="1" applyFont="1" applyFill="1" applyAlignment="1">
      <alignment horizontal="center" vertical="center" wrapText="1"/>
    </xf>
    <xf numFmtId="0" fontId="12" fillId="30" borderId="1" xfId="0" applyNumberFormat="1" applyFont="1" applyFill="1" applyBorder="1" applyAlignment="1">
      <alignment horizontal="center" vertical="center" wrapText="1"/>
    </xf>
    <xf numFmtId="0" fontId="20" fillId="26" borderId="1" xfId="0" applyNumberFormat="1" applyFont="1" applyFill="1" applyBorder="1" applyAlignment="1">
      <alignment vertical="center" wrapText="1"/>
    </xf>
    <xf numFmtId="0" fontId="20" fillId="26" borderId="1" xfId="0" applyNumberFormat="1" applyFont="1" applyFill="1" applyBorder="1" applyAlignment="1">
      <alignment horizontal="center" vertical="center" wrapText="1"/>
    </xf>
    <xf numFmtId="49" fontId="8" fillId="28" borderId="1" xfId="900" applyNumberFormat="1" applyFont="1" applyFill="1" applyBorder="1" applyAlignment="1">
      <alignment horizontal="center" vertical="center" wrapText="1"/>
    </xf>
    <xf numFmtId="49" fontId="20" fillId="28" borderId="1" xfId="900" applyNumberFormat="1" applyFont="1" applyFill="1" applyBorder="1" applyAlignment="1">
      <alignment horizontal="center" vertical="center" wrapText="1"/>
    </xf>
    <xf numFmtId="49" fontId="64" fillId="28" borderId="1" xfId="900" applyNumberFormat="1" applyFont="1" applyFill="1" applyBorder="1" applyAlignment="1">
      <alignment horizontal="center" vertical="center" wrapText="1"/>
    </xf>
    <xf numFmtId="166" fontId="12" fillId="28" borderId="1" xfId="90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49" fontId="64" fillId="0" borderId="1" xfId="902" applyNumberFormat="1" applyFont="1" applyFill="1" applyBorder="1" applyAlignment="1">
      <alignment horizontal="center" vertical="center" wrapText="1"/>
    </xf>
    <xf numFmtId="0" fontId="12" fillId="0" borderId="1" xfId="902" applyNumberFormat="1" applyFont="1" applyFill="1" applyBorder="1" applyAlignment="1">
      <alignment horizontal="center" vertical="center" wrapText="1"/>
    </xf>
    <xf numFmtId="166" fontId="20" fillId="0" borderId="1" xfId="902" applyNumberFormat="1" applyFont="1" applyFill="1" applyBorder="1" applyAlignment="1">
      <alignment horizontal="center" vertical="center" wrapText="1"/>
    </xf>
    <xf numFmtId="49" fontId="8" fillId="0" borderId="1" xfId="902" applyNumberFormat="1" applyFont="1" applyFill="1" applyBorder="1" applyAlignment="1">
      <alignment horizontal="center" vertical="center" wrapText="1"/>
    </xf>
    <xf numFmtId="166" fontId="12" fillId="0" borderId="1" xfId="902" applyNumberFormat="1" applyFont="1" applyFill="1" applyBorder="1" applyAlignment="1">
      <alignment horizontal="center" vertical="center" wrapText="1"/>
    </xf>
    <xf numFmtId="49" fontId="20" fillId="0" borderId="1" xfId="654" applyNumberFormat="1" applyFont="1" applyFill="1" applyBorder="1" applyAlignment="1">
      <alignment horizontal="left" vertical="center" wrapText="1"/>
    </xf>
    <xf numFmtId="166" fontId="20" fillId="0" borderId="1" xfId="654" applyNumberFormat="1" applyFont="1" applyFill="1" applyBorder="1" applyAlignment="1">
      <alignment horizontal="center" vertical="center" wrapText="1"/>
    </xf>
    <xf numFmtId="166" fontId="12" fillId="0" borderId="1" xfId="654" applyNumberFormat="1" applyFont="1" applyFill="1" applyBorder="1" applyAlignment="1">
      <alignment horizontal="center" vertical="center" wrapText="1"/>
    </xf>
    <xf numFmtId="49" fontId="64" fillId="0" borderId="1" xfId="735" applyNumberFormat="1" applyFont="1" applyFill="1" applyBorder="1" applyAlignment="1">
      <alignment horizontal="center" vertical="center" wrapText="1"/>
    </xf>
    <xf numFmtId="49" fontId="20" fillId="0" borderId="1" xfId="735" applyNumberFormat="1" applyFont="1" applyFill="1" applyBorder="1" applyAlignment="1">
      <alignment horizontal="left" vertical="center" wrapText="1"/>
    </xf>
    <xf numFmtId="0" fontId="12" fillId="0" borderId="1" xfId="735" applyNumberFormat="1" applyFont="1" applyFill="1" applyBorder="1" applyAlignment="1">
      <alignment horizontal="center" vertical="center" wrapText="1"/>
    </xf>
    <xf numFmtId="166" fontId="20" fillId="0" borderId="1" xfId="735" applyNumberFormat="1" applyFont="1" applyFill="1" applyBorder="1" applyAlignment="1">
      <alignment horizontal="center" vertical="center" wrapText="1"/>
    </xf>
    <xf numFmtId="49" fontId="8" fillId="0" borderId="1" xfId="735" applyNumberFormat="1" applyFont="1" applyFill="1" applyBorder="1" applyAlignment="1">
      <alignment horizontal="center" vertical="center" wrapText="1"/>
    </xf>
    <xf numFmtId="49" fontId="12" fillId="0" borderId="1" xfId="735" applyNumberFormat="1" applyFont="1" applyFill="1" applyBorder="1" applyAlignment="1">
      <alignment horizontal="left" vertical="center" wrapText="1"/>
    </xf>
    <xf numFmtId="166" fontId="12" fillId="0" borderId="1" xfId="735" applyNumberFormat="1" applyFont="1" applyFill="1" applyBorder="1" applyAlignment="1">
      <alignment horizontal="center" vertical="center" wrapText="1"/>
    </xf>
    <xf numFmtId="166" fontId="20" fillId="0" borderId="1" xfId="633" applyNumberFormat="1" applyFont="1" applyFill="1" applyBorder="1" applyAlignment="1">
      <alignment horizontal="center" vertical="center" wrapText="1"/>
    </xf>
    <xf numFmtId="49" fontId="8" fillId="0" borderId="1" xfId="905" applyNumberFormat="1" applyFont="1" applyFill="1" applyBorder="1" applyAlignment="1">
      <alignment horizontal="center" vertical="center" wrapText="1"/>
    </xf>
    <xf numFmtId="49" fontId="12" fillId="0" borderId="1" xfId="905" applyNumberFormat="1" applyFont="1" applyFill="1" applyBorder="1" applyAlignment="1">
      <alignment horizontal="left" vertical="center" wrapText="1"/>
    </xf>
    <xf numFmtId="49" fontId="64" fillId="0" borderId="1" xfId="905" applyNumberFormat="1" applyFont="1" applyFill="1" applyBorder="1" applyAlignment="1">
      <alignment horizontal="center" vertical="center" wrapText="1"/>
    </xf>
    <xf numFmtId="0" fontId="12" fillId="0" borderId="1" xfId="905" applyNumberFormat="1" applyFont="1" applyFill="1" applyBorder="1" applyAlignment="1">
      <alignment horizontal="center" vertical="center" wrapText="1"/>
    </xf>
    <xf numFmtId="166" fontId="12" fillId="0" borderId="1" xfId="905" applyNumberFormat="1" applyFont="1" applyFill="1" applyBorder="1" applyAlignment="1">
      <alignment horizontal="center" vertical="center" wrapText="1"/>
    </xf>
    <xf numFmtId="49" fontId="64" fillId="0" borderId="1" xfId="870" applyNumberFormat="1" applyFont="1" applyFill="1" applyBorder="1" applyAlignment="1">
      <alignment horizontal="center" vertical="center" wrapText="1"/>
    </xf>
    <xf numFmtId="49" fontId="20" fillId="0" borderId="1" xfId="870" applyNumberFormat="1" applyFont="1" applyFill="1" applyBorder="1" applyAlignment="1">
      <alignment horizontal="left" vertical="center" wrapText="1"/>
    </xf>
    <xf numFmtId="166" fontId="20" fillId="0" borderId="1" xfId="870" applyNumberFormat="1" applyFont="1" applyFill="1" applyBorder="1" applyAlignment="1">
      <alignment horizontal="center" vertical="center" wrapText="1"/>
    </xf>
    <xf numFmtId="49" fontId="12" fillId="0" borderId="2" xfId="870" applyNumberFormat="1" applyFont="1" applyFill="1" applyBorder="1" applyAlignment="1">
      <alignment horizontal="left" vertical="center" wrapText="1"/>
    </xf>
    <xf numFmtId="49" fontId="8" fillId="0" borderId="2" xfId="870" applyNumberFormat="1" applyFont="1" applyFill="1" applyBorder="1" applyAlignment="1">
      <alignment horizontal="center" vertical="center" wrapText="1"/>
    </xf>
    <xf numFmtId="49" fontId="8" fillId="0" borderId="4" xfId="870" applyNumberFormat="1" applyFont="1" applyFill="1" applyBorder="1" applyAlignment="1">
      <alignment horizontal="center" vertical="center" wrapText="1"/>
    </xf>
    <xf numFmtId="49" fontId="64" fillId="2" borderId="1" xfId="646" applyNumberFormat="1" applyFont="1" applyFill="1" applyBorder="1" applyAlignment="1">
      <alignment horizontal="center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49" fontId="20" fillId="29" borderId="4" xfId="0" applyNumberFormat="1" applyFont="1" applyFill="1" applyBorder="1" applyAlignment="1">
      <alignment horizontal="center" vertical="center" wrapText="1"/>
    </xf>
    <xf numFmtId="49" fontId="64" fillId="2" borderId="21" xfId="0" applyNumberFormat="1" applyFont="1" applyFill="1" applyBorder="1" applyAlignment="1">
      <alignment horizontal="center" vertical="center" wrapText="1"/>
    </xf>
    <xf numFmtId="49" fontId="64" fillId="2" borderId="19" xfId="0" applyNumberFormat="1" applyFont="1" applyFill="1" applyBorder="1" applyAlignment="1">
      <alignment horizontal="center" vertical="center" wrapText="1"/>
    </xf>
    <xf numFmtId="49" fontId="20" fillId="2" borderId="19" xfId="0" applyNumberFormat="1" applyFont="1" applyFill="1" applyBorder="1" applyAlignment="1">
      <alignment horizontal="center" vertical="center" wrapText="1"/>
    </xf>
    <xf numFmtId="0" fontId="20" fillId="2" borderId="19" xfId="0" applyNumberFormat="1" applyFont="1" applyFill="1" applyBorder="1" applyAlignment="1">
      <alignment horizontal="center" vertical="center" wrapText="1"/>
    </xf>
    <xf numFmtId="166" fontId="20" fillId="2" borderId="19" xfId="0" applyNumberFormat="1" applyFont="1" applyFill="1" applyBorder="1" applyAlignment="1">
      <alignment horizontal="center" vertical="center" wrapText="1"/>
    </xf>
    <xf numFmtId="2" fontId="20" fillId="2" borderId="19" xfId="0" applyNumberFormat="1" applyFont="1" applyFill="1" applyBorder="1" applyAlignment="1">
      <alignment horizontal="center" vertical="center" wrapText="1"/>
    </xf>
    <xf numFmtId="49" fontId="8" fillId="28" borderId="2" xfId="900" applyNumberFormat="1" applyFont="1" applyFill="1" applyBorder="1" applyAlignment="1">
      <alignment horizontal="center" vertical="center" wrapText="1"/>
    </xf>
    <xf numFmtId="49" fontId="20" fillId="28" borderId="2" xfId="900" applyNumberFormat="1" applyFont="1" applyFill="1" applyBorder="1" applyAlignment="1">
      <alignment horizontal="center" vertical="center" wrapText="1"/>
    </xf>
    <xf numFmtId="49" fontId="64" fillId="28" borderId="2" xfId="900" applyNumberFormat="1" applyFont="1" applyFill="1" applyBorder="1" applyAlignment="1">
      <alignment horizontal="center" vertical="center" wrapText="1"/>
    </xf>
    <xf numFmtId="0" fontId="12" fillId="28" borderId="2" xfId="900" applyNumberFormat="1" applyFont="1" applyFill="1" applyBorder="1" applyAlignment="1">
      <alignment horizontal="center" vertical="center" wrapText="1"/>
    </xf>
    <xf numFmtId="166" fontId="12" fillId="28" borderId="2" xfId="900" applyNumberFormat="1" applyFont="1" applyFill="1" applyBorder="1" applyAlignment="1">
      <alignment horizontal="center" vertical="center" wrapText="1"/>
    </xf>
    <xf numFmtId="2" fontId="12" fillId="0" borderId="2" xfId="903" applyNumberFormat="1" applyFont="1" applyFill="1" applyBorder="1" applyAlignment="1">
      <alignment horizontal="center" vertical="center" wrapText="1"/>
    </xf>
    <xf numFmtId="2" fontId="12" fillId="0" borderId="2" xfId="904" applyNumberFormat="1" applyFont="1" applyFill="1" applyBorder="1" applyAlignment="1">
      <alignment horizontal="center" vertical="center" wrapText="1"/>
    </xf>
    <xf numFmtId="49" fontId="64" fillId="0" borderId="1" xfId="646" applyNumberFormat="1" applyFont="1" applyBorder="1" applyAlignment="1">
      <alignment horizontal="center" vertical="center" wrapText="1"/>
    </xf>
    <xf numFmtId="49" fontId="12" fillId="0" borderId="1" xfId="870" applyNumberFormat="1" applyFont="1" applyFill="1" applyBorder="1" applyAlignment="1">
      <alignment horizontal="center" vertical="center" wrapText="1"/>
    </xf>
    <xf numFmtId="49" fontId="20" fillId="29" borderId="1" xfId="0" applyNumberFormat="1" applyFont="1" applyFill="1" applyBorder="1" applyAlignment="1">
      <alignment horizontal="center" vertical="center" wrapText="1"/>
    </xf>
    <xf numFmtId="49" fontId="64" fillId="39" borderId="21" xfId="0" applyNumberFormat="1" applyFont="1" applyFill="1" applyBorder="1" applyAlignment="1">
      <alignment horizontal="center" vertical="center" wrapText="1"/>
    </xf>
    <xf numFmtId="49" fontId="20" fillId="39" borderId="19" xfId="0" applyNumberFormat="1" applyFont="1" applyFill="1" applyBorder="1" applyAlignment="1">
      <alignment horizontal="center" vertical="center" wrapText="1"/>
    </xf>
    <xf numFmtId="166" fontId="20" fillId="39" borderId="19" xfId="0" applyNumberFormat="1" applyFont="1" applyFill="1" applyBorder="1" applyAlignment="1">
      <alignment horizontal="center" vertical="center" wrapText="1"/>
    </xf>
    <xf numFmtId="49" fontId="20" fillId="32" borderId="1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Alignment="1">
      <alignment horizontal="center" vertical="center" wrapText="1"/>
    </xf>
    <xf numFmtId="0" fontId="9" fillId="26" borderId="1" xfId="0" applyNumberFormat="1" applyFont="1" applyFill="1" applyBorder="1" applyAlignment="1">
      <alignment vertical="center" wrapText="1"/>
    </xf>
    <xf numFmtId="0" fontId="9" fillId="26" borderId="1" xfId="0" applyNumberFormat="1" applyFont="1" applyFill="1" applyBorder="1" applyAlignment="1">
      <alignment horizontal="center" vertical="center" wrapText="1"/>
    </xf>
    <xf numFmtId="0" fontId="104" fillId="0" borderId="1" xfId="0" applyFont="1" applyFill="1" applyBorder="1" applyAlignment="1">
      <alignment horizontal="center" vertical="center" wrapText="1"/>
    </xf>
    <xf numFmtId="0" fontId="105" fillId="0" borderId="3" xfId="0" applyNumberFormat="1" applyFont="1" applyFill="1" applyBorder="1" applyAlignment="1">
      <alignment horizontal="center" vertical="center" wrapText="1"/>
    </xf>
    <xf numFmtId="0" fontId="98" fillId="0" borderId="1" xfId="0" applyNumberFormat="1" applyFont="1" applyFill="1" applyBorder="1" applyAlignment="1">
      <alignment horizontal="left" vertical="center" wrapText="1"/>
    </xf>
    <xf numFmtId="0" fontId="104" fillId="0" borderId="1" xfId="907" applyNumberFormat="1" applyFont="1" applyFill="1" applyBorder="1" applyAlignment="1">
      <alignment horizontal="center" vertical="center" wrapText="1"/>
    </xf>
    <xf numFmtId="0" fontId="105" fillId="0" borderId="1" xfId="907" applyNumberFormat="1" applyFont="1" applyFill="1" applyBorder="1" applyAlignment="1">
      <alignment horizontal="center" vertical="center" wrapText="1"/>
    </xf>
    <xf numFmtId="0" fontId="105" fillId="39" borderId="1" xfId="0" applyNumberFormat="1" applyFont="1" applyFill="1" applyBorder="1" applyAlignment="1">
      <alignment horizontal="center" vertical="center" wrapText="1"/>
    </xf>
    <xf numFmtId="9" fontId="20" fillId="29" borderId="1" xfId="0" applyNumberFormat="1" applyFont="1" applyFill="1" applyBorder="1" applyAlignment="1">
      <alignment horizontal="center" vertical="center" wrapText="1"/>
    </xf>
    <xf numFmtId="0" fontId="104" fillId="39" borderId="1" xfId="0" applyNumberFormat="1" applyFont="1" applyFill="1" applyBorder="1" applyAlignment="1">
      <alignment horizontal="center" vertical="center" wrapText="1"/>
    </xf>
    <xf numFmtId="49" fontId="8" fillId="26" borderId="1" xfId="0" applyNumberFormat="1" applyFont="1" applyFill="1" applyBorder="1" applyAlignment="1">
      <alignment horizontal="center" vertical="center" wrapText="1"/>
    </xf>
    <xf numFmtId="49" fontId="20" fillId="26" borderId="1" xfId="0" applyNumberFormat="1" applyFont="1" applyFill="1" applyBorder="1" applyAlignment="1">
      <alignment horizontal="center" vertical="center" wrapText="1"/>
    </xf>
    <xf numFmtId="49" fontId="64" fillId="26" borderId="1" xfId="0" applyNumberFormat="1" applyFont="1" applyFill="1" applyBorder="1" applyAlignment="1">
      <alignment horizontal="center" vertical="center" wrapText="1"/>
    </xf>
    <xf numFmtId="0" fontId="12" fillId="26" borderId="1" xfId="0" applyNumberFormat="1" applyFont="1" applyFill="1" applyBorder="1" applyAlignment="1">
      <alignment horizontal="center" vertical="center" wrapText="1"/>
    </xf>
    <xf numFmtId="166" fontId="20" fillId="26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6" fontId="20" fillId="0" borderId="0" xfId="0" applyNumberFormat="1" applyFont="1" applyFill="1" applyAlignment="1">
      <alignment horizontal="center" vertical="center" wrapText="1"/>
    </xf>
    <xf numFmtId="49" fontId="20" fillId="28" borderId="1" xfId="0" applyNumberFormat="1" applyFont="1" applyFill="1" applyBorder="1" applyAlignment="1">
      <alignment horizontal="center" vertical="center" wrapText="1"/>
    </xf>
    <xf numFmtId="166" fontId="20" fillId="28" borderId="1" xfId="0" applyNumberFormat="1" applyFont="1" applyFill="1" applyBorder="1" applyAlignment="1">
      <alignment horizontal="center" vertical="center" wrapText="1"/>
    </xf>
    <xf numFmtId="166" fontId="20" fillId="30" borderId="1" xfId="0" applyNumberFormat="1" applyFont="1" applyFill="1" applyBorder="1" applyAlignment="1">
      <alignment horizontal="center" vertical="center" wrapText="1"/>
    </xf>
    <xf numFmtId="166" fontId="20" fillId="39" borderId="1" xfId="0" applyNumberFormat="1" applyFont="1" applyFill="1" applyBorder="1" applyAlignment="1">
      <alignment horizontal="center" vertical="center" wrapText="1"/>
    </xf>
    <xf numFmtId="49" fontId="12" fillId="27" borderId="1" xfId="0" applyNumberFormat="1" applyFont="1" applyFill="1" applyBorder="1" applyAlignment="1">
      <alignment horizontal="center" vertical="center" wrapText="1"/>
    </xf>
    <xf numFmtId="49" fontId="64" fillId="0" borderId="15" xfId="0" applyNumberFormat="1" applyFont="1" applyFill="1" applyBorder="1" applyAlignment="1">
      <alignment horizontal="center" vertical="center" wrapText="1"/>
    </xf>
    <xf numFmtId="0" fontId="7" fillId="0" borderId="2" xfId="901" applyNumberFormat="1" applyFont="1" applyFill="1" applyBorder="1" applyAlignment="1">
      <alignment horizontal="center" vertical="center" wrapText="1"/>
    </xf>
    <xf numFmtId="0" fontId="13" fillId="0" borderId="2" xfId="901" applyNumberFormat="1" applyFont="1" applyFill="1" applyBorder="1" applyAlignment="1">
      <alignment horizontal="center" vertical="center" wrapText="1"/>
    </xf>
    <xf numFmtId="2" fontId="13" fillId="27" borderId="1" xfId="901" applyNumberFormat="1" applyFont="1" applyFill="1" applyBorder="1" applyAlignment="1">
      <alignment horizontal="center" vertical="center" wrapText="1"/>
    </xf>
    <xf numFmtId="49" fontId="74" fillId="0" borderId="1" xfId="0" applyNumberFormat="1" applyFont="1" applyBorder="1" applyAlignment="1">
      <alignment horizontal="left" vertical="center" wrapText="1"/>
    </xf>
    <xf numFmtId="49" fontId="77" fillId="0" borderId="1" xfId="0" applyNumberFormat="1" applyFont="1" applyBorder="1" applyAlignment="1">
      <alignment horizontal="left" vertical="center" wrapText="1"/>
    </xf>
    <xf numFmtId="49" fontId="77" fillId="0" borderId="1" xfId="0" applyNumberFormat="1" applyFont="1" applyFill="1" applyBorder="1" applyAlignment="1">
      <alignment horizontal="left" vertical="center" wrapText="1"/>
    </xf>
    <xf numFmtId="49" fontId="74" fillId="0" borderId="1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wrapText="1"/>
    </xf>
    <xf numFmtId="49" fontId="102" fillId="0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wrapText="1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4" fillId="26" borderId="1" xfId="0" applyNumberFormat="1" applyFont="1" applyFill="1" applyBorder="1" applyAlignment="1">
      <alignment horizontal="center" vertical="center" wrapText="1"/>
    </xf>
    <xf numFmtId="0" fontId="13" fillId="30" borderId="1" xfId="0" applyNumberFormat="1" applyFont="1" applyFill="1" applyBorder="1" applyAlignment="1">
      <alignment horizontal="center" vertical="center" wrapText="1"/>
    </xf>
    <xf numFmtId="2" fontId="14" fillId="3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901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 wrapText="1"/>
    </xf>
    <xf numFmtId="49" fontId="64" fillId="0" borderId="2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49" fontId="8" fillId="0" borderId="2" xfId="901" applyNumberFormat="1" applyFont="1" applyFill="1" applyBorder="1" applyAlignment="1">
      <alignment horizontal="center" vertical="center" wrapText="1"/>
    </xf>
    <xf numFmtId="49" fontId="8" fillId="0" borderId="20" xfId="901" applyNumberFormat="1" applyFont="1" applyFill="1" applyBorder="1" applyAlignment="1">
      <alignment horizontal="center" vertical="center" wrapText="1"/>
    </xf>
    <xf numFmtId="49" fontId="8" fillId="0" borderId="21" xfId="90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49" fontId="12" fillId="27" borderId="2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12" fillId="2" borderId="3" xfId="2" applyNumberFormat="1" applyFont="1" applyFill="1" applyBorder="1" applyAlignment="1">
      <alignment horizontal="center" vertical="center" wrapText="1"/>
    </xf>
    <xf numFmtId="0" fontId="20" fillId="2" borderId="3" xfId="0" applyNumberFormat="1" applyFont="1" applyFill="1" applyBorder="1" applyAlignment="1">
      <alignment horizontal="center" vertical="center" wrapText="1"/>
    </xf>
    <xf numFmtId="49" fontId="74" fillId="0" borderId="1" xfId="901" applyNumberFormat="1" applyFont="1" applyFill="1" applyBorder="1" applyAlignment="1">
      <alignment horizontal="left" vertical="top" wrapText="1"/>
    </xf>
    <xf numFmtId="0" fontId="74" fillId="0" borderId="3" xfId="0" applyNumberFormat="1" applyFont="1" applyFill="1" applyBorder="1" applyAlignment="1">
      <alignment horizontal="center" vertical="center" wrapText="1"/>
    </xf>
    <xf numFmtId="49" fontId="20" fillId="0" borderId="22" xfId="901" applyNumberFormat="1" applyFont="1" applyFill="1" applyBorder="1" applyAlignment="1">
      <alignment horizontal="left" vertical="top" wrapText="1"/>
    </xf>
    <xf numFmtId="49" fontId="8" fillId="0" borderId="23" xfId="901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20" fillId="0" borderId="25" xfId="633" applyNumberFormat="1" applyFont="1" applyFill="1" applyBorder="1" applyAlignment="1">
      <alignment horizontal="center" vertical="center" wrapText="1"/>
    </xf>
    <xf numFmtId="2" fontId="12" fillId="0" borderId="16" xfId="901" applyNumberFormat="1" applyFont="1" applyFill="1" applyBorder="1" applyAlignment="1">
      <alignment vertical="center"/>
    </xf>
    <xf numFmtId="2" fontId="12" fillId="0" borderId="2" xfId="901" applyNumberFormat="1" applyFont="1" applyFill="1" applyBorder="1" applyAlignment="1">
      <alignment vertical="center"/>
    </xf>
    <xf numFmtId="49" fontId="12" fillId="0" borderId="26" xfId="901" applyNumberFormat="1" applyFont="1" applyFill="1" applyBorder="1" applyAlignment="1">
      <alignment horizontal="left" vertical="top" wrapText="1"/>
    </xf>
    <xf numFmtId="0" fontId="123" fillId="0" borderId="3" xfId="0" applyNumberFormat="1" applyFont="1" applyFill="1" applyBorder="1" applyAlignment="1">
      <alignment horizontal="center" vertical="center" wrapText="1"/>
    </xf>
    <xf numFmtId="0" fontId="20" fillId="0" borderId="27" xfId="633" applyNumberFormat="1" applyFont="1" applyFill="1" applyBorder="1" applyAlignment="1">
      <alignment horizontal="center" vertical="center" wrapText="1"/>
    </xf>
    <xf numFmtId="2" fontId="12" fillId="0" borderId="17" xfId="901" applyNumberFormat="1" applyFont="1" applyFill="1" applyBorder="1" applyAlignment="1">
      <alignment vertical="center"/>
    </xf>
    <xf numFmtId="2" fontId="12" fillId="0" borderId="20" xfId="901" applyNumberFormat="1" applyFont="1" applyFill="1" applyBorder="1" applyAlignment="1">
      <alignment vertical="center"/>
    </xf>
    <xf numFmtId="49" fontId="12" fillId="0" borderId="28" xfId="901" applyNumberFormat="1" applyFont="1" applyFill="1" applyBorder="1" applyAlignment="1">
      <alignment horizontal="left" vertical="top" wrapText="1"/>
    </xf>
    <xf numFmtId="0" fontId="123" fillId="0" borderId="15" xfId="0" applyNumberFormat="1" applyFont="1" applyFill="1" applyBorder="1" applyAlignment="1">
      <alignment horizontal="center" vertical="center" wrapText="1"/>
    </xf>
    <xf numFmtId="0" fontId="20" fillId="0" borderId="29" xfId="633" applyNumberFormat="1" applyFont="1" applyFill="1" applyBorder="1" applyAlignment="1">
      <alignment horizontal="center" vertical="center" wrapText="1"/>
    </xf>
    <xf numFmtId="49" fontId="20" fillId="0" borderId="30" xfId="901" applyNumberFormat="1" applyFont="1" applyFill="1" applyBorder="1" applyAlignment="1">
      <alignment horizontal="left" vertical="top" wrapText="1"/>
    </xf>
    <xf numFmtId="49" fontId="8" fillId="0" borderId="31" xfId="901" applyNumberFormat="1" applyFont="1" applyFill="1" applyBorder="1" applyAlignment="1">
      <alignment horizontal="center" vertical="center" wrapText="1"/>
    </xf>
    <xf numFmtId="0" fontId="123" fillId="0" borderId="32" xfId="0" applyNumberFormat="1" applyFont="1" applyFill="1" applyBorder="1" applyAlignment="1">
      <alignment horizontal="center" vertical="center" wrapText="1"/>
    </xf>
    <xf numFmtId="0" fontId="20" fillId="41" borderId="33" xfId="633" applyNumberFormat="1" applyFont="1" applyFill="1" applyBorder="1" applyAlignment="1">
      <alignment horizontal="center" vertical="center" wrapText="1"/>
    </xf>
    <xf numFmtId="2" fontId="12" fillId="0" borderId="19" xfId="901" applyNumberFormat="1" applyFont="1" applyFill="1" applyBorder="1" applyAlignment="1">
      <alignment vertical="center"/>
    </xf>
    <xf numFmtId="2" fontId="12" fillId="0" borderId="21" xfId="901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Border="1" applyAlignment="1">
      <alignment horizontal="center" vertical="center" wrapText="1"/>
    </xf>
    <xf numFmtId="49" fontId="64" fillId="27" borderId="21" xfId="0" applyNumberFormat="1" applyFont="1" applyFill="1" applyBorder="1" applyAlignment="1">
      <alignment horizontal="center" vertical="center" wrapText="1"/>
    </xf>
    <xf numFmtId="49" fontId="64" fillId="0" borderId="1" xfId="908" applyNumberFormat="1" applyFont="1" applyBorder="1" applyAlignment="1">
      <alignment horizontal="center" vertical="center" wrapText="1"/>
    </xf>
    <xf numFmtId="49" fontId="105" fillId="27" borderId="1" xfId="633" applyNumberFormat="1" applyFont="1" applyFill="1" applyBorder="1" applyAlignment="1">
      <alignment horizontal="center" vertical="center" wrapText="1"/>
    </xf>
    <xf numFmtId="49" fontId="120" fillId="0" borderId="1" xfId="901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8" fillId="0" borderId="1" xfId="0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8" fillId="0" borderId="1" xfId="90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vertical="center" wrapText="1"/>
    </xf>
    <xf numFmtId="49" fontId="20" fillId="0" borderId="21" xfId="0" applyNumberFormat="1" applyFont="1" applyFill="1" applyBorder="1" applyAlignment="1">
      <alignment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4" fillId="0" borderId="0" xfId="0" applyFont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49" fontId="12" fillId="0" borderId="2" xfId="901" applyNumberFormat="1" applyFont="1" applyFill="1" applyBorder="1" applyAlignment="1">
      <alignment horizontal="center" vertical="center" wrapText="1"/>
    </xf>
    <xf numFmtId="49" fontId="12" fillId="0" borderId="20" xfId="901" applyNumberFormat="1" applyFont="1" applyFill="1" applyBorder="1" applyAlignment="1">
      <alignment horizontal="center" vertical="center" wrapText="1"/>
    </xf>
    <xf numFmtId="49" fontId="12" fillId="0" borderId="21" xfId="901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8" fillId="0" borderId="1" xfId="901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2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49" fontId="67" fillId="0" borderId="1" xfId="0" applyNumberFormat="1" applyFont="1" applyFill="1" applyBorder="1" applyAlignment="1">
      <alignment horizontal="center" vertical="center" wrapText="1"/>
    </xf>
    <xf numFmtId="49" fontId="69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66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12" fillId="27" borderId="2" xfId="654" applyNumberFormat="1" applyFont="1" applyFill="1" applyBorder="1" applyAlignment="1">
      <alignment horizontal="center" vertical="center" wrapText="1"/>
    </xf>
    <xf numFmtId="0" fontId="12" fillId="27" borderId="20" xfId="654" applyNumberFormat="1" applyFont="1" applyFill="1" applyBorder="1" applyAlignment="1">
      <alignment horizontal="center" vertical="center" wrapText="1"/>
    </xf>
    <xf numFmtId="0" fontId="12" fillId="27" borderId="21" xfId="654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12" fillId="0" borderId="2" xfId="902" applyNumberFormat="1" applyFont="1" applyBorder="1" applyAlignment="1">
      <alignment horizontal="center" vertical="center" wrapText="1"/>
    </xf>
    <xf numFmtId="0" fontId="12" fillId="0" borderId="20" xfId="902" applyNumberFormat="1" applyFont="1" applyBorder="1" applyAlignment="1">
      <alignment horizontal="center" vertical="center" wrapText="1"/>
    </xf>
    <xf numFmtId="0" fontId="12" fillId="0" borderId="21" xfId="902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21" xfId="0" applyNumberFormat="1" applyFont="1" applyBorder="1" applyAlignment="1">
      <alignment horizontal="center" vertical="center" wrapText="1"/>
    </xf>
    <xf numFmtId="0" fontId="13" fillId="0" borderId="2" xfId="654" applyNumberFormat="1" applyFont="1" applyBorder="1" applyAlignment="1">
      <alignment horizontal="center" vertical="center" wrapText="1"/>
    </xf>
    <xf numFmtId="0" fontId="13" fillId="0" borderId="21" xfId="654" applyNumberFormat="1" applyFont="1" applyBorder="1" applyAlignment="1">
      <alignment horizontal="center" vertical="center" wrapText="1"/>
    </xf>
    <xf numFmtId="0" fontId="12" fillId="0" borderId="2" xfId="735" applyNumberFormat="1" applyFont="1" applyBorder="1" applyAlignment="1">
      <alignment horizontal="center" vertical="center" wrapText="1"/>
    </xf>
    <xf numFmtId="0" fontId="12" fillId="0" borderId="20" xfId="735" applyNumberFormat="1" applyFont="1" applyBorder="1" applyAlignment="1">
      <alignment horizontal="center" vertical="center" wrapText="1"/>
    </xf>
    <xf numFmtId="0" fontId="12" fillId="0" borderId="21" xfId="735" applyNumberFormat="1" applyFont="1" applyBorder="1" applyAlignment="1">
      <alignment horizontal="center" vertical="center" wrapText="1"/>
    </xf>
    <xf numFmtId="0" fontId="12" fillId="0" borderId="2" xfId="633" applyNumberFormat="1" applyFont="1" applyBorder="1" applyAlignment="1">
      <alignment horizontal="center" vertical="center" wrapText="1"/>
    </xf>
    <xf numFmtId="0" fontId="12" fillId="0" borderId="20" xfId="633" applyNumberFormat="1" applyFont="1" applyBorder="1" applyAlignment="1">
      <alignment horizontal="center" vertical="center" wrapText="1"/>
    </xf>
    <xf numFmtId="0" fontId="12" fillId="0" borderId="21" xfId="633" applyNumberFormat="1" applyFont="1" applyBorder="1" applyAlignment="1">
      <alignment horizontal="center" vertical="center" wrapText="1"/>
    </xf>
    <xf numFmtId="0" fontId="12" fillId="0" borderId="2" xfId="870" applyNumberFormat="1" applyFont="1" applyBorder="1" applyAlignment="1">
      <alignment horizontal="center" vertical="center" wrapText="1"/>
    </xf>
    <xf numFmtId="0" fontId="12" fillId="0" borderId="21" xfId="87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64" fillId="0" borderId="2" xfId="2" applyNumberFormat="1" applyFont="1" applyFill="1" applyBorder="1" applyAlignment="1">
      <alignment horizontal="center" vertical="center" wrapText="1"/>
    </xf>
    <xf numFmtId="49" fontId="64" fillId="0" borderId="20" xfId="2" applyNumberFormat="1" applyFont="1" applyFill="1" applyBorder="1" applyAlignment="1">
      <alignment horizontal="center" vertical="center" wrapText="1"/>
    </xf>
    <xf numFmtId="49" fontId="64" fillId="0" borderId="21" xfId="2" applyNumberFormat="1" applyFont="1" applyFill="1" applyBorder="1" applyAlignment="1">
      <alignment horizontal="center" vertical="center" wrapText="1"/>
    </xf>
    <xf numFmtId="49" fontId="64" fillId="0" borderId="1" xfId="0" applyNumberFormat="1" applyFont="1" applyFill="1" applyBorder="1" applyAlignment="1">
      <alignment horizontal="center" vertical="center" wrapText="1"/>
    </xf>
    <xf numFmtId="49" fontId="64" fillId="0" borderId="2" xfId="0" applyNumberFormat="1" applyFont="1" applyFill="1" applyBorder="1" applyAlignment="1">
      <alignment horizontal="center" vertical="center" wrapText="1"/>
    </xf>
    <xf numFmtId="49" fontId="64" fillId="0" borderId="20" xfId="0" applyNumberFormat="1" applyFont="1" applyFill="1" applyBorder="1" applyAlignment="1">
      <alignment horizontal="center" vertical="center" wrapText="1"/>
    </xf>
    <xf numFmtId="49" fontId="64" fillId="0" borderId="21" xfId="0" applyNumberFormat="1" applyFont="1" applyFill="1" applyBorder="1" applyAlignment="1">
      <alignment horizontal="center" vertical="center" wrapText="1"/>
    </xf>
    <xf numFmtId="49" fontId="64" fillId="0" borderId="1" xfId="2" applyNumberFormat="1" applyFont="1" applyFill="1" applyBorder="1" applyAlignment="1">
      <alignment horizontal="center" vertical="center" wrapText="1"/>
    </xf>
    <xf numFmtId="49" fontId="93" fillId="0" borderId="2" xfId="0" applyNumberFormat="1" applyFont="1" applyFill="1" applyBorder="1" applyAlignment="1">
      <alignment horizontal="center" vertical="center" wrapText="1"/>
    </xf>
    <xf numFmtId="49" fontId="93" fillId="0" borderId="20" xfId="0" applyNumberFormat="1" applyFont="1" applyFill="1" applyBorder="1" applyAlignment="1">
      <alignment horizontal="center" vertical="center" wrapText="1"/>
    </xf>
    <xf numFmtId="49" fontId="93" fillId="0" borderId="2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49" fontId="89" fillId="0" borderId="1" xfId="0" applyNumberFormat="1" applyFont="1" applyFill="1" applyBorder="1" applyAlignment="1">
      <alignment horizontal="center" vertical="center" wrapText="1"/>
    </xf>
    <xf numFmtId="49" fontId="65" fillId="37" borderId="1" xfId="0" applyNumberFormat="1" applyFont="1" applyFill="1" applyBorder="1" applyAlignment="1">
      <alignment horizontal="center" vertical="center" wrapText="1"/>
    </xf>
    <xf numFmtId="49" fontId="94" fillId="0" borderId="2" xfId="0" applyNumberFormat="1" applyFont="1" applyBorder="1" applyAlignment="1">
      <alignment horizontal="center" vertical="center" wrapText="1"/>
    </xf>
    <xf numFmtId="49" fontId="94" fillId="0" borderId="21" xfId="0" applyNumberFormat="1" applyFont="1" applyBorder="1" applyAlignment="1">
      <alignment horizontal="center" vertical="center" wrapText="1"/>
    </xf>
    <xf numFmtId="0" fontId="88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0" fontId="12" fillId="0" borderId="2" xfId="907" applyNumberFormat="1" applyFont="1" applyFill="1" applyBorder="1" applyAlignment="1">
      <alignment horizontal="center" vertical="center" wrapText="1"/>
    </xf>
    <xf numFmtId="0" fontId="12" fillId="0" borderId="20" xfId="907" applyNumberFormat="1" applyFont="1" applyFill="1" applyBorder="1" applyAlignment="1">
      <alignment horizontal="center" vertical="center" wrapText="1"/>
    </xf>
    <xf numFmtId="0" fontId="12" fillId="0" borderId="21" xfId="907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8" fillId="0" borderId="2" xfId="633" applyNumberFormat="1" applyFont="1" applyFill="1" applyBorder="1" applyAlignment="1">
      <alignment horizontal="center" vertical="center" wrapText="1"/>
    </xf>
    <xf numFmtId="49" fontId="8" fillId="0" borderId="20" xfId="633" applyNumberFormat="1" applyFont="1" applyFill="1" applyBorder="1" applyAlignment="1">
      <alignment horizontal="center" vertical="center" wrapText="1"/>
    </xf>
    <xf numFmtId="49" fontId="8" fillId="0" borderId="21" xfId="633" applyNumberFormat="1" applyFont="1" applyFill="1" applyBorder="1" applyAlignment="1">
      <alignment horizontal="center" vertical="center" wrapText="1"/>
    </xf>
    <xf numFmtId="0" fontId="12" fillId="27" borderId="2" xfId="633" applyNumberFormat="1" applyFont="1" applyFill="1" applyBorder="1" applyAlignment="1">
      <alignment horizontal="center" vertical="center" wrapText="1"/>
    </xf>
    <xf numFmtId="0" fontId="12" fillId="27" borderId="20" xfId="633" applyNumberFormat="1" applyFont="1" applyFill="1" applyBorder="1" applyAlignment="1">
      <alignment horizontal="center" vertical="center" wrapText="1"/>
    </xf>
    <xf numFmtId="0" fontId="12" fillId="27" borderId="21" xfId="633" applyNumberFormat="1" applyFont="1" applyFill="1" applyBorder="1" applyAlignment="1">
      <alignment horizontal="center" vertical="center" wrapText="1"/>
    </xf>
    <xf numFmtId="0" fontId="111" fillId="0" borderId="1" xfId="0" applyFont="1" applyFill="1" applyBorder="1" applyAlignment="1">
      <alignment horizontal="center" vertical="center" wrapText="1"/>
    </xf>
    <xf numFmtId="0" fontId="12" fillId="0" borderId="1" xfId="715" applyFont="1" applyFill="1" applyBorder="1" applyAlignment="1" applyProtection="1">
      <alignment horizontal="center" vertical="center" wrapText="1"/>
    </xf>
    <xf numFmtId="49" fontId="8" fillId="0" borderId="1" xfId="633" applyNumberFormat="1" applyFont="1" applyFill="1" applyBorder="1" applyAlignment="1">
      <alignment horizontal="center" vertical="center" wrapText="1"/>
    </xf>
    <xf numFmtId="49" fontId="8" fillId="0" borderId="2" xfId="907" applyNumberFormat="1" applyFont="1" applyFill="1" applyBorder="1" applyAlignment="1">
      <alignment horizontal="center" vertical="center" wrapText="1"/>
    </xf>
    <xf numFmtId="49" fontId="8" fillId="0" borderId="20" xfId="907" applyNumberFormat="1" applyFont="1" applyFill="1" applyBorder="1" applyAlignment="1">
      <alignment horizontal="center" vertical="center" wrapText="1"/>
    </xf>
    <xf numFmtId="49" fontId="8" fillId="0" borderId="21" xfId="907" applyNumberFormat="1" applyFont="1" applyFill="1" applyBorder="1" applyAlignment="1">
      <alignment horizontal="center" vertical="center" wrapText="1"/>
    </xf>
    <xf numFmtId="49" fontId="20" fillId="0" borderId="2" xfId="0" applyNumberFormat="1" applyFont="1" applyFill="1" applyBorder="1" applyAlignment="1">
      <alignment vertical="center" wrapText="1"/>
    </xf>
    <xf numFmtId="49" fontId="20" fillId="0" borderId="21" xfId="0" applyNumberFormat="1" applyFont="1" applyFill="1" applyBorder="1" applyAlignment="1">
      <alignment vertical="center" wrapText="1"/>
    </xf>
    <xf numFmtId="49" fontId="73" fillId="0" borderId="2" xfId="901" applyNumberFormat="1" applyFont="1" applyFill="1" applyBorder="1" applyAlignment="1">
      <alignment horizontal="center" vertical="center" wrapText="1"/>
    </xf>
    <xf numFmtId="49" fontId="73" fillId="0" borderId="20" xfId="901" applyNumberFormat="1" applyFont="1" applyFill="1" applyBorder="1" applyAlignment="1">
      <alignment horizontal="center" vertical="center" wrapText="1"/>
    </xf>
    <xf numFmtId="49" fontId="73" fillId="0" borderId="21" xfId="901" applyNumberFormat="1" applyFont="1" applyFill="1" applyBorder="1" applyAlignment="1">
      <alignment horizontal="center" vertical="center" wrapText="1"/>
    </xf>
    <xf numFmtId="49" fontId="119" fillId="0" borderId="2" xfId="0" applyNumberFormat="1" applyFont="1" applyFill="1" applyBorder="1" applyAlignment="1">
      <alignment horizontal="center" vertical="center" wrapText="1"/>
    </xf>
    <xf numFmtId="49" fontId="119" fillId="0" borderId="20" xfId="0" applyNumberFormat="1" applyFont="1" applyFill="1" applyBorder="1" applyAlignment="1">
      <alignment horizontal="center" vertical="center" wrapText="1"/>
    </xf>
    <xf numFmtId="49" fontId="119" fillId="0" borderId="21" xfId="0" applyNumberFormat="1" applyFont="1" applyFill="1" applyBorder="1" applyAlignment="1">
      <alignment horizontal="center" vertical="center" wrapText="1"/>
    </xf>
    <xf numFmtId="49" fontId="119" fillId="0" borderId="2" xfId="901" applyNumberFormat="1" applyFont="1" applyFill="1" applyBorder="1" applyAlignment="1">
      <alignment horizontal="center" vertical="center" wrapText="1"/>
    </xf>
    <xf numFmtId="49" fontId="119" fillId="0" borderId="20" xfId="901" applyNumberFormat="1" applyFont="1" applyFill="1" applyBorder="1" applyAlignment="1">
      <alignment horizontal="center" vertical="center" wrapText="1"/>
    </xf>
    <xf numFmtId="49" fontId="119" fillId="0" borderId="21" xfId="901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8" fillId="0" borderId="2" xfId="901" applyNumberFormat="1" applyFont="1" applyFill="1" applyBorder="1" applyAlignment="1">
      <alignment horizontal="center" vertical="center" wrapText="1"/>
    </xf>
    <xf numFmtId="49" fontId="8" fillId="0" borderId="21" xfId="901" applyNumberFormat="1" applyFont="1" applyFill="1" applyBorder="1" applyAlignment="1">
      <alignment horizontal="center" vertical="center" wrapText="1"/>
    </xf>
    <xf numFmtId="49" fontId="8" fillId="0" borderId="20" xfId="901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69" fillId="0" borderId="2" xfId="901" applyNumberFormat="1" applyFont="1" applyFill="1" applyBorder="1" applyAlignment="1">
      <alignment horizontal="center" vertical="center" wrapText="1"/>
    </xf>
    <xf numFmtId="49" fontId="69" fillId="0" borderId="20" xfId="901" applyNumberFormat="1" applyFont="1" applyFill="1" applyBorder="1" applyAlignment="1">
      <alignment horizontal="center" vertical="center" wrapText="1"/>
    </xf>
    <xf numFmtId="49" fontId="67" fillId="0" borderId="2" xfId="0" applyNumberFormat="1" applyFont="1" applyFill="1" applyBorder="1" applyAlignment="1">
      <alignment horizontal="center" vertical="center" wrapText="1"/>
    </xf>
    <xf numFmtId="49" fontId="67" fillId="0" borderId="21" xfId="0" applyNumberFormat="1" applyFont="1" applyFill="1" applyBorder="1" applyAlignment="1">
      <alignment horizontal="center" vertical="center" wrapText="1"/>
    </xf>
    <xf numFmtId="49" fontId="67" fillId="0" borderId="2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49" fontId="113" fillId="0" borderId="0" xfId="0" applyNumberFormat="1" applyFont="1" applyFill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104" fillId="0" borderId="2" xfId="0" applyNumberFormat="1" applyFont="1" applyFill="1" applyBorder="1" applyAlignment="1">
      <alignment horizontal="center" vertical="center" wrapText="1"/>
    </xf>
    <xf numFmtId="49" fontId="104" fillId="0" borderId="20" xfId="0" applyNumberFormat="1" applyFont="1" applyFill="1" applyBorder="1" applyAlignment="1">
      <alignment horizontal="center" vertical="center" wrapText="1"/>
    </xf>
    <xf numFmtId="49" fontId="104" fillId="0" borderId="21" xfId="0" applyNumberFormat="1" applyFont="1" applyFill="1" applyBorder="1" applyAlignment="1">
      <alignment horizontal="center" vertical="center" wrapText="1"/>
    </xf>
    <xf numFmtId="49" fontId="8" fillId="0" borderId="2" xfId="654" applyNumberFormat="1" applyFont="1" applyFill="1" applyBorder="1" applyAlignment="1">
      <alignment horizontal="center" vertical="center" wrapText="1"/>
    </xf>
    <xf numFmtId="49" fontId="8" fillId="0" borderId="21" xfId="654" applyNumberFormat="1" applyFont="1" applyFill="1" applyBorder="1" applyAlignment="1">
      <alignment horizontal="center" vertical="center" wrapText="1"/>
    </xf>
    <xf numFmtId="49" fontId="8" fillId="0" borderId="2" xfId="735" applyNumberFormat="1" applyFont="1" applyFill="1" applyBorder="1" applyAlignment="1">
      <alignment horizontal="center" vertical="center" wrapText="1"/>
    </xf>
    <xf numFmtId="49" fontId="8" fillId="0" borderId="20" xfId="735" applyNumberFormat="1" applyFont="1" applyFill="1" applyBorder="1" applyAlignment="1">
      <alignment horizontal="center" vertical="center" wrapText="1"/>
    </xf>
    <xf numFmtId="49" fontId="8" fillId="0" borderId="21" xfId="735" applyNumberFormat="1" applyFont="1" applyFill="1" applyBorder="1" applyAlignment="1">
      <alignment horizontal="center" vertical="center" wrapText="1"/>
    </xf>
    <xf numFmtId="49" fontId="8" fillId="0" borderId="2" xfId="902" applyNumberFormat="1" applyFont="1" applyFill="1" applyBorder="1" applyAlignment="1">
      <alignment horizontal="center" vertical="center" wrapText="1"/>
    </xf>
    <xf numFmtId="49" fontId="8" fillId="0" borderId="20" xfId="902" applyNumberFormat="1" applyFont="1" applyFill="1" applyBorder="1" applyAlignment="1">
      <alignment horizontal="center" vertical="center" wrapText="1"/>
    </xf>
    <xf numFmtId="49" fontId="8" fillId="0" borderId="21" xfId="902" applyNumberFormat="1" applyFont="1" applyFill="1" applyBorder="1" applyAlignment="1">
      <alignment horizontal="center" vertical="center" wrapText="1"/>
    </xf>
    <xf numFmtId="49" fontId="8" fillId="0" borderId="2" xfId="870" applyNumberFormat="1" applyFont="1" applyFill="1" applyBorder="1" applyAlignment="1">
      <alignment horizontal="center" vertical="center" wrapText="1"/>
    </xf>
    <xf numFmtId="49" fontId="8" fillId="0" borderId="21" xfId="87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6" fontId="12" fillId="0" borderId="2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49" fontId="69" fillId="0" borderId="2" xfId="0" applyNumberFormat="1" applyFont="1" applyFill="1" applyBorder="1" applyAlignment="1">
      <alignment horizontal="center" vertical="center" wrapText="1"/>
    </xf>
    <xf numFmtId="49" fontId="69" fillId="0" borderId="20" xfId="0" applyNumberFormat="1" applyFont="1" applyFill="1" applyBorder="1" applyAlignment="1">
      <alignment horizontal="center" vertical="center" wrapText="1"/>
    </xf>
    <xf numFmtId="0" fontId="13" fillId="0" borderId="0" xfId="901" applyNumberFormat="1" applyFont="1" applyFill="1" applyBorder="1" applyAlignment="1">
      <alignment horizontal="center" vertical="center" wrapText="1"/>
    </xf>
    <xf numFmtId="49" fontId="12" fillId="27" borderId="2" xfId="0" applyNumberFormat="1" applyFont="1" applyFill="1" applyBorder="1" applyAlignment="1">
      <alignment horizontal="center" vertical="center" wrapText="1"/>
    </xf>
    <xf numFmtId="49" fontId="12" fillId="27" borderId="21" xfId="0" applyNumberFormat="1" applyFont="1" applyFill="1" applyBorder="1" applyAlignment="1">
      <alignment horizontal="center" vertical="center" wrapText="1"/>
    </xf>
    <xf numFmtId="0" fontId="7" fillId="0" borderId="2" xfId="901" applyNumberFormat="1" applyFont="1" applyFill="1" applyBorder="1" applyAlignment="1">
      <alignment horizontal="center" vertical="center" wrapText="1"/>
    </xf>
    <xf numFmtId="0" fontId="7" fillId="0" borderId="21" xfId="901" applyNumberFormat="1" applyFont="1" applyFill="1" applyBorder="1" applyAlignment="1">
      <alignment horizontal="center" vertical="center" wrapText="1"/>
    </xf>
    <xf numFmtId="0" fontId="13" fillId="0" borderId="2" xfId="901" applyNumberFormat="1" applyFont="1" applyFill="1" applyBorder="1" applyAlignment="1">
      <alignment horizontal="center" vertical="center" wrapText="1"/>
    </xf>
    <xf numFmtId="0" fontId="13" fillId="0" borderId="21" xfId="90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</cellXfs>
  <cellStyles count="911">
    <cellStyle name="20% - Accent1" xfId="5"/>
    <cellStyle name="20% - Accent1 2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3" xfId="16"/>
    <cellStyle name="20% - Accent1 3 2" xfId="17"/>
    <cellStyle name="20% - Accent1 4" xfId="18"/>
    <cellStyle name="20% - Accent1 4 2" xfId="19"/>
    <cellStyle name="20% - Accent1 4 2 2" xfId="20"/>
    <cellStyle name="20% - Accent1 4 3" xfId="21"/>
    <cellStyle name="20% - Accent1 5" xfId="22"/>
    <cellStyle name="20% - Accent1 5 2" xfId="23"/>
    <cellStyle name="20% - Accent1 6" xfId="24"/>
    <cellStyle name="20% - Accent1 6 2" xfId="25"/>
    <cellStyle name="20% - Accent1 7" xfId="26"/>
    <cellStyle name="20% - Accent1 7 2" xfId="27"/>
    <cellStyle name="20% - Accent1_Q.W. ADMINISTRACIULI SENOBA" xfId="28"/>
    <cellStyle name="20% - Accent2" xfId="29"/>
    <cellStyle name="20% - Accent2 2" xfId="30"/>
    <cellStyle name="20% - Accent2 2 2" xfId="31"/>
    <cellStyle name="20% - Accent2 2 2 2" xfId="32"/>
    <cellStyle name="20% - Accent2 2 3" xfId="33"/>
    <cellStyle name="20% - Accent2 2 3 2" xfId="34"/>
    <cellStyle name="20% - Accent2 2 4" xfId="35"/>
    <cellStyle name="20% - Accent2 2 4 2" xfId="36"/>
    <cellStyle name="20% - Accent2 2 5" xfId="37"/>
    <cellStyle name="20% - Accent2 2 5 2" xfId="38"/>
    <cellStyle name="20% - Accent2 2 6" xfId="39"/>
    <cellStyle name="20% - Accent2 3" xfId="40"/>
    <cellStyle name="20% - Accent2 3 2" xfId="41"/>
    <cellStyle name="20% - Accent2 4" xfId="42"/>
    <cellStyle name="20% - Accent2 4 2" xfId="43"/>
    <cellStyle name="20% - Accent2 4 2 2" xfId="44"/>
    <cellStyle name="20% - Accent2 4 3" xfId="45"/>
    <cellStyle name="20% - Accent2 5" xfId="46"/>
    <cellStyle name="20% - Accent2 5 2" xfId="47"/>
    <cellStyle name="20% - Accent2 6" xfId="48"/>
    <cellStyle name="20% - Accent2 6 2" xfId="49"/>
    <cellStyle name="20% - Accent2 7" xfId="50"/>
    <cellStyle name="20% - Accent2 7 2" xfId="51"/>
    <cellStyle name="20% - Accent2_Q.W. ADMINISTRACIULI SENOBA" xfId="52"/>
    <cellStyle name="20% - Accent3" xfId="53"/>
    <cellStyle name="20% - Accent3 2" xfId="54"/>
    <cellStyle name="20% - Accent3 2 2" xfId="55"/>
    <cellStyle name="20% - Accent3 2 2 2" xfId="56"/>
    <cellStyle name="20% - Accent3 2 3" xfId="57"/>
    <cellStyle name="20% - Accent3 2 3 2" xfId="58"/>
    <cellStyle name="20% - Accent3 2 4" xfId="59"/>
    <cellStyle name="20% - Accent3 2 4 2" xfId="60"/>
    <cellStyle name="20% - Accent3 2 5" xfId="61"/>
    <cellStyle name="20% - Accent3 2 5 2" xfId="62"/>
    <cellStyle name="20% - Accent3 2 6" xfId="63"/>
    <cellStyle name="20% - Accent3 3" xfId="64"/>
    <cellStyle name="20% - Accent3 3 2" xfId="65"/>
    <cellStyle name="20% - Accent3 4" xfId="66"/>
    <cellStyle name="20% - Accent3 4 2" xfId="67"/>
    <cellStyle name="20% - Accent3 4 2 2" xfId="68"/>
    <cellStyle name="20% - Accent3 4 3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_Q.W. ADMINISTRACIULI SENOBA" xfId="76"/>
    <cellStyle name="20% - Accent4" xfId="77"/>
    <cellStyle name="20% - Accent4 2" xfId="78"/>
    <cellStyle name="20% - Accent4 2 2" xfId="79"/>
    <cellStyle name="20% - Accent4 2 2 2" xfId="80"/>
    <cellStyle name="20% - Accent4 2 3" xfId="81"/>
    <cellStyle name="20% - Accent4 2 3 2" xfId="82"/>
    <cellStyle name="20% - Accent4 2 4" xfId="83"/>
    <cellStyle name="20% - Accent4 2 4 2" xfId="84"/>
    <cellStyle name="20% - Accent4 2 5" xfId="85"/>
    <cellStyle name="20% - Accent4 2 5 2" xfId="86"/>
    <cellStyle name="20% - Accent4 2 6" xfId="87"/>
    <cellStyle name="20% - Accent4 3" xfId="88"/>
    <cellStyle name="20% - Accent4 3 2" xfId="89"/>
    <cellStyle name="20% - Accent4 4" xfId="90"/>
    <cellStyle name="20% - Accent4 4 2" xfId="91"/>
    <cellStyle name="20% - Accent4 4 2 2" xfId="92"/>
    <cellStyle name="20% - Accent4 4 3" xfId="93"/>
    <cellStyle name="20% - Accent4 5" xfId="94"/>
    <cellStyle name="20% - Accent4 5 2" xfId="95"/>
    <cellStyle name="20% - Accent4 6" xfId="96"/>
    <cellStyle name="20% - Accent4 6 2" xfId="97"/>
    <cellStyle name="20% - Accent4 7" xfId="98"/>
    <cellStyle name="20% - Accent4 7 2" xfId="99"/>
    <cellStyle name="20% - Accent4_Q.W. ADMINISTRACIULI SENOBA" xfId="100"/>
    <cellStyle name="20% - Accent5" xfId="101"/>
    <cellStyle name="20% - Accent5 2" xfId="102"/>
    <cellStyle name="20% - Accent5 2 2" xfId="103"/>
    <cellStyle name="20% - Accent5 2 2 2" xfId="104"/>
    <cellStyle name="20% - Accent5 2 3" xfId="105"/>
    <cellStyle name="20% - Accent5 2 3 2" xfId="106"/>
    <cellStyle name="20% - Accent5 2 4" xfId="107"/>
    <cellStyle name="20% - Accent5 2 4 2" xfId="108"/>
    <cellStyle name="20% - Accent5 2 5" xfId="109"/>
    <cellStyle name="20% - Accent5 2 5 2" xfId="110"/>
    <cellStyle name="20% - Accent5 2 6" xfId="111"/>
    <cellStyle name="20% - Accent5 3" xfId="112"/>
    <cellStyle name="20% - Accent5 3 2" xfId="113"/>
    <cellStyle name="20% - Accent5 4" xfId="114"/>
    <cellStyle name="20% - Accent5 4 2" xfId="115"/>
    <cellStyle name="20% - Accent5 4 2 2" xfId="116"/>
    <cellStyle name="20% - Accent5 4 3" xfId="117"/>
    <cellStyle name="20% - Accent5 5" xfId="118"/>
    <cellStyle name="20% - Accent5 5 2" xfId="119"/>
    <cellStyle name="20% - Accent5 6" xfId="120"/>
    <cellStyle name="20% - Accent5 6 2" xfId="121"/>
    <cellStyle name="20% - Accent5 7" xfId="122"/>
    <cellStyle name="20% - Accent5 7 2" xfId="123"/>
    <cellStyle name="20% - Accent5_Q.W. ADMINISTRACIULI SENOBA" xfId="124"/>
    <cellStyle name="20% - Accent6" xfId="125"/>
    <cellStyle name="20% - Accent6 2" xfId="126"/>
    <cellStyle name="20% - Accent6 2 2" xfId="127"/>
    <cellStyle name="20% - Accent6 2 2 2" xfId="128"/>
    <cellStyle name="20% - Accent6 2 3" xfId="129"/>
    <cellStyle name="20% - Accent6 2 3 2" xfId="130"/>
    <cellStyle name="20% - Accent6 2 4" xfId="131"/>
    <cellStyle name="20% - Accent6 2 4 2" xfId="132"/>
    <cellStyle name="20% - Accent6 2 5" xfId="133"/>
    <cellStyle name="20% - Accent6 2 5 2" xfId="134"/>
    <cellStyle name="20% - Accent6 2 6" xfId="135"/>
    <cellStyle name="20% - Accent6 3" xfId="136"/>
    <cellStyle name="20% - Accent6 3 2" xfId="137"/>
    <cellStyle name="20% - Accent6 4" xfId="138"/>
    <cellStyle name="20% - Accent6 4 2" xfId="139"/>
    <cellStyle name="20% - Accent6 4 2 2" xfId="140"/>
    <cellStyle name="20% - Accent6 4 3" xfId="141"/>
    <cellStyle name="20% - Accent6 5" xfId="142"/>
    <cellStyle name="20% - Accent6 5 2" xfId="143"/>
    <cellStyle name="20% - Accent6 6" xfId="144"/>
    <cellStyle name="20% - Accent6 6 2" xfId="145"/>
    <cellStyle name="20% - Accent6 7" xfId="146"/>
    <cellStyle name="20% - Accent6 7 2" xfId="147"/>
    <cellStyle name="20% - Accent6_Q.W. ADMINISTRACIULI SENOBA" xfId="148"/>
    <cellStyle name="40% - Accent1" xfId="149"/>
    <cellStyle name="40% - Accent1 2" xfId="150"/>
    <cellStyle name="40% - Accent1 2 2" xfId="151"/>
    <cellStyle name="40% - Accent1 2 2 2" xfId="152"/>
    <cellStyle name="40% - Accent1 2 3" xfId="153"/>
    <cellStyle name="40% - Accent1 2 3 2" xfId="154"/>
    <cellStyle name="40% - Accent1 2 4" xfId="155"/>
    <cellStyle name="40% - Accent1 2 4 2" xfId="156"/>
    <cellStyle name="40% - Accent1 2 5" xfId="157"/>
    <cellStyle name="40% - Accent1 2 5 2" xfId="158"/>
    <cellStyle name="40% - Accent1 2 6" xfId="159"/>
    <cellStyle name="40% - Accent1 3" xfId="160"/>
    <cellStyle name="40% - Accent1 3 2" xfId="161"/>
    <cellStyle name="40% - Accent1 4" xfId="162"/>
    <cellStyle name="40% - Accent1 4 2" xfId="163"/>
    <cellStyle name="40% - Accent1 4 2 2" xfId="164"/>
    <cellStyle name="40% - Accent1 4 3" xfId="165"/>
    <cellStyle name="40% - Accent1 5" xfId="166"/>
    <cellStyle name="40% - Accent1 5 2" xfId="167"/>
    <cellStyle name="40% - Accent1 6" xfId="168"/>
    <cellStyle name="40% - Accent1 6 2" xfId="169"/>
    <cellStyle name="40% - Accent1 7" xfId="170"/>
    <cellStyle name="40% - Accent1 7 2" xfId="171"/>
    <cellStyle name="40% - Accent1_Q.W. ADMINISTRACIULI SENOBA" xfId="172"/>
    <cellStyle name="40% - Accent2" xfId="173"/>
    <cellStyle name="40% - Accent2 2" xfId="174"/>
    <cellStyle name="40% - Accent2 2 2" xfId="175"/>
    <cellStyle name="40% - Accent2 2 2 2" xfId="176"/>
    <cellStyle name="40% - Accent2 2 3" xfId="177"/>
    <cellStyle name="40% - Accent2 2 3 2" xfId="178"/>
    <cellStyle name="40% - Accent2 2 4" xfId="179"/>
    <cellStyle name="40% - Accent2 2 4 2" xfId="180"/>
    <cellStyle name="40% - Accent2 2 5" xfId="181"/>
    <cellStyle name="40% - Accent2 2 5 2" xfId="182"/>
    <cellStyle name="40% - Accent2 2 6" xfId="183"/>
    <cellStyle name="40% - Accent2 3" xfId="184"/>
    <cellStyle name="40% - Accent2 3 2" xfId="185"/>
    <cellStyle name="40% - Accent2 4" xfId="186"/>
    <cellStyle name="40% - Accent2 4 2" xfId="187"/>
    <cellStyle name="40% - Accent2 4 2 2" xfId="188"/>
    <cellStyle name="40% - Accent2 4 3" xfId="189"/>
    <cellStyle name="40% - Accent2 5" xfId="190"/>
    <cellStyle name="40% - Accent2 5 2" xfId="191"/>
    <cellStyle name="40% - Accent2 6" xfId="192"/>
    <cellStyle name="40% - Accent2 6 2" xfId="193"/>
    <cellStyle name="40% - Accent2 7" xfId="194"/>
    <cellStyle name="40% - Accent2 7 2" xfId="195"/>
    <cellStyle name="40% - Accent2_Q.W. ADMINISTRACIULI SENOBA" xfId="196"/>
    <cellStyle name="40% - Accent3" xfId="197"/>
    <cellStyle name="40% - Accent3 2" xfId="198"/>
    <cellStyle name="40% - Accent3 2 2" xfId="199"/>
    <cellStyle name="40% - Accent3 2 2 2" xfId="200"/>
    <cellStyle name="40% - Accent3 2 3" xfId="201"/>
    <cellStyle name="40% - Accent3 2 3 2" xfId="202"/>
    <cellStyle name="40% - Accent3 2 4" xfId="203"/>
    <cellStyle name="40% - Accent3 2 4 2" xfId="204"/>
    <cellStyle name="40% - Accent3 2 5" xfId="205"/>
    <cellStyle name="40% - Accent3 2 5 2" xfId="206"/>
    <cellStyle name="40% - Accent3 2 6" xfId="207"/>
    <cellStyle name="40% - Accent3 3" xfId="208"/>
    <cellStyle name="40% - Accent3 3 2" xfId="209"/>
    <cellStyle name="40% - Accent3 4" xfId="210"/>
    <cellStyle name="40% - Accent3 4 2" xfId="211"/>
    <cellStyle name="40% - Accent3 4 2 2" xfId="212"/>
    <cellStyle name="40% - Accent3 4 3" xfId="213"/>
    <cellStyle name="40% - Accent3 5" xfId="214"/>
    <cellStyle name="40% - Accent3 5 2" xfId="215"/>
    <cellStyle name="40% - Accent3 6" xfId="216"/>
    <cellStyle name="40% - Accent3 6 2" xfId="217"/>
    <cellStyle name="40% - Accent3 7" xfId="218"/>
    <cellStyle name="40% - Accent3 7 2" xfId="219"/>
    <cellStyle name="40% - Accent3_Q.W. ADMINISTRACIULI SENOBA" xfId="220"/>
    <cellStyle name="40% - Accent4" xfId="221"/>
    <cellStyle name="40% - Accent4 2" xfId="222"/>
    <cellStyle name="40% - Accent4 2 2" xfId="223"/>
    <cellStyle name="40% - Accent4 2 2 2" xfId="224"/>
    <cellStyle name="40% - Accent4 2 3" xfId="225"/>
    <cellStyle name="40% - Accent4 2 3 2" xfId="226"/>
    <cellStyle name="40% - Accent4 2 4" xfId="227"/>
    <cellStyle name="40% - Accent4 2 4 2" xfId="228"/>
    <cellStyle name="40% - Accent4 2 5" xfId="229"/>
    <cellStyle name="40% - Accent4 2 5 2" xfId="230"/>
    <cellStyle name="40% - Accent4 2 6" xfId="231"/>
    <cellStyle name="40% - Accent4 3" xfId="232"/>
    <cellStyle name="40% - Accent4 3 2" xfId="233"/>
    <cellStyle name="40% - Accent4 4" xfId="234"/>
    <cellStyle name="40% - Accent4 4 2" xfId="235"/>
    <cellStyle name="40% - Accent4 4 2 2" xfId="236"/>
    <cellStyle name="40% - Accent4 4 3" xfId="237"/>
    <cellStyle name="40% - Accent4 5" xfId="238"/>
    <cellStyle name="40% - Accent4 5 2" xfId="239"/>
    <cellStyle name="40% - Accent4 6" xfId="240"/>
    <cellStyle name="40% - Accent4 6 2" xfId="241"/>
    <cellStyle name="40% - Accent4 7" xfId="242"/>
    <cellStyle name="40% - Accent4 7 2" xfId="243"/>
    <cellStyle name="40% - Accent4_Q.W. ADMINISTRACIULI SENOBA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5_Q.W. ADMINISTRACIULI SENOBA" xfId="268"/>
    <cellStyle name="40% - Accent6" xfId="269"/>
    <cellStyle name="40% - Accent6 2" xfId="270"/>
    <cellStyle name="40% - Accent6 2 2" xfId="271"/>
    <cellStyle name="40% - Accent6 2 2 2" xfId="272"/>
    <cellStyle name="40% - Accent6 2 3" xfId="273"/>
    <cellStyle name="40% - Accent6 2 3 2" xfId="274"/>
    <cellStyle name="40% - Accent6 2 4" xfId="275"/>
    <cellStyle name="40% - Accent6 2 4 2" xfId="276"/>
    <cellStyle name="40% - Accent6 2 5" xfId="277"/>
    <cellStyle name="40% - Accent6 2 5 2" xfId="278"/>
    <cellStyle name="40% - Accent6 2 6" xfId="279"/>
    <cellStyle name="40% - Accent6 3" xfId="280"/>
    <cellStyle name="40% - Accent6 3 2" xfId="281"/>
    <cellStyle name="40% - Accent6 4" xfId="282"/>
    <cellStyle name="40% - Accent6 4 2" xfId="283"/>
    <cellStyle name="40% - Accent6 4 2 2" xfId="284"/>
    <cellStyle name="40% - Accent6 4 3" xfId="285"/>
    <cellStyle name="40% - Accent6 5" xfId="286"/>
    <cellStyle name="40% - Accent6 5 2" xfId="287"/>
    <cellStyle name="40% - Accent6 6" xfId="288"/>
    <cellStyle name="40% - Accent6 6 2" xfId="289"/>
    <cellStyle name="40% - Accent6 7" xfId="290"/>
    <cellStyle name="40% - Accent6 7 2" xfId="291"/>
    <cellStyle name="40% - Accent6_Q.W. ADMINISTRACIULI SENOBA" xfId="292"/>
    <cellStyle name="60% - Accent1" xfId="293"/>
    <cellStyle name="60% - Accent1 2" xfId="294"/>
    <cellStyle name="60% - Accent1 2 2" xfId="295"/>
    <cellStyle name="60% - Accent1 2 3" xfId="296"/>
    <cellStyle name="60% - Accent1 2 4" xfId="297"/>
    <cellStyle name="60% - Accent1 2 5" xfId="298"/>
    <cellStyle name="60% - Accent1 3" xfId="299"/>
    <cellStyle name="60% - Accent1 4" xfId="300"/>
    <cellStyle name="60% - Accent1 4 2" xfId="301"/>
    <cellStyle name="60% - Accent1 5" xfId="302"/>
    <cellStyle name="60% - Accent1 6" xfId="303"/>
    <cellStyle name="60% - Accent1 7" xfId="304"/>
    <cellStyle name="60% - Accent2" xfId="305"/>
    <cellStyle name="60% - Accent2 2" xfId="306"/>
    <cellStyle name="60% - Accent2 2 2" xfId="307"/>
    <cellStyle name="60% - Accent2 2 3" xfId="308"/>
    <cellStyle name="60% - Accent2 2 4" xfId="309"/>
    <cellStyle name="60% - Accent2 2 5" xfId="310"/>
    <cellStyle name="60% - Accent2 3" xfId="311"/>
    <cellStyle name="60% - Accent2 4" xfId="312"/>
    <cellStyle name="60% - Accent2 4 2" xfId="313"/>
    <cellStyle name="60% - Accent2 5" xfId="314"/>
    <cellStyle name="60% - Accent2 6" xfId="315"/>
    <cellStyle name="60% - Accent2 7" xfId="316"/>
    <cellStyle name="60% - Accent3" xfId="317"/>
    <cellStyle name="60% - Accent3 2" xfId="318"/>
    <cellStyle name="60% - Accent3 2 2" xfId="319"/>
    <cellStyle name="60% - Accent3 2 3" xfId="320"/>
    <cellStyle name="60% - Accent3 2 4" xfId="321"/>
    <cellStyle name="60% - Accent3 2 5" xfId="322"/>
    <cellStyle name="60% - Accent3 3" xfId="323"/>
    <cellStyle name="60% - Accent3 4" xfId="324"/>
    <cellStyle name="60% - Accent3 4 2" xfId="325"/>
    <cellStyle name="60% - Accent3 5" xfId="326"/>
    <cellStyle name="60% - Accent3 6" xfId="327"/>
    <cellStyle name="60% - Accent3 7" xfId="328"/>
    <cellStyle name="60% - Accent4" xfId="329"/>
    <cellStyle name="60% - Accent4 2" xfId="330"/>
    <cellStyle name="60% - Accent4 2 2" xfId="331"/>
    <cellStyle name="60% - Accent4 2 3" xfId="332"/>
    <cellStyle name="60% - Accent4 2 4" xfId="333"/>
    <cellStyle name="60% - Accent4 2 5" xfId="334"/>
    <cellStyle name="60% - Accent4 3" xfId="335"/>
    <cellStyle name="60% - Accent4 4" xfId="336"/>
    <cellStyle name="60% - Accent4 4 2" xfId="337"/>
    <cellStyle name="60% - Accent4 5" xfId="338"/>
    <cellStyle name="60% - Accent4 6" xfId="339"/>
    <cellStyle name="60% - Accent4 7" xfId="340"/>
    <cellStyle name="60% - Accent5" xfId="341"/>
    <cellStyle name="60% - Accent5 2" xfId="342"/>
    <cellStyle name="60% - Accent5 2 2" xfId="343"/>
    <cellStyle name="60% - Accent5 2 3" xfId="344"/>
    <cellStyle name="60% - Accent5 2 4" xfId="345"/>
    <cellStyle name="60% - Accent5 2 5" xfId="346"/>
    <cellStyle name="60% - Accent5 3" xfId="347"/>
    <cellStyle name="60% - Accent5 4" xfId="348"/>
    <cellStyle name="60% - Accent5 4 2" xfId="349"/>
    <cellStyle name="60% - Accent5 5" xfId="350"/>
    <cellStyle name="60% - Accent5 6" xfId="351"/>
    <cellStyle name="60% - Accent5 7" xfId="352"/>
    <cellStyle name="60% - Accent6" xfId="353"/>
    <cellStyle name="60% - Accent6 2" xfId="354"/>
    <cellStyle name="60% - Accent6 2 2" xfId="355"/>
    <cellStyle name="60% - Accent6 2 3" xfId="356"/>
    <cellStyle name="60% - Accent6 2 4" xfId="357"/>
    <cellStyle name="60% - Accent6 2 5" xfId="358"/>
    <cellStyle name="60% - Accent6 3" xfId="359"/>
    <cellStyle name="60% - Accent6 4" xfId="360"/>
    <cellStyle name="60% - Accent6 4 2" xfId="361"/>
    <cellStyle name="60% - Accent6 5" xfId="362"/>
    <cellStyle name="60% - Accent6 6" xfId="363"/>
    <cellStyle name="60% - Accent6 7" xfId="364"/>
    <cellStyle name="Accent1" xfId="365"/>
    <cellStyle name="Accent1 2" xfId="366"/>
    <cellStyle name="Accent1 2 2" xfId="367"/>
    <cellStyle name="Accent1 2 3" xfId="368"/>
    <cellStyle name="Accent1 2 4" xfId="369"/>
    <cellStyle name="Accent1 2 5" xfId="370"/>
    <cellStyle name="Accent1 3" xfId="371"/>
    <cellStyle name="Accent1 4" xfId="372"/>
    <cellStyle name="Accent1 4 2" xfId="373"/>
    <cellStyle name="Accent1 5" xfId="374"/>
    <cellStyle name="Accent1 6" xfId="375"/>
    <cellStyle name="Accent1 7" xfId="376"/>
    <cellStyle name="Accent2" xfId="377"/>
    <cellStyle name="Accent2 2" xfId="378"/>
    <cellStyle name="Accent2 2 2" xfId="379"/>
    <cellStyle name="Accent2 2 3" xfId="380"/>
    <cellStyle name="Accent2 2 4" xfId="381"/>
    <cellStyle name="Accent2 2 5" xfId="382"/>
    <cellStyle name="Accent2 3" xfId="383"/>
    <cellStyle name="Accent2 4" xfId="384"/>
    <cellStyle name="Accent2 4 2" xfId="385"/>
    <cellStyle name="Accent2 5" xfId="386"/>
    <cellStyle name="Accent2 6" xfId="387"/>
    <cellStyle name="Accent2 7" xfId="388"/>
    <cellStyle name="Accent3" xfId="389"/>
    <cellStyle name="Accent3 2" xfId="390"/>
    <cellStyle name="Accent3 2 2" xfId="391"/>
    <cellStyle name="Accent3 2 3" xfId="392"/>
    <cellStyle name="Accent3 2 4" xfId="393"/>
    <cellStyle name="Accent3 2 5" xfId="394"/>
    <cellStyle name="Accent3 3" xfId="395"/>
    <cellStyle name="Accent3 4" xfId="396"/>
    <cellStyle name="Accent3 4 2" xfId="397"/>
    <cellStyle name="Accent3 5" xfId="398"/>
    <cellStyle name="Accent3 6" xfId="399"/>
    <cellStyle name="Accent3 7" xfId="400"/>
    <cellStyle name="Accent4" xfId="401"/>
    <cellStyle name="Accent4 2" xfId="402"/>
    <cellStyle name="Accent4 2 2" xfId="403"/>
    <cellStyle name="Accent4 2 3" xfId="404"/>
    <cellStyle name="Accent4 2 4" xfId="405"/>
    <cellStyle name="Accent4 2 5" xfId="406"/>
    <cellStyle name="Accent4 3" xfId="407"/>
    <cellStyle name="Accent4 4" xfId="408"/>
    <cellStyle name="Accent4 4 2" xfId="409"/>
    <cellStyle name="Accent4 5" xfId="410"/>
    <cellStyle name="Accent4 6" xfId="411"/>
    <cellStyle name="Accent4 7" xfId="412"/>
    <cellStyle name="Accent5" xfId="413"/>
    <cellStyle name="Accent5 2" xfId="414"/>
    <cellStyle name="Accent5 2 2" xfId="415"/>
    <cellStyle name="Accent5 2 3" xfId="416"/>
    <cellStyle name="Accent5 2 4" xfId="417"/>
    <cellStyle name="Accent5 2 5" xfId="418"/>
    <cellStyle name="Accent5 3" xfId="419"/>
    <cellStyle name="Accent5 4" xfId="420"/>
    <cellStyle name="Accent5 4 2" xfId="421"/>
    <cellStyle name="Accent5 5" xfId="422"/>
    <cellStyle name="Accent5 6" xfId="423"/>
    <cellStyle name="Accent5 7" xfId="424"/>
    <cellStyle name="Accent6" xfId="425"/>
    <cellStyle name="Accent6 2" xfId="426"/>
    <cellStyle name="Accent6 2 2" xfId="427"/>
    <cellStyle name="Accent6 2 3" xfId="428"/>
    <cellStyle name="Accent6 2 4" xfId="429"/>
    <cellStyle name="Accent6 2 5" xfId="430"/>
    <cellStyle name="Accent6 3" xfId="431"/>
    <cellStyle name="Accent6 4" xfId="432"/>
    <cellStyle name="Accent6 4 2" xfId="433"/>
    <cellStyle name="Accent6 5" xfId="434"/>
    <cellStyle name="Accent6 6" xfId="435"/>
    <cellStyle name="Accent6 7" xfId="436"/>
    <cellStyle name="Bad" xfId="437"/>
    <cellStyle name="Bad 2" xfId="438"/>
    <cellStyle name="Bad 2 2" xfId="439"/>
    <cellStyle name="Bad 2 3" xfId="440"/>
    <cellStyle name="Bad 2 4" xfId="441"/>
    <cellStyle name="Bad 2 5" xfId="442"/>
    <cellStyle name="Bad 3" xfId="443"/>
    <cellStyle name="Bad 4" xfId="444"/>
    <cellStyle name="Bad 4 2" xfId="445"/>
    <cellStyle name="Bad 5" xfId="446"/>
    <cellStyle name="Bad 6" xfId="447"/>
    <cellStyle name="Bad 7" xfId="448"/>
    <cellStyle name="Calculation" xfId="449"/>
    <cellStyle name="Calculation 2" xfId="450"/>
    <cellStyle name="Calculation 2 2" xfId="451"/>
    <cellStyle name="Calculation 2 3" xfId="452"/>
    <cellStyle name="Calculation 2 4" xfId="453"/>
    <cellStyle name="Calculation 2 5" xfId="454"/>
    <cellStyle name="Calculation 2_anakia II etapi.xls sm. defeqturi" xfId="455"/>
    <cellStyle name="Calculation 3" xfId="456"/>
    <cellStyle name="Calculation 4" xfId="457"/>
    <cellStyle name="Calculation 4 2" xfId="458"/>
    <cellStyle name="Calculation 4_anakia II etapi.xls sm. defeqturi" xfId="459"/>
    <cellStyle name="Calculation 5" xfId="460"/>
    <cellStyle name="Calculation 6" xfId="461"/>
    <cellStyle name="Calculation 7" xfId="462"/>
    <cellStyle name="Check Cell" xfId="463"/>
    <cellStyle name="Check Cell 2" xfId="464"/>
    <cellStyle name="Check Cell 2 2" xfId="465"/>
    <cellStyle name="Check Cell 2 3" xfId="466"/>
    <cellStyle name="Check Cell 2 4" xfId="467"/>
    <cellStyle name="Check Cell 2 5" xfId="468"/>
    <cellStyle name="Check Cell 2_anakia II etapi.xls sm. defeqturi" xfId="469"/>
    <cellStyle name="Check Cell 3" xfId="470"/>
    <cellStyle name="Check Cell 4" xfId="471"/>
    <cellStyle name="Check Cell 4 2" xfId="472"/>
    <cellStyle name="Check Cell 4_anakia II etapi.xls sm. defeqturi" xfId="473"/>
    <cellStyle name="Check Cell 5" xfId="474"/>
    <cellStyle name="Check Cell 6" xfId="475"/>
    <cellStyle name="Check Cell 7" xfId="476"/>
    <cellStyle name="Comma" xfId="901" builtinId="3"/>
    <cellStyle name="Comma 10" xfId="478"/>
    <cellStyle name="Comma 10 2" xfId="479"/>
    <cellStyle name="Comma 11" xfId="480"/>
    <cellStyle name="Comma 12" xfId="481"/>
    <cellStyle name="Comma 12 2" xfId="482"/>
    <cellStyle name="Comma 12 3" xfId="483"/>
    <cellStyle name="Comma 12 4" xfId="484"/>
    <cellStyle name="Comma 12 5" xfId="485"/>
    <cellStyle name="Comma 12 6" xfId="486"/>
    <cellStyle name="Comma 12 7" xfId="487"/>
    <cellStyle name="Comma 12 8" xfId="488"/>
    <cellStyle name="Comma 13" xfId="489"/>
    <cellStyle name="Comma 14" xfId="490"/>
    <cellStyle name="Comma 15" xfId="491"/>
    <cellStyle name="Comma 15 2" xfId="492"/>
    <cellStyle name="Comma 16" xfId="493"/>
    <cellStyle name="Comma 17" xfId="494"/>
    <cellStyle name="Comma 17 2" xfId="495"/>
    <cellStyle name="Comma 18" xfId="496"/>
    <cellStyle name="Comma 19" xfId="497"/>
    <cellStyle name="Comma 2" xfId="498"/>
    <cellStyle name="Comma 2 2" xfId="499"/>
    <cellStyle name="Comma 2 2 2" xfId="500"/>
    <cellStyle name="Comma 2 2 3" xfId="501"/>
    <cellStyle name="Comma 2 3" xfId="502"/>
    <cellStyle name="Comma 20" xfId="503"/>
    <cellStyle name="Comma 3" xfId="504"/>
    <cellStyle name="Comma 4" xfId="505"/>
    <cellStyle name="Comma 5" xfId="506"/>
    <cellStyle name="Comma 6" xfId="507"/>
    <cellStyle name="Comma 7" xfId="508"/>
    <cellStyle name="Comma 8" xfId="509"/>
    <cellStyle name="Comma 9" xfId="510"/>
    <cellStyle name="Explanatory Text" xfId="511"/>
    <cellStyle name="Explanatory Text 2" xfId="512"/>
    <cellStyle name="Explanatory Text 2 2" xfId="513"/>
    <cellStyle name="Explanatory Text 2 3" xfId="514"/>
    <cellStyle name="Explanatory Text 2 4" xfId="515"/>
    <cellStyle name="Explanatory Text 2 5" xfId="516"/>
    <cellStyle name="Explanatory Text 3" xfId="517"/>
    <cellStyle name="Explanatory Text 4" xfId="518"/>
    <cellStyle name="Explanatory Text 4 2" xfId="519"/>
    <cellStyle name="Explanatory Text 5" xfId="520"/>
    <cellStyle name="Explanatory Text 6" xfId="521"/>
    <cellStyle name="Explanatory Text 7" xfId="522"/>
    <cellStyle name="Good" xfId="523"/>
    <cellStyle name="Good 2" xfId="524"/>
    <cellStyle name="Good 2 2" xfId="525"/>
    <cellStyle name="Good 2 3" xfId="526"/>
    <cellStyle name="Good 2 4" xfId="527"/>
    <cellStyle name="Good 2 5" xfId="528"/>
    <cellStyle name="Good 3" xfId="529"/>
    <cellStyle name="Good 4" xfId="530"/>
    <cellStyle name="Good 4 2" xfId="531"/>
    <cellStyle name="Good 5" xfId="532"/>
    <cellStyle name="Good 6" xfId="533"/>
    <cellStyle name="Good 7" xfId="534"/>
    <cellStyle name="Heading 1" xfId="535"/>
    <cellStyle name="Heading 1 2" xfId="536"/>
    <cellStyle name="Heading 1 2 2" xfId="537"/>
    <cellStyle name="Heading 1 2 3" xfId="538"/>
    <cellStyle name="Heading 1 2 4" xfId="539"/>
    <cellStyle name="Heading 1 2 5" xfId="540"/>
    <cellStyle name="Heading 1 2_anakia II etapi.xls sm. defeqturi" xfId="541"/>
    <cellStyle name="Heading 1 3" xfId="542"/>
    <cellStyle name="Heading 1 4" xfId="543"/>
    <cellStyle name="Heading 1 4 2" xfId="544"/>
    <cellStyle name="Heading 1 4_anakia II etapi.xls sm. defeqturi" xfId="545"/>
    <cellStyle name="Heading 1 5" xfId="546"/>
    <cellStyle name="Heading 1 6" xfId="547"/>
    <cellStyle name="Heading 1 7" xfId="548"/>
    <cellStyle name="Heading 2" xfId="549"/>
    <cellStyle name="Heading 2 2" xfId="550"/>
    <cellStyle name="Heading 2 2 2" xfId="551"/>
    <cellStyle name="Heading 2 2 3" xfId="552"/>
    <cellStyle name="Heading 2 2 4" xfId="553"/>
    <cellStyle name="Heading 2 2 5" xfId="554"/>
    <cellStyle name="Heading 2 2_anakia II etapi.xls sm. defeqturi" xfId="555"/>
    <cellStyle name="Heading 2 3" xfId="556"/>
    <cellStyle name="Heading 2 4" xfId="557"/>
    <cellStyle name="Heading 2 4 2" xfId="558"/>
    <cellStyle name="Heading 2 4_anakia II etapi.xls sm. defeqturi" xfId="559"/>
    <cellStyle name="Heading 2 5" xfId="560"/>
    <cellStyle name="Heading 2 6" xfId="561"/>
    <cellStyle name="Heading 2 7" xfId="562"/>
    <cellStyle name="Heading 3" xfId="563"/>
    <cellStyle name="Heading 3 2" xfId="564"/>
    <cellStyle name="Heading 3 2 2" xfId="565"/>
    <cellStyle name="Heading 3 2 3" xfId="566"/>
    <cellStyle name="Heading 3 2 4" xfId="567"/>
    <cellStyle name="Heading 3 2 5" xfId="568"/>
    <cellStyle name="Heading 3 2_anakia II etapi.xls sm. defeqturi" xfId="569"/>
    <cellStyle name="Heading 3 3" xfId="570"/>
    <cellStyle name="Heading 3 4" xfId="571"/>
    <cellStyle name="Heading 3 4 2" xfId="572"/>
    <cellStyle name="Heading 3 4_anakia II etapi.xls sm. defeqturi" xfId="573"/>
    <cellStyle name="Heading 3 5" xfId="574"/>
    <cellStyle name="Heading 3 6" xfId="575"/>
    <cellStyle name="Heading 3 7" xfId="576"/>
    <cellStyle name="Heading 4" xfId="577"/>
    <cellStyle name="Heading 4 2" xfId="578"/>
    <cellStyle name="Heading 4 2 2" xfId="579"/>
    <cellStyle name="Heading 4 2 3" xfId="580"/>
    <cellStyle name="Heading 4 2 4" xfId="581"/>
    <cellStyle name="Heading 4 2 5" xfId="582"/>
    <cellStyle name="Heading 4 3" xfId="583"/>
    <cellStyle name="Heading 4 4" xfId="584"/>
    <cellStyle name="Heading 4 4 2" xfId="585"/>
    <cellStyle name="Heading 4 5" xfId="586"/>
    <cellStyle name="Heading 4 6" xfId="587"/>
    <cellStyle name="Heading 4 7" xfId="588"/>
    <cellStyle name="Hyperlink 2" xfId="589"/>
    <cellStyle name="Input" xfId="590"/>
    <cellStyle name="Input 2" xfId="591"/>
    <cellStyle name="Input 2 2" xfId="592"/>
    <cellStyle name="Input 2 3" xfId="593"/>
    <cellStyle name="Input 2 4" xfId="594"/>
    <cellStyle name="Input 2 5" xfId="595"/>
    <cellStyle name="Input 2_anakia II etapi.xls sm. defeqturi" xfId="596"/>
    <cellStyle name="Input 3" xfId="597"/>
    <cellStyle name="Input 4" xfId="598"/>
    <cellStyle name="Input 4 2" xfId="599"/>
    <cellStyle name="Input 4_anakia II etapi.xls sm. defeqturi" xfId="600"/>
    <cellStyle name="Input 5" xfId="601"/>
    <cellStyle name="Input 6" xfId="602"/>
    <cellStyle name="Input 7" xfId="603"/>
    <cellStyle name="Linked Cell" xfId="604"/>
    <cellStyle name="Linked Cell 2" xfId="605"/>
    <cellStyle name="Linked Cell 2 2" xfId="606"/>
    <cellStyle name="Linked Cell 2 3" xfId="607"/>
    <cellStyle name="Linked Cell 2 4" xfId="608"/>
    <cellStyle name="Linked Cell 2 5" xfId="609"/>
    <cellStyle name="Linked Cell 2_anakia II etapi.xls sm. defeqturi" xfId="610"/>
    <cellStyle name="Linked Cell 3" xfId="611"/>
    <cellStyle name="Linked Cell 4" xfId="612"/>
    <cellStyle name="Linked Cell 4 2" xfId="613"/>
    <cellStyle name="Linked Cell 4_anakia II etapi.xls sm. defeqturi" xfId="614"/>
    <cellStyle name="Linked Cell 5" xfId="615"/>
    <cellStyle name="Linked Cell 6" xfId="616"/>
    <cellStyle name="Linked Cell 7" xfId="617"/>
    <cellStyle name="Neutral" xfId="618"/>
    <cellStyle name="Neutral 2" xfId="619"/>
    <cellStyle name="Neutral 2 2" xfId="620"/>
    <cellStyle name="Neutral 2 3" xfId="621"/>
    <cellStyle name="Neutral 2 4" xfId="622"/>
    <cellStyle name="Neutral 2 5" xfId="623"/>
    <cellStyle name="Neutral 3" xfId="624"/>
    <cellStyle name="Neutral 4" xfId="625"/>
    <cellStyle name="Neutral 4 2" xfId="626"/>
    <cellStyle name="Neutral 5" xfId="627"/>
    <cellStyle name="Neutral 6" xfId="628"/>
    <cellStyle name="Neutral 7" xfId="629"/>
    <cellStyle name="Normal" xfId="0" builtinId="0"/>
    <cellStyle name="Normal 10" xfId="630"/>
    <cellStyle name="Normal 10 2" xfId="631"/>
    <cellStyle name="Normal 11" xfId="632"/>
    <cellStyle name="Normal 11 2" xfId="633"/>
    <cellStyle name="Normal 11 2 2" xfId="634"/>
    <cellStyle name="Normal 11 3" xfId="635"/>
    <cellStyle name="Normal 11_GAZI-2010" xfId="636"/>
    <cellStyle name="Normal 12" xfId="637"/>
    <cellStyle name="Normal 12 2" xfId="638"/>
    <cellStyle name="Normal 12_gazis gare qseli" xfId="639"/>
    <cellStyle name="Normal 13" xfId="640"/>
    <cellStyle name="Normal 13 2" xfId="641"/>
    <cellStyle name="Normal 13 2 2" xfId="642"/>
    <cellStyle name="Normal 13 2 3" xfId="643"/>
    <cellStyle name="Normal 13 3" xfId="644"/>
    <cellStyle name="Normal 13 3 2" xfId="645"/>
    <cellStyle name="Normal 13 3 3" xfId="646"/>
    <cellStyle name="Normal 13 3 3 2" xfId="647"/>
    <cellStyle name="Normal 13 3 3 2 2" xfId="908"/>
    <cellStyle name="Normal 13 3 3 3" xfId="648"/>
    <cellStyle name="Normal 13 3 4" xfId="649"/>
    <cellStyle name="Normal 13 3 5" xfId="650"/>
    <cellStyle name="Normal 13 4" xfId="651"/>
    <cellStyle name="Normal 13 5" xfId="652"/>
    <cellStyle name="Normal 13 5 2" xfId="653"/>
    <cellStyle name="Normal 13 5 3" xfId="654"/>
    <cellStyle name="Normal 13 5 3 2" xfId="655"/>
    <cellStyle name="Normal 13 5 3 3" xfId="656"/>
    <cellStyle name="Normal 13 5 3 4" xfId="657"/>
    <cellStyle name="Normal 13 5 4" xfId="658"/>
    <cellStyle name="Normal 13 6" xfId="659"/>
    <cellStyle name="Normal 13 7" xfId="660"/>
    <cellStyle name="Normal 13 8" xfId="661"/>
    <cellStyle name="Normal 13_# 6-1 27.01.12 - копия (1)" xfId="662"/>
    <cellStyle name="Normal 14" xfId="663"/>
    <cellStyle name="Normal 14 2" xfId="664"/>
    <cellStyle name="Normal 14 3" xfId="665"/>
    <cellStyle name="Normal 14 3 2" xfId="666"/>
    <cellStyle name="Normal 14 4" xfId="667"/>
    <cellStyle name="Normal 14 5" xfId="668"/>
    <cellStyle name="Normal 14 6" xfId="669"/>
    <cellStyle name="Normal 14_anakia II etapi.xls sm. defeqturi" xfId="670"/>
    <cellStyle name="Normal 15" xfId="671"/>
    <cellStyle name="Normal 16" xfId="672"/>
    <cellStyle name="Normal 16 2" xfId="673"/>
    <cellStyle name="Normal 16 3" xfId="674"/>
    <cellStyle name="Normal 16 4" xfId="675"/>
    <cellStyle name="Normal 16_# 6-1 27.01.12 - копия (1)" xfId="676"/>
    <cellStyle name="Normal 17" xfId="677"/>
    <cellStyle name="Normal 18" xfId="678"/>
    <cellStyle name="Normal 19" xfId="679"/>
    <cellStyle name="Normal 2" xfId="3"/>
    <cellStyle name="Normal 2 10" xfId="681"/>
    <cellStyle name="Normal 2 11" xfId="682"/>
    <cellStyle name="Normal 2 12" xfId="680"/>
    <cellStyle name="Normal 2 2" xfId="683"/>
    <cellStyle name="Normal 2 2 2" xfId="684"/>
    <cellStyle name="Normal 2 2 3" xfId="685"/>
    <cellStyle name="Normal 2 2 4" xfId="686"/>
    <cellStyle name="Normal 2 2 5" xfId="687"/>
    <cellStyle name="Normal 2 2 6" xfId="688"/>
    <cellStyle name="Normal 2 2 7" xfId="689"/>
    <cellStyle name="Normal 2 2_2D4CD000" xfId="690"/>
    <cellStyle name="Normal 2 3" xfId="691"/>
    <cellStyle name="Normal 2 4" xfId="692"/>
    <cellStyle name="Normal 2 5" xfId="693"/>
    <cellStyle name="Normal 2 6" xfId="694"/>
    <cellStyle name="Normal 2 7" xfId="695"/>
    <cellStyle name="Normal 2 7 2" xfId="696"/>
    <cellStyle name="Normal 2 7 3" xfId="697"/>
    <cellStyle name="Normal 2 7_anakia II etapi.xls sm. defeqturi" xfId="698"/>
    <cellStyle name="Normal 2 8" xfId="699"/>
    <cellStyle name="Normal 2 9" xfId="700"/>
    <cellStyle name="Normal 2_anakia II etapi.xls sm. defeqturi" xfId="701"/>
    <cellStyle name="Normal 20" xfId="702"/>
    <cellStyle name="Normal 21" xfId="703"/>
    <cellStyle name="Normal 22" xfId="704"/>
    <cellStyle name="Normal 23" xfId="705"/>
    <cellStyle name="Normal 24" xfId="706"/>
    <cellStyle name="Normal 25" xfId="707"/>
    <cellStyle name="Normal 26" xfId="708"/>
    <cellStyle name="Normal 27" xfId="709"/>
    <cellStyle name="Normal 28" xfId="710"/>
    <cellStyle name="Normal 29" xfId="711"/>
    <cellStyle name="Normal 29 2" xfId="712"/>
    <cellStyle name="Normal 3" xfId="1"/>
    <cellStyle name="Normal 3 2" xfId="713"/>
    <cellStyle name="Normal 3 2 2" xfId="714"/>
    <cellStyle name="Normal 3 2_anakia II etapi.xls sm. defeqturi" xfId="715"/>
    <cellStyle name="Normal 3 3" xfId="716"/>
    <cellStyle name="Normal 30" xfId="717"/>
    <cellStyle name="Normal 30 2" xfId="718"/>
    <cellStyle name="Normal 31" xfId="719"/>
    <cellStyle name="Normal 32" xfId="720"/>
    <cellStyle name="Normal 32 2" xfId="721"/>
    <cellStyle name="Normal 32 2 2" xfId="722"/>
    <cellStyle name="Normal 32 3" xfId="723"/>
    <cellStyle name="Normal 32 3 2" xfId="724"/>
    <cellStyle name="Normal 32 3 2 2" xfId="725"/>
    <cellStyle name="Normal 32 4" xfId="726"/>
    <cellStyle name="Normal 32_# 6-1 27.01.12 - копия (1)" xfId="727"/>
    <cellStyle name="Normal 33" xfId="728"/>
    <cellStyle name="Normal 33 2" xfId="729"/>
    <cellStyle name="Normal 34" xfId="730"/>
    <cellStyle name="Normal 35" xfId="731"/>
    <cellStyle name="Normal 35 2" xfId="732"/>
    <cellStyle name="Normal 35 3" xfId="733"/>
    <cellStyle name="Normal 36" xfId="734"/>
    <cellStyle name="Normal 36 2" xfId="735"/>
    <cellStyle name="Normal 36 2 2" xfId="736"/>
    <cellStyle name="Normal 36 2 2 2" xfId="902"/>
    <cellStyle name="Normal 36 2 3" xfId="737"/>
    <cellStyle name="Normal 36 2 4" xfId="738"/>
    <cellStyle name="Normal 36 3" xfId="739"/>
    <cellStyle name="Normal 36 4" xfId="740"/>
    <cellStyle name="Normal 37" xfId="741"/>
    <cellStyle name="Normal 37 2" xfId="742"/>
    <cellStyle name="Normal 38" xfId="743"/>
    <cellStyle name="Normal 38 2" xfId="744"/>
    <cellStyle name="Normal 38 2 2" xfId="745"/>
    <cellStyle name="Normal 38 3" xfId="746"/>
    <cellStyle name="Normal 38 3 2" xfId="747"/>
    <cellStyle name="Normal 38 4" xfId="748"/>
    <cellStyle name="Normal 39" xfId="749"/>
    <cellStyle name="Normal 39 2" xfId="750"/>
    <cellStyle name="Normal 4" xfId="751"/>
    <cellStyle name="Normal 4 2" xfId="752"/>
    <cellStyle name="Normal 4 3" xfId="753"/>
    <cellStyle name="Normal 40" xfId="754"/>
    <cellStyle name="Normal 40 2" xfId="755"/>
    <cellStyle name="Normal 40 3" xfId="756"/>
    <cellStyle name="Normal 41" xfId="757"/>
    <cellStyle name="Normal 41 2" xfId="758"/>
    <cellStyle name="Normal 42" xfId="759"/>
    <cellStyle name="Normal 42 2" xfId="760"/>
    <cellStyle name="Normal 42 3" xfId="761"/>
    <cellStyle name="Normal 43" xfId="762"/>
    <cellStyle name="Normal 44" xfId="763"/>
    <cellStyle name="Normal 45" xfId="764"/>
    <cellStyle name="Normal 46" xfId="765"/>
    <cellStyle name="Normal 47" xfId="766"/>
    <cellStyle name="Normal 47 2" xfId="767"/>
    <cellStyle name="Normal 47 3" xfId="768"/>
    <cellStyle name="Normal 47 3 2" xfId="769"/>
    <cellStyle name="Normal 47 3 3" xfId="770"/>
    <cellStyle name="Normal 47 4" xfId="771"/>
    <cellStyle name="Normal 5" xfId="772"/>
    <cellStyle name="Normal 5 2" xfId="773"/>
    <cellStyle name="Normal 5 2 2" xfId="774"/>
    <cellStyle name="Normal 5 3" xfId="775"/>
    <cellStyle name="Normal 5 4" xfId="776"/>
    <cellStyle name="Normal 5 4 2" xfId="777"/>
    <cellStyle name="Normal 5 4 3" xfId="778"/>
    <cellStyle name="Normal 5 5" xfId="779"/>
    <cellStyle name="Normal 5_Copy of SAN2010" xfId="780"/>
    <cellStyle name="Normal 50" xfId="906"/>
    <cellStyle name="Normal 6" xfId="781"/>
    <cellStyle name="Normal 7" xfId="782"/>
    <cellStyle name="Normal 75" xfId="783"/>
    <cellStyle name="Normal 8" xfId="784"/>
    <cellStyle name="Normal 8 2" xfId="785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anakia II etapi.xls sm. defeqturi" xfId="792"/>
    <cellStyle name="Normal 9_2D4CD000" xfId="793"/>
    <cellStyle name="Normal_Book1 2" xfId="909"/>
    <cellStyle name="Normal_Book1_axalqalaqis skola " xfId="905"/>
    <cellStyle name="Normal_gare wyalsadfenigagarini 10" xfId="899"/>
    <cellStyle name="Normal_gare wyalsadfenigagarini 2 2" xfId="900"/>
    <cellStyle name="Normal_gare wyalsadfenigagarini_SUSTI DENEBI_axalqalaqis skola " xfId="904"/>
    <cellStyle name="Normal_qavtarazis mravalfunqciuri kompleqsis xarjTaRricxva" xfId="907"/>
    <cellStyle name="Normal_SUSTI DENEBI" xfId="903"/>
    <cellStyle name="Note" xfId="794"/>
    <cellStyle name="Note 2" xfId="795"/>
    <cellStyle name="Note 2 2" xfId="796"/>
    <cellStyle name="Note 2 3" xfId="797"/>
    <cellStyle name="Note 2 4" xfId="798"/>
    <cellStyle name="Note 2 5" xfId="799"/>
    <cellStyle name="Note 2_anakia II etapi.xls sm. defeqturi" xfId="800"/>
    <cellStyle name="Note 3" xfId="801"/>
    <cellStyle name="Note 4" xfId="802"/>
    <cellStyle name="Note 4 2" xfId="803"/>
    <cellStyle name="Note 4_anakia II etapi.xls sm. defeqturi" xfId="804"/>
    <cellStyle name="Note 5" xfId="805"/>
    <cellStyle name="Note 6" xfId="806"/>
    <cellStyle name="Note 7" xfId="807"/>
    <cellStyle name="Output" xfId="808"/>
    <cellStyle name="Output 2" xfId="809"/>
    <cellStyle name="Output 2 2" xfId="810"/>
    <cellStyle name="Output 2 3" xfId="811"/>
    <cellStyle name="Output 2 4" xfId="812"/>
    <cellStyle name="Output 2 5" xfId="813"/>
    <cellStyle name="Output 2_anakia II etapi.xls sm. defeqturi" xfId="814"/>
    <cellStyle name="Output 3" xfId="815"/>
    <cellStyle name="Output 4" xfId="816"/>
    <cellStyle name="Output 4 2" xfId="817"/>
    <cellStyle name="Output 4_anakia II etapi.xls sm. defeqturi" xfId="818"/>
    <cellStyle name="Output 5" xfId="819"/>
    <cellStyle name="Output 6" xfId="820"/>
    <cellStyle name="Output 7" xfId="821"/>
    <cellStyle name="Percent 2" xfId="822"/>
    <cellStyle name="Percent 3" xfId="823"/>
    <cellStyle name="Percent 3 2" xfId="824"/>
    <cellStyle name="Percent 4" xfId="825"/>
    <cellStyle name="Percent 5" xfId="826"/>
    <cellStyle name="Percent 6" xfId="827"/>
    <cellStyle name="Style 1" xfId="828"/>
    <cellStyle name="Title" xfId="829"/>
    <cellStyle name="Title 2" xfId="830"/>
    <cellStyle name="Title 2 2" xfId="831"/>
    <cellStyle name="Title 2 3" xfId="832"/>
    <cellStyle name="Title 2 4" xfId="833"/>
    <cellStyle name="Title 2 5" xfId="834"/>
    <cellStyle name="Title 3" xfId="835"/>
    <cellStyle name="Title 4" xfId="836"/>
    <cellStyle name="Title 4 2" xfId="837"/>
    <cellStyle name="Title 5" xfId="838"/>
    <cellStyle name="Title 6" xfId="839"/>
    <cellStyle name="Title 7" xfId="840"/>
    <cellStyle name="Total" xfId="841"/>
    <cellStyle name="Total 2" xfId="842"/>
    <cellStyle name="Total 2 2" xfId="843"/>
    <cellStyle name="Total 2 3" xfId="844"/>
    <cellStyle name="Total 2 4" xfId="845"/>
    <cellStyle name="Total 2 5" xfId="846"/>
    <cellStyle name="Total 2_anakia II etapi.xls sm. defeqturi" xfId="847"/>
    <cellStyle name="Total 3" xfId="848"/>
    <cellStyle name="Total 4" xfId="849"/>
    <cellStyle name="Total 4 2" xfId="850"/>
    <cellStyle name="Total 4_anakia II etapi.xls sm. defeqturi" xfId="851"/>
    <cellStyle name="Total 5" xfId="852"/>
    <cellStyle name="Total 6" xfId="853"/>
    <cellStyle name="Total 7" xfId="854"/>
    <cellStyle name="Warning Text" xfId="855"/>
    <cellStyle name="Warning Text 2" xfId="856"/>
    <cellStyle name="Warning Text 2 2" xfId="857"/>
    <cellStyle name="Warning Text 2 3" xfId="858"/>
    <cellStyle name="Warning Text 2 4" xfId="859"/>
    <cellStyle name="Warning Text 2 5" xfId="860"/>
    <cellStyle name="Warning Text 3" xfId="861"/>
    <cellStyle name="Warning Text 4" xfId="862"/>
    <cellStyle name="Warning Text 4 2" xfId="863"/>
    <cellStyle name="Warning Text 5" xfId="864"/>
    <cellStyle name="Warning Text 6" xfId="865"/>
    <cellStyle name="Warning Text 7" xfId="866"/>
    <cellStyle name="Обычный 10" xfId="867"/>
    <cellStyle name="Обычный 10 2" xfId="868"/>
    <cellStyle name="Обычный 11" xfId="4"/>
    <cellStyle name="Обычный 2" xfId="2"/>
    <cellStyle name="Обычный 2 2" xfId="869"/>
    <cellStyle name="Обычный 3" xfId="870"/>
    <cellStyle name="Обычный 3 2" xfId="871"/>
    <cellStyle name="Обычный 3 3" xfId="872"/>
    <cellStyle name="Обычный 4" xfId="873"/>
    <cellStyle name="Обычный 4 2" xfId="874"/>
    <cellStyle name="Обычный 4 3" xfId="875"/>
    <cellStyle name="Обычный 4 4" xfId="876"/>
    <cellStyle name="Обычный 5" xfId="877"/>
    <cellStyle name="Обычный 5 2" xfId="878"/>
    <cellStyle name="Обычный 5 2 2" xfId="879"/>
    <cellStyle name="Обычный 5 3" xfId="880"/>
    <cellStyle name="Обычный 5 4" xfId="881"/>
    <cellStyle name="Обычный 5 4 2" xfId="882"/>
    <cellStyle name="Обычный 5 5" xfId="883"/>
    <cellStyle name="Обычный 6" xfId="884"/>
    <cellStyle name="Обычный 6 2" xfId="885"/>
    <cellStyle name="Обычный 7" xfId="886"/>
    <cellStyle name="Обычный 8" xfId="887"/>
    <cellStyle name="Обычный 8 2" xfId="888"/>
    <cellStyle name="Обычный 9" xfId="889"/>
    <cellStyle name="Обычный_Лист1" xfId="910"/>
    <cellStyle name="Плохой 2" xfId="890"/>
    <cellStyle name="Процентный 2" xfId="891"/>
    <cellStyle name="Процентный 3" xfId="892"/>
    <cellStyle name="Процентный 3 2" xfId="893"/>
    <cellStyle name="Финансовый 2" xfId="894"/>
    <cellStyle name="Финансовый 2 2" xfId="895"/>
    <cellStyle name="Финансовый 3" xfId="896"/>
    <cellStyle name="Финансовый 4" xfId="897"/>
    <cellStyle name="Финансовый 5" xfId="898"/>
    <cellStyle name="Финансовый 6" xfId="477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FF99FF"/>
      <color rgb="FFFFCCFF"/>
      <color rgb="FFCCCC00"/>
      <color rgb="FFFF66FF"/>
      <color rgb="FF00FF99"/>
      <color rgb="FF6666FF"/>
      <color rgb="FF9900FF"/>
      <color rgb="FFFED2A2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I27"/>
  <sheetViews>
    <sheetView workbookViewId="0">
      <selection activeCell="A26" sqref="A26:XFD26"/>
    </sheetView>
  </sheetViews>
  <sheetFormatPr defaultRowHeight="15" x14ac:dyDescent="0.25"/>
  <cols>
    <col min="2" max="2" width="22.42578125" customWidth="1"/>
    <col min="3" max="3" width="36.5703125" customWidth="1"/>
    <col min="4" max="7" width="14" customWidth="1"/>
    <col min="8" max="8" width="19" customWidth="1"/>
  </cols>
  <sheetData>
    <row r="1" spans="1:7" s="787" customFormat="1" ht="15.75" x14ac:dyDescent="0.25">
      <c r="A1" s="867" t="s">
        <v>926</v>
      </c>
      <c r="B1" s="867"/>
      <c r="C1" s="867"/>
      <c r="D1" s="867"/>
      <c r="E1" s="867"/>
      <c r="F1" s="867"/>
      <c r="G1" s="867"/>
    </row>
    <row r="2" spans="1:7" s="787" customFormat="1" ht="15.75" x14ac:dyDescent="0.25">
      <c r="A2" s="11"/>
      <c r="B2" s="11"/>
      <c r="C2" s="11"/>
      <c r="D2" s="11"/>
      <c r="E2" s="11"/>
      <c r="F2" s="11"/>
      <c r="G2" s="11"/>
    </row>
    <row r="3" spans="1:7" s="787" customFormat="1" ht="42" customHeight="1" x14ac:dyDescent="0.25">
      <c r="A3" s="867" t="s">
        <v>978</v>
      </c>
      <c r="B3" s="867"/>
      <c r="C3" s="867"/>
      <c r="D3" s="867"/>
      <c r="E3" s="867"/>
      <c r="F3" s="867"/>
      <c r="G3" s="867"/>
    </row>
    <row r="4" spans="1:7" s="787" customFormat="1" ht="15.75" x14ac:dyDescent="0.25">
      <c r="A4" s="11"/>
      <c r="B4" s="11"/>
      <c r="C4" s="11"/>
      <c r="D4" s="11"/>
      <c r="E4" s="11"/>
      <c r="F4" s="11"/>
      <c r="G4" s="11"/>
    </row>
    <row r="5" spans="1:7" s="787" customFormat="1" ht="23.25" customHeight="1" x14ac:dyDescent="0.25">
      <c r="A5" s="868" t="s">
        <v>0</v>
      </c>
      <c r="B5" s="868" t="s">
        <v>927</v>
      </c>
      <c r="C5" s="868" t="s">
        <v>928</v>
      </c>
      <c r="D5" s="868" t="s">
        <v>929</v>
      </c>
      <c r="E5" s="868"/>
      <c r="F5" s="868"/>
      <c r="G5" s="868"/>
    </row>
    <row r="6" spans="1:7" s="787" customFormat="1" ht="31.5" x14ac:dyDescent="0.25">
      <c r="A6" s="868"/>
      <c r="B6" s="868"/>
      <c r="C6" s="868"/>
      <c r="D6" s="19" t="s">
        <v>930</v>
      </c>
      <c r="E6" s="19" t="s">
        <v>931</v>
      </c>
      <c r="F6" s="19" t="s">
        <v>932</v>
      </c>
      <c r="G6" s="19" t="s">
        <v>933</v>
      </c>
    </row>
    <row r="7" spans="1:7" s="787" customFormat="1" ht="15.75" x14ac:dyDescent="0.2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s="787" customFormat="1" ht="31.5" x14ac:dyDescent="0.25">
      <c r="A8" s="789" t="s">
        <v>11</v>
      </c>
      <c r="B8" s="789"/>
      <c r="C8" s="789" t="s">
        <v>934</v>
      </c>
      <c r="D8" s="789"/>
      <c r="E8" s="789"/>
      <c r="F8" s="789"/>
      <c r="G8" s="789"/>
    </row>
    <row r="9" spans="1:7" s="787" customFormat="1" ht="15.75" x14ac:dyDescent="0.25">
      <c r="A9" s="19">
        <v>1</v>
      </c>
      <c r="B9" s="19" t="s">
        <v>935</v>
      </c>
      <c r="C9" s="282" t="s">
        <v>33</v>
      </c>
      <c r="D9" s="26">
        <f>'#1-1'!M163</f>
        <v>0</v>
      </c>
      <c r="E9" s="26"/>
      <c r="F9" s="26"/>
      <c r="G9" s="26">
        <f>D9</f>
        <v>0</v>
      </c>
    </row>
    <row r="10" spans="1:7" s="787" customFormat="1" ht="15.75" x14ac:dyDescent="0.25">
      <c r="A10" s="19">
        <v>2</v>
      </c>
      <c r="B10" s="19" t="s">
        <v>936</v>
      </c>
      <c r="C10" s="282" t="s">
        <v>937</v>
      </c>
      <c r="D10" s="26">
        <f>'#1-2'!M89</f>
        <v>0</v>
      </c>
      <c r="E10" s="26"/>
      <c r="F10" s="26"/>
      <c r="G10" s="26">
        <f t="shared" ref="G10:G11" si="0">D10</f>
        <v>0</v>
      </c>
    </row>
    <row r="11" spans="1:7" s="787" customFormat="1" ht="15.75" x14ac:dyDescent="0.25">
      <c r="A11" s="19">
        <v>3</v>
      </c>
      <c r="B11" s="19" t="s">
        <v>938</v>
      </c>
      <c r="C11" s="282" t="s">
        <v>240</v>
      </c>
      <c r="D11" s="792">
        <f>'#1-3'!M22</f>
        <v>0</v>
      </c>
      <c r="E11" s="26"/>
      <c r="F11" s="26"/>
      <c r="G11" s="26">
        <f t="shared" si="0"/>
        <v>0</v>
      </c>
    </row>
    <row r="12" spans="1:7" s="787" customFormat="1" ht="15.75" x14ac:dyDescent="0.25">
      <c r="A12" s="19"/>
      <c r="B12" s="19"/>
      <c r="C12" s="282"/>
      <c r="D12" s="202"/>
      <c r="E12" s="26"/>
      <c r="F12" s="26"/>
      <c r="G12" s="26"/>
    </row>
    <row r="13" spans="1:7" s="787" customFormat="1" ht="63" x14ac:dyDescent="0.25">
      <c r="A13" s="789" t="s">
        <v>430</v>
      </c>
      <c r="B13" s="789"/>
      <c r="C13" s="789" t="s">
        <v>939</v>
      </c>
      <c r="D13" s="288"/>
      <c r="E13" s="288"/>
      <c r="F13" s="288"/>
      <c r="G13" s="288"/>
    </row>
    <row r="14" spans="1:7" s="787" customFormat="1" ht="15.75" x14ac:dyDescent="0.25">
      <c r="A14" s="19">
        <v>4</v>
      </c>
      <c r="B14" s="19" t="s">
        <v>940</v>
      </c>
      <c r="C14" s="282" t="s">
        <v>33</v>
      </c>
      <c r="D14" s="26">
        <f>'#2-1'!M283</f>
        <v>0</v>
      </c>
      <c r="E14" s="26"/>
      <c r="F14" s="26"/>
      <c r="G14" s="26">
        <f>D14</f>
        <v>0</v>
      </c>
    </row>
    <row r="15" spans="1:7" s="787" customFormat="1" ht="31.5" x14ac:dyDescent="0.25">
      <c r="A15" s="19">
        <v>5</v>
      </c>
      <c r="B15" s="19" t="s">
        <v>941</v>
      </c>
      <c r="C15" s="282" t="s">
        <v>942</v>
      </c>
      <c r="D15" s="202">
        <f>'#2-2'!M63</f>
        <v>0</v>
      </c>
      <c r="E15" s="26"/>
      <c r="F15" s="26"/>
      <c r="G15" s="26">
        <f>D15</f>
        <v>0</v>
      </c>
    </row>
    <row r="16" spans="1:7" s="787" customFormat="1" ht="47.25" x14ac:dyDescent="0.25">
      <c r="A16" s="19">
        <v>6</v>
      </c>
      <c r="B16" s="19" t="s">
        <v>943</v>
      </c>
      <c r="C16" s="282" t="s">
        <v>469</v>
      </c>
      <c r="D16" s="26">
        <f>'#2-3'!M224</f>
        <v>0</v>
      </c>
      <c r="E16" s="26"/>
      <c r="F16" s="26"/>
      <c r="G16" s="26">
        <f t="shared" ref="G16" si="1">D16</f>
        <v>0</v>
      </c>
    </row>
    <row r="17" spans="1:9" s="787" customFormat="1" ht="15.75" x14ac:dyDescent="0.25">
      <c r="A17" s="19"/>
      <c r="B17" s="19"/>
      <c r="C17" s="19"/>
      <c r="D17" s="26"/>
      <c r="E17" s="26"/>
      <c r="F17" s="26"/>
      <c r="G17" s="26"/>
    </row>
    <row r="18" spans="1:9" s="787" customFormat="1" ht="15.75" x14ac:dyDescent="0.25">
      <c r="A18" s="789" t="s">
        <v>509</v>
      </c>
      <c r="B18" s="789"/>
      <c r="C18" s="789" t="s">
        <v>944</v>
      </c>
      <c r="D18" s="288"/>
      <c r="E18" s="288"/>
      <c r="F18" s="288"/>
      <c r="G18" s="288"/>
    </row>
    <row r="19" spans="1:9" s="787" customFormat="1" ht="15.75" x14ac:dyDescent="0.25">
      <c r="A19" s="19">
        <v>7</v>
      </c>
      <c r="B19" s="19" t="s">
        <v>923</v>
      </c>
      <c r="C19" s="282" t="s">
        <v>33</v>
      </c>
      <c r="D19" s="33">
        <f>'#3-1'!M387</f>
        <v>0</v>
      </c>
      <c r="E19" s="26"/>
      <c r="F19" s="26"/>
      <c r="G19" s="26">
        <f t="shared" ref="G19:G22" si="2">D19</f>
        <v>0</v>
      </c>
      <c r="I19" s="788"/>
    </row>
    <row r="20" spans="1:9" s="787" customFormat="1" ht="31.5" x14ac:dyDescent="0.25">
      <c r="A20" s="19">
        <v>8</v>
      </c>
      <c r="B20" s="19" t="s">
        <v>945</v>
      </c>
      <c r="C20" s="282" t="s">
        <v>946</v>
      </c>
      <c r="D20" s="33">
        <f>'#3-2'!M110</f>
        <v>0</v>
      </c>
      <c r="E20" s="26"/>
      <c r="F20" s="26"/>
      <c r="G20" s="26">
        <f t="shared" si="2"/>
        <v>0</v>
      </c>
    </row>
    <row r="21" spans="1:9" s="787" customFormat="1" ht="31.5" x14ac:dyDescent="0.25">
      <c r="A21" s="19">
        <v>9</v>
      </c>
      <c r="B21" s="19" t="s">
        <v>924</v>
      </c>
      <c r="C21" s="282" t="s">
        <v>876</v>
      </c>
      <c r="D21" s="33">
        <f>'#3-3'!M71</f>
        <v>0</v>
      </c>
      <c r="E21" s="26"/>
      <c r="F21" s="26"/>
      <c r="G21" s="26">
        <f t="shared" si="2"/>
        <v>0</v>
      </c>
    </row>
    <row r="22" spans="1:9" s="787" customFormat="1" ht="15.75" x14ac:dyDescent="0.25">
      <c r="A22" s="19">
        <v>10</v>
      </c>
      <c r="B22" s="19" t="s">
        <v>925</v>
      </c>
      <c r="C22" s="282" t="s">
        <v>240</v>
      </c>
      <c r="D22" s="33">
        <f>'#3-4'!$M$51</f>
        <v>0</v>
      </c>
      <c r="E22" s="26"/>
      <c r="F22" s="26"/>
      <c r="G22" s="26">
        <f t="shared" si="2"/>
        <v>0</v>
      </c>
    </row>
    <row r="23" spans="1:9" s="787" customFormat="1" ht="15.75" x14ac:dyDescent="0.25">
      <c r="A23" s="19"/>
      <c r="B23" s="19"/>
      <c r="C23" s="19"/>
      <c r="D23" s="26"/>
      <c r="E23" s="26"/>
      <c r="F23" s="26"/>
      <c r="G23" s="26"/>
    </row>
    <row r="24" spans="1:9" s="787" customFormat="1" ht="15.75" x14ac:dyDescent="0.25">
      <c r="A24" s="790"/>
      <c r="B24" s="790"/>
      <c r="C24" s="32" t="s">
        <v>23</v>
      </c>
      <c r="D24" s="791"/>
      <c r="E24" s="791"/>
      <c r="F24" s="791"/>
      <c r="G24" s="791">
        <f t="shared" ref="G24" si="3">SUM(G8:G23)</f>
        <v>0</v>
      </c>
    </row>
    <row r="25" spans="1:9" s="787" customFormat="1" ht="15.75" x14ac:dyDescent="0.25">
      <c r="A25" s="11"/>
      <c r="B25" s="11"/>
      <c r="C25" s="11"/>
      <c r="D25" s="11"/>
      <c r="E25" s="11"/>
      <c r="F25" s="11"/>
      <c r="G25" s="11"/>
    </row>
    <row r="26" spans="1:9" s="787" customFormat="1" ht="16.5" x14ac:dyDescent="0.25">
      <c r="C26" s="4"/>
      <c r="I26" s="788"/>
    </row>
    <row r="27" spans="1:9" s="787" customFormat="1" ht="16.5" x14ac:dyDescent="0.25">
      <c r="B27" s="866"/>
      <c r="C27" s="866"/>
    </row>
  </sheetData>
  <mergeCells count="7">
    <mergeCell ref="B27:C27"/>
    <mergeCell ref="A1:G1"/>
    <mergeCell ref="A3:G3"/>
    <mergeCell ref="A5:A6"/>
    <mergeCell ref="B5:B6"/>
    <mergeCell ref="C5:C6"/>
    <mergeCell ref="D5:G5"/>
  </mergeCells>
  <pageMargins left="0.87" right="0.70866141732283472" top="0.9" bottom="0.69" header="0.43" footer="0.37"/>
  <pageSetup paperSize="9" orientation="landscape" horizontalDpi="1200" verticalDpi="1200" r:id="rId1"/>
  <headerFooter>
    <oddHeader>&amp;R&amp;P--&amp;N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73"/>
  <sheetViews>
    <sheetView topLeftCell="A55" zoomScale="90" zoomScaleNormal="90" workbookViewId="0">
      <selection activeCell="G79" sqref="G79"/>
    </sheetView>
  </sheetViews>
  <sheetFormatPr defaultRowHeight="15" x14ac:dyDescent="0.25"/>
  <cols>
    <col min="1" max="1" width="5.85546875" customWidth="1"/>
    <col min="3" max="3" width="32.7109375" customWidth="1"/>
    <col min="4" max="4" width="6.5703125" customWidth="1"/>
    <col min="8" max="8" width="10.85546875" customWidth="1"/>
    <col min="9" max="9" width="6.28515625" customWidth="1"/>
    <col min="11" max="11" width="7" customWidth="1"/>
    <col min="13" max="13" width="11.140625" customWidth="1"/>
    <col min="14" max="14" width="34.28515625" customWidth="1"/>
    <col min="15" max="15" width="32.85546875" customWidth="1"/>
  </cols>
  <sheetData>
    <row r="1" spans="1:13" s="769" customFormat="1" ht="51" customHeight="1" x14ac:dyDescent="0.25">
      <c r="A1" s="993" t="str">
        <f>krebsiti!A3</f>
        <v>dmanisis municipalitetis sofel javaxSi sportuli moednis, sazogadoebrivi daniSnulebis reteratisa da skveris mowyobis samuSaoebi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</row>
    <row r="2" spans="1:13" s="769" customFormat="1" ht="21" x14ac:dyDescent="0.25">
      <c r="A2" s="994" t="s">
        <v>607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</row>
    <row r="3" spans="1:13" s="769" customFormat="1" ht="15.75" x14ac:dyDescent="0.25">
      <c r="A3" s="993" t="s">
        <v>875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</row>
    <row r="4" spans="1:13" s="769" customFormat="1" ht="15.75" x14ac:dyDescent="0.25">
      <c r="A4" s="572"/>
      <c r="B4" s="572"/>
      <c r="C4" s="572"/>
      <c r="D4" s="572"/>
      <c r="E4" s="312"/>
      <c r="F4" s="770"/>
      <c r="G4" s="314"/>
      <c r="H4" s="314"/>
      <c r="I4" s="314"/>
      <c r="J4" s="314"/>
      <c r="K4" s="314"/>
      <c r="L4" s="314"/>
      <c r="M4" s="314"/>
    </row>
    <row r="5" spans="1:13" s="769" customFormat="1" ht="15.75" x14ac:dyDescent="0.25">
      <c r="A5" s="993" t="s">
        <v>876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</row>
    <row r="6" spans="1:13" s="769" customFormat="1" x14ac:dyDescent="0.25">
      <c r="A6" s="691"/>
      <c r="B6" s="691"/>
      <c r="C6" s="691"/>
      <c r="D6" s="691"/>
      <c r="E6" s="693"/>
      <c r="F6" s="694"/>
      <c r="G6" s="402"/>
      <c r="H6" s="402"/>
      <c r="I6" s="402"/>
      <c r="J6" s="402"/>
      <c r="K6" s="402"/>
      <c r="L6" s="402"/>
      <c r="M6" s="402"/>
    </row>
    <row r="7" spans="1:13" s="769" customFormat="1" ht="15.75" x14ac:dyDescent="0.25">
      <c r="A7" s="936" t="s">
        <v>0</v>
      </c>
      <c r="B7" s="936" t="s">
        <v>34</v>
      </c>
      <c r="C7" s="936" t="s">
        <v>1</v>
      </c>
      <c r="D7" s="936" t="s">
        <v>2</v>
      </c>
      <c r="E7" s="937" t="s">
        <v>172</v>
      </c>
      <c r="F7" s="1011" t="s">
        <v>3</v>
      </c>
      <c r="G7" s="928" t="s">
        <v>36</v>
      </c>
      <c r="H7" s="928"/>
      <c r="I7" s="928" t="s">
        <v>37</v>
      </c>
      <c r="J7" s="928"/>
      <c r="K7" s="928" t="s">
        <v>38</v>
      </c>
      <c r="L7" s="928"/>
      <c r="M7" s="928" t="s">
        <v>39</v>
      </c>
    </row>
    <row r="8" spans="1:13" s="769" customFormat="1" ht="47.25" x14ac:dyDescent="0.25">
      <c r="A8" s="936"/>
      <c r="B8" s="936"/>
      <c r="C8" s="936"/>
      <c r="D8" s="936"/>
      <c r="E8" s="937"/>
      <c r="F8" s="1011"/>
      <c r="G8" s="48" t="s">
        <v>40</v>
      </c>
      <c r="H8" s="48" t="s">
        <v>41</v>
      </c>
      <c r="I8" s="48" t="s">
        <v>40</v>
      </c>
      <c r="J8" s="48" t="s">
        <v>41</v>
      </c>
      <c r="K8" s="48" t="s">
        <v>40</v>
      </c>
      <c r="L8" s="48" t="s">
        <v>41</v>
      </c>
      <c r="M8" s="928"/>
    </row>
    <row r="9" spans="1:13" s="769" customFormat="1" ht="15.75" x14ac:dyDescent="0.25">
      <c r="A9" s="403">
        <v>1</v>
      </c>
      <c r="B9" s="403">
        <v>2</v>
      </c>
      <c r="C9" s="403">
        <v>3</v>
      </c>
      <c r="D9" s="403">
        <v>4</v>
      </c>
      <c r="E9" s="47">
        <v>5</v>
      </c>
      <c r="F9" s="403">
        <v>6</v>
      </c>
      <c r="G9" s="47">
        <v>7</v>
      </c>
      <c r="H9" s="403">
        <v>8</v>
      </c>
      <c r="I9" s="47">
        <v>9</v>
      </c>
      <c r="J9" s="403">
        <v>10</v>
      </c>
      <c r="K9" s="47">
        <v>11</v>
      </c>
      <c r="L9" s="403">
        <v>12</v>
      </c>
      <c r="M9" s="47">
        <v>13</v>
      </c>
    </row>
    <row r="10" spans="1:13" s="769" customFormat="1" ht="78.75" x14ac:dyDescent="0.25">
      <c r="A10" s="316"/>
      <c r="B10" s="474"/>
      <c r="C10" s="771" t="s">
        <v>877</v>
      </c>
      <c r="D10" s="316"/>
      <c r="E10" s="286"/>
      <c r="F10" s="772"/>
      <c r="G10" s="48"/>
      <c r="H10" s="48"/>
      <c r="I10" s="48"/>
      <c r="J10" s="48"/>
      <c r="K10" s="48"/>
      <c r="L10" s="48"/>
      <c r="M10" s="48"/>
    </row>
    <row r="11" spans="1:13" s="769" customFormat="1" ht="15.75" x14ac:dyDescent="0.25">
      <c r="A11" s="575"/>
      <c r="B11" s="573"/>
      <c r="C11" s="574" t="s">
        <v>609</v>
      </c>
      <c r="D11" s="575"/>
      <c r="E11" s="695"/>
      <c r="F11" s="773"/>
      <c r="G11" s="48"/>
      <c r="H11" s="48"/>
      <c r="I11" s="48"/>
      <c r="J11" s="48"/>
      <c r="K11" s="48"/>
      <c r="L11" s="48"/>
      <c r="M11" s="48"/>
    </row>
    <row r="12" spans="1:13" s="769" customFormat="1" ht="31.5" x14ac:dyDescent="0.25">
      <c r="A12" s="578">
        <v>1</v>
      </c>
      <c r="B12" s="576"/>
      <c r="C12" s="577" t="s">
        <v>878</v>
      </c>
      <c r="D12" s="578" t="s">
        <v>94</v>
      </c>
      <c r="E12" s="648"/>
      <c r="F12" s="774">
        <v>200</v>
      </c>
      <c r="G12" s="48"/>
      <c r="H12" s="48"/>
      <c r="I12" s="48"/>
      <c r="J12" s="48"/>
      <c r="K12" s="48"/>
      <c r="L12" s="48"/>
      <c r="M12" s="48"/>
    </row>
    <row r="13" spans="1:13" s="769" customFormat="1" ht="47.25" x14ac:dyDescent="0.25">
      <c r="A13" s="1012">
        <v>1</v>
      </c>
      <c r="B13" s="38" t="s">
        <v>174</v>
      </c>
      <c r="C13" s="265" t="s">
        <v>533</v>
      </c>
      <c r="D13" s="38" t="s">
        <v>66</v>
      </c>
      <c r="E13" s="88"/>
      <c r="F13" s="702">
        <f>F12*0.5*1</f>
        <v>100</v>
      </c>
      <c r="G13" s="42"/>
      <c r="H13" s="48"/>
      <c r="I13" s="42"/>
      <c r="J13" s="48"/>
      <c r="K13" s="42"/>
      <c r="L13" s="48"/>
      <c r="M13" s="48"/>
    </row>
    <row r="14" spans="1:13" s="769" customFormat="1" ht="15.75" x14ac:dyDescent="0.25">
      <c r="A14" s="1013"/>
      <c r="B14" s="38"/>
      <c r="C14" s="111" t="s">
        <v>17</v>
      </c>
      <c r="D14" s="45" t="s">
        <v>18</v>
      </c>
      <c r="E14" s="47">
        <v>2.06</v>
      </c>
      <c r="F14" s="263">
        <f>E14*F13</f>
        <v>206</v>
      </c>
      <c r="G14" s="48"/>
      <c r="H14" s="48"/>
      <c r="I14" s="48"/>
      <c r="J14" s="48">
        <f t="shared" ref="J14:J56" si="0">F14*I14</f>
        <v>0</v>
      </c>
      <c r="K14" s="48"/>
      <c r="L14" s="48"/>
      <c r="M14" s="48">
        <f t="shared" ref="M14:M61" si="1">H14+J14+L14</f>
        <v>0</v>
      </c>
    </row>
    <row r="15" spans="1:13" s="769" customFormat="1" ht="47.25" x14ac:dyDescent="0.25">
      <c r="A15" s="953">
        <v>2</v>
      </c>
      <c r="B15" s="38" t="s">
        <v>534</v>
      </c>
      <c r="C15" s="490" t="s">
        <v>535</v>
      </c>
      <c r="D15" s="38" t="s">
        <v>66</v>
      </c>
      <c r="E15" s="88"/>
      <c r="F15" s="702">
        <f>F12*0.5*0.2</f>
        <v>20</v>
      </c>
      <c r="G15" s="491"/>
      <c r="H15" s="48"/>
      <c r="I15" s="126"/>
      <c r="J15" s="48"/>
      <c r="K15" s="126"/>
      <c r="L15" s="48"/>
      <c r="M15" s="48"/>
    </row>
    <row r="16" spans="1:13" s="769" customFormat="1" ht="27" x14ac:dyDescent="0.25">
      <c r="A16" s="954"/>
      <c r="B16" s="45"/>
      <c r="C16" s="111" t="s">
        <v>17</v>
      </c>
      <c r="D16" s="45" t="s">
        <v>9</v>
      </c>
      <c r="E16" s="47">
        <f>18/10</f>
        <v>1.8</v>
      </c>
      <c r="F16" s="263">
        <f>E16*F15</f>
        <v>36</v>
      </c>
      <c r="G16" s="48"/>
      <c r="H16" s="48"/>
      <c r="I16" s="48"/>
      <c r="J16" s="48">
        <f t="shared" si="0"/>
        <v>0</v>
      </c>
      <c r="K16" s="48"/>
      <c r="L16" s="48"/>
      <c r="M16" s="48">
        <f t="shared" si="1"/>
        <v>0</v>
      </c>
    </row>
    <row r="17" spans="1:13" s="769" customFormat="1" ht="15.75" x14ac:dyDescent="0.25">
      <c r="A17" s="954"/>
      <c r="B17" s="45"/>
      <c r="C17" s="111" t="s">
        <v>536</v>
      </c>
      <c r="D17" s="45" t="s">
        <v>59</v>
      </c>
      <c r="E17" s="47">
        <v>1.1000000000000001</v>
      </c>
      <c r="F17" s="263">
        <f>F15*E17</f>
        <v>22</v>
      </c>
      <c r="G17" s="48"/>
      <c r="H17" s="48">
        <f t="shared" ref="H17:H60" si="2">F17*G17</f>
        <v>0</v>
      </c>
      <c r="I17" s="483"/>
      <c r="J17" s="48"/>
      <c r="K17" s="48"/>
      <c r="L17" s="48"/>
      <c r="M17" s="48">
        <f t="shared" si="1"/>
        <v>0</v>
      </c>
    </row>
    <row r="18" spans="1:13" s="769" customFormat="1" ht="63" x14ac:dyDescent="0.25">
      <c r="A18" s="961">
        <v>3</v>
      </c>
      <c r="B18" s="38" t="s">
        <v>563</v>
      </c>
      <c r="C18" s="265" t="s">
        <v>879</v>
      </c>
      <c r="D18" s="38" t="s">
        <v>94</v>
      </c>
      <c r="E18" s="88"/>
      <c r="F18" s="702">
        <f>F12</f>
        <v>200</v>
      </c>
      <c r="G18" s="42"/>
      <c r="H18" s="48"/>
      <c r="I18" s="42"/>
      <c r="J18" s="48"/>
      <c r="K18" s="42"/>
      <c r="L18" s="48"/>
      <c r="M18" s="48"/>
    </row>
    <row r="19" spans="1:13" s="769" customFormat="1" ht="27" x14ac:dyDescent="0.25">
      <c r="A19" s="961"/>
      <c r="B19" s="45"/>
      <c r="C19" s="111" t="s">
        <v>486</v>
      </c>
      <c r="D19" s="45" t="s">
        <v>205</v>
      </c>
      <c r="E19" s="47">
        <v>9.5899999999999999E-2</v>
      </c>
      <c r="F19" s="263">
        <f>F18*E19</f>
        <v>19.18</v>
      </c>
      <c r="G19" s="48"/>
      <c r="H19" s="48"/>
      <c r="I19" s="48"/>
      <c r="J19" s="48">
        <f t="shared" si="0"/>
        <v>0</v>
      </c>
      <c r="K19" s="48"/>
      <c r="L19" s="48"/>
      <c r="M19" s="48">
        <f t="shared" si="1"/>
        <v>0</v>
      </c>
    </row>
    <row r="20" spans="1:13" s="769" customFormat="1" ht="15.75" x14ac:dyDescent="0.25">
      <c r="A20" s="961"/>
      <c r="B20" s="45"/>
      <c r="C20" s="111" t="s">
        <v>487</v>
      </c>
      <c r="D20" s="45" t="s">
        <v>25</v>
      </c>
      <c r="E20" s="47">
        <v>4.5199999999999997E-2</v>
      </c>
      <c r="F20" s="263">
        <f>F18*E20</f>
        <v>9.0399999999999991</v>
      </c>
      <c r="G20" s="48"/>
      <c r="H20" s="48"/>
      <c r="I20" s="48"/>
      <c r="J20" s="48"/>
      <c r="K20" s="48"/>
      <c r="L20" s="48">
        <f t="shared" ref="L20:L48" si="3">F20*K20</f>
        <v>0</v>
      </c>
      <c r="M20" s="48">
        <f t="shared" si="1"/>
        <v>0</v>
      </c>
    </row>
    <row r="21" spans="1:13" s="769" customFormat="1" ht="30.75" x14ac:dyDescent="0.25">
      <c r="A21" s="961"/>
      <c r="B21" s="45"/>
      <c r="C21" s="111" t="s">
        <v>880</v>
      </c>
      <c r="D21" s="45" t="s">
        <v>488</v>
      </c>
      <c r="E21" s="47">
        <v>1.01</v>
      </c>
      <c r="F21" s="263">
        <f>F18*E21</f>
        <v>202</v>
      </c>
      <c r="G21" s="48"/>
      <c r="H21" s="48">
        <f t="shared" si="2"/>
        <v>0</v>
      </c>
      <c r="I21" s="48"/>
      <c r="J21" s="48"/>
      <c r="K21" s="48"/>
      <c r="L21" s="48"/>
      <c r="M21" s="48">
        <f t="shared" si="1"/>
        <v>0</v>
      </c>
    </row>
    <row r="22" spans="1:13" s="769" customFormat="1" ht="15.75" x14ac:dyDescent="0.25">
      <c r="A22" s="961"/>
      <c r="B22" s="45"/>
      <c r="C22" s="111" t="s">
        <v>459</v>
      </c>
      <c r="D22" s="45" t="s">
        <v>25</v>
      </c>
      <c r="E22" s="47">
        <v>5.9999999999999995E-4</v>
      </c>
      <c r="F22" s="263">
        <f>F18*E22</f>
        <v>0.12</v>
      </c>
      <c r="G22" s="48"/>
      <c r="H22" s="48">
        <f t="shared" si="2"/>
        <v>0</v>
      </c>
      <c r="I22" s="48"/>
      <c r="J22" s="48"/>
      <c r="K22" s="48"/>
      <c r="L22" s="48"/>
      <c r="M22" s="48">
        <f t="shared" si="1"/>
        <v>0</v>
      </c>
    </row>
    <row r="23" spans="1:13" s="769" customFormat="1" ht="31.5" x14ac:dyDescent="0.25">
      <c r="A23" s="961">
        <v>4</v>
      </c>
      <c r="B23" s="38" t="s">
        <v>539</v>
      </c>
      <c r="C23" s="492" t="s">
        <v>540</v>
      </c>
      <c r="D23" s="38" t="s">
        <v>66</v>
      </c>
      <c r="E23" s="493"/>
      <c r="F23" s="702">
        <f>F12*0.5*0.8</f>
        <v>80</v>
      </c>
      <c r="G23" s="491"/>
      <c r="H23" s="48"/>
      <c r="I23" s="491"/>
      <c r="J23" s="48"/>
      <c r="K23" s="491"/>
      <c r="L23" s="48"/>
      <c r="M23" s="48"/>
    </row>
    <row r="24" spans="1:13" s="769" customFormat="1" ht="27" x14ac:dyDescent="0.25">
      <c r="A24" s="961"/>
      <c r="B24" s="45"/>
      <c r="C24" s="111" t="s">
        <v>17</v>
      </c>
      <c r="D24" s="45" t="s">
        <v>9</v>
      </c>
      <c r="E24" s="47">
        <f>17.8/10</f>
        <v>1.78</v>
      </c>
      <c r="F24" s="263">
        <f>E24*F23</f>
        <v>142.4</v>
      </c>
      <c r="G24" s="126"/>
      <c r="H24" s="48"/>
      <c r="I24" s="126"/>
      <c r="J24" s="48">
        <f t="shared" si="0"/>
        <v>0</v>
      </c>
      <c r="K24" s="126"/>
      <c r="L24" s="48"/>
      <c r="M24" s="48">
        <f t="shared" si="1"/>
        <v>0</v>
      </c>
    </row>
    <row r="25" spans="1:13" s="769" customFormat="1" ht="15.75" x14ac:dyDescent="0.25">
      <c r="A25" s="961"/>
      <c r="B25" s="45"/>
      <c r="C25" s="111" t="s">
        <v>63</v>
      </c>
      <c r="D25" s="45" t="s">
        <v>59</v>
      </c>
      <c r="E25" s="47">
        <v>1.1000000000000001</v>
      </c>
      <c r="F25" s="263">
        <f>E25*F23</f>
        <v>88</v>
      </c>
      <c r="G25" s="126"/>
      <c r="H25" s="48">
        <f t="shared" si="2"/>
        <v>0</v>
      </c>
      <c r="I25" s="126"/>
      <c r="J25" s="48"/>
      <c r="K25" s="126"/>
      <c r="L25" s="48"/>
      <c r="M25" s="48">
        <f t="shared" si="1"/>
        <v>0</v>
      </c>
    </row>
    <row r="26" spans="1:13" s="769" customFormat="1" ht="31.5" x14ac:dyDescent="0.25">
      <c r="A26" s="874" t="s">
        <v>398</v>
      </c>
      <c r="B26" s="38" t="s">
        <v>492</v>
      </c>
      <c r="C26" s="265" t="s">
        <v>537</v>
      </c>
      <c r="D26" s="38" t="s">
        <v>202</v>
      </c>
      <c r="E26" s="88"/>
      <c r="F26" s="702">
        <f>F29</f>
        <v>6</v>
      </c>
      <c r="G26" s="42"/>
      <c r="H26" s="33"/>
      <c r="I26" s="42"/>
      <c r="J26" s="33"/>
      <c r="K26" s="42"/>
      <c r="L26" s="33"/>
      <c r="M26" s="33"/>
    </row>
    <row r="27" spans="1:13" s="769" customFormat="1" ht="27" x14ac:dyDescent="0.25">
      <c r="A27" s="874"/>
      <c r="B27" s="45"/>
      <c r="C27" s="111" t="s">
        <v>486</v>
      </c>
      <c r="D27" s="45" t="s">
        <v>205</v>
      </c>
      <c r="E27" s="47">
        <v>1.51</v>
      </c>
      <c r="F27" s="263">
        <f>F26*E27</f>
        <v>9.06</v>
      </c>
      <c r="G27" s="48"/>
      <c r="H27" s="33"/>
      <c r="I27" s="48"/>
      <c r="J27" s="48">
        <f t="shared" si="0"/>
        <v>0</v>
      </c>
      <c r="K27" s="48"/>
      <c r="L27" s="33"/>
      <c r="M27" s="48">
        <f t="shared" si="1"/>
        <v>0</v>
      </c>
    </row>
    <row r="28" spans="1:13" s="769" customFormat="1" ht="15.75" x14ac:dyDescent="0.25">
      <c r="A28" s="874"/>
      <c r="B28" s="45"/>
      <c r="C28" s="111" t="s">
        <v>491</v>
      </c>
      <c r="D28" s="45" t="s">
        <v>25</v>
      </c>
      <c r="E28" s="47">
        <v>0.13</v>
      </c>
      <c r="F28" s="263">
        <f>F26*E28</f>
        <v>0.78</v>
      </c>
      <c r="G28" s="48"/>
      <c r="H28" s="33"/>
      <c r="I28" s="48"/>
      <c r="J28" s="33"/>
      <c r="K28" s="48"/>
      <c r="L28" s="48">
        <f t="shared" si="3"/>
        <v>0</v>
      </c>
      <c r="M28" s="48">
        <f t="shared" si="1"/>
        <v>0</v>
      </c>
    </row>
    <row r="29" spans="1:13" s="769" customFormat="1" ht="15.75" x14ac:dyDescent="0.25">
      <c r="A29" s="874"/>
      <c r="B29" s="45"/>
      <c r="C29" s="111" t="s">
        <v>881</v>
      </c>
      <c r="D29" s="45" t="s">
        <v>202</v>
      </c>
      <c r="E29" s="47">
        <v>1</v>
      </c>
      <c r="F29" s="263">
        <v>6</v>
      </c>
      <c r="G29" s="48"/>
      <c r="H29" s="48">
        <f t="shared" si="2"/>
        <v>0</v>
      </c>
      <c r="I29" s="48"/>
      <c r="J29" s="33"/>
      <c r="K29" s="48"/>
      <c r="L29" s="33"/>
      <c r="M29" s="48">
        <f t="shared" si="1"/>
        <v>0</v>
      </c>
    </row>
    <row r="30" spans="1:13" s="769" customFormat="1" ht="15.75" x14ac:dyDescent="0.25">
      <c r="A30" s="874"/>
      <c r="B30" s="45"/>
      <c r="C30" s="111" t="s">
        <v>459</v>
      </c>
      <c r="D30" s="45" t="s">
        <v>25</v>
      </c>
      <c r="E30" s="47">
        <v>7.0000000000000007E-2</v>
      </c>
      <c r="F30" s="263">
        <f>F26*E30</f>
        <v>0.42000000000000004</v>
      </c>
      <c r="G30" s="48"/>
      <c r="H30" s="48">
        <f t="shared" si="2"/>
        <v>0</v>
      </c>
      <c r="I30" s="48"/>
      <c r="J30" s="33"/>
      <c r="K30" s="48"/>
      <c r="L30" s="33"/>
      <c r="M30" s="48">
        <f t="shared" si="1"/>
        <v>0</v>
      </c>
    </row>
    <row r="31" spans="1:13" s="769" customFormat="1" ht="31.5" x14ac:dyDescent="0.25">
      <c r="A31" s="878">
        <v>6</v>
      </c>
      <c r="B31" s="38" t="s">
        <v>505</v>
      </c>
      <c r="C31" s="265" t="s">
        <v>506</v>
      </c>
      <c r="D31" s="45" t="s">
        <v>507</v>
      </c>
      <c r="E31" s="47"/>
      <c r="F31" s="702">
        <f>F12/100</f>
        <v>2</v>
      </c>
      <c r="G31" s="48"/>
      <c r="H31" s="48"/>
      <c r="I31" s="48"/>
      <c r="J31" s="48"/>
      <c r="K31" s="48"/>
      <c r="L31" s="48"/>
      <c r="M31" s="48"/>
    </row>
    <row r="32" spans="1:13" s="769" customFormat="1" ht="27" x14ac:dyDescent="0.25">
      <c r="A32" s="879"/>
      <c r="B32" s="45"/>
      <c r="C32" s="111" t="s">
        <v>486</v>
      </c>
      <c r="D32" s="45" t="s">
        <v>205</v>
      </c>
      <c r="E32" s="47">
        <v>5.16</v>
      </c>
      <c r="F32" s="263">
        <f>F31*E32</f>
        <v>10.32</v>
      </c>
      <c r="G32" s="48"/>
      <c r="H32" s="48"/>
      <c r="I32" s="48"/>
      <c r="J32" s="48">
        <f t="shared" si="0"/>
        <v>0</v>
      </c>
      <c r="K32" s="48"/>
      <c r="L32" s="48"/>
      <c r="M32" s="48">
        <f t="shared" si="1"/>
        <v>0</v>
      </c>
    </row>
    <row r="33" spans="1:13" s="769" customFormat="1" ht="15.75" x14ac:dyDescent="0.25">
      <c r="A33" s="879"/>
      <c r="B33" s="45"/>
      <c r="C33" s="111" t="s">
        <v>508</v>
      </c>
      <c r="D33" s="45" t="s">
        <v>74</v>
      </c>
      <c r="E33" s="47">
        <v>1</v>
      </c>
      <c r="F33" s="263">
        <f>F31*E33</f>
        <v>2</v>
      </c>
      <c r="G33" s="48"/>
      <c r="H33" s="48">
        <f t="shared" si="2"/>
        <v>0</v>
      </c>
      <c r="I33" s="48"/>
      <c r="J33" s="48"/>
      <c r="K33" s="48"/>
      <c r="L33" s="48"/>
      <c r="M33" s="48">
        <f t="shared" si="1"/>
        <v>0</v>
      </c>
    </row>
    <row r="34" spans="1:13" s="769" customFormat="1" ht="15.75" x14ac:dyDescent="0.25">
      <c r="A34" s="895"/>
      <c r="B34" s="45"/>
      <c r="C34" s="111" t="s">
        <v>122</v>
      </c>
      <c r="D34" s="45" t="s">
        <v>7</v>
      </c>
      <c r="E34" s="47">
        <v>0.11</v>
      </c>
      <c r="F34" s="263">
        <f>F31*E34</f>
        <v>0.22</v>
      </c>
      <c r="G34" s="48"/>
      <c r="H34" s="48"/>
      <c r="I34" s="48"/>
      <c r="J34" s="48"/>
      <c r="K34" s="48"/>
      <c r="L34" s="48"/>
      <c r="M34" s="48"/>
    </row>
    <row r="35" spans="1:13" s="769" customFormat="1" ht="47.25" x14ac:dyDescent="0.25">
      <c r="A35" s="953">
        <v>7</v>
      </c>
      <c r="B35" s="540" t="s">
        <v>555</v>
      </c>
      <c r="C35" s="257" t="s">
        <v>882</v>
      </c>
      <c r="D35" s="540" t="s">
        <v>26</v>
      </c>
      <c r="E35" s="232"/>
      <c r="F35" s="702">
        <v>1</v>
      </c>
      <c r="G35" s="491"/>
      <c r="H35" s="48"/>
      <c r="I35" s="126"/>
      <c r="J35" s="48"/>
      <c r="K35" s="126"/>
      <c r="L35" s="48"/>
      <c r="M35" s="48"/>
    </row>
    <row r="36" spans="1:13" s="769" customFormat="1" ht="27" x14ac:dyDescent="0.25">
      <c r="A36" s="954"/>
      <c r="B36" s="529"/>
      <c r="C36" s="111" t="s">
        <v>73</v>
      </c>
      <c r="D36" s="45" t="s">
        <v>9</v>
      </c>
      <c r="E36" s="47">
        <v>3.15</v>
      </c>
      <c r="F36" s="263">
        <f>F35*E36</f>
        <v>3.15</v>
      </c>
      <c r="G36" s="126"/>
      <c r="H36" s="48"/>
      <c r="I36" s="126"/>
      <c r="J36" s="48">
        <f t="shared" si="0"/>
        <v>0</v>
      </c>
      <c r="K36" s="126"/>
      <c r="L36" s="48"/>
      <c r="M36" s="48">
        <f t="shared" si="1"/>
        <v>0</v>
      </c>
    </row>
    <row r="37" spans="1:13" s="769" customFormat="1" ht="15.75" x14ac:dyDescent="0.25">
      <c r="A37" s="954"/>
      <c r="B37" s="529"/>
      <c r="C37" s="530" t="s">
        <v>8</v>
      </c>
      <c r="D37" s="529" t="s">
        <v>7</v>
      </c>
      <c r="E37" s="522">
        <v>0.84</v>
      </c>
      <c r="F37" s="531">
        <f>F35*E37</f>
        <v>0.84</v>
      </c>
      <c r="G37" s="126"/>
      <c r="H37" s="48"/>
      <c r="I37" s="126"/>
      <c r="J37" s="48"/>
      <c r="K37" s="126"/>
      <c r="L37" s="48">
        <f t="shared" si="3"/>
        <v>0</v>
      </c>
      <c r="M37" s="48">
        <f t="shared" si="1"/>
        <v>0</v>
      </c>
    </row>
    <row r="38" spans="1:13" s="769" customFormat="1" ht="15.75" x14ac:dyDescent="0.25">
      <c r="A38" s="954"/>
      <c r="B38" s="529"/>
      <c r="C38" s="530" t="s">
        <v>558</v>
      </c>
      <c r="D38" s="529" t="s">
        <v>516</v>
      </c>
      <c r="E38" s="522">
        <v>20</v>
      </c>
      <c r="F38" s="532">
        <f>E38*F35</f>
        <v>20</v>
      </c>
      <c r="G38" s="126"/>
      <c r="H38" s="48">
        <f t="shared" si="2"/>
        <v>0</v>
      </c>
      <c r="I38" s="126"/>
      <c r="J38" s="48"/>
      <c r="K38" s="126"/>
      <c r="L38" s="48"/>
      <c r="M38" s="48">
        <f t="shared" si="1"/>
        <v>0</v>
      </c>
    </row>
    <row r="39" spans="1:13" s="769" customFormat="1" ht="15.75" x14ac:dyDescent="0.25">
      <c r="A39" s="955"/>
      <c r="B39" s="529"/>
      <c r="C39" s="530" t="s">
        <v>10</v>
      </c>
      <c r="D39" s="529" t="s">
        <v>7</v>
      </c>
      <c r="E39" s="522">
        <v>0.47</v>
      </c>
      <c r="F39" s="531">
        <f>F35*E39</f>
        <v>0.47</v>
      </c>
      <c r="G39" s="126"/>
      <c r="H39" s="48">
        <f t="shared" si="2"/>
        <v>0</v>
      </c>
      <c r="I39" s="126"/>
      <c r="J39" s="48"/>
      <c r="K39" s="126"/>
      <c r="L39" s="48"/>
      <c r="M39" s="48">
        <f t="shared" si="1"/>
        <v>0</v>
      </c>
    </row>
    <row r="40" spans="1:13" s="769" customFormat="1" ht="78.75" x14ac:dyDescent="0.25">
      <c r="A40" s="578">
        <v>1</v>
      </c>
      <c r="B40" s="576"/>
      <c r="C40" s="577" t="s">
        <v>948</v>
      </c>
      <c r="D40" s="578" t="s">
        <v>94</v>
      </c>
      <c r="E40" s="648"/>
      <c r="F40" s="774">
        <v>40</v>
      </c>
      <c r="G40" s="538"/>
      <c r="H40" s="48"/>
      <c r="I40" s="126"/>
      <c r="J40" s="48"/>
      <c r="K40" s="126"/>
      <c r="L40" s="48"/>
      <c r="M40" s="48"/>
    </row>
    <row r="41" spans="1:13" s="769" customFormat="1" ht="31.5" x14ac:dyDescent="0.25">
      <c r="A41" s="953">
        <v>1</v>
      </c>
      <c r="B41" s="540" t="s">
        <v>174</v>
      </c>
      <c r="C41" s="539" t="s">
        <v>561</v>
      </c>
      <c r="D41" s="540" t="s">
        <v>66</v>
      </c>
      <c r="E41" s="541"/>
      <c r="F41" s="702">
        <f>F40*0.5*1</f>
        <v>20</v>
      </c>
      <c r="G41" s="538"/>
      <c r="H41" s="48"/>
      <c r="I41" s="538"/>
      <c r="J41" s="48"/>
      <c r="K41" s="538"/>
      <c r="L41" s="48"/>
      <c r="M41" s="48"/>
    </row>
    <row r="42" spans="1:13" s="769" customFormat="1" ht="15.75" x14ac:dyDescent="0.25">
      <c r="A42" s="955"/>
      <c r="B42" s="542"/>
      <c r="C42" s="530" t="s">
        <v>73</v>
      </c>
      <c r="D42" s="529" t="s">
        <v>59</v>
      </c>
      <c r="E42" s="541">
        <v>2.06</v>
      </c>
      <c r="F42" s="532">
        <f>E42*F41</f>
        <v>41.2</v>
      </c>
      <c r="G42" s="138"/>
      <c r="H42" s="48"/>
      <c r="I42" s="138"/>
      <c r="J42" s="48">
        <f t="shared" si="0"/>
        <v>0</v>
      </c>
      <c r="K42" s="126"/>
      <c r="L42" s="48"/>
      <c r="M42" s="48">
        <f t="shared" si="1"/>
        <v>0</v>
      </c>
    </row>
    <row r="43" spans="1:13" s="769" customFormat="1" ht="31.5" x14ac:dyDescent="0.25">
      <c r="A43" s="961">
        <v>2</v>
      </c>
      <c r="B43" s="798" t="s">
        <v>534</v>
      </c>
      <c r="C43" s="490" t="s">
        <v>562</v>
      </c>
      <c r="D43" s="38" t="s">
        <v>66</v>
      </c>
      <c r="E43" s="88"/>
      <c r="F43" s="702">
        <f>0.5*0.2*F40-3.14*0.025*0.025*F40</f>
        <v>3.9215</v>
      </c>
      <c r="G43" s="138"/>
      <c r="H43" s="48"/>
      <c r="I43" s="138"/>
      <c r="J43" s="48"/>
      <c r="K43" s="126"/>
      <c r="L43" s="48"/>
      <c r="M43" s="48"/>
    </row>
    <row r="44" spans="1:13" s="769" customFormat="1" ht="27" x14ac:dyDescent="0.25">
      <c r="A44" s="961"/>
      <c r="B44" s="45"/>
      <c r="C44" s="111" t="s">
        <v>17</v>
      </c>
      <c r="D44" s="45" t="s">
        <v>9</v>
      </c>
      <c r="E44" s="47">
        <f>18/10</f>
        <v>1.8</v>
      </c>
      <c r="F44" s="263">
        <f>E44*F43</f>
        <v>7.0587</v>
      </c>
      <c r="G44" s="138"/>
      <c r="H44" s="48"/>
      <c r="I44" s="138"/>
      <c r="J44" s="48">
        <f t="shared" si="0"/>
        <v>0</v>
      </c>
      <c r="K44" s="126"/>
      <c r="L44" s="48"/>
      <c r="M44" s="48">
        <f t="shared" si="1"/>
        <v>0</v>
      </c>
    </row>
    <row r="45" spans="1:13" s="769" customFormat="1" ht="15.75" x14ac:dyDescent="0.25">
      <c r="A45" s="961"/>
      <c r="B45" s="45"/>
      <c r="C45" s="111" t="s">
        <v>536</v>
      </c>
      <c r="D45" s="45" t="s">
        <v>59</v>
      </c>
      <c r="E45" s="47">
        <v>1.1499999999999999</v>
      </c>
      <c r="F45" s="263">
        <f>F43*E45</f>
        <v>4.5097249999999995</v>
      </c>
      <c r="G45" s="138"/>
      <c r="H45" s="48">
        <f t="shared" si="2"/>
        <v>0</v>
      </c>
      <c r="I45" s="138"/>
      <c r="J45" s="48"/>
      <c r="K45" s="126"/>
      <c r="L45" s="48"/>
      <c r="M45" s="48">
        <f t="shared" si="1"/>
        <v>0</v>
      </c>
    </row>
    <row r="46" spans="1:13" s="769" customFormat="1" ht="31.5" x14ac:dyDescent="0.25">
      <c r="A46" s="953">
        <v>3</v>
      </c>
      <c r="B46" s="38" t="s">
        <v>563</v>
      </c>
      <c r="C46" s="490" t="s">
        <v>883</v>
      </c>
      <c r="D46" s="540" t="s">
        <v>94</v>
      </c>
      <c r="E46" s="232"/>
      <c r="F46" s="702">
        <f>F40</f>
        <v>40</v>
      </c>
      <c r="G46" s="491"/>
      <c r="H46" s="48"/>
      <c r="I46" s="126"/>
      <c r="J46" s="48"/>
      <c r="K46" s="126"/>
      <c r="L46" s="48"/>
      <c r="M46" s="48"/>
    </row>
    <row r="47" spans="1:13" s="769" customFormat="1" ht="27" x14ac:dyDescent="0.25">
      <c r="A47" s="954"/>
      <c r="B47" s="529"/>
      <c r="C47" s="111" t="s">
        <v>73</v>
      </c>
      <c r="D47" s="45" t="s">
        <v>9</v>
      </c>
      <c r="E47" s="522">
        <f>95.9*0.001</f>
        <v>9.5900000000000013E-2</v>
      </c>
      <c r="F47" s="531">
        <f>F46*E47</f>
        <v>3.8360000000000003</v>
      </c>
      <c r="G47" s="126"/>
      <c r="H47" s="48"/>
      <c r="I47" s="126"/>
      <c r="J47" s="48">
        <f t="shared" si="0"/>
        <v>0</v>
      </c>
      <c r="K47" s="126"/>
      <c r="L47" s="48"/>
      <c r="M47" s="48">
        <f t="shared" si="1"/>
        <v>0</v>
      </c>
    </row>
    <row r="48" spans="1:13" s="769" customFormat="1" ht="15.75" x14ac:dyDescent="0.25">
      <c r="A48" s="954"/>
      <c r="B48" s="529"/>
      <c r="C48" s="530" t="s">
        <v>8</v>
      </c>
      <c r="D48" s="529" t="s">
        <v>7</v>
      </c>
      <c r="E48" s="522">
        <f>45.2/1000</f>
        <v>4.5200000000000004E-2</v>
      </c>
      <c r="F48" s="531">
        <f>F46*E48</f>
        <v>1.8080000000000003</v>
      </c>
      <c r="G48" s="543"/>
      <c r="H48" s="48"/>
      <c r="I48" s="543"/>
      <c r="J48" s="48"/>
      <c r="K48" s="543"/>
      <c r="L48" s="48">
        <f t="shared" si="3"/>
        <v>0</v>
      </c>
      <c r="M48" s="48">
        <f t="shared" si="1"/>
        <v>0</v>
      </c>
    </row>
    <row r="49" spans="1:14" s="769" customFormat="1" ht="15.75" x14ac:dyDescent="0.25">
      <c r="A49" s="954"/>
      <c r="B49" s="529"/>
      <c r="C49" s="530" t="s">
        <v>884</v>
      </c>
      <c r="D49" s="529" t="str">
        <f>D46</f>
        <v>g/m</v>
      </c>
      <c r="E49" s="522">
        <f>1010*0.001</f>
        <v>1.01</v>
      </c>
      <c r="F49" s="531">
        <f>F46*E49</f>
        <v>40.4</v>
      </c>
      <c r="G49" s="126"/>
      <c r="H49" s="48">
        <f t="shared" si="2"/>
        <v>0</v>
      </c>
      <c r="I49" s="126"/>
      <c r="J49" s="48"/>
      <c r="K49" s="126"/>
      <c r="L49" s="48"/>
      <c r="M49" s="48">
        <f t="shared" si="1"/>
        <v>0</v>
      </c>
    </row>
    <row r="50" spans="1:14" s="769" customFormat="1" ht="15.75" x14ac:dyDescent="0.25">
      <c r="A50" s="954"/>
      <c r="B50" s="529"/>
      <c r="C50" s="356" t="s">
        <v>885</v>
      </c>
      <c r="D50" s="160" t="s">
        <v>147</v>
      </c>
      <c r="E50" s="522"/>
      <c r="F50" s="531">
        <v>6</v>
      </c>
      <c r="G50" s="126"/>
      <c r="H50" s="48">
        <f t="shared" si="2"/>
        <v>0</v>
      </c>
      <c r="I50" s="126"/>
      <c r="J50" s="48"/>
      <c r="K50" s="126"/>
      <c r="L50" s="48"/>
      <c r="M50" s="48">
        <f t="shared" si="1"/>
        <v>0</v>
      </c>
    </row>
    <row r="51" spans="1:14" s="769" customFormat="1" ht="15.75" x14ac:dyDescent="0.25">
      <c r="A51" s="955"/>
      <c r="B51" s="529"/>
      <c r="C51" s="530" t="s">
        <v>10</v>
      </c>
      <c r="D51" s="529" t="s">
        <v>7</v>
      </c>
      <c r="E51" s="522">
        <f>0.6*0.001</f>
        <v>5.9999999999999995E-4</v>
      </c>
      <c r="F51" s="531">
        <f>F46*E51</f>
        <v>2.3999999999999997E-2</v>
      </c>
      <c r="G51" s="126"/>
      <c r="H51" s="48">
        <f t="shared" si="2"/>
        <v>0</v>
      </c>
      <c r="I51" s="126"/>
      <c r="J51" s="48"/>
      <c r="K51" s="126"/>
      <c r="L51" s="48"/>
      <c r="M51" s="48">
        <f t="shared" si="1"/>
        <v>0</v>
      </c>
    </row>
    <row r="52" spans="1:14" s="769" customFormat="1" ht="31.5" x14ac:dyDescent="0.25">
      <c r="A52" s="961">
        <v>4</v>
      </c>
      <c r="B52" s="552" t="s">
        <v>567</v>
      </c>
      <c r="C52" s="492" t="s">
        <v>540</v>
      </c>
      <c r="D52" s="38" t="s">
        <v>66</v>
      </c>
      <c r="E52" s="493"/>
      <c r="F52" s="702">
        <f>F40*0.5*0.8</f>
        <v>16</v>
      </c>
      <c r="G52" s="138"/>
      <c r="H52" s="48"/>
      <c r="I52" s="138"/>
      <c r="J52" s="48"/>
      <c r="K52" s="126"/>
      <c r="L52" s="48"/>
      <c r="M52" s="48"/>
    </row>
    <row r="53" spans="1:14" s="769" customFormat="1" ht="27" x14ac:dyDescent="0.25">
      <c r="A53" s="961"/>
      <c r="B53" s="45"/>
      <c r="C53" s="111" t="s">
        <v>17</v>
      </c>
      <c r="D53" s="45" t="s">
        <v>9</v>
      </c>
      <c r="E53" s="47">
        <f>17.8/10</f>
        <v>1.78</v>
      </c>
      <c r="F53" s="263">
        <f>E53*F52</f>
        <v>28.48</v>
      </c>
      <c r="G53" s="138"/>
      <c r="H53" s="48"/>
      <c r="I53" s="138"/>
      <c r="J53" s="48">
        <f t="shared" si="0"/>
        <v>0</v>
      </c>
      <c r="K53" s="126"/>
      <c r="L53" s="48"/>
      <c r="M53" s="48">
        <f t="shared" si="1"/>
        <v>0</v>
      </c>
    </row>
    <row r="54" spans="1:14" s="769" customFormat="1" ht="15.75" x14ac:dyDescent="0.25">
      <c r="A54" s="961"/>
      <c r="B54" s="45"/>
      <c r="C54" s="111" t="s">
        <v>63</v>
      </c>
      <c r="D54" s="45" t="s">
        <v>59</v>
      </c>
      <c r="E54" s="47">
        <v>1.1000000000000001</v>
      </c>
      <c r="F54" s="263">
        <f>E54*F52</f>
        <v>17.600000000000001</v>
      </c>
      <c r="G54" s="138"/>
      <c r="H54" s="48">
        <f t="shared" si="2"/>
        <v>0</v>
      </c>
      <c r="I54" s="138"/>
      <c r="J54" s="48"/>
      <c r="K54" s="126"/>
      <c r="L54" s="48"/>
      <c r="M54" s="48">
        <f t="shared" si="1"/>
        <v>0</v>
      </c>
    </row>
    <row r="55" spans="1:14" s="769" customFormat="1" ht="63" x14ac:dyDescent="0.25">
      <c r="A55" s="544" t="s">
        <v>398</v>
      </c>
      <c r="B55" s="552" t="s">
        <v>575</v>
      </c>
      <c r="C55" s="492" t="s">
        <v>886</v>
      </c>
      <c r="D55" s="552" t="s">
        <v>577</v>
      </c>
      <c r="E55" s="493"/>
      <c r="F55" s="702">
        <v>1</v>
      </c>
      <c r="G55" s="553"/>
      <c r="H55" s="48"/>
      <c r="I55" s="553"/>
      <c r="J55" s="48"/>
      <c r="K55" s="553"/>
      <c r="L55" s="48"/>
      <c r="M55" s="48"/>
      <c r="N55" s="318" t="s">
        <v>887</v>
      </c>
    </row>
    <row r="56" spans="1:14" s="769" customFormat="1" ht="27" x14ac:dyDescent="0.25">
      <c r="A56" s="45"/>
      <c r="B56" s="554"/>
      <c r="C56" s="111" t="s">
        <v>17</v>
      </c>
      <c r="D56" s="45" t="s">
        <v>9</v>
      </c>
      <c r="E56" s="47">
        <v>17</v>
      </c>
      <c r="F56" s="263">
        <f>F55*E56</f>
        <v>17</v>
      </c>
      <c r="G56" s="48"/>
      <c r="H56" s="48"/>
      <c r="I56" s="48"/>
      <c r="J56" s="48">
        <f t="shared" si="0"/>
        <v>0</v>
      </c>
      <c r="K56" s="48"/>
      <c r="L56" s="48"/>
      <c r="M56" s="48">
        <f t="shared" si="1"/>
        <v>0</v>
      </c>
    </row>
    <row r="57" spans="1:14" s="769" customFormat="1" ht="15.75" x14ac:dyDescent="0.25">
      <c r="A57" s="555"/>
      <c r="B57" s="45"/>
      <c r="C57" s="111" t="s">
        <v>578</v>
      </c>
      <c r="D57" s="45" t="s">
        <v>14</v>
      </c>
      <c r="E57" s="47">
        <v>0.05</v>
      </c>
      <c r="F57" s="263">
        <f>E57*F55</f>
        <v>0.05</v>
      </c>
      <c r="G57" s="126"/>
      <c r="H57" s="48">
        <f t="shared" si="2"/>
        <v>0</v>
      </c>
      <c r="I57" s="126"/>
      <c r="J57" s="48"/>
      <c r="K57" s="126"/>
      <c r="L57" s="48"/>
      <c r="M57" s="48">
        <f t="shared" si="1"/>
        <v>0</v>
      </c>
    </row>
    <row r="58" spans="1:14" s="769" customFormat="1" ht="15.75" x14ac:dyDescent="0.25">
      <c r="A58" s="555"/>
      <c r="B58" s="45"/>
      <c r="C58" s="111" t="s">
        <v>579</v>
      </c>
      <c r="D58" s="45" t="s">
        <v>59</v>
      </c>
      <c r="E58" s="47">
        <v>0.2</v>
      </c>
      <c r="F58" s="263">
        <f>E58*F56</f>
        <v>3.4000000000000004</v>
      </c>
      <c r="G58" s="126"/>
      <c r="H58" s="48">
        <f t="shared" si="2"/>
        <v>0</v>
      </c>
      <c r="I58" s="126"/>
      <c r="J58" s="48"/>
      <c r="K58" s="126"/>
      <c r="L58" s="48"/>
      <c r="M58" s="48">
        <f t="shared" si="1"/>
        <v>0</v>
      </c>
    </row>
    <row r="59" spans="1:14" s="769" customFormat="1" ht="15.75" x14ac:dyDescent="0.25">
      <c r="A59" s="45"/>
      <c r="B59" s="554"/>
      <c r="C59" s="111" t="s">
        <v>552</v>
      </c>
      <c r="D59" s="45" t="s">
        <v>5</v>
      </c>
      <c r="E59" s="47">
        <v>7.8</v>
      </c>
      <c r="F59" s="263">
        <f>E59*F55</f>
        <v>7.8</v>
      </c>
      <c r="G59" s="48"/>
      <c r="H59" s="48">
        <f t="shared" si="2"/>
        <v>0</v>
      </c>
      <c r="I59" s="48"/>
      <c r="J59" s="48"/>
      <c r="K59" s="126"/>
      <c r="L59" s="48"/>
      <c r="M59" s="48">
        <f t="shared" si="1"/>
        <v>0</v>
      </c>
    </row>
    <row r="60" spans="1:14" s="769" customFormat="1" ht="15.75" x14ac:dyDescent="0.25">
      <c r="A60" s="45"/>
      <c r="B60" s="554"/>
      <c r="C60" s="111" t="s">
        <v>122</v>
      </c>
      <c r="D60" s="45" t="s">
        <v>7</v>
      </c>
      <c r="E60" s="47">
        <v>1.08</v>
      </c>
      <c r="F60" s="263">
        <f>E60*F55</f>
        <v>1.08</v>
      </c>
      <c r="G60" s="48"/>
      <c r="H60" s="48">
        <f t="shared" si="2"/>
        <v>0</v>
      </c>
      <c r="I60" s="48"/>
      <c r="J60" s="48"/>
      <c r="K60" s="126"/>
      <c r="L60" s="48"/>
      <c r="M60" s="48">
        <f t="shared" si="1"/>
        <v>0</v>
      </c>
    </row>
    <row r="61" spans="1:14" s="769" customFormat="1" ht="31.5" x14ac:dyDescent="0.25">
      <c r="A61" s="578"/>
      <c r="B61" s="578"/>
      <c r="C61" s="577" t="s">
        <v>800</v>
      </c>
      <c r="D61" s="578"/>
      <c r="E61" s="579"/>
      <c r="F61" s="774"/>
      <c r="G61" s="667"/>
      <c r="H61" s="667">
        <f>SUM(H10:H60)</f>
        <v>0</v>
      </c>
      <c r="I61" s="667"/>
      <c r="J61" s="667">
        <f>SUM(J10:J60)</f>
        <v>0</v>
      </c>
      <c r="K61" s="667"/>
      <c r="L61" s="667">
        <f>SUM(L10:L60)</f>
        <v>0</v>
      </c>
      <c r="M61" s="667">
        <f t="shared" si="1"/>
        <v>0</v>
      </c>
    </row>
    <row r="62" spans="1:14" s="769" customFormat="1" ht="63" x14ac:dyDescent="0.25">
      <c r="A62" s="45"/>
      <c r="B62" s="117"/>
      <c r="C62" s="668" t="s">
        <v>801</v>
      </c>
      <c r="D62" s="384"/>
      <c r="E62" s="243"/>
      <c r="F62" s="669"/>
      <c r="G62" s="670"/>
      <c r="H62" s="670"/>
      <c r="I62" s="670"/>
      <c r="J62" s="670"/>
      <c r="K62" s="670"/>
      <c r="L62" s="670"/>
      <c r="M62" s="670">
        <f>H61*F62</f>
        <v>0</v>
      </c>
    </row>
    <row r="63" spans="1:14" s="769" customFormat="1" ht="15.75" x14ac:dyDescent="0.25">
      <c r="A63" s="45"/>
      <c r="B63" s="117"/>
      <c r="C63" s="671"/>
      <c r="D63" s="384"/>
      <c r="E63" s="243"/>
      <c r="F63" s="243"/>
      <c r="G63" s="670"/>
      <c r="H63" s="670"/>
      <c r="I63" s="670"/>
      <c r="J63" s="670"/>
      <c r="K63" s="670"/>
      <c r="L63" s="670"/>
      <c r="M63" s="670">
        <f>M61+M62</f>
        <v>0</v>
      </c>
    </row>
    <row r="64" spans="1:14" s="769" customFormat="1" ht="15.75" x14ac:dyDescent="0.25">
      <c r="A64" s="45"/>
      <c r="B64" s="45"/>
      <c r="C64" s="403" t="s">
        <v>888</v>
      </c>
      <c r="D64" s="45"/>
      <c r="E64" s="47"/>
      <c r="F64" s="748"/>
      <c r="G64" s="48"/>
      <c r="H64" s="48"/>
      <c r="I64" s="48"/>
      <c r="J64" s="48"/>
      <c r="K64" s="48"/>
      <c r="L64" s="48"/>
      <c r="M64" s="48">
        <f>M63*F64</f>
        <v>0</v>
      </c>
    </row>
    <row r="65" spans="1:13" s="769" customFormat="1" ht="15.75" x14ac:dyDescent="0.25">
      <c r="A65" s="45"/>
      <c r="B65" s="45"/>
      <c r="C65" s="403"/>
      <c r="D65" s="45"/>
      <c r="E65" s="47"/>
      <c r="F65" s="257"/>
      <c r="G65" s="48"/>
      <c r="H65" s="48"/>
      <c r="I65" s="48"/>
      <c r="J65" s="48" t="s">
        <v>41</v>
      </c>
      <c r="K65" s="48"/>
      <c r="L65" s="48"/>
      <c r="M65" s="48">
        <f>M63+M64</f>
        <v>0</v>
      </c>
    </row>
    <row r="66" spans="1:13" s="769" customFormat="1" ht="15.75" x14ac:dyDescent="0.25">
      <c r="A66" s="45"/>
      <c r="B66" s="45"/>
      <c r="C66" s="403" t="s">
        <v>237</v>
      </c>
      <c r="D66" s="45"/>
      <c r="E66" s="47"/>
      <c r="F66" s="748"/>
      <c r="G66" s="48"/>
      <c r="H66" s="48"/>
      <c r="I66" s="48"/>
      <c r="J66" s="48"/>
      <c r="K66" s="48"/>
      <c r="L66" s="48"/>
      <c r="M66" s="48">
        <f>M65*F66</f>
        <v>0</v>
      </c>
    </row>
    <row r="67" spans="1:13" s="769" customFormat="1" ht="31.5" x14ac:dyDescent="0.25">
      <c r="A67" s="749"/>
      <c r="B67" s="681"/>
      <c r="C67" s="577" t="s">
        <v>889</v>
      </c>
      <c r="D67" s="681"/>
      <c r="E67" s="682"/>
      <c r="F67" s="751"/>
      <c r="G67" s="683"/>
      <c r="H67" s="683"/>
      <c r="I67" s="683"/>
      <c r="J67" s="683" t="s">
        <v>41</v>
      </c>
      <c r="K67" s="683"/>
      <c r="L67" s="683"/>
      <c r="M67" s="395">
        <f>M65+M66</f>
        <v>0</v>
      </c>
    </row>
    <row r="68" spans="1:13" s="769" customFormat="1" ht="31.5" x14ac:dyDescent="0.25">
      <c r="A68" s="38"/>
      <c r="B68" s="45"/>
      <c r="C68" s="44" t="s">
        <v>4</v>
      </c>
      <c r="D68" s="38"/>
      <c r="E68" s="47"/>
      <c r="F68" s="752" t="s">
        <v>167</v>
      </c>
      <c r="G68" s="48"/>
      <c r="H68" s="48"/>
      <c r="I68" s="48"/>
      <c r="J68" s="48"/>
      <c r="K68" s="48"/>
      <c r="L68" s="48"/>
      <c r="M68" s="48">
        <f>M67*F68</f>
        <v>0</v>
      </c>
    </row>
    <row r="69" spans="1:13" s="769" customFormat="1" ht="15.75" x14ac:dyDescent="0.25">
      <c r="A69" s="38"/>
      <c r="B69" s="45"/>
      <c r="C69" s="44"/>
      <c r="D69" s="38"/>
      <c r="E69" s="47"/>
      <c r="F69" s="257"/>
      <c r="G69" s="48"/>
      <c r="H69" s="48"/>
      <c r="I69" s="48"/>
      <c r="J69" s="48"/>
      <c r="K69" s="48"/>
      <c r="L69" s="48"/>
      <c r="M69" s="48">
        <f>M67+M68</f>
        <v>0</v>
      </c>
    </row>
    <row r="70" spans="1:13" s="769" customFormat="1" ht="15.75" x14ac:dyDescent="0.25">
      <c r="A70" s="38"/>
      <c r="B70" s="45"/>
      <c r="C70" s="44"/>
      <c r="D70" s="38"/>
      <c r="E70" s="47"/>
      <c r="F70" s="752" t="s">
        <v>169</v>
      </c>
      <c r="G70" s="48"/>
      <c r="H70" s="48"/>
      <c r="I70" s="48"/>
      <c r="J70" s="48"/>
      <c r="K70" s="48"/>
      <c r="L70" s="48"/>
      <c r="M70" s="48">
        <f>M69*F70</f>
        <v>0</v>
      </c>
    </row>
    <row r="71" spans="1:13" s="769" customFormat="1" ht="31.5" x14ac:dyDescent="0.25">
      <c r="A71" s="578"/>
      <c r="B71" s="578"/>
      <c r="C71" s="577" t="s">
        <v>889</v>
      </c>
      <c r="D71" s="578"/>
      <c r="E71" s="579"/>
      <c r="F71" s="774"/>
      <c r="G71" s="667"/>
      <c r="H71" s="667"/>
      <c r="I71" s="667"/>
      <c r="J71" s="667"/>
      <c r="K71" s="667"/>
      <c r="L71" s="667"/>
      <c r="M71" s="667">
        <f>M69+M70</f>
        <v>0</v>
      </c>
    </row>
    <row r="72" spans="1:13" s="769" customFormat="1" x14ac:dyDescent="0.25">
      <c r="A72" s="399"/>
      <c r="B72" s="399"/>
      <c r="C72" s="691"/>
      <c r="D72" s="399"/>
      <c r="E72" s="693"/>
      <c r="F72" s="694"/>
      <c r="G72" s="402"/>
      <c r="H72" s="402"/>
      <c r="I72" s="402"/>
      <c r="J72" s="402"/>
      <c r="K72" s="402"/>
      <c r="L72" s="402"/>
      <c r="M72" s="402"/>
    </row>
    <row r="73" spans="1:13" s="769" customFormat="1" x14ac:dyDescent="0.25">
      <c r="A73" s="399"/>
      <c r="B73" s="399"/>
      <c r="C73" s="691"/>
      <c r="D73" s="399"/>
      <c r="E73" s="693"/>
      <c r="F73" s="694"/>
      <c r="G73" s="402"/>
      <c r="H73" s="402"/>
      <c r="I73" s="402"/>
      <c r="J73" s="402"/>
      <c r="K73" s="402"/>
      <c r="L73" s="402"/>
      <c r="M73" s="402"/>
    </row>
  </sheetData>
  <mergeCells count="25">
    <mergeCell ref="A15:A17"/>
    <mergeCell ref="A1:M1"/>
    <mergeCell ref="A2:M2"/>
    <mergeCell ref="A3:M3"/>
    <mergeCell ref="A5:M5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M8"/>
    <mergeCell ref="A13:A14"/>
    <mergeCell ref="A43:A45"/>
    <mergeCell ref="A46:A51"/>
    <mergeCell ref="A52:A54"/>
    <mergeCell ref="A18:A22"/>
    <mergeCell ref="A23:A25"/>
    <mergeCell ref="A26:A30"/>
    <mergeCell ref="A31:A34"/>
    <mergeCell ref="A35:A39"/>
    <mergeCell ref="A41:A42"/>
  </mergeCells>
  <pageMargins left="0.70866141732283472" right="0.35" top="0.38" bottom="0.39" header="0.31496062992125984" footer="0.31496062992125984"/>
  <pageSetup paperSize="9" orientation="landscape" horizontalDpi="1200" verticalDpi="1200" r:id="rId1"/>
  <headerFooter>
    <oddHeader>&amp;R&amp;P--&amp;N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4"/>
  <sheetViews>
    <sheetView tabSelected="1" topLeftCell="A41" zoomScale="90" zoomScaleNormal="90" workbookViewId="0">
      <selection activeCell="A54" sqref="A54:XFD54"/>
    </sheetView>
  </sheetViews>
  <sheetFormatPr defaultRowHeight="15" x14ac:dyDescent="0.25"/>
  <cols>
    <col min="1" max="1" width="5.5703125" customWidth="1"/>
    <col min="3" max="3" width="30.7109375" customWidth="1"/>
    <col min="4" max="4" width="5.85546875" customWidth="1"/>
    <col min="5" max="5" width="9.140625" customWidth="1"/>
    <col min="6" max="6" width="7.7109375" customWidth="1"/>
    <col min="9" max="9" width="7.85546875" customWidth="1"/>
    <col min="11" max="11" width="7.42578125" customWidth="1"/>
    <col min="13" max="13" width="12.85546875" customWidth="1"/>
    <col min="14" max="15" width="46.5703125" hidden="1" customWidth="1"/>
    <col min="16" max="16" width="0.140625" customWidth="1"/>
    <col min="17" max="17" width="23.28515625" hidden="1" customWidth="1"/>
  </cols>
  <sheetData>
    <row r="1" spans="1:13" s="318" customFormat="1" ht="48.75" customHeight="1" x14ac:dyDescent="0.25">
      <c r="A1" s="993" t="str">
        <f>krebsiti!A3</f>
        <v>dmanisis municipalitetis sofel javaxSi sportuli moednis, sazogadoebrivi daniSnulebis reteratisa da skveris mowyobis samuSaoebi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</row>
    <row r="2" spans="1:13" s="318" customFormat="1" ht="21" x14ac:dyDescent="0.25">
      <c r="A2" s="994" t="s">
        <v>607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</row>
    <row r="3" spans="1:13" s="318" customFormat="1" ht="16.5" x14ac:dyDescent="0.25">
      <c r="A3" s="882" t="s">
        <v>890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</row>
    <row r="4" spans="1:13" s="318" customFormat="1" ht="15.75" x14ac:dyDescent="0.25">
      <c r="A4" s="311"/>
      <c r="B4" s="311"/>
      <c r="C4" s="572"/>
      <c r="D4" s="311"/>
      <c r="E4" s="312"/>
      <c r="F4" s="312"/>
      <c r="G4" s="314"/>
      <c r="H4" s="314"/>
      <c r="I4" s="314"/>
      <c r="J4" s="314"/>
      <c r="K4" s="314"/>
      <c r="L4" s="314"/>
      <c r="M4" s="314"/>
    </row>
    <row r="5" spans="1:13" s="318" customFormat="1" ht="16.5" x14ac:dyDescent="0.25">
      <c r="A5" s="882" t="s">
        <v>240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</row>
    <row r="6" spans="1:13" s="318" customFormat="1" ht="15.75" x14ac:dyDescent="0.25">
      <c r="A6" s="399"/>
      <c r="B6" s="399"/>
      <c r="C6" s="691"/>
      <c r="D6" s="399"/>
      <c r="E6" s="693"/>
      <c r="F6" s="693"/>
      <c r="G6" s="402"/>
      <c r="H6" s="402"/>
      <c r="I6" s="402"/>
      <c r="J6" s="402"/>
      <c r="K6" s="402"/>
      <c r="L6" s="402"/>
      <c r="M6" s="402"/>
    </row>
    <row r="7" spans="1:13" s="318" customFormat="1" ht="37.5" customHeight="1" x14ac:dyDescent="0.25">
      <c r="A7" s="874" t="s">
        <v>0</v>
      </c>
      <c r="B7" s="874" t="s">
        <v>34</v>
      </c>
      <c r="C7" s="874" t="s">
        <v>1</v>
      </c>
      <c r="D7" s="874" t="s">
        <v>2</v>
      </c>
      <c r="E7" s="1021" t="s">
        <v>172</v>
      </c>
      <c r="F7" s="1021" t="s">
        <v>3</v>
      </c>
      <c r="G7" s="1022" t="s">
        <v>36</v>
      </c>
      <c r="H7" s="1022"/>
      <c r="I7" s="1022" t="s">
        <v>37</v>
      </c>
      <c r="J7" s="1022"/>
      <c r="K7" s="1022" t="s">
        <v>38</v>
      </c>
      <c r="L7" s="1022"/>
      <c r="M7" s="1022" t="s">
        <v>39</v>
      </c>
    </row>
    <row r="8" spans="1:13" s="318" customFormat="1" ht="27" x14ac:dyDescent="0.25">
      <c r="A8" s="874"/>
      <c r="B8" s="874"/>
      <c r="C8" s="874"/>
      <c r="D8" s="874"/>
      <c r="E8" s="1021"/>
      <c r="F8" s="1021"/>
      <c r="G8" s="409" t="s">
        <v>40</v>
      </c>
      <c r="H8" s="409" t="s">
        <v>41</v>
      </c>
      <c r="I8" s="409" t="s">
        <v>40</v>
      </c>
      <c r="J8" s="409" t="s">
        <v>41</v>
      </c>
      <c r="K8" s="409" t="s">
        <v>40</v>
      </c>
      <c r="L8" s="409" t="s">
        <v>41</v>
      </c>
      <c r="M8" s="1022"/>
    </row>
    <row r="9" spans="1:13" s="318" customFormat="1" ht="15.75" x14ac:dyDescent="0.25">
      <c r="A9" s="45">
        <v>1</v>
      </c>
      <c r="B9" s="45">
        <v>2</v>
      </c>
      <c r="C9" s="403">
        <v>3</v>
      </c>
      <c r="D9" s="45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</row>
    <row r="10" spans="1:13" s="318" customFormat="1" ht="47.25" x14ac:dyDescent="0.25">
      <c r="A10" s="45" t="s">
        <v>219</v>
      </c>
      <c r="B10" s="45" t="s">
        <v>22</v>
      </c>
      <c r="C10" s="257" t="s">
        <v>891</v>
      </c>
      <c r="D10" s="110" t="s">
        <v>147</v>
      </c>
      <c r="E10" s="47"/>
      <c r="F10" s="47">
        <v>13</v>
      </c>
      <c r="G10" s="48"/>
      <c r="H10" s="48">
        <f>F10*G10</f>
        <v>0</v>
      </c>
      <c r="I10" s="48"/>
      <c r="J10" s="48">
        <f>F10*I10</f>
        <v>0</v>
      </c>
      <c r="K10" s="48"/>
      <c r="L10" s="48"/>
      <c r="M10" s="48">
        <f t="shared" ref="M10:M41" si="0">H10+J10+L10</f>
        <v>0</v>
      </c>
    </row>
    <row r="11" spans="1:13" s="318" customFormat="1" ht="15.75" x14ac:dyDescent="0.25">
      <c r="A11" s="45" t="s">
        <v>436</v>
      </c>
      <c r="B11" s="45" t="s">
        <v>22</v>
      </c>
      <c r="C11" s="257" t="s">
        <v>892</v>
      </c>
      <c r="D11" s="110" t="s">
        <v>147</v>
      </c>
      <c r="E11" s="47"/>
      <c r="F11" s="47">
        <v>13</v>
      </c>
      <c r="G11" s="48"/>
      <c r="H11" s="48">
        <f>F11*G11</f>
        <v>0</v>
      </c>
      <c r="I11" s="48"/>
      <c r="J11" s="48">
        <f>F11*I11</f>
        <v>0</v>
      </c>
      <c r="K11" s="48"/>
      <c r="L11" s="48"/>
      <c r="M11" s="48">
        <f t="shared" si="0"/>
        <v>0</v>
      </c>
    </row>
    <row r="12" spans="1:13" s="318" customFormat="1" ht="15.75" x14ac:dyDescent="0.25">
      <c r="A12" s="45" t="s">
        <v>394</v>
      </c>
      <c r="B12" s="45" t="s">
        <v>22</v>
      </c>
      <c r="C12" s="257" t="s">
        <v>893</v>
      </c>
      <c r="D12" s="110" t="s">
        <v>147</v>
      </c>
      <c r="E12" s="47"/>
      <c r="F12" s="47">
        <v>1</v>
      </c>
      <c r="G12" s="48"/>
      <c r="H12" s="48">
        <f>F12*G12</f>
        <v>0</v>
      </c>
      <c r="I12" s="48"/>
      <c r="J12" s="48">
        <f>F12*I12</f>
        <v>0</v>
      </c>
      <c r="K12" s="48"/>
      <c r="L12" s="48"/>
      <c r="M12" s="48">
        <f t="shared" si="0"/>
        <v>0</v>
      </c>
    </row>
    <row r="13" spans="1:13" s="318" customFormat="1" ht="31.5" x14ac:dyDescent="0.25">
      <c r="A13" s="45" t="s">
        <v>398</v>
      </c>
      <c r="B13" s="45"/>
      <c r="C13" s="584" t="s">
        <v>894</v>
      </c>
      <c r="D13" s="110"/>
      <c r="E13" s="47"/>
      <c r="F13" s="47"/>
      <c r="G13" s="48"/>
      <c r="H13" s="48"/>
      <c r="I13" s="48"/>
      <c r="J13" s="48"/>
      <c r="K13" s="48"/>
      <c r="L13" s="48"/>
      <c r="M13" s="48"/>
    </row>
    <row r="14" spans="1:13" s="318" customFormat="1" ht="31.5" x14ac:dyDescent="0.25">
      <c r="A14" s="796"/>
      <c r="B14" s="796"/>
      <c r="C14" s="111" t="s">
        <v>895</v>
      </c>
      <c r="D14" s="115" t="s">
        <v>147</v>
      </c>
      <c r="E14" s="801"/>
      <c r="F14" s="801">
        <v>3</v>
      </c>
      <c r="G14" s="126"/>
      <c r="H14" s="800">
        <f t="shared" ref="H14:H17" si="1">F14*G14</f>
        <v>0</v>
      </c>
      <c r="I14" s="800"/>
      <c r="J14" s="800">
        <f t="shared" ref="J14:J17" si="2">F14*I14</f>
        <v>0</v>
      </c>
      <c r="K14" s="800"/>
      <c r="L14" s="800"/>
      <c r="M14" s="800">
        <f t="shared" ref="M14:M17" si="3">H14+J14+L14</f>
        <v>0</v>
      </c>
    </row>
    <row r="15" spans="1:13" s="318" customFormat="1" ht="63" x14ac:dyDescent="0.25">
      <c r="A15" s="796"/>
      <c r="B15" s="796"/>
      <c r="C15" s="111" t="s">
        <v>896</v>
      </c>
      <c r="D15" s="115" t="s">
        <v>147</v>
      </c>
      <c r="E15" s="801"/>
      <c r="F15" s="801">
        <v>1</v>
      </c>
      <c r="G15" s="126"/>
      <c r="H15" s="800">
        <f t="shared" si="1"/>
        <v>0</v>
      </c>
      <c r="I15" s="800"/>
      <c r="J15" s="800">
        <f t="shared" si="2"/>
        <v>0</v>
      </c>
      <c r="K15" s="800"/>
      <c r="L15" s="800"/>
      <c r="M15" s="800">
        <f t="shared" si="3"/>
        <v>0</v>
      </c>
    </row>
    <row r="16" spans="1:13" s="318" customFormat="1" ht="31.5" x14ac:dyDescent="0.25">
      <c r="A16" s="796"/>
      <c r="B16" s="796"/>
      <c r="C16" s="111" t="s">
        <v>897</v>
      </c>
      <c r="D16" s="115" t="s">
        <v>147</v>
      </c>
      <c r="E16" s="801"/>
      <c r="F16" s="801">
        <v>1</v>
      </c>
      <c r="G16" s="126"/>
      <c r="H16" s="800">
        <f t="shared" si="1"/>
        <v>0</v>
      </c>
      <c r="I16" s="800"/>
      <c r="J16" s="800">
        <f t="shared" si="2"/>
        <v>0</v>
      </c>
      <c r="K16" s="800"/>
      <c r="L16" s="800"/>
      <c r="M16" s="800">
        <f t="shared" si="3"/>
        <v>0</v>
      </c>
    </row>
    <row r="17" spans="1:14" s="318" customFormat="1" ht="31.5" x14ac:dyDescent="0.25">
      <c r="A17" s="796"/>
      <c r="B17" s="796"/>
      <c r="C17" s="111" t="s">
        <v>898</v>
      </c>
      <c r="D17" s="115" t="s">
        <v>147</v>
      </c>
      <c r="E17" s="801"/>
      <c r="F17" s="801">
        <v>1</v>
      </c>
      <c r="G17" s="126"/>
      <c r="H17" s="800">
        <f t="shared" si="1"/>
        <v>0</v>
      </c>
      <c r="I17" s="800"/>
      <c r="J17" s="800">
        <f t="shared" si="2"/>
        <v>0</v>
      </c>
      <c r="K17" s="800"/>
      <c r="L17" s="800"/>
      <c r="M17" s="800">
        <f t="shared" si="3"/>
        <v>0</v>
      </c>
    </row>
    <row r="18" spans="1:14" s="318" customFormat="1" ht="15.75" x14ac:dyDescent="0.25">
      <c r="A18" s="775" t="s">
        <v>436</v>
      </c>
      <c r="B18" s="45"/>
      <c r="C18" s="584" t="s">
        <v>899</v>
      </c>
      <c r="D18" s="776"/>
      <c r="E18" s="777"/>
      <c r="F18" s="778"/>
      <c r="G18" s="126"/>
      <c r="H18" s="139"/>
      <c r="I18" s="139"/>
      <c r="J18" s="779"/>
      <c r="K18" s="779"/>
      <c r="L18" s="779"/>
      <c r="M18" s="779"/>
    </row>
    <row r="19" spans="1:14" s="318" customFormat="1" ht="94.5" x14ac:dyDescent="0.25">
      <c r="A19" s="1015" t="s">
        <v>431</v>
      </c>
      <c r="B19" s="878" t="s">
        <v>900</v>
      </c>
      <c r="C19" s="92" t="s">
        <v>901</v>
      </c>
      <c r="D19" s="878" t="s">
        <v>147</v>
      </c>
      <c r="E19" s="1017"/>
      <c r="F19" s="1019">
        <v>1</v>
      </c>
      <c r="G19" s="126"/>
      <c r="H19" s="139">
        <f t="shared" ref="H19:H37" si="4">F19*G19</f>
        <v>0</v>
      </c>
      <c r="I19" s="139"/>
      <c r="J19" s="779">
        <f t="shared" ref="J19:J37" si="5">F19*I19</f>
        <v>0</v>
      </c>
      <c r="K19" s="779"/>
      <c r="L19" s="779">
        <f t="shared" ref="L19:L37" si="6">F19*K19</f>
        <v>0</v>
      </c>
      <c r="M19" s="779">
        <f t="shared" ref="M19:M37" si="7">H19+J19+L19</f>
        <v>0</v>
      </c>
      <c r="N19" s="1014"/>
    </row>
    <row r="20" spans="1:14" s="318" customFormat="1" ht="78.75" x14ac:dyDescent="0.25">
      <c r="A20" s="1016"/>
      <c r="B20" s="895"/>
      <c r="C20" s="780" t="s">
        <v>902</v>
      </c>
      <c r="D20" s="895"/>
      <c r="E20" s="1018"/>
      <c r="F20" s="1020"/>
      <c r="G20" s="126"/>
      <c r="H20" s="139"/>
      <c r="I20" s="139"/>
      <c r="J20" s="779"/>
      <c r="K20" s="779"/>
      <c r="L20" s="779"/>
      <c r="M20" s="779"/>
      <c r="N20" s="1014"/>
    </row>
    <row r="21" spans="1:14" s="318" customFormat="1" ht="110.25" x14ac:dyDescent="0.25">
      <c r="A21" s="1015" t="s">
        <v>219</v>
      </c>
      <c r="B21" s="878" t="s">
        <v>900</v>
      </c>
      <c r="C21" s="92" t="s">
        <v>903</v>
      </c>
      <c r="D21" s="878" t="s">
        <v>147</v>
      </c>
      <c r="E21" s="1017"/>
      <c r="F21" s="1019">
        <v>1</v>
      </c>
      <c r="G21" s="126"/>
      <c r="H21" s="139">
        <f t="shared" si="4"/>
        <v>0</v>
      </c>
      <c r="I21" s="139"/>
      <c r="J21" s="779">
        <f t="shared" si="5"/>
        <v>0</v>
      </c>
      <c r="K21" s="779"/>
      <c r="L21" s="779">
        <f t="shared" si="6"/>
        <v>0</v>
      </c>
      <c r="M21" s="779">
        <f t="shared" si="7"/>
        <v>0</v>
      </c>
      <c r="N21" s="1014"/>
    </row>
    <row r="22" spans="1:14" s="318" customFormat="1" ht="78.75" x14ac:dyDescent="0.25">
      <c r="A22" s="1016"/>
      <c r="B22" s="895"/>
      <c r="C22" s="780" t="s">
        <v>904</v>
      </c>
      <c r="D22" s="895"/>
      <c r="E22" s="1018"/>
      <c r="F22" s="1020"/>
      <c r="G22" s="126"/>
      <c r="H22" s="139"/>
      <c r="I22" s="139"/>
      <c r="J22" s="779"/>
      <c r="K22" s="779"/>
      <c r="L22" s="779"/>
      <c r="M22" s="779"/>
      <c r="N22" s="1014"/>
    </row>
    <row r="23" spans="1:14" s="318" customFormat="1" ht="110.25" x14ac:dyDescent="0.25">
      <c r="A23" s="1015" t="s">
        <v>436</v>
      </c>
      <c r="B23" s="878" t="s">
        <v>900</v>
      </c>
      <c r="C23" s="781" t="s">
        <v>905</v>
      </c>
      <c r="D23" s="878" t="s">
        <v>147</v>
      </c>
      <c r="E23" s="1017"/>
      <c r="F23" s="1019">
        <v>1</v>
      </c>
      <c r="G23" s="126"/>
      <c r="H23" s="139">
        <f t="shared" si="4"/>
        <v>0</v>
      </c>
      <c r="I23" s="139"/>
      <c r="J23" s="779">
        <f t="shared" si="5"/>
        <v>0</v>
      </c>
      <c r="K23" s="779"/>
      <c r="L23" s="779">
        <f t="shared" si="6"/>
        <v>0</v>
      </c>
      <c r="M23" s="779">
        <f t="shared" si="7"/>
        <v>0</v>
      </c>
      <c r="N23" s="1014">
        <v>1</v>
      </c>
    </row>
    <row r="24" spans="1:14" s="318" customFormat="1" ht="78.75" x14ac:dyDescent="0.25">
      <c r="A24" s="1016"/>
      <c r="B24" s="895"/>
      <c r="C24" s="780" t="s">
        <v>906</v>
      </c>
      <c r="D24" s="895"/>
      <c r="E24" s="1018"/>
      <c r="F24" s="1020"/>
      <c r="G24" s="126"/>
      <c r="H24" s="139"/>
      <c r="I24" s="139"/>
      <c r="J24" s="779"/>
      <c r="K24" s="779"/>
      <c r="L24" s="779"/>
      <c r="M24" s="779"/>
      <c r="N24" s="1014"/>
    </row>
    <row r="25" spans="1:14" s="318" customFormat="1" ht="110.25" x14ac:dyDescent="0.25">
      <c r="A25" s="1015" t="s">
        <v>394</v>
      </c>
      <c r="B25" s="878" t="s">
        <v>900</v>
      </c>
      <c r="C25" s="781" t="s">
        <v>907</v>
      </c>
      <c r="D25" s="878" t="s">
        <v>147</v>
      </c>
      <c r="E25" s="1017"/>
      <c r="F25" s="1019">
        <v>1</v>
      </c>
      <c r="G25" s="126"/>
      <c r="H25" s="139">
        <f t="shared" si="4"/>
        <v>0</v>
      </c>
      <c r="I25" s="139"/>
      <c r="J25" s="779">
        <f t="shared" si="5"/>
        <v>0</v>
      </c>
      <c r="K25" s="779"/>
      <c r="L25" s="779">
        <f t="shared" si="6"/>
        <v>0</v>
      </c>
      <c r="M25" s="779">
        <f t="shared" si="7"/>
        <v>0</v>
      </c>
      <c r="N25" s="1014">
        <v>1</v>
      </c>
    </row>
    <row r="26" spans="1:14" s="318" customFormat="1" ht="78.75" x14ac:dyDescent="0.25">
      <c r="A26" s="1016"/>
      <c r="B26" s="895"/>
      <c r="C26" s="780" t="s">
        <v>908</v>
      </c>
      <c r="D26" s="895"/>
      <c r="E26" s="1018"/>
      <c r="F26" s="1020"/>
      <c r="G26" s="126"/>
      <c r="H26" s="139"/>
      <c r="I26" s="139"/>
      <c r="J26" s="779"/>
      <c r="K26" s="779"/>
      <c r="L26" s="779"/>
      <c r="M26" s="779"/>
      <c r="N26" s="1014"/>
    </row>
    <row r="27" spans="1:14" s="318" customFormat="1" ht="110.25" x14ac:dyDescent="0.25">
      <c r="A27" s="1015" t="s">
        <v>398</v>
      </c>
      <c r="B27" s="878" t="s">
        <v>900</v>
      </c>
      <c r="C27" s="781" t="s">
        <v>909</v>
      </c>
      <c r="D27" s="878" t="s">
        <v>147</v>
      </c>
      <c r="E27" s="1017"/>
      <c r="F27" s="1019">
        <v>1</v>
      </c>
      <c r="G27" s="126"/>
      <c r="H27" s="139">
        <f t="shared" si="4"/>
        <v>0</v>
      </c>
      <c r="I27" s="139"/>
      <c r="J27" s="779">
        <f t="shared" si="5"/>
        <v>0</v>
      </c>
      <c r="K27" s="779"/>
      <c r="L27" s="779">
        <f t="shared" si="6"/>
        <v>0</v>
      </c>
      <c r="M27" s="779">
        <f t="shared" si="7"/>
        <v>0</v>
      </c>
      <c r="N27" s="1014">
        <v>1</v>
      </c>
    </row>
    <row r="28" spans="1:14" s="318" customFormat="1" ht="78.75" x14ac:dyDescent="0.25">
      <c r="A28" s="1016"/>
      <c r="B28" s="895"/>
      <c r="C28" s="780" t="s">
        <v>910</v>
      </c>
      <c r="D28" s="895"/>
      <c r="E28" s="1018"/>
      <c r="F28" s="1020"/>
      <c r="G28" s="126"/>
      <c r="H28" s="139"/>
      <c r="I28" s="139"/>
      <c r="J28" s="779"/>
      <c r="K28" s="779"/>
      <c r="L28" s="779"/>
      <c r="M28" s="779"/>
      <c r="N28" s="1014"/>
    </row>
    <row r="29" spans="1:14" s="318" customFormat="1" ht="94.5" x14ac:dyDescent="0.25">
      <c r="A29" s="1015" t="s">
        <v>404</v>
      </c>
      <c r="B29" s="878" t="s">
        <v>900</v>
      </c>
      <c r="C29" s="781" t="s">
        <v>911</v>
      </c>
      <c r="D29" s="878" t="s">
        <v>147</v>
      </c>
      <c r="E29" s="1017"/>
      <c r="F29" s="1019">
        <v>1</v>
      </c>
      <c r="G29" s="126"/>
      <c r="H29" s="139">
        <f t="shared" si="4"/>
        <v>0</v>
      </c>
      <c r="I29" s="139"/>
      <c r="J29" s="779">
        <f t="shared" si="5"/>
        <v>0</v>
      </c>
      <c r="K29" s="779"/>
      <c r="L29" s="779">
        <f t="shared" si="6"/>
        <v>0</v>
      </c>
      <c r="M29" s="779">
        <f t="shared" si="7"/>
        <v>0</v>
      </c>
      <c r="N29" s="1014"/>
    </row>
    <row r="30" spans="1:14" s="318" customFormat="1" ht="78.75" x14ac:dyDescent="0.25">
      <c r="A30" s="1016"/>
      <c r="B30" s="895"/>
      <c r="C30" s="780" t="s">
        <v>912</v>
      </c>
      <c r="D30" s="895"/>
      <c r="E30" s="1018"/>
      <c r="F30" s="1020"/>
      <c r="G30" s="126"/>
      <c r="H30" s="139"/>
      <c r="I30" s="139"/>
      <c r="J30" s="779"/>
      <c r="K30" s="779"/>
      <c r="L30" s="779"/>
      <c r="M30" s="779"/>
      <c r="N30" s="1014"/>
    </row>
    <row r="31" spans="1:14" s="318" customFormat="1" ht="110.25" x14ac:dyDescent="0.25">
      <c r="A31" s="1015" t="s">
        <v>277</v>
      </c>
      <c r="B31" s="878" t="s">
        <v>900</v>
      </c>
      <c r="C31" s="92" t="s">
        <v>913</v>
      </c>
      <c r="D31" s="878" t="s">
        <v>147</v>
      </c>
      <c r="E31" s="1017"/>
      <c r="F31" s="1019">
        <v>1</v>
      </c>
      <c r="G31" s="126"/>
      <c r="H31" s="139">
        <f t="shared" si="4"/>
        <v>0</v>
      </c>
      <c r="I31" s="139"/>
      <c r="J31" s="779">
        <f t="shared" si="5"/>
        <v>0</v>
      </c>
      <c r="K31" s="779"/>
      <c r="L31" s="779">
        <f t="shared" si="6"/>
        <v>0</v>
      </c>
      <c r="M31" s="779">
        <f t="shared" si="7"/>
        <v>0</v>
      </c>
      <c r="N31" s="1014"/>
    </row>
    <row r="32" spans="1:14" s="318" customFormat="1" ht="78.75" x14ac:dyDescent="0.25">
      <c r="A32" s="1016"/>
      <c r="B32" s="895"/>
      <c r="C32" s="780" t="s">
        <v>914</v>
      </c>
      <c r="D32" s="895"/>
      <c r="E32" s="1018"/>
      <c r="F32" s="1020"/>
      <c r="G32" s="126"/>
      <c r="H32" s="139"/>
      <c r="I32" s="139"/>
      <c r="J32" s="779"/>
      <c r="K32" s="779"/>
      <c r="L32" s="779"/>
      <c r="M32" s="779"/>
      <c r="N32" s="1014"/>
    </row>
    <row r="33" spans="1:14" s="318" customFormat="1" ht="94.5" x14ac:dyDescent="0.25">
      <c r="A33" s="1015" t="s">
        <v>90</v>
      </c>
      <c r="B33" s="878" t="s">
        <v>900</v>
      </c>
      <c r="C33" s="782" t="s">
        <v>915</v>
      </c>
      <c r="D33" s="878" t="s">
        <v>147</v>
      </c>
      <c r="E33" s="1017"/>
      <c r="F33" s="1019">
        <v>1</v>
      </c>
      <c r="G33" s="126"/>
      <c r="H33" s="139">
        <f t="shared" si="4"/>
        <v>0</v>
      </c>
      <c r="I33" s="139"/>
      <c r="J33" s="779">
        <f t="shared" si="5"/>
        <v>0</v>
      </c>
      <c r="K33" s="779"/>
      <c r="L33" s="779">
        <f t="shared" si="6"/>
        <v>0</v>
      </c>
      <c r="M33" s="779">
        <f t="shared" si="7"/>
        <v>0</v>
      </c>
      <c r="N33" s="1014"/>
    </row>
    <row r="34" spans="1:14" s="318" customFormat="1" ht="78.75" x14ac:dyDescent="0.25">
      <c r="A34" s="1016"/>
      <c r="B34" s="895"/>
      <c r="C34" s="783" t="s">
        <v>916</v>
      </c>
      <c r="D34" s="895"/>
      <c r="E34" s="1018"/>
      <c r="F34" s="1020"/>
      <c r="G34" s="126"/>
      <c r="H34" s="139"/>
      <c r="I34" s="139"/>
      <c r="J34" s="779"/>
      <c r="K34" s="779"/>
      <c r="L34" s="779"/>
      <c r="M34" s="779"/>
      <c r="N34" s="1014"/>
    </row>
    <row r="35" spans="1:14" s="318" customFormat="1" ht="110.25" x14ac:dyDescent="0.25">
      <c r="A35" s="1015" t="s">
        <v>104</v>
      </c>
      <c r="B35" s="878" t="s">
        <v>900</v>
      </c>
      <c r="C35" s="782" t="s">
        <v>917</v>
      </c>
      <c r="D35" s="878" t="s">
        <v>147</v>
      </c>
      <c r="E35" s="1017"/>
      <c r="F35" s="1019">
        <v>1</v>
      </c>
      <c r="G35" s="126"/>
      <c r="H35" s="139">
        <f t="shared" si="4"/>
        <v>0</v>
      </c>
      <c r="I35" s="139"/>
      <c r="J35" s="779">
        <f t="shared" si="5"/>
        <v>0</v>
      </c>
      <c r="K35" s="779"/>
      <c r="L35" s="779">
        <f t="shared" si="6"/>
        <v>0</v>
      </c>
      <c r="M35" s="779">
        <f t="shared" si="7"/>
        <v>0</v>
      </c>
      <c r="N35" s="1014"/>
    </row>
    <row r="36" spans="1:14" s="318" customFormat="1" ht="78.75" x14ac:dyDescent="0.25">
      <c r="A36" s="1016"/>
      <c r="B36" s="895"/>
      <c r="C36" s="783" t="s">
        <v>918</v>
      </c>
      <c r="D36" s="895"/>
      <c r="E36" s="1018"/>
      <c r="F36" s="1020"/>
      <c r="G36" s="126"/>
      <c r="H36" s="139"/>
      <c r="I36" s="139"/>
      <c r="J36" s="779"/>
      <c r="K36" s="779"/>
      <c r="L36" s="779"/>
      <c r="M36" s="779"/>
      <c r="N36" s="1014"/>
    </row>
    <row r="37" spans="1:14" s="318" customFormat="1" ht="110.25" x14ac:dyDescent="0.25">
      <c r="A37" s="1015" t="s">
        <v>114</v>
      </c>
      <c r="B37" s="878" t="s">
        <v>900</v>
      </c>
      <c r="C37" s="782" t="s">
        <v>919</v>
      </c>
      <c r="D37" s="878" t="s">
        <v>147</v>
      </c>
      <c r="E37" s="1017"/>
      <c r="F37" s="1019">
        <v>1</v>
      </c>
      <c r="G37" s="126"/>
      <c r="H37" s="139">
        <f t="shared" si="4"/>
        <v>0</v>
      </c>
      <c r="I37" s="139"/>
      <c r="J37" s="779">
        <f t="shared" si="5"/>
        <v>0</v>
      </c>
      <c r="K37" s="779"/>
      <c r="L37" s="779">
        <f t="shared" si="6"/>
        <v>0</v>
      </c>
      <c r="M37" s="779">
        <f t="shared" si="7"/>
        <v>0</v>
      </c>
      <c r="N37" s="1014"/>
    </row>
    <row r="38" spans="1:14" s="318" customFormat="1" ht="78.75" x14ac:dyDescent="0.25">
      <c r="A38" s="1016"/>
      <c r="B38" s="895"/>
      <c r="C38" s="783" t="s">
        <v>920</v>
      </c>
      <c r="D38" s="895"/>
      <c r="E38" s="1018"/>
      <c r="F38" s="1020"/>
      <c r="G38" s="126"/>
      <c r="H38" s="139"/>
      <c r="I38" s="139"/>
      <c r="J38" s="779"/>
      <c r="K38" s="779"/>
      <c r="L38" s="779"/>
      <c r="M38" s="779"/>
      <c r="N38" s="1014"/>
    </row>
    <row r="39" spans="1:14" s="318" customFormat="1" ht="15.75" x14ac:dyDescent="0.25">
      <c r="A39" s="45"/>
      <c r="B39" s="45"/>
      <c r="C39" s="257"/>
      <c r="D39" s="110"/>
      <c r="E39" s="47"/>
      <c r="F39" s="47"/>
      <c r="G39" s="48"/>
      <c r="H39" s="48"/>
      <c r="I39" s="48"/>
      <c r="J39" s="48"/>
      <c r="K39" s="48"/>
      <c r="L39" s="48"/>
      <c r="M39" s="48"/>
    </row>
    <row r="40" spans="1:14" s="318" customFormat="1" ht="15.75" x14ac:dyDescent="0.25">
      <c r="A40" s="45"/>
      <c r="B40" s="45"/>
      <c r="C40" s="257"/>
      <c r="D40" s="110"/>
      <c r="E40" s="47"/>
      <c r="F40" s="47"/>
      <c r="G40" s="48"/>
      <c r="H40" s="48"/>
      <c r="I40" s="48"/>
      <c r="J40" s="48"/>
      <c r="K40" s="48"/>
      <c r="L40" s="48"/>
      <c r="M40" s="48"/>
    </row>
    <row r="41" spans="1:14" s="318" customFormat="1" ht="31.5" x14ac:dyDescent="0.25">
      <c r="A41" s="578"/>
      <c r="B41" s="578"/>
      <c r="C41" s="577" t="s">
        <v>800</v>
      </c>
      <c r="D41" s="578"/>
      <c r="E41" s="579"/>
      <c r="F41" s="579"/>
      <c r="G41" s="667"/>
      <c r="H41" s="667">
        <f>SUM(H10:H40)</f>
        <v>0</v>
      </c>
      <c r="I41" s="667"/>
      <c r="J41" s="667">
        <f>SUM(J10:J40)</f>
        <v>0</v>
      </c>
      <c r="K41" s="667"/>
      <c r="L41" s="667">
        <f>SUM(L10:L40)</f>
        <v>0</v>
      </c>
      <c r="M41" s="667">
        <f t="shared" si="0"/>
        <v>0</v>
      </c>
    </row>
    <row r="42" spans="1:14" s="318" customFormat="1" ht="63" x14ac:dyDescent="0.25">
      <c r="A42" s="45"/>
      <c r="B42" s="117"/>
      <c r="C42" s="668" t="s">
        <v>801</v>
      </c>
      <c r="D42" s="384"/>
      <c r="E42" s="243"/>
      <c r="F42" s="669"/>
      <c r="G42" s="670"/>
      <c r="H42" s="670"/>
      <c r="I42" s="670"/>
      <c r="J42" s="670"/>
      <c r="K42" s="670"/>
      <c r="L42" s="670"/>
      <c r="M42" s="670">
        <f>H41*F42</f>
        <v>0</v>
      </c>
    </row>
    <row r="43" spans="1:14" s="318" customFormat="1" ht="15.75" x14ac:dyDescent="0.25">
      <c r="A43" s="45"/>
      <c r="B43" s="117"/>
      <c r="C43" s="671"/>
      <c r="D43" s="384"/>
      <c r="E43" s="243"/>
      <c r="F43" s="243"/>
      <c r="G43" s="670"/>
      <c r="H43" s="670"/>
      <c r="I43" s="670"/>
      <c r="J43" s="670"/>
      <c r="K43" s="670"/>
      <c r="L43" s="670"/>
      <c r="M43" s="670"/>
    </row>
    <row r="44" spans="1:14" s="318" customFormat="1" ht="40.5" x14ac:dyDescent="0.25">
      <c r="A44" s="45"/>
      <c r="B44" s="45"/>
      <c r="C44" s="45" t="s">
        <v>921</v>
      </c>
      <c r="D44" s="45"/>
      <c r="E44" s="47"/>
      <c r="F44" s="762"/>
      <c r="G44" s="48"/>
      <c r="H44" s="48"/>
      <c r="I44" s="48"/>
      <c r="J44" s="48"/>
      <c r="K44" s="398"/>
      <c r="L44" s="48"/>
      <c r="M44" s="48">
        <f>J41*F44</f>
        <v>0</v>
      </c>
    </row>
    <row r="45" spans="1:14" s="318" customFormat="1" ht="15.75" x14ac:dyDescent="0.25">
      <c r="A45" s="45"/>
      <c r="B45" s="45"/>
      <c r="C45" s="403"/>
      <c r="D45" s="45"/>
      <c r="E45" s="47"/>
      <c r="F45" s="88"/>
      <c r="G45" s="48"/>
      <c r="H45" s="48"/>
      <c r="I45" s="48"/>
      <c r="J45" s="48" t="s">
        <v>41</v>
      </c>
      <c r="K45" s="48"/>
      <c r="L45" s="48"/>
      <c r="M45" s="48">
        <f>M41+M42</f>
        <v>0</v>
      </c>
    </row>
    <row r="46" spans="1:14" s="318" customFormat="1" ht="15.75" x14ac:dyDescent="0.25">
      <c r="A46" s="45"/>
      <c r="B46" s="45"/>
      <c r="C46" s="403" t="s">
        <v>237</v>
      </c>
      <c r="D46" s="45"/>
      <c r="E46" s="47"/>
      <c r="F46" s="762"/>
      <c r="G46" s="48"/>
      <c r="H46" s="48"/>
      <c r="I46" s="48"/>
      <c r="J46" s="48"/>
      <c r="K46" s="48"/>
      <c r="L46" s="48"/>
      <c r="M46" s="48">
        <f>(M45-H41)*F46</f>
        <v>0</v>
      </c>
    </row>
    <row r="47" spans="1:14" s="318" customFormat="1" ht="31.5" x14ac:dyDescent="0.25">
      <c r="A47" s="749"/>
      <c r="B47" s="681"/>
      <c r="C47" s="577" t="s">
        <v>922</v>
      </c>
      <c r="D47" s="681"/>
      <c r="E47" s="682"/>
      <c r="F47" s="751"/>
      <c r="G47" s="683"/>
      <c r="H47" s="683"/>
      <c r="I47" s="683"/>
      <c r="J47" s="683" t="s">
        <v>41</v>
      </c>
      <c r="K47" s="683"/>
      <c r="L47" s="683"/>
      <c r="M47" s="683">
        <f>M45+M46</f>
        <v>0</v>
      </c>
    </row>
    <row r="48" spans="1:14" s="318" customFormat="1" ht="31.5" x14ac:dyDescent="0.25">
      <c r="A48" s="38"/>
      <c r="B48" s="45"/>
      <c r="C48" s="44" t="s">
        <v>4</v>
      </c>
      <c r="D48" s="38"/>
      <c r="E48" s="47"/>
      <c r="F48" s="752" t="s">
        <v>167</v>
      </c>
      <c r="G48" s="48"/>
      <c r="H48" s="48"/>
      <c r="I48" s="48"/>
      <c r="J48" s="48"/>
      <c r="K48" s="48"/>
      <c r="L48" s="48"/>
      <c r="M48" s="48">
        <f>M47*F48</f>
        <v>0</v>
      </c>
    </row>
    <row r="49" spans="1:13" s="318" customFormat="1" ht="15.75" x14ac:dyDescent="0.25">
      <c r="A49" s="38"/>
      <c r="B49" s="45"/>
      <c r="C49" s="44"/>
      <c r="D49" s="38"/>
      <c r="E49" s="47"/>
      <c r="F49" s="257"/>
      <c r="G49" s="48"/>
      <c r="H49" s="48"/>
      <c r="I49" s="48"/>
      <c r="J49" s="48"/>
      <c r="K49" s="48"/>
      <c r="L49" s="48"/>
      <c r="M49" s="48">
        <f>M47+M48</f>
        <v>0</v>
      </c>
    </row>
    <row r="50" spans="1:13" s="318" customFormat="1" ht="15.75" x14ac:dyDescent="0.25">
      <c r="A50" s="38"/>
      <c r="B50" s="45"/>
      <c r="C50" s="44"/>
      <c r="D50" s="38"/>
      <c r="E50" s="47"/>
      <c r="F50" s="752" t="s">
        <v>169</v>
      </c>
      <c r="G50" s="48"/>
      <c r="H50" s="48"/>
      <c r="I50" s="48"/>
      <c r="J50" s="48"/>
      <c r="K50" s="48"/>
      <c r="L50" s="48"/>
      <c r="M50" s="48">
        <f>M49*F50</f>
        <v>0</v>
      </c>
    </row>
    <row r="51" spans="1:13" s="318" customFormat="1" ht="31.5" x14ac:dyDescent="0.25">
      <c r="A51" s="578"/>
      <c r="B51" s="576"/>
      <c r="C51" s="577" t="s">
        <v>922</v>
      </c>
      <c r="D51" s="578"/>
      <c r="E51" s="648"/>
      <c r="F51" s="577"/>
      <c r="G51" s="685"/>
      <c r="H51" s="685"/>
      <c r="I51" s="685"/>
      <c r="J51" s="685"/>
      <c r="K51" s="685"/>
      <c r="L51" s="685"/>
      <c r="M51" s="395">
        <f>M49+M50</f>
        <v>0</v>
      </c>
    </row>
    <row r="52" spans="1:13" s="318" customFormat="1" ht="15.75" x14ac:dyDescent="0.25">
      <c r="A52" s="399"/>
      <c r="B52" s="399"/>
      <c r="C52" s="691"/>
      <c r="D52" s="399"/>
      <c r="E52" s="693"/>
      <c r="F52" s="693"/>
      <c r="G52" s="402"/>
      <c r="H52" s="402"/>
      <c r="I52" s="402"/>
      <c r="J52" s="402"/>
      <c r="K52" s="402"/>
      <c r="L52" s="402"/>
      <c r="M52" s="402"/>
    </row>
    <row r="53" spans="1:13" s="318" customFormat="1" ht="15.75" x14ac:dyDescent="0.25">
      <c r="A53" s="399"/>
      <c r="B53" s="399"/>
      <c r="C53" s="691"/>
      <c r="D53" s="399"/>
      <c r="E53" s="693"/>
      <c r="F53" s="693"/>
      <c r="G53" s="402"/>
      <c r="H53" s="402"/>
      <c r="I53" s="402"/>
      <c r="J53" s="402"/>
      <c r="K53" s="402"/>
      <c r="L53" s="402"/>
      <c r="M53" s="402"/>
    </row>
    <row r="54" spans="1:13" s="318" customFormat="1" ht="15.75" x14ac:dyDescent="0.25">
      <c r="A54" s="399"/>
      <c r="B54" s="472"/>
      <c r="C54" s="784"/>
      <c r="D54" s="785"/>
      <c r="E54" s="786"/>
      <c r="F54" s="693"/>
      <c r="G54" s="402"/>
      <c r="H54" s="402"/>
      <c r="I54" s="402"/>
      <c r="J54" s="402"/>
      <c r="K54" s="402"/>
      <c r="L54" s="402"/>
      <c r="M54" s="402"/>
    </row>
  </sheetData>
  <mergeCells count="74">
    <mergeCell ref="A1:M1"/>
    <mergeCell ref="A2:M2"/>
    <mergeCell ref="A3:M3"/>
    <mergeCell ref="A5:M5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M8"/>
    <mergeCell ref="N19:N20"/>
    <mergeCell ref="A21:A22"/>
    <mergeCell ref="B21:B22"/>
    <mergeCell ref="D21:D22"/>
    <mergeCell ref="E21:E22"/>
    <mergeCell ref="F21:F22"/>
    <mergeCell ref="N21:N22"/>
    <mergeCell ref="A19:A20"/>
    <mergeCell ref="B19:B20"/>
    <mergeCell ref="D19:D20"/>
    <mergeCell ref="E19:E20"/>
    <mergeCell ref="F19:F20"/>
    <mergeCell ref="N25:N26"/>
    <mergeCell ref="A23:A24"/>
    <mergeCell ref="B23:B24"/>
    <mergeCell ref="D23:D24"/>
    <mergeCell ref="E23:E24"/>
    <mergeCell ref="F23:F24"/>
    <mergeCell ref="N23:N24"/>
    <mergeCell ref="A25:A26"/>
    <mergeCell ref="B25:B26"/>
    <mergeCell ref="D25:D26"/>
    <mergeCell ref="E25:E26"/>
    <mergeCell ref="F25:F26"/>
    <mergeCell ref="N29:N30"/>
    <mergeCell ref="A27:A28"/>
    <mergeCell ref="B27:B28"/>
    <mergeCell ref="D27:D28"/>
    <mergeCell ref="E27:E28"/>
    <mergeCell ref="F27:F28"/>
    <mergeCell ref="N27:N28"/>
    <mergeCell ref="A29:A30"/>
    <mergeCell ref="B29:B30"/>
    <mergeCell ref="D29:D30"/>
    <mergeCell ref="E29:E30"/>
    <mergeCell ref="F29:F30"/>
    <mergeCell ref="N33:N34"/>
    <mergeCell ref="A31:A32"/>
    <mergeCell ref="B31:B32"/>
    <mergeCell ref="D31:D32"/>
    <mergeCell ref="E31:E32"/>
    <mergeCell ref="F31:F32"/>
    <mergeCell ref="N31:N32"/>
    <mergeCell ref="A33:A34"/>
    <mergeCell ref="B33:B34"/>
    <mergeCell ref="D33:D34"/>
    <mergeCell ref="E33:E34"/>
    <mergeCell ref="F33:F34"/>
    <mergeCell ref="N37:N38"/>
    <mergeCell ref="A35:A36"/>
    <mergeCell ref="B35:B36"/>
    <mergeCell ref="D35:D36"/>
    <mergeCell ref="E35:E36"/>
    <mergeCell ref="F35:F36"/>
    <mergeCell ref="N35:N36"/>
    <mergeCell ref="A37:A38"/>
    <mergeCell ref="B37:B38"/>
    <mergeCell ref="D37:D38"/>
    <mergeCell ref="E37:E38"/>
    <mergeCell ref="F37:F38"/>
  </mergeCells>
  <pageMargins left="0.70866141732283472" right="0.35" top="0.39" bottom="0.45" header="0.31496062992125984" footer="0.31496062992125984"/>
  <pageSetup paperSize="9" orientation="landscape" horizontalDpi="1200" verticalDpi="1200" r:id="rId1"/>
  <headerFooter>
    <oddHeader>&amp;R&amp;P--&amp;N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47"/>
  <sheetViews>
    <sheetView topLeftCell="A13" zoomScaleNormal="100" workbookViewId="0">
      <selection activeCell="M27" sqref="M27"/>
    </sheetView>
  </sheetViews>
  <sheetFormatPr defaultColWidth="8.85546875" defaultRowHeight="16.5" x14ac:dyDescent="0.25"/>
  <cols>
    <col min="1" max="1" width="5.42578125" style="7" customWidth="1"/>
    <col min="2" max="2" width="8.140625" style="8" customWidth="1"/>
    <col min="3" max="3" width="29.85546875" style="13" customWidth="1"/>
    <col min="4" max="4" width="6.7109375" style="8" customWidth="1"/>
    <col min="5" max="5" width="10.7109375" style="11" customWidth="1"/>
    <col min="6" max="6" width="8.85546875" style="11" customWidth="1"/>
    <col min="7" max="7" width="9.140625" style="9" customWidth="1"/>
    <col min="8" max="8" width="11.42578125" style="9" customWidth="1"/>
    <col min="9" max="9" width="7.5703125" style="9" customWidth="1"/>
    <col min="10" max="10" width="11.42578125" style="9" customWidth="1"/>
    <col min="11" max="11" width="6.5703125" style="9" customWidth="1"/>
    <col min="12" max="12" width="11.42578125" style="9" customWidth="1"/>
    <col min="13" max="13" width="12" style="9" customWidth="1"/>
    <col min="14" max="14" width="0.140625" style="2" customWidth="1"/>
    <col min="15" max="15" width="39.42578125" style="2" customWidth="1"/>
    <col min="16" max="16" width="23.5703125" style="2" customWidth="1"/>
    <col min="17" max="17" width="30.7109375" style="2" customWidth="1"/>
    <col min="18" max="16384" width="8.85546875" style="2"/>
  </cols>
  <sheetData>
    <row r="1" spans="1:13" s="4" customFormat="1" ht="45.75" customHeight="1" x14ac:dyDescent="0.25">
      <c r="A1" s="882" t="str">
        <f>krebsiti!A3</f>
        <v>dmanisis municipalitetis sofel javaxSi sportuli moednis, sazogadoebrivi daniSnulebis reteratisa da skveris mowyobis samuSaoebi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</row>
    <row r="2" spans="1:13" s="4" customFormat="1" ht="28.5" customHeight="1" x14ac:dyDescent="0.25">
      <c r="A2" s="886" t="s">
        <v>31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3" s="4" customFormat="1" x14ac:dyDescent="0.25">
      <c r="A3" s="885" t="s">
        <v>32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</row>
    <row r="4" spans="1:13" s="4" customFormat="1" ht="12" customHeight="1" x14ac:dyDescent="0.25">
      <c r="A4" s="21"/>
      <c r="B4" s="21"/>
      <c r="C4" s="22"/>
      <c r="D4" s="21"/>
      <c r="E4" s="23"/>
      <c r="F4" s="24"/>
      <c r="G4" s="25"/>
      <c r="H4" s="25"/>
      <c r="I4" s="25"/>
      <c r="J4" s="25"/>
      <c r="K4" s="25"/>
      <c r="L4" s="25"/>
      <c r="M4" s="25"/>
    </row>
    <row r="5" spans="1:13" s="4" customFormat="1" x14ac:dyDescent="0.25">
      <c r="A5" s="885" t="s">
        <v>33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</row>
    <row r="6" spans="1:13" s="4" customFormat="1" ht="12" customHeight="1" x14ac:dyDescent="0.25">
      <c r="A6" s="21"/>
      <c r="B6" s="21"/>
      <c r="C6" s="22"/>
      <c r="D6" s="21"/>
      <c r="E6" s="23"/>
      <c r="F6" s="24"/>
      <c r="G6" s="25"/>
      <c r="H6" s="25"/>
      <c r="I6" s="25"/>
      <c r="J6" s="25"/>
      <c r="K6" s="25"/>
      <c r="L6" s="25"/>
      <c r="M6" s="25"/>
    </row>
    <row r="7" spans="1:13" s="4" customFormat="1" ht="39.6" customHeight="1" x14ac:dyDescent="0.25">
      <c r="A7" s="887" t="s">
        <v>0</v>
      </c>
      <c r="B7" s="887" t="s">
        <v>34</v>
      </c>
      <c r="C7" s="888" t="s">
        <v>1</v>
      </c>
      <c r="D7" s="887" t="s">
        <v>2</v>
      </c>
      <c r="E7" s="868" t="s">
        <v>35</v>
      </c>
      <c r="F7" s="868"/>
      <c r="G7" s="875" t="s">
        <v>36</v>
      </c>
      <c r="H7" s="875"/>
      <c r="I7" s="875" t="s">
        <v>37</v>
      </c>
      <c r="J7" s="875"/>
      <c r="K7" s="890" t="s">
        <v>38</v>
      </c>
      <c r="L7" s="891"/>
      <c r="M7" s="875" t="s">
        <v>39</v>
      </c>
    </row>
    <row r="8" spans="1:13" s="4" customFormat="1" ht="47.25" x14ac:dyDescent="0.25">
      <c r="A8" s="887"/>
      <c r="B8" s="887"/>
      <c r="C8" s="889"/>
      <c r="D8" s="887"/>
      <c r="E8" s="3" t="s">
        <v>16</v>
      </c>
      <c r="F8" s="19" t="s">
        <v>6</v>
      </c>
      <c r="G8" s="26" t="s">
        <v>40</v>
      </c>
      <c r="H8" s="26" t="s">
        <v>41</v>
      </c>
      <c r="I8" s="26" t="s">
        <v>40</v>
      </c>
      <c r="J8" s="26" t="s">
        <v>41</v>
      </c>
      <c r="K8" s="26" t="s">
        <v>40</v>
      </c>
      <c r="L8" s="26" t="s">
        <v>41</v>
      </c>
      <c r="M8" s="875"/>
    </row>
    <row r="9" spans="1:13" s="4" customFormat="1" x14ac:dyDescent="0.25">
      <c r="A9" s="27">
        <v>1</v>
      </c>
      <c r="B9" s="27">
        <v>2</v>
      </c>
      <c r="C9" s="28">
        <v>3</v>
      </c>
      <c r="D9" s="27">
        <v>4</v>
      </c>
      <c r="E9" s="3">
        <v>5</v>
      </c>
      <c r="F9" s="19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</row>
    <row r="10" spans="1:13" s="5" customFormat="1" ht="31.5" x14ac:dyDescent="0.25">
      <c r="A10" s="29" t="s">
        <v>42</v>
      </c>
      <c r="B10" s="29"/>
      <c r="C10" s="30" t="s">
        <v>33</v>
      </c>
      <c r="D10" s="29"/>
      <c r="E10" s="31"/>
      <c r="F10" s="32"/>
      <c r="G10" s="33"/>
      <c r="H10" s="33"/>
      <c r="I10" s="33"/>
      <c r="J10" s="33"/>
      <c r="K10" s="33"/>
      <c r="L10" s="33"/>
      <c r="M10" s="33"/>
    </row>
    <row r="11" spans="1:13" s="5" customFormat="1" ht="63" x14ac:dyDescent="0.25">
      <c r="A11" s="34"/>
      <c r="B11" s="34"/>
      <c r="C11" s="35" t="s">
        <v>43</v>
      </c>
      <c r="D11" s="34"/>
      <c r="E11" s="36"/>
      <c r="F11" s="37"/>
      <c r="G11" s="33"/>
      <c r="H11" s="33"/>
      <c r="I11" s="33"/>
      <c r="J11" s="33"/>
      <c r="K11" s="33"/>
      <c r="L11" s="33"/>
      <c r="M11" s="33"/>
    </row>
    <row r="12" spans="1:13" s="43" customFormat="1" ht="78.75" x14ac:dyDescent="0.25">
      <c r="A12" s="883">
        <v>1</v>
      </c>
      <c r="B12" s="38" t="s">
        <v>44</v>
      </c>
      <c r="C12" s="39" t="s">
        <v>45</v>
      </c>
      <c r="D12" s="38" t="s">
        <v>46</v>
      </c>
      <c r="E12" s="40"/>
      <c r="F12" s="41">
        <f>50*25</f>
        <v>1250</v>
      </c>
      <c r="G12" s="42"/>
      <c r="H12" s="33"/>
      <c r="I12" s="42"/>
      <c r="J12" s="33"/>
      <c r="K12" s="42"/>
      <c r="L12" s="33"/>
      <c r="M12" s="33"/>
    </row>
    <row r="13" spans="1:13" s="43" customFormat="1" ht="15.75" x14ac:dyDescent="0.25">
      <c r="A13" s="883"/>
      <c r="B13" s="38"/>
      <c r="C13" s="44" t="s">
        <v>17</v>
      </c>
      <c r="D13" s="45" t="s">
        <v>18</v>
      </c>
      <c r="E13" s="46">
        <v>3.2099999999999997E-2</v>
      </c>
      <c r="F13" s="47">
        <f>E13*F12</f>
        <v>40.124999999999993</v>
      </c>
      <c r="G13" s="48"/>
      <c r="H13" s="33"/>
      <c r="I13" s="48"/>
      <c r="J13" s="33">
        <f t="shared" ref="J13:J28" si="0">F13*I13</f>
        <v>0</v>
      </c>
      <c r="K13" s="48"/>
      <c r="L13" s="33"/>
      <c r="M13" s="33">
        <f t="shared" ref="M13:M31" si="1">H13+J13+L13</f>
        <v>0</v>
      </c>
    </row>
    <row r="14" spans="1:13" s="43" customFormat="1" ht="31.5" x14ac:dyDescent="0.25">
      <c r="A14" s="883"/>
      <c r="B14" s="38" t="s">
        <v>47</v>
      </c>
      <c r="C14" s="44" t="s">
        <v>48</v>
      </c>
      <c r="D14" s="45" t="s">
        <v>19</v>
      </c>
      <c r="E14" s="46">
        <v>2.65E-3</v>
      </c>
      <c r="F14" s="47">
        <f>E14*F12</f>
        <v>3.3125</v>
      </c>
      <c r="G14" s="48"/>
      <c r="H14" s="33"/>
      <c r="I14" s="48"/>
      <c r="J14" s="33"/>
      <c r="K14" s="48"/>
      <c r="L14" s="33">
        <f t="shared" ref="L14:L29" si="2">F14*K14</f>
        <v>0</v>
      </c>
      <c r="M14" s="33">
        <f t="shared" si="1"/>
        <v>0</v>
      </c>
    </row>
    <row r="15" spans="1:13" s="43" customFormat="1" ht="31.5" x14ac:dyDescent="0.25">
      <c r="A15" s="883"/>
      <c r="B15" s="38" t="s">
        <v>49</v>
      </c>
      <c r="C15" s="44" t="s">
        <v>50</v>
      </c>
      <c r="D15" s="45" t="s">
        <v>19</v>
      </c>
      <c r="E15" s="46">
        <v>6.1599999999999997E-3</v>
      </c>
      <c r="F15" s="47">
        <f>E15*F12</f>
        <v>7.6999999999999993</v>
      </c>
      <c r="G15" s="48"/>
      <c r="H15" s="33"/>
      <c r="I15" s="48"/>
      <c r="J15" s="33"/>
      <c r="K15" s="48"/>
      <c r="L15" s="33">
        <f t="shared" si="2"/>
        <v>0</v>
      </c>
      <c r="M15" s="33">
        <f t="shared" si="1"/>
        <v>0</v>
      </c>
    </row>
    <row r="16" spans="1:13" s="43" customFormat="1" ht="31.5" x14ac:dyDescent="0.25">
      <c r="A16" s="883"/>
      <c r="B16" s="38" t="s">
        <v>51</v>
      </c>
      <c r="C16" s="44" t="s">
        <v>52</v>
      </c>
      <c r="D16" s="45" t="s">
        <v>19</v>
      </c>
      <c r="E16" s="46">
        <v>4.5300000000000002E-3</v>
      </c>
      <c r="F16" s="47">
        <f>E16*F12</f>
        <v>5.6625000000000005</v>
      </c>
      <c r="G16" s="48"/>
      <c r="H16" s="33"/>
      <c r="I16" s="48"/>
      <c r="J16" s="33"/>
      <c r="K16" s="48"/>
      <c r="L16" s="33">
        <f t="shared" si="2"/>
        <v>0</v>
      </c>
      <c r="M16" s="33">
        <f t="shared" si="1"/>
        <v>0</v>
      </c>
    </row>
    <row r="17" spans="1:18" s="43" customFormat="1" ht="31.5" x14ac:dyDescent="0.25">
      <c r="A17" s="883"/>
      <c r="B17" s="38" t="s">
        <v>53</v>
      </c>
      <c r="C17" s="44" t="s">
        <v>54</v>
      </c>
      <c r="D17" s="45" t="s">
        <v>19</v>
      </c>
      <c r="E17" s="46">
        <v>7.1000000000000002E-4</v>
      </c>
      <c r="F17" s="47">
        <f>E17*F12</f>
        <v>0.88750000000000007</v>
      </c>
      <c r="G17" s="48"/>
      <c r="H17" s="33"/>
      <c r="I17" s="48"/>
      <c r="J17" s="33"/>
      <c r="K17" s="48"/>
      <c r="L17" s="33">
        <f t="shared" si="2"/>
        <v>0</v>
      </c>
      <c r="M17" s="33">
        <f t="shared" si="1"/>
        <v>0</v>
      </c>
    </row>
    <row r="18" spans="1:18" s="43" customFormat="1" ht="31.5" x14ac:dyDescent="0.25">
      <c r="A18" s="883"/>
      <c r="B18" s="38" t="s">
        <v>55</v>
      </c>
      <c r="C18" s="44" t="s">
        <v>56</v>
      </c>
      <c r="D18" s="45" t="s">
        <v>19</v>
      </c>
      <c r="E18" s="46">
        <v>2.0699999999999998E-3</v>
      </c>
      <c r="F18" s="47">
        <f>E18*F12</f>
        <v>2.5874999999999999</v>
      </c>
      <c r="G18" s="48"/>
      <c r="H18" s="33"/>
      <c r="I18" s="48"/>
      <c r="J18" s="33"/>
      <c r="K18" s="48"/>
      <c r="L18" s="33">
        <f t="shared" si="2"/>
        <v>0</v>
      </c>
      <c r="M18" s="33">
        <f t="shared" si="1"/>
        <v>0</v>
      </c>
    </row>
    <row r="19" spans="1:18" s="43" customFormat="1" ht="15.75" x14ac:dyDescent="0.25">
      <c r="A19" s="883"/>
      <c r="B19" s="38"/>
      <c r="C19" s="49" t="s">
        <v>8</v>
      </c>
      <c r="D19" s="50" t="s">
        <v>7</v>
      </c>
      <c r="E19" s="46">
        <v>1.0200000000000001E-3</v>
      </c>
      <c r="F19" s="47">
        <f>E19*F12</f>
        <v>1.2750000000000001</v>
      </c>
      <c r="G19" s="48"/>
      <c r="H19" s="33"/>
      <c r="I19" s="48"/>
      <c r="J19" s="33"/>
      <c r="K19" s="48"/>
      <c r="L19" s="33">
        <f t="shared" si="2"/>
        <v>0</v>
      </c>
      <c r="M19" s="33">
        <f t="shared" si="1"/>
        <v>0</v>
      </c>
    </row>
    <row r="20" spans="1:18" s="43" customFormat="1" ht="78.75" x14ac:dyDescent="0.25">
      <c r="A20" s="884">
        <v>2</v>
      </c>
      <c r="B20" s="38" t="s">
        <v>57</v>
      </c>
      <c r="C20" s="39" t="s">
        <v>58</v>
      </c>
      <c r="D20" s="38" t="s">
        <v>59</v>
      </c>
      <c r="E20" s="46"/>
      <c r="F20" s="41">
        <f>40.3*23.3*0.15+0.5*0.5*0.85*(52)</f>
        <v>151.89850000000001</v>
      </c>
      <c r="G20" s="42"/>
      <c r="H20" s="33"/>
      <c r="I20" s="42"/>
      <c r="J20" s="33"/>
      <c r="K20" s="42"/>
      <c r="L20" s="865"/>
      <c r="M20" s="865"/>
      <c r="P20" s="33"/>
      <c r="Q20" s="33"/>
      <c r="R20" s="51" t="s">
        <v>60</v>
      </c>
    </row>
    <row r="21" spans="1:18" s="43" customFormat="1" ht="15.75" x14ac:dyDescent="0.25">
      <c r="A21" s="884"/>
      <c r="B21" s="38"/>
      <c r="C21" s="44" t="s">
        <v>17</v>
      </c>
      <c r="D21" s="45" t="s">
        <v>18</v>
      </c>
      <c r="E21" s="46">
        <f>20*0.001</f>
        <v>0.02</v>
      </c>
      <c r="F21" s="47">
        <v>49.4</v>
      </c>
      <c r="G21" s="48"/>
      <c r="H21" s="33"/>
      <c r="I21" s="48">
        <v>0</v>
      </c>
      <c r="J21" s="33">
        <f t="shared" si="0"/>
        <v>0</v>
      </c>
      <c r="K21" s="48"/>
      <c r="L21" s="33"/>
      <c r="M21" s="33">
        <f t="shared" si="1"/>
        <v>0</v>
      </c>
    </row>
    <row r="22" spans="1:18" s="43" customFormat="1" ht="18" x14ac:dyDescent="0.25">
      <c r="A22" s="884"/>
      <c r="B22" s="38" t="s">
        <v>61</v>
      </c>
      <c r="C22" s="44" t="s">
        <v>62</v>
      </c>
      <c r="D22" s="45" t="s">
        <v>19</v>
      </c>
      <c r="E22" s="46">
        <f>44.8*0.001</f>
        <v>4.48E-2</v>
      </c>
      <c r="F22" s="47">
        <v>4.3</v>
      </c>
      <c r="G22" s="48"/>
      <c r="H22" s="48"/>
      <c r="I22" s="48"/>
      <c r="J22" s="48"/>
      <c r="K22" s="48"/>
      <c r="L22" s="33">
        <f t="shared" si="2"/>
        <v>0</v>
      </c>
      <c r="M22" s="33">
        <f t="shared" si="1"/>
        <v>0</v>
      </c>
    </row>
    <row r="23" spans="1:18" s="43" customFormat="1" ht="15.75" x14ac:dyDescent="0.25">
      <c r="A23" s="884"/>
      <c r="B23" s="52"/>
      <c r="C23" s="44" t="s">
        <v>63</v>
      </c>
      <c r="D23" s="45" t="s">
        <v>59</v>
      </c>
      <c r="E23" s="46">
        <f>0.05*0.001</f>
        <v>5.0000000000000002E-5</v>
      </c>
      <c r="F23" s="47">
        <v>0.17</v>
      </c>
      <c r="G23" s="48"/>
      <c r="H23" s="48">
        <f t="shared" ref="H23:H96" si="3">F23*G23</f>
        <v>0</v>
      </c>
      <c r="I23" s="48"/>
      <c r="J23" s="48"/>
      <c r="K23" s="48"/>
      <c r="L23" s="33"/>
      <c r="M23" s="33">
        <f t="shared" si="1"/>
        <v>0</v>
      </c>
    </row>
    <row r="24" spans="1:18" s="43" customFormat="1" ht="47.25" x14ac:dyDescent="0.25">
      <c r="A24" s="883">
        <v>3</v>
      </c>
      <c r="B24" s="53" t="s">
        <v>64</v>
      </c>
      <c r="C24" s="39" t="s">
        <v>65</v>
      </c>
      <c r="D24" s="38" t="s">
        <v>66</v>
      </c>
      <c r="E24" s="40"/>
      <c r="F24" s="41">
        <f>F20*0.1</f>
        <v>15.189850000000002</v>
      </c>
      <c r="G24" s="42"/>
      <c r="H24" s="33"/>
      <c r="I24" s="42"/>
      <c r="J24" s="33"/>
      <c r="K24" s="42"/>
      <c r="L24" s="33"/>
      <c r="M24" s="33"/>
    </row>
    <row r="25" spans="1:18" s="43" customFormat="1" ht="27" x14ac:dyDescent="0.25">
      <c r="A25" s="883"/>
      <c r="B25" s="54"/>
      <c r="C25" s="55" t="s">
        <v>67</v>
      </c>
      <c r="D25" s="54" t="s">
        <v>68</v>
      </c>
      <c r="E25" s="56">
        <v>3.88</v>
      </c>
      <c r="F25" s="57">
        <f>F24*E25</f>
        <v>58.936618000000003</v>
      </c>
      <c r="G25" s="58"/>
      <c r="H25" s="33"/>
      <c r="I25" s="58"/>
      <c r="J25" s="33">
        <f t="shared" si="0"/>
        <v>0</v>
      </c>
      <c r="K25" s="59"/>
      <c r="L25" s="33"/>
      <c r="M25" s="33">
        <f t="shared" si="1"/>
        <v>0</v>
      </c>
    </row>
    <row r="26" spans="1:18" s="43" customFormat="1" ht="15.75" x14ac:dyDescent="0.25">
      <c r="A26" s="60">
        <v>4</v>
      </c>
      <c r="B26" s="61"/>
      <c r="C26" s="39" t="s">
        <v>69</v>
      </c>
      <c r="D26" s="38" t="s">
        <v>70</v>
      </c>
      <c r="E26" s="46">
        <v>1.95</v>
      </c>
      <c r="F26" s="62">
        <f>E26*(F24+F20)</f>
        <v>325.82228250000003</v>
      </c>
      <c r="G26" s="42"/>
      <c r="H26" s="33"/>
      <c r="I26" s="42"/>
      <c r="J26" s="33"/>
      <c r="K26" s="63"/>
      <c r="L26" s="33">
        <f t="shared" si="2"/>
        <v>0</v>
      </c>
      <c r="M26" s="33">
        <f t="shared" si="1"/>
        <v>0</v>
      </c>
    </row>
    <row r="27" spans="1:18" s="43" customFormat="1" ht="78.75" x14ac:dyDescent="0.25">
      <c r="A27" s="876">
        <v>5</v>
      </c>
      <c r="B27" s="38" t="s">
        <v>71</v>
      </c>
      <c r="C27" s="39" t="s">
        <v>72</v>
      </c>
      <c r="D27" s="38" t="s">
        <v>66</v>
      </c>
      <c r="E27" s="40"/>
      <c r="F27" s="41">
        <f>40.3*23.3*0.15+0.5*0.5*0.1*(52)</f>
        <v>142.14850000000001</v>
      </c>
      <c r="G27" s="42"/>
      <c r="H27" s="33"/>
      <c r="I27" s="42"/>
      <c r="J27" s="33"/>
      <c r="K27" s="42"/>
      <c r="L27" s="33"/>
      <c r="M27" s="33"/>
    </row>
    <row r="28" spans="1:18" s="43" customFormat="1" ht="27" x14ac:dyDescent="0.25">
      <c r="A28" s="876"/>
      <c r="B28" s="27"/>
      <c r="C28" s="64" t="s">
        <v>73</v>
      </c>
      <c r="D28" s="27" t="s">
        <v>9</v>
      </c>
      <c r="E28" s="3">
        <v>3.52</v>
      </c>
      <c r="F28" s="6">
        <f>F27*E28</f>
        <v>500.36272000000002</v>
      </c>
      <c r="G28" s="33"/>
      <c r="H28" s="33"/>
      <c r="I28" s="33"/>
      <c r="J28" s="33">
        <f t="shared" si="0"/>
        <v>0</v>
      </c>
      <c r="K28" s="33"/>
      <c r="L28" s="33"/>
      <c r="M28" s="33">
        <f t="shared" si="1"/>
        <v>0</v>
      </c>
    </row>
    <row r="29" spans="1:18" s="43" customFormat="1" ht="15.75" x14ac:dyDescent="0.25">
      <c r="A29" s="876"/>
      <c r="B29" s="27"/>
      <c r="C29" s="64" t="s">
        <v>21</v>
      </c>
      <c r="D29" s="27" t="s">
        <v>7</v>
      </c>
      <c r="E29" s="3">
        <v>1.06</v>
      </c>
      <c r="F29" s="6">
        <f>F27*E29</f>
        <v>150.67741000000001</v>
      </c>
      <c r="G29" s="33"/>
      <c r="H29" s="33"/>
      <c r="I29" s="33"/>
      <c r="J29" s="33"/>
      <c r="K29" s="33"/>
      <c r="L29" s="33">
        <f t="shared" si="2"/>
        <v>0</v>
      </c>
      <c r="M29" s="33">
        <f t="shared" si="1"/>
        <v>0</v>
      </c>
    </row>
    <row r="30" spans="1:18" s="43" customFormat="1" ht="15.75" x14ac:dyDescent="0.25">
      <c r="A30" s="876"/>
      <c r="B30" s="65"/>
      <c r="C30" s="64" t="s">
        <v>63</v>
      </c>
      <c r="D30" s="27" t="s">
        <v>74</v>
      </c>
      <c r="E30" s="3">
        <f>0.18+0.09+0.97</f>
        <v>1.24</v>
      </c>
      <c r="F30" s="6">
        <f>F27*E30</f>
        <v>176.26414000000003</v>
      </c>
      <c r="G30" s="48"/>
      <c r="H30" s="33">
        <f t="shared" si="3"/>
        <v>0</v>
      </c>
      <c r="I30" s="33"/>
      <c r="J30" s="33"/>
      <c r="K30" s="33"/>
      <c r="L30" s="33"/>
      <c r="M30" s="33">
        <f t="shared" si="1"/>
        <v>0</v>
      </c>
    </row>
    <row r="31" spans="1:18" s="43" customFormat="1" ht="15.75" x14ac:dyDescent="0.25">
      <c r="A31" s="876"/>
      <c r="B31" s="27"/>
      <c r="C31" s="64" t="s">
        <v>10</v>
      </c>
      <c r="D31" s="27" t="s">
        <v>7</v>
      </c>
      <c r="E31" s="3">
        <v>0.02</v>
      </c>
      <c r="F31" s="6">
        <f>F27*E31</f>
        <v>2.8429700000000002</v>
      </c>
      <c r="G31" s="33"/>
      <c r="H31" s="33">
        <f t="shared" si="3"/>
        <v>0</v>
      </c>
      <c r="I31" s="33"/>
      <c r="J31" s="33"/>
      <c r="K31" s="33"/>
      <c r="L31" s="33"/>
      <c r="M31" s="33">
        <f t="shared" si="1"/>
        <v>0</v>
      </c>
    </row>
    <row r="32" spans="1:18" s="43" customFormat="1" ht="63" x14ac:dyDescent="0.25">
      <c r="A32" s="876">
        <v>6</v>
      </c>
      <c r="B32" s="66" t="s">
        <v>75</v>
      </c>
      <c r="C32" s="67" t="s">
        <v>76</v>
      </c>
      <c r="D32" s="66" t="s">
        <v>66</v>
      </c>
      <c r="E32" s="68"/>
      <c r="F32" s="69">
        <f>(0.5*0.5*(0.85-0.15)+0.3*0.3*0.15)*(52)</f>
        <v>9.8019999999999996</v>
      </c>
      <c r="G32" s="42"/>
      <c r="H32" s="33"/>
      <c r="I32" s="42"/>
      <c r="J32" s="33"/>
      <c r="K32" s="42"/>
      <c r="L32" s="33"/>
      <c r="M32" s="33"/>
    </row>
    <row r="33" spans="1:14" s="43" customFormat="1" ht="15.75" x14ac:dyDescent="0.25">
      <c r="A33" s="876"/>
      <c r="B33" s="66"/>
      <c r="C33" s="70" t="s">
        <v>77</v>
      </c>
      <c r="D33" s="71" t="s">
        <v>18</v>
      </c>
      <c r="E33" s="72">
        <v>6.66</v>
      </c>
      <c r="F33" s="73">
        <f>E33*F32</f>
        <v>65.281319999999994</v>
      </c>
      <c r="G33" s="74"/>
      <c r="H33" s="33"/>
      <c r="I33" s="74"/>
      <c r="J33" s="33">
        <f t="shared" ref="J33" si="4">F33*I33</f>
        <v>0</v>
      </c>
      <c r="K33" s="74"/>
      <c r="L33" s="33"/>
      <c r="M33" s="33">
        <f t="shared" ref="M33:M40" si="5">H33+J33+L33</f>
        <v>0</v>
      </c>
    </row>
    <row r="34" spans="1:14" s="43" customFormat="1" ht="15.75" x14ac:dyDescent="0.25">
      <c r="A34" s="876"/>
      <c r="B34" s="66"/>
      <c r="C34" s="49" t="s">
        <v>8</v>
      </c>
      <c r="D34" s="75" t="s">
        <v>7</v>
      </c>
      <c r="E34" s="72">
        <v>0.59</v>
      </c>
      <c r="F34" s="73">
        <f>E34*F32</f>
        <v>5.7831799999999998</v>
      </c>
      <c r="G34" s="74"/>
      <c r="H34" s="33"/>
      <c r="I34" s="74"/>
      <c r="J34" s="33"/>
      <c r="K34" s="74"/>
      <c r="L34" s="33">
        <f t="shared" ref="L34" si="6">F34*K34</f>
        <v>0</v>
      </c>
      <c r="M34" s="33">
        <f t="shared" si="5"/>
        <v>0</v>
      </c>
    </row>
    <row r="35" spans="1:14" s="43" customFormat="1" ht="15.75" x14ac:dyDescent="0.25">
      <c r="A35" s="876"/>
      <c r="B35" s="71"/>
      <c r="C35" s="70" t="s">
        <v>78</v>
      </c>
      <c r="D35" s="71" t="s">
        <v>59</v>
      </c>
      <c r="E35" s="72">
        <v>1.0149999999999999</v>
      </c>
      <c r="F35" s="73">
        <f>E35*F32</f>
        <v>9.9490299999999987</v>
      </c>
      <c r="G35" s="74"/>
      <c r="H35" s="33">
        <f t="shared" ref="H35:H38" si="7">F35*G35</f>
        <v>0</v>
      </c>
      <c r="I35" s="74"/>
      <c r="J35" s="33"/>
      <c r="K35" s="74"/>
      <c r="L35" s="33"/>
      <c r="M35" s="33">
        <f t="shared" si="5"/>
        <v>0</v>
      </c>
    </row>
    <row r="36" spans="1:14" s="43" customFormat="1" ht="15.75" x14ac:dyDescent="0.25">
      <c r="A36" s="876"/>
      <c r="B36" s="71"/>
      <c r="C36" s="70" t="s">
        <v>79</v>
      </c>
      <c r="D36" s="71" t="s">
        <v>80</v>
      </c>
      <c r="E36" s="72">
        <v>1.6</v>
      </c>
      <c r="F36" s="73">
        <f>E36*F32</f>
        <v>15.683199999999999</v>
      </c>
      <c r="G36" s="74"/>
      <c r="H36" s="33">
        <f t="shared" si="7"/>
        <v>0</v>
      </c>
      <c r="I36" s="74"/>
      <c r="J36" s="33"/>
      <c r="K36" s="74"/>
      <c r="L36" s="33"/>
      <c r="M36" s="33">
        <f t="shared" si="5"/>
        <v>0</v>
      </c>
    </row>
    <row r="37" spans="1:14" s="43" customFormat="1" ht="15.75" x14ac:dyDescent="0.25">
      <c r="A37" s="876"/>
      <c r="B37" s="71"/>
      <c r="C37" s="70" t="s">
        <v>81</v>
      </c>
      <c r="D37" s="71" t="s">
        <v>59</v>
      </c>
      <c r="E37" s="72">
        <v>1.83E-2</v>
      </c>
      <c r="F37" s="73">
        <f>E37*F32</f>
        <v>0.1793766</v>
      </c>
      <c r="G37" s="74"/>
      <c r="H37" s="33">
        <f t="shared" si="7"/>
        <v>0</v>
      </c>
      <c r="I37" s="74"/>
      <c r="J37" s="33"/>
      <c r="K37" s="74"/>
      <c r="L37" s="33"/>
      <c r="M37" s="33">
        <f t="shared" si="5"/>
        <v>0</v>
      </c>
    </row>
    <row r="38" spans="1:14" s="43" customFormat="1" ht="15.75" x14ac:dyDescent="0.25">
      <c r="A38" s="876"/>
      <c r="B38" s="71"/>
      <c r="C38" s="49" t="s">
        <v>10</v>
      </c>
      <c r="D38" s="76" t="s">
        <v>7</v>
      </c>
      <c r="E38" s="72">
        <v>0.4</v>
      </c>
      <c r="F38" s="73">
        <f>E38*F32</f>
        <v>3.9207999999999998</v>
      </c>
      <c r="G38" s="74"/>
      <c r="H38" s="33">
        <f t="shared" si="7"/>
        <v>0</v>
      </c>
      <c r="I38" s="74"/>
      <c r="J38" s="33"/>
      <c r="K38" s="74"/>
      <c r="L38" s="33"/>
      <c r="M38" s="33">
        <f t="shared" si="5"/>
        <v>0</v>
      </c>
    </row>
    <row r="39" spans="1:14" s="43" customFormat="1" ht="15.75" x14ac:dyDescent="0.25">
      <c r="A39" s="876"/>
      <c r="B39" s="71"/>
      <c r="C39" s="77" t="s">
        <v>82</v>
      </c>
      <c r="D39" s="71" t="s">
        <v>83</v>
      </c>
      <c r="E39" s="72">
        <v>0.03</v>
      </c>
      <c r="F39" s="78">
        <f>(4*(40.3+23.3)*2*0.888*1.03/1000+0.5*4*2*(52)*0.395*1.03/1000)</f>
        <v>0.54999363200000007</v>
      </c>
      <c r="G39" s="74"/>
      <c r="H39" s="33">
        <f>F39*G39</f>
        <v>0</v>
      </c>
      <c r="I39" s="74"/>
      <c r="J39" s="33"/>
      <c r="K39" s="74"/>
      <c r="L39" s="33"/>
      <c r="M39" s="33">
        <f t="shared" si="5"/>
        <v>0</v>
      </c>
      <c r="N39" s="43">
        <f>(4*(40.3+23.3)*2*0.888*1.03/1000+0.5*4*2*(52)*0.395*1.03/1000)</f>
        <v>0.54999363200000007</v>
      </c>
    </row>
    <row r="40" spans="1:14" s="43" customFormat="1" ht="15.75" x14ac:dyDescent="0.25">
      <c r="A40" s="876"/>
      <c r="B40" s="71"/>
      <c r="C40" s="77" t="s">
        <v>84</v>
      </c>
      <c r="D40" s="71" t="s">
        <v>83</v>
      </c>
      <c r="E40" s="72">
        <v>1.03</v>
      </c>
      <c r="F40" s="78">
        <f>((0.3+0.3)*2*((40.3+23.3)*2/0.15+1)) *1.03*0.222/1000</f>
        <v>0.23295880800000002</v>
      </c>
      <c r="G40" s="74"/>
      <c r="H40" s="33">
        <f>F40*G40</f>
        <v>0</v>
      </c>
      <c r="I40" s="74"/>
      <c r="J40" s="33"/>
      <c r="K40" s="74"/>
      <c r="L40" s="33"/>
      <c r="M40" s="33">
        <f t="shared" si="5"/>
        <v>0</v>
      </c>
      <c r="N40" s="43">
        <f>((0.3+0.3)*2*((40.3+23.3)*2/0.15+1)) *1.03*0.222/1000</f>
        <v>0.23295880800000002</v>
      </c>
    </row>
    <row r="41" spans="1:14" s="1" customFormat="1" ht="60" customHeight="1" x14ac:dyDescent="0.25">
      <c r="A41" s="876">
        <v>7.1</v>
      </c>
      <c r="B41" s="66" t="s">
        <v>85</v>
      </c>
      <c r="C41" s="79" t="s">
        <v>86</v>
      </c>
      <c r="D41" s="80" t="s">
        <v>74</v>
      </c>
      <c r="E41" s="72"/>
      <c r="F41" s="69">
        <f>(40.3*20.3+30.3*3)*0.15</f>
        <v>136.34849999999997</v>
      </c>
      <c r="G41" s="74"/>
      <c r="H41" s="33"/>
      <c r="I41" s="74"/>
      <c r="J41" s="33"/>
      <c r="K41" s="74"/>
      <c r="L41" s="33"/>
      <c r="M41" s="33"/>
      <c r="N41" s="1" t="s">
        <v>950</v>
      </c>
    </row>
    <row r="42" spans="1:14" s="1" customFormat="1" ht="39.75" customHeight="1" x14ac:dyDescent="0.25">
      <c r="A42" s="876"/>
      <c r="B42" s="66"/>
      <c r="C42" s="70" t="s">
        <v>77</v>
      </c>
      <c r="D42" s="71" t="s">
        <v>18</v>
      </c>
      <c r="E42" s="72">
        <v>8.4</v>
      </c>
      <c r="F42" s="73">
        <f>E42*F41</f>
        <v>1145.3273999999999</v>
      </c>
      <c r="G42" s="74"/>
      <c r="H42" s="33"/>
      <c r="I42" s="74"/>
      <c r="J42" s="33">
        <f t="shared" ref="J42" si="8">F42*I42</f>
        <v>0</v>
      </c>
      <c r="K42" s="74"/>
      <c r="L42" s="33"/>
      <c r="M42" s="33">
        <f t="shared" ref="M42:M48" si="9">H42+J42+L42</f>
        <v>0</v>
      </c>
      <c r="N42" s="1" t="s">
        <v>951</v>
      </c>
    </row>
    <row r="43" spans="1:14" s="1" customFormat="1" x14ac:dyDescent="0.25">
      <c r="A43" s="876"/>
      <c r="B43" s="66"/>
      <c r="C43" s="49" t="s">
        <v>8</v>
      </c>
      <c r="D43" s="75" t="s">
        <v>7</v>
      </c>
      <c r="E43" s="72">
        <v>0.81</v>
      </c>
      <c r="F43" s="73">
        <f>E43*F41</f>
        <v>110.44228499999998</v>
      </c>
      <c r="G43" s="74"/>
      <c r="H43" s="33"/>
      <c r="I43" s="74"/>
      <c r="J43" s="33"/>
      <c r="K43" s="74"/>
      <c r="L43" s="33">
        <f t="shared" ref="L43" si="10">F43*K43</f>
        <v>0</v>
      </c>
      <c r="M43" s="33">
        <f t="shared" si="9"/>
        <v>0</v>
      </c>
    </row>
    <row r="44" spans="1:14" s="1" customFormat="1" x14ac:dyDescent="0.25">
      <c r="A44" s="876"/>
      <c r="B44" s="71"/>
      <c r="C44" s="70" t="s">
        <v>87</v>
      </c>
      <c r="D44" s="71" t="s">
        <v>59</v>
      </c>
      <c r="E44" s="72">
        <v>1.0149999999999999</v>
      </c>
      <c r="F44" s="73">
        <f>E44*F41</f>
        <v>138.39372749999995</v>
      </c>
      <c r="G44" s="74"/>
      <c r="H44" s="33">
        <f t="shared" ref="H44:H48" si="11">F44*G44</f>
        <v>0</v>
      </c>
      <c r="I44" s="74"/>
      <c r="J44" s="33"/>
      <c r="K44" s="74"/>
      <c r="L44" s="33"/>
      <c r="M44" s="33">
        <f t="shared" si="9"/>
        <v>0</v>
      </c>
    </row>
    <row r="45" spans="1:14" s="1" customFormat="1" x14ac:dyDescent="0.25">
      <c r="A45" s="876"/>
      <c r="B45" s="71"/>
      <c r="C45" s="77" t="s">
        <v>82</v>
      </c>
      <c r="D45" s="71" t="s">
        <v>83</v>
      </c>
      <c r="E45" s="72">
        <v>0.03</v>
      </c>
      <c r="F45" s="78">
        <f>(40.3*20.3+30.3*3)*16*1 *1.03*0.395/1000</f>
        <v>5.9171613040000004</v>
      </c>
      <c r="G45" s="74"/>
      <c r="H45" s="33">
        <f t="shared" si="11"/>
        <v>0</v>
      </c>
      <c r="I45" s="74"/>
      <c r="J45" s="33"/>
      <c r="K45" s="74"/>
      <c r="L45" s="33"/>
      <c r="M45" s="33">
        <f>H45+J45+L45</f>
        <v>0</v>
      </c>
    </row>
    <row r="46" spans="1:14" s="1" customFormat="1" x14ac:dyDescent="0.25">
      <c r="A46" s="876"/>
      <c r="B46" s="71"/>
      <c r="C46" s="70" t="s">
        <v>88</v>
      </c>
      <c r="D46" s="71" t="s">
        <v>74</v>
      </c>
      <c r="E46" s="72">
        <v>1.37</v>
      </c>
      <c r="F46" s="73">
        <f>F41*E46</f>
        <v>186.79744499999998</v>
      </c>
      <c r="G46" s="74"/>
      <c r="H46" s="33">
        <f t="shared" si="11"/>
        <v>0</v>
      </c>
      <c r="I46" s="74"/>
      <c r="J46" s="33"/>
      <c r="K46" s="74"/>
      <c r="L46" s="33"/>
      <c r="M46" s="33">
        <f t="shared" ref="M46:M47" si="12">H46+J46+L46</f>
        <v>0</v>
      </c>
    </row>
    <row r="47" spans="1:14" s="1" customFormat="1" x14ac:dyDescent="0.25">
      <c r="A47" s="876"/>
      <c r="B47" s="71"/>
      <c r="C47" s="70" t="s">
        <v>89</v>
      </c>
      <c r="D47" s="71" t="s">
        <v>74</v>
      </c>
      <c r="E47" s="72">
        <f>(0.84+2.56+0.26)/100</f>
        <v>3.6600000000000001E-2</v>
      </c>
      <c r="F47" s="73">
        <f>F41*E47</f>
        <v>4.9903550999999995</v>
      </c>
      <c r="G47" s="74"/>
      <c r="H47" s="33">
        <f t="shared" si="11"/>
        <v>0</v>
      </c>
      <c r="I47" s="74"/>
      <c r="J47" s="33"/>
      <c r="K47" s="74"/>
      <c r="L47" s="33"/>
      <c r="M47" s="33">
        <f t="shared" si="12"/>
        <v>0</v>
      </c>
    </row>
    <row r="48" spans="1:14" s="1" customFormat="1" x14ac:dyDescent="0.25">
      <c r="A48" s="876"/>
      <c r="B48" s="66"/>
      <c r="C48" s="49" t="s">
        <v>10</v>
      </c>
      <c r="D48" s="75" t="s">
        <v>7</v>
      </c>
      <c r="E48" s="72">
        <v>0.39</v>
      </c>
      <c r="F48" s="73">
        <f>E48*F41</f>
        <v>53.175914999999989</v>
      </c>
      <c r="G48" s="74"/>
      <c r="H48" s="33">
        <f t="shared" si="11"/>
        <v>0</v>
      </c>
      <c r="I48" s="74"/>
      <c r="J48" s="33"/>
      <c r="K48" s="74"/>
      <c r="L48" s="33"/>
      <c r="M48" s="33">
        <f t="shared" si="9"/>
        <v>0</v>
      </c>
    </row>
    <row r="49" spans="1:14" s="1" customFormat="1" ht="31.5" x14ac:dyDescent="0.25">
      <c r="A49" s="81" t="s">
        <v>90</v>
      </c>
      <c r="B49" s="82" t="s">
        <v>91</v>
      </c>
      <c r="C49" s="83" t="s">
        <v>92</v>
      </c>
      <c r="D49" s="84"/>
      <c r="E49" s="17"/>
      <c r="F49" s="6"/>
      <c r="G49" s="33"/>
      <c r="H49" s="33"/>
      <c r="I49" s="33"/>
      <c r="J49" s="33"/>
      <c r="K49" s="33"/>
      <c r="L49" s="33"/>
      <c r="M49" s="33"/>
    </row>
    <row r="50" spans="1:14" s="1" customFormat="1" ht="31.5" x14ac:dyDescent="0.25">
      <c r="A50" s="85"/>
      <c r="B50" s="84"/>
      <c r="C50" s="86" t="s">
        <v>93</v>
      </c>
      <c r="D50" s="84" t="s">
        <v>94</v>
      </c>
      <c r="E50" s="17">
        <v>1.05</v>
      </c>
      <c r="F50" s="87">
        <f>((4.5+1)*50+(3+1)*2)*E50</f>
        <v>297.15000000000003</v>
      </c>
      <c r="G50" s="48"/>
      <c r="H50" s="33"/>
      <c r="I50" s="33"/>
      <c r="J50" s="33"/>
      <c r="K50" s="33"/>
      <c r="L50" s="33"/>
      <c r="M50" s="33"/>
    </row>
    <row r="51" spans="1:14" s="1" customFormat="1" x14ac:dyDescent="0.25">
      <c r="A51" s="85"/>
      <c r="B51" s="89"/>
      <c r="C51" s="90" t="s">
        <v>95</v>
      </c>
      <c r="D51" s="82" t="s">
        <v>83</v>
      </c>
      <c r="E51" s="91"/>
      <c r="F51" s="41">
        <f>(F50*7.54)/1000</f>
        <v>2.2405110000000006</v>
      </c>
      <c r="G51" s="48"/>
      <c r="H51" s="33"/>
      <c r="I51" s="74"/>
      <c r="J51" s="33"/>
      <c r="K51" s="74"/>
      <c r="L51" s="33"/>
      <c r="M51" s="33"/>
    </row>
    <row r="52" spans="1:14" s="1" customFormat="1" ht="27" x14ac:dyDescent="0.25">
      <c r="A52" s="85"/>
      <c r="B52" s="27"/>
      <c r="C52" s="92" t="s">
        <v>73</v>
      </c>
      <c r="D52" s="27" t="s">
        <v>9</v>
      </c>
      <c r="E52" s="3">
        <v>5.78</v>
      </c>
      <c r="F52" s="19">
        <f>F51*E52</f>
        <v>12.950153580000004</v>
      </c>
      <c r="G52" s="33"/>
      <c r="H52" s="33"/>
      <c r="I52" s="33"/>
      <c r="J52" s="33">
        <f t="shared" ref="J52:J99" si="13">F52*I52</f>
        <v>0</v>
      </c>
      <c r="K52" s="33"/>
      <c r="L52" s="33"/>
      <c r="M52" s="33">
        <f t="shared" ref="M52:M55" si="14">H52+J52+L52</f>
        <v>0</v>
      </c>
    </row>
    <row r="53" spans="1:14" s="1" customFormat="1" ht="27" x14ac:dyDescent="0.25">
      <c r="A53" s="85"/>
      <c r="B53" s="93" t="s">
        <v>96</v>
      </c>
      <c r="C53" s="92" t="s">
        <v>97</v>
      </c>
      <c r="D53" s="27" t="s">
        <v>98</v>
      </c>
      <c r="E53" s="3">
        <v>0.74</v>
      </c>
      <c r="F53" s="19">
        <f>F51*E53</f>
        <v>1.6579781400000004</v>
      </c>
      <c r="G53" s="33"/>
      <c r="H53" s="33"/>
      <c r="I53" s="33"/>
      <c r="J53" s="33"/>
      <c r="K53" s="33"/>
      <c r="L53" s="33">
        <f t="shared" ref="L53:L55" si="15">F53*K53</f>
        <v>0</v>
      </c>
      <c r="M53" s="33">
        <f t="shared" si="14"/>
        <v>0</v>
      </c>
    </row>
    <row r="54" spans="1:14" s="1" customFormat="1" ht="27" x14ac:dyDescent="0.25">
      <c r="A54" s="85"/>
      <c r="B54" s="93" t="s">
        <v>96</v>
      </c>
      <c r="C54" s="92" t="s">
        <v>99</v>
      </c>
      <c r="D54" s="27" t="s">
        <v>98</v>
      </c>
      <c r="E54" s="3">
        <v>0.95</v>
      </c>
      <c r="F54" s="19">
        <f>F51*E54</f>
        <v>2.1284854500000003</v>
      </c>
      <c r="G54" s="33"/>
      <c r="H54" s="33"/>
      <c r="I54" s="33"/>
      <c r="J54" s="33"/>
      <c r="K54" s="33"/>
      <c r="L54" s="33">
        <f t="shared" si="15"/>
        <v>0</v>
      </c>
      <c r="M54" s="33">
        <f t="shared" si="14"/>
        <v>0</v>
      </c>
    </row>
    <row r="55" spans="1:14" s="1" customFormat="1" x14ac:dyDescent="0.25">
      <c r="A55" s="85"/>
      <c r="B55" s="27"/>
      <c r="C55" s="92" t="s">
        <v>8</v>
      </c>
      <c r="D55" s="27" t="s">
        <v>7</v>
      </c>
      <c r="E55" s="3">
        <v>1.17</v>
      </c>
      <c r="F55" s="19">
        <f>F51*E55</f>
        <v>2.6213978700000005</v>
      </c>
      <c r="G55" s="33"/>
      <c r="H55" s="33"/>
      <c r="I55" s="33"/>
      <c r="J55" s="33"/>
      <c r="K55" s="33"/>
      <c r="L55" s="33">
        <f t="shared" si="15"/>
        <v>0</v>
      </c>
      <c r="M55" s="33">
        <f t="shared" si="14"/>
        <v>0</v>
      </c>
    </row>
    <row r="56" spans="1:14" s="1" customFormat="1" ht="31.5" x14ac:dyDescent="0.25">
      <c r="A56" s="85"/>
      <c r="B56" s="27"/>
      <c r="C56" s="94" t="s">
        <v>100</v>
      </c>
      <c r="D56" s="27" t="s">
        <v>83</v>
      </c>
      <c r="E56" s="3">
        <v>1</v>
      </c>
      <c r="F56" s="95">
        <f>F51</f>
        <v>2.2405110000000006</v>
      </c>
      <c r="G56" s="33"/>
      <c r="H56" s="33"/>
      <c r="I56" s="33"/>
      <c r="J56" s="33"/>
      <c r="K56" s="33"/>
      <c r="L56" s="33"/>
      <c r="M56" s="33"/>
    </row>
    <row r="57" spans="1:14" s="1" customFormat="1" ht="31.5" x14ac:dyDescent="0.25">
      <c r="A57" s="85"/>
      <c r="B57" s="27"/>
      <c r="C57" s="86" t="s">
        <v>93</v>
      </c>
      <c r="D57" s="84" t="s">
        <v>94</v>
      </c>
      <c r="E57" s="17"/>
      <c r="F57" s="6">
        <f>F50</f>
        <v>297.15000000000003</v>
      </c>
      <c r="G57" s="48"/>
      <c r="H57" s="33">
        <f t="shared" ref="H57:H60" si="16">F57*G57</f>
        <v>0</v>
      </c>
      <c r="I57" s="33"/>
      <c r="J57" s="33"/>
      <c r="K57" s="33"/>
      <c r="L57" s="33"/>
      <c r="M57" s="33">
        <f t="shared" ref="M57:M60" si="17">H57+J57+L57</f>
        <v>0</v>
      </c>
    </row>
    <row r="58" spans="1:14" s="1" customFormat="1" ht="31.5" x14ac:dyDescent="0.25">
      <c r="A58" s="85"/>
      <c r="B58" s="27"/>
      <c r="C58" s="44" t="s">
        <v>101</v>
      </c>
      <c r="D58" s="84" t="s">
        <v>83</v>
      </c>
      <c r="E58" s="17">
        <f>5/1000</f>
        <v>5.0000000000000001E-3</v>
      </c>
      <c r="F58" s="47">
        <f>F51*E58</f>
        <v>1.1202555000000003E-2</v>
      </c>
      <c r="G58" s="48"/>
      <c r="H58" s="33">
        <f t="shared" si="16"/>
        <v>0</v>
      </c>
      <c r="I58" s="33"/>
      <c r="J58" s="33"/>
      <c r="K58" s="33"/>
      <c r="L58" s="33"/>
      <c r="M58" s="33">
        <f t="shared" si="17"/>
        <v>0</v>
      </c>
    </row>
    <row r="59" spans="1:14" s="1" customFormat="1" ht="47.25" x14ac:dyDescent="0.25">
      <c r="A59" s="85"/>
      <c r="B59" s="27"/>
      <c r="C59" s="96" t="s">
        <v>103</v>
      </c>
      <c r="D59" s="97" t="s">
        <v>5</v>
      </c>
      <c r="E59" s="91">
        <v>4</v>
      </c>
      <c r="F59" s="98">
        <f>F51*E59</f>
        <v>8.9620440000000023</v>
      </c>
      <c r="G59" s="33"/>
      <c r="H59" s="33">
        <f t="shared" si="16"/>
        <v>0</v>
      </c>
      <c r="I59" s="33"/>
      <c r="J59" s="33"/>
      <c r="K59" s="33"/>
      <c r="L59" s="33"/>
      <c r="M59" s="33">
        <f t="shared" si="17"/>
        <v>0</v>
      </c>
    </row>
    <row r="60" spans="1:14" s="1" customFormat="1" x14ac:dyDescent="0.25">
      <c r="A60" s="99"/>
      <c r="B60" s="27"/>
      <c r="C60" s="92" t="s">
        <v>10</v>
      </c>
      <c r="D60" s="27" t="s">
        <v>7</v>
      </c>
      <c r="E60" s="3">
        <v>2.78</v>
      </c>
      <c r="F60" s="19">
        <f>F51*E60</f>
        <v>6.2286205800000012</v>
      </c>
      <c r="G60" s="33"/>
      <c r="H60" s="33">
        <f t="shared" si="16"/>
        <v>0</v>
      </c>
      <c r="I60" s="33"/>
      <c r="J60" s="33"/>
      <c r="K60" s="33"/>
      <c r="L60" s="33"/>
      <c r="M60" s="33">
        <f t="shared" si="17"/>
        <v>0</v>
      </c>
    </row>
    <row r="61" spans="1:14" s="1" customFormat="1" ht="31.5" x14ac:dyDescent="0.25">
      <c r="A61" s="81" t="s">
        <v>104</v>
      </c>
      <c r="B61" s="93" t="s">
        <v>105</v>
      </c>
      <c r="C61" s="83" t="s">
        <v>106</v>
      </c>
      <c r="D61" s="27"/>
      <c r="E61" s="3"/>
      <c r="F61" s="19"/>
      <c r="G61" s="33"/>
      <c r="H61" s="33"/>
      <c r="I61" s="33"/>
      <c r="J61" s="33"/>
      <c r="K61" s="33"/>
      <c r="L61" s="33"/>
      <c r="M61" s="33"/>
    </row>
    <row r="62" spans="1:14" s="1" customFormat="1" ht="52.5" customHeight="1" x14ac:dyDescent="0.25">
      <c r="A62" s="100"/>
      <c r="B62" s="27"/>
      <c r="C62" s="86" t="s">
        <v>107</v>
      </c>
      <c r="D62" s="84" t="s">
        <v>94</v>
      </c>
      <c r="E62" s="17">
        <v>1.05</v>
      </c>
      <c r="F62" s="87">
        <f>( (2.5+1.5)*2*(16*3*2+8*3*2)   +  (3+1.5)*2*2  +  (1.8+1.5)*2*4  +  (1.2+0.6)*2*2   +   (1.2+2.4)*2*2   )*E62</f>
        <v>1278.9000000000003</v>
      </c>
      <c r="G62" s="33"/>
      <c r="H62" s="33"/>
      <c r="I62" s="33"/>
      <c r="J62" s="33"/>
      <c r="K62" s="33"/>
      <c r="L62" s="33"/>
      <c r="M62" s="33"/>
      <c r="N62" s="1" t="s">
        <v>108</v>
      </c>
    </row>
    <row r="63" spans="1:14" s="1" customFormat="1" x14ac:dyDescent="0.25">
      <c r="A63" s="100"/>
      <c r="B63" s="84"/>
      <c r="C63" s="86" t="s">
        <v>109</v>
      </c>
      <c r="D63" s="84" t="s">
        <v>94</v>
      </c>
      <c r="E63" s="17">
        <v>1.05</v>
      </c>
      <c r="F63" s="87">
        <f>(52*3*0.25)*E63</f>
        <v>40.950000000000003</v>
      </c>
      <c r="G63" s="33"/>
      <c r="H63" s="33"/>
      <c r="I63" s="33"/>
      <c r="J63" s="33"/>
      <c r="K63" s="33"/>
      <c r="L63" s="33"/>
      <c r="M63" s="33"/>
    </row>
    <row r="64" spans="1:14" s="1" customFormat="1" ht="47.25" customHeight="1" x14ac:dyDescent="0.25">
      <c r="A64" s="100"/>
      <c r="B64" s="84"/>
      <c r="C64" s="86" t="s">
        <v>110</v>
      </c>
      <c r="D64" s="84" t="s">
        <v>111</v>
      </c>
      <c r="E64" s="17">
        <v>1.05</v>
      </c>
      <c r="F64" s="87">
        <f>( (2.5*1.5)*(16*3*2+8*3*2)   +  (3*1.5)*2  +  (1.8*1.5)*4  +  (1.2*0.6)*2   +   (1.2*2.4)*2   )*E64</f>
        <v>595.35</v>
      </c>
      <c r="G64" s="33"/>
      <c r="H64" s="33"/>
      <c r="I64" s="33"/>
      <c r="J64" s="33"/>
      <c r="K64" s="33"/>
      <c r="L64" s="33"/>
      <c r="M64" s="33"/>
    </row>
    <row r="65" spans="1:13" s="1" customFormat="1" x14ac:dyDescent="0.25">
      <c r="A65" s="100"/>
      <c r="B65" s="84"/>
      <c r="C65" s="86" t="s">
        <v>112</v>
      </c>
      <c r="D65" s="84" t="s">
        <v>94</v>
      </c>
      <c r="E65" s="17">
        <v>1.05</v>
      </c>
      <c r="F65" s="87">
        <f>( (2.5+1.5)*2*(16*3*2+8*3*2)   +  (3+1.5)*2*2  +  (1.8+1.5)*2*4  +  (1.2+0.6)*2*2   +   (1.2+2.4)*2*2   )*E65</f>
        <v>1278.9000000000003</v>
      </c>
      <c r="G65" s="33"/>
      <c r="H65" s="33"/>
      <c r="I65" s="33"/>
      <c r="J65" s="33"/>
      <c r="K65" s="33"/>
      <c r="L65" s="33"/>
      <c r="M65" s="33"/>
    </row>
    <row r="66" spans="1:13" s="1" customFormat="1" x14ac:dyDescent="0.25">
      <c r="A66" s="100"/>
      <c r="B66" s="89"/>
      <c r="C66" s="90" t="s">
        <v>95</v>
      </c>
      <c r="D66" s="82" t="s">
        <v>83</v>
      </c>
      <c r="E66" s="91"/>
      <c r="F66" s="41">
        <f>(F62*4.81+F63*1.256+F65*0.395)/1000</f>
        <v>6.7081077000000011</v>
      </c>
      <c r="G66" s="48"/>
      <c r="H66" s="33"/>
      <c r="I66" s="74"/>
      <c r="J66" s="33"/>
      <c r="K66" s="74"/>
      <c r="L66" s="33"/>
      <c r="M66" s="33"/>
    </row>
    <row r="67" spans="1:13" s="1" customFormat="1" ht="27" x14ac:dyDescent="0.25">
      <c r="A67" s="100"/>
      <c r="B67" s="27"/>
      <c r="C67" s="92" t="s">
        <v>73</v>
      </c>
      <c r="D67" s="27" t="s">
        <v>9</v>
      </c>
      <c r="E67" s="3">
        <v>23.6</v>
      </c>
      <c r="F67" s="19">
        <f>F66*E67</f>
        <v>158.31134172000003</v>
      </c>
      <c r="G67" s="33"/>
      <c r="H67" s="33"/>
      <c r="I67" s="33"/>
      <c r="J67" s="33">
        <f t="shared" ref="J67" si="18">F67*I67</f>
        <v>0</v>
      </c>
      <c r="K67" s="33"/>
      <c r="L67" s="33"/>
      <c r="M67" s="33">
        <f t="shared" ref="M67:M69" si="19">H67+J67+L67</f>
        <v>0</v>
      </c>
    </row>
    <row r="68" spans="1:13" s="1" customFormat="1" ht="27" x14ac:dyDescent="0.25">
      <c r="A68" s="100"/>
      <c r="B68" s="93" t="s">
        <v>96</v>
      </c>
      <c r="C68" s="92" t="s">
        <v>99</v>
      </c>
      <c r="D68" s="27" t="s">
        <v>98</v>
      </c>
      <c r="E68" s="3">
        <v>2.87</v>
      </c>
      <c r="F68" s="19">
        <f>F66*E68</f>
        <v>19.252269099000003</v>
      </c>
      <c r="G68" s="33"/>
      <c r="H68" s="33"/>
      <c r="I68" s="33"/>
      <c r="J68" s="33"/>
      <c r="K68" s="33"/>
      <c r="L68" s="33">
        <f t="shared" ref="L68:L69" si="20">F68*K68</f>
        <v>0</v>
      </c>
      <c r="M68" s="33">
        <f t="shared" si="19"/>
        <v>0</v>
      </c>
    </row>
    <row r="69" spans="1:13" s="1" customFormat="1" x14ac:dyDescent="0.25">
      <c r="A69" s="100"/>
      <c r="B69" s="27"/>
      <c r="C69" s="92" t="s">
        <v>8</v>
      </c>
      <c r="D69" s="27" t="s">
        <v>7</v>
      </c>
      <c r="E69" s="3">
        <v>4.0199999999999996</v>
      </c>
      <c r="F69" s="19">
        <f>F66*E69</f>
        <v>26.966592954000003</v>
      </c>
      <c r="G69" s="33"/>
      <c r="H69" s="33"/>
      <c r="I69" s="33"/>
      <c r="J69" s="33"/>
      <c r="K69" s="33"/>
      <c r="L69" s="33">
        <f t="shared" si="20"/>
        <v>0</v>
      </c>
      <c r="M69" s="33">
        <f t="shared" si="19"/>
        <v>0</v>
      </c>
    </row>
    <row r="70" spans="1:13" s="1" customFormat="1" ht="31.5" x14ac:dyDescent="0.25">
      <c r="A70" s="100"/>
      <c r="B70" s="27"/>
      <c r="C70" s="94" t="s">
        <v>100</v>
      </c>
      <c r="D70" s="27" t="s">
        <v>83</v>
      </c>
      <c r="E70" s="3">
        <v>1</v>
      </c>
      <c r="F70" s="19"/>
      <c r="G70" s="33"/>
      <c r="H70" s="33"/>
      <c r="I70" s="33"/>
      <c r="J70" s="33"/>
      <c r="K70" s="33"/>
      <c r="L70" s="33"/>
      <c r="M70" s="33"/>
    </row>
    <row r="71" spans="1:13" s="1" customFormat="1" ht="31.5" x14ac:dyDescent="0.25">
      <c r="A71" s="100"/>
      <c r="B71" s="27"/>
      <c r="C71" s="86" t="s">
        <v>107</v>
      </c>
      <c r="D71" s="84" t="s">
        <v>94</v>
      </c>
      <c r="E71" s="17"/>
      <c r="F71" s="6">
        <f>F62</f>
        <v>1278.9000000000003</v>
      </c>
      <c r="G71" s="33"/>
      <c r="H71" s="33">
        <f t="shared" ref="H71:H78" si="21">F71*G71</f>
        <v>0</v>
      </c>
      <c r="I71" s="33"/>
      <c r="J71" s="33"/>
      <c r="K71" s="33"/>
      <c r="L71" s="33"/>
      <c r="M71" s="33">
        <f t="shared" ref="M71:M78" si="22">H71+J71+L71</f>
        <v>0</v>
      </c>
    </row>
    <row r="72" spans="1:13" s="1" customFormat="1" x14ac:dyDescent="0.25">
      <c r="A72" s="100"/>
      <c r="B72" s="27"/>
      <c r="C72" s="86" t="s">
        <v>109</v>
      </c>
      <c r="D72" s="84" t="s">
        <v>94</v>
      </c>
      <c r="E72" s="3"/>
      <c r="F72" s="19">
        <f>F63</f>
        <v>40.950000000000003</v>
      </c>
      <c r="G72" s="33"/>
      <c r="H72" s="33">
        <f t="shared" si="21"/>
        <v>0</v>
      </c>
      <c r="I72" s="33"/>
      <c r="J72" s="33"/>
      <c r="K72" s="33"/>
      <c r="L72" s="33"/>
      <c r="M72" s="33">
        <f t="shared" si="22"/>
        <v>0</v>
      </c>
    </row>
    <row r="73" spans="1:13" s="1" customFormat="1" ht="31.5" x14ac:dyDescent="0.25">
      <c r="A73" s="100"/>
      <c r="B73" s="27"/>
      <c r="C73" s="44" t="s">
        <v>101</v>
      </c>
      <c r="D73" s="84" t="s">
        <v>83</v>
      </c>
      <c r="E73" s="17">
        <f>5/1000</f>
        <v>5.0000000000000001E-3</v>
      </c>
      <c r="F73" s="47">
        <f>F66*E73</f>
        <v>3.3540538500000008E-2</v>
      </c>
      <c r="G73" s="48"/>
      <c r="H73" s="33">
        <f t="shared" si="21"/>
        <v>0</v>
      </c>
      <c r="I73" s="33"/>
      <c r="J73" s="33"/>
      <c r="K73" s="33"/>
      <c r="L73" s="33"/>
      <c r="M73" s="33">
        <f t="shared" si="22"/>
        <v>0</v>
      </c>
    </row>
    <row r="74" spans="1:13" s="1" customFormat="1" ht="47.25" x14ac:dyDescent="0.25">
      <c r="A74" s="100"/>
      <c r="B74" s="27"/>
      <c r="C74" s="96" t="s">
        <v>103</v>
      </c>
      <c r="D74" s="97" t="s">
        <v>5</v>
      </c>
      <c r="E74" s="91">
        <v>4</v>
      </c>
      <c r="F74" s="98">
        <f>F66*E74</f>
        <v>26.832430800000004</v>
      </c>
      <c r="G74" s="33"/>
      <c r="H74" s="33">
        <f t="shared" si="21"/>
        <v>0</v>
      </c>
      <c r="I74" s="33"/>
      <c r="J74" s="33"/>
      <c r="K74" s="33"/>
      <c r="L74" s="33"/>
      <c r="M74" s="33">
        <f t="shared" si="22"/>
        <v>0</v>
      </c>
    </row>
    <row r="75" spans="1:13" s="1" customFormat="1" ht="31.5" x14ac:dyDescent="0.25">
      <c r="A75" s="100"/>
      <c r="B75" s="27"/>
      <c r="C75" s="96" t="s">
        <v>113</v>
      </c>
      <c r="D75" s="97" t="s">
        <v>5</v>
      </c>
      <c r="E75" s="3">
        <v>8.6</v>
      </c>
      <c r="F75" s="19">
        <f>F66*E75</f>
        <v>57.689726220000004</v>
      </c>
      <c r="G75" s="33"/>
      <c r="H75" s="33">
        <f t="shared" si="21"/>
        <v>0</v>
      </c>
      <c r="I75" s="33"/>
      <c r="J75" s="33"/>
      <c r="K75" s="33"/>
      <c r="L75" s="33"/>
      <c r="M75" s="33">
        <f t="shared" si="22"/>
        <v>0</v>
      </c>
    </row>
    <row r="76" spans="1:13" s="1" customFormat="1" ht="63" x14ac:dyDescent="0.25">
      <c r="A76" s="100"/>
      <c r="B76" s="27"/>
      <c r="C76" s="86" t="s">
        <v>110</v>
      </c>
      <c r="D76" s="84" t="s">
        <v>111</v>
      </c>
      <c r="E76" s="3"/>
      <c r="F76" s="19">
        <f>F64</f>
        <v>595.35</v>
      </c>
      <c r="G76" s="33"/>
      <c r="H76" s="33">
        <f t="shared" si="21"/>
        <v>0</v>
      </c>
      <c r="I76" s="33"/>
      <c r="J76" s="33"/>
      <c r="K76" s="33"/>
      <c r="L76" s="33"/>
      <c r="M76" s="33">
        <f t="shared" si="22"/>
        <v>0</v>
      </c>
    </row>
    <row r="77" spans="1:13" s="1" customFormat="1" x14ac:dyDescent="0.25">
      <c r="A77" s="100"/>
      <c r="B77" s="27"/>
      <c r="C77" s="86" t="s">
        <v>112</v>
      </c>
      <c r="D77" s="84" t="s">
        <v>94</v>
      </c>
      <c r="E77" s="3"/>
      <c r="F77" s="19">
        <f>F65</f>
        <v>1278.9000000000003</v>
      </c>
      <c r="G77" s="33"/>
      <c r="H77" s="33">
        <f t="shared" si="21"/>
        <v>0</v>
      </c>
      <c r="I77" s="33"/>
      <c r="J77" s="33"/>
      <c r="K77" s="33"/>
      <c r="L77" s="33"/>
      <c r="M77" s="33">
        <f t="shared" si="22"/>
        <v>0</v>
      </c>
    </row>
    <row r="78" spans="1:13" s="1" customFormat="1" x14ac:dyDescent="0.25">
      <c r="A78" s="101"/>
      <c r="B78" s="27"/>
      <c r="C78" s="92" t="s">
        <v>10</v>
      </c>
      <c r="D78" s="27" t="s">
        <v>7</v>
      </c>
      <c r="E78" s="3">
        <v>2.78</v>
      </c>
      <c r="F78" s="19">
        <f>F66*E78</f>
        <v>18.648539406000001</v>
      </c>
      <c r="G78" s="33"/>
      <c r="H78" s="33">
        <f t="shared" si="21"/>
        <v>0</v>
      </c>
      <c r="I78" s="33"/>
      <c r="J78" s="33"/>
      <c r="K78" s="33"/>
      <c r="L78" s="33"/>
      <c r="M78" s="33">
        <f t="shared" si="22"/>
        <v>0</v>
      </c>
    </row>
    <row r="79" spans="1:13" s="1" customFormat="1" ht="47.25" x14ac:dyDescent="0.25">
      <c r="A79" s="81" t="s">
        <v>114</v>
      </c>
      <c r="B79" s="93" t="s">
        <v>115</v>
      </c>
      <c r="C79" s="83" t="s">
        <v>116</v>
      </c>
      <c r="D79" s="84"/>
      <c r="E79" s="17"/>
      <c r="F79" s="87"/>
      <c r="G79" s="33"/>
      <c r="H79" s="33"/>
      <c r="I79" s="33"/>
      <c r="J79" s="33"/>
      <c r="K79" s="33"/>
      <c r="L79" s="33"/>
      <c r="M79" s="33"/>
    </row>
    <row r="80" spans="1:13" s="1" customFormat="1" ht="31.5" x14ac:dyDescent="0.25">
      <c r="A80" s="85"/>
      <c r="B80" s="27"/>
      <c r="C80" s="86" t="s">
        <v>117</v>
      </c>
      <c r="D80" s="84" t="s">
        <v>94</v>
      </c>
      <c r="E80" s="17">
        <v>1.05</v>
      </c>
      <c r="F80" s="87">
        <f>(13*0.95+30)*E80</f>
        <v>44.467500000000001</v>
      </c>
      <c r="G80" s="33"/>
      <c r="H80" s="33"/>
      <c r="I80" s="33"/>
      <c r="J80" s="33"/>
      <c r="K80" s="33"/>
      <c r="L80" s="33"/>
      <c r="M80" s="33"/>
    </row>
    <row r="81" spans="1:13" s="1" customFormat="1" ht="31.5" x14ac:dyDescent="0.25">
      <c r="A81" s="85"/>
      <c r="B81" s="27"/>
      <c r="C81" s="86" t="s">
        <v>118</v>
      </c>
      <c r="D81" s="84" t="s">
        <v>94</v>
      </c>
      <c r="E81" s="17">
        <v>1.05</v>
      </c>
      <c r="F81" s="87">
        <f>(30*2)*E81</f>
        <v>63</v>
      </c>
      <c r="G81" s="33"/>
      <c r="H81" s="33"/>
      <c r="I81" s="33"/>
      <c r="J81" s="33"/>
      <c r="K81" s="33"/>
      <c r="L81" s="33"/>
      <c r="M81" s="33"/>
    </row>
    <row r="82" spans="1:13" s="1" customFormat="1" x14ac:dyDescent="0.25">
      <c r="A82" s="85"/>
      <c r="B82" s="27"/>
      <c r="C82" s="90" t="s">
        <v>95</v>
      </c>
      <c r="D82" s="82" t="s">
        <v>83</v>
      </c>
      <c r="E82" s="91"/>
      <c r="F82" s="41">
        <f>(F80*3.77+F81*1.88)/1000</f>
        <v>0.28608247500000006</v>
      </c>
      <c r="G82" s="33"/>
      <c r="H82" s="33"/>
      <c r="I82" s="33"/>
      <c r="J82" s="33"/>
      <c r="K82" s="33"/>
      <c r="L82" s="33"/>
      <c r="M82" s="33"/>
    </row>
    <row r="83" spans="1:13" s="1" customFormat="1" ht="27" x14ac:dyDescent="0.25">
      <c r="A83" s="85"/>
      <c r="B83" s="27"/>
      <c r="C83" s="92" t="s">
        <v>73</v>
      </c>
      <c r="D83" s="27" t="s">
        <v>9</v>
      </c>
      <c r="E83" s="3">
        <v>34.9</v>
      </c>
      <c r="F83" s="19">
        <f>F82*E83</f>
        <v>9.9842783775000008</v>
      </c>
      <c r="G83" s="33"/>
      <c r="H83" s="33"/>
      <c r="I83" s="33"/>
      <c r="J83" s="33">
        <f t="shared" ref="J83" si="23">F83*I83</f>
        <v>0</v>
      </c>
      <c r="K83" s="33"/>
      <c r="L83" s="33"/>
      <c r="M83" s="33">
        <f t="shared" ref="M83:M84" si="24">H83+J83+L83</f>
        <v>0</v>
      </c>
    </row>
    <row r="84" spans="1:13" s="1" customFormat="1" x14ac:dyDescent="0.25">
      <c r="A84" s="85"/>
      <c r="B84" s="27"/>
      <c r="C84" s="92" t="s">
        <v>21</v>
      </c>
      <c r="D84" s="27" t="s">
        <v>7</v>
      </c>
      <c r="E84" s="3">
        <v>4.07</v>
      </c>
      <c r="F84" s="19">
        <f>F82*E84</f>
        <v>1.1643556732500002</v>
      </c>
      <c r="G84" s="33"/>
      <c r="H84" s="33"/>
      <c r="I84" s="33"/>
      <c r="J84" s="33"/>
      <c r="K84" s="33"/>
      <c r="L84" s="33">
        <f>F84*K84</f>
        <v>0</v>
      </c>
      <c r="M84" s="33">
        <f t="shared" si="24"/>
        <v>0</v>
      </c>
    </row>
    <row r="85" spans="1:13" s="1" customFormat="1" ht="31.5" x14ac:dyDescent="0.25">
      <c r="A85" s="85"/>
      <c r="B85" s="27"/>
      <c r="C85" s="94" t="s">
        <v>100</v>
      </c>
      <c r="D85" s="27" t="s">
        <v>83</v>
      </c>
      <c r="E85" s="3">
        <v>1</v>
      </c>
      <c r="F85" s="19"/>
      <c r="G85" s="33"/>
      <c r="H85" s="33"/>
      <c r="I85" s="33"/>
      <c r="J85" s="33"/>
      <c r="K85" s="33"/>
      <c r="L85" s="33"/>
      <c r="M85" s="33"/>
    </row>
    <row r="86" spans="1:13" s="1" customFormat="1" ht="31.5" x14ac:dyDescent="0.25">
      <c r="A86" s="85"/>
      <c r="B86" s="27"/>
      <c r="C86" s="86" t="s">
        <v>117</v>
      </c>
      <c r="D86" s="84" t="s">
        <v>94</v>
      </c>
      <c r="E86" s="3"/>
      <c r="F86" s="19">
        <f>F80</f>
        <v>44.467500000000001</v>
      </c>
      <c r="G86" s="33"/>
      <c r="H86" s="33">
        <f t="shared" ref="H86:H90" si="25">F86*G86</f>
        <v>0</v>
      </c>
      <c r="I86" s="33"/>
      <c r="J86" s="33"/>
      <c r="K86" s="33"/>
      <c r="L86" s="33"/>
      <c r="M86" s="33">
        <f t="shared" ref="M86:M90" si="26">H86+J86+L86</f>
        <v>0</v>
      </c>
    </row>
    <row r="87" spans="1:13" s="1" customFormat="1" ht="31.5" x14ac:dyDescent="0.25">
      <c r="A87" s="85"/>
      <c r="B87" s="27"/>
      <c r="C87" s="86" t="s">
        <v>118</v>
      </c>
      <c r="D87" s="84" t="s">
        <v>94</v>
      </c>
      <c r="E87" s="3"/>
      <c r="F87" s="19">
        <f>F81</f>
        <v>63</v>
      </c>
      <c r="G87" s="33"/>
      <c r="H87" s="33">
        <f t="shared" si="25"/>
        <v>0</v>
      </c>
      <c r="I87" s="33"/>
      <c r="J87" s="33"/>
      <c r="K87" s="33"/>
      <c r="L87" s="33"/>
      <c r="M87" s="33">
        <f t="shared" si="26"/>
        <v>0</v>
      </c>
    </row>
    <row r="88" spans="1:13" s="1" customFormat="1" ht="47.25" x14ac:dyDescent="0.25">
      <c r="A88" s="85"/>
      <c r="B88" s="27"/>
      <c r="C88" s="96" t="s">
        <v>103</v>
      </c>
      <c r="D88" s="97" t="s">
        <v>5</v>
      </c>
      <c r="E88" s="91">
        <v>3.3</v>
      </c>
      <c r="F88" s="98">
        <f>F82*E88</f>
        <v>0.94407216750000011</v>
      </c>
      <c r="G88" s="33"/>
      <c r="H88" s="33">
        <f t="shared" si="25"/>
        <v>0</v>
      </c>
      <c r="I88" s="33"/>
      <c r="J88" s="33"/>
      <c r="K88" s="33"/>
      <c r="L88" s="33"/>
      <c r="M88" s="33">
        <f t="shared" si="26"/>
        <v>0</v>
      </c>
    </row>
    <row r="89" spans="1:13" s="1" customFormat="1" x14ac:dyDescent="0.25">
      <c r="A89" s="85"/>
      <c r="B89" s="27"/>
      <c r="C89" s="96" t="s">
        <v>102</v>
      </c>
      <c r="D89" s="97" t="s">
        <v>5</v>
      </c>
      <c r="E89" s="91">
        <v>15.2</v>
      </c>
      <c r="F89" s="98">
        <f>F82*E89</f>
        <v>4.3484536200000008</v>
      </c>
      <c r="G89" s="33"/>
      <c r="H89" s="33">
        <f t="shared" si="25"/>
        <v>0</v>
      </c>
      <c r="I89" s="33"/>
      <c r="J89" s="33"/>
      <c r="K89" s="33"/>
      <c r="L89" s="33"/>
      <c r="M89" s="33">
        <f t="shared" si="26"/>
        <v>0</v>
      </c>
    </row>
    <row r="90" spans="1:13" s="1" customFormat="1" x14ac:dyDescent="0.25">
      <c r="A90" s="99"/>
      <c r="B90" s="27"/>
      <c r="C90" s="92" t="s">
        <v>10</v>
      </c>
      <c r="D90" s="27" t="s">
        <v>7</v>
      </c>
      <c r="E90" s="3">
        <v>2.78</v>
      </c>
      <c r="F90" s="19">
        <f>F82*E90</f>
        <v>0.79530928050000016</v>
      </c>
      <c r="G90" s="33"/>
      <c r="H90" s="33">
        <f t="shared" si="25"/>
        <v>0</v>
      </c>
      <c r="I90" s="33"/>
      <c r="J90" s="33"/>
      <c r="K90" s="33"/>
      <c r="L90" s="33"/>
      <c r="M90" s="33">
        <f t="shared" si="26"/>
        <v>0</v>
      </c>
    </row>
    <row r="91" spans="1:13" s="1" customFormat="1" x14ac:dyDescent="0.25">
      <c r="A91" s="84"/>
      <c r="B91" s="27"/>
      <c r="C91" s="92"/>
      <c r="D91" s="27"/>
      <c r="E91" s="3"/>
      <c r="F91" s="19"/>
      <c r="G91" s="33"/>
      <c r="H91" s="33"/>
      <c r="I91" s="33"/>
      <c r="J91" s="33"/>
      <c r="K91" s="33"/>
      <c r="L91" s="33"/>
      <c r="M91" s="33"/>
    </row>
    <row r="92" spans="1:13" s="1" customFormat="1" ht="94.5" x14ac:dyDescent="0.25">
      <c r="A92" s="877" t="s">
        <v>726</v>
      </c>
      <c r="B92" s="102" t="s">
        <v>119</v>
      </c>
      <c r="C92" s="67" t="s">
        <v>120</v>
      </c>
      <c r="D92" s="27" t="s">
        <v>111</v>
      </c>
      <c r="E92" s="17"/>
      <c r="F92" s="103">
        <f>(0.08+0.08)*2*F50/E50+0.06*4*F62/E62+0.04*2*F63/E63+(0.04+0.08)*2*F80/E80+(0.02+0.04)*2*F81/E81</f>
        <v>403.36400000000003</v>
      </c>
      <c r="G92" s="33"/>
      <c r="H92" s="33"/>
      <c r="I92" s="33"/>
      <c r="J92" s="33"/>
      <c r="K92" s="33"/>
      <c r="L92" s="33"/>
      <c r="M92" s="33"/>
    </row>
    <row r="93" spans="1:13" s="1" customFormat="1" ht="27" x14ac:dyDescent="0.25">
      <c r="A93" s="877"/>
      <c r="B93" s="84"/>
      <c r="C93" s="92" t="s">
        <v>77</v>
      </c>
      <c r="D93" s="27" t="s">
        <v>9</v>
      </c>
      <c r="E93" s="17">
        <v>8.2000000000000003E-2</v>
      </c>
      <c r="F93" s="19">
        <f>F92*E93</f>
        <v>33.075848000000001</v>
      </c>
      <c r="G93" s="33"/>
      <c r="H93" s="33"/>
      <c r="I93" s="48"/>
      <c r="J93" s="33">
        <f t="shared" si="13"/>
        <v>0</v>
      </c>
      <c r="K93" s="33"/>
      <c r="L93" s="33"/>
      <c r="M93" s="33">
        <f t="shared" ref="M93:M99" si="27">H93+J93+L93</f>
        <v>0</v>
      </c>
    </row>
    <row r="94" spans="1:13" s="1" customFormat="1" ht="27" x14ac:dyDescent="0.25">
      <c r="A94" s="877"/>
      <c r="B94" s="84"/>
      <c r="C94" s="92" t="s">
        <v>21</v>
      </c>
      <c r="D94" s="27" t="s">
        <v>98</v>
      </c>
      <c r="E94" s="17">
        <v>1E-4</v>
      </c>
      <c r="F94" s="19">
        <f>F92*E94</f>
        <v>4.0336400000000008E-2</v>
      </c>
      <c r="G94" s="33"/>
      <c r="H94" s="33"/>
      <c r="I94" s="33"/>
      <c r="J94" s="33"/>
      <c r="K94" s="33"/>
      <c r="L94" s="33">
        <f t="shared" ref="L94" si="28">F94*K94</f>
        <v>0</v>
      </c>
      <c r="M94" s="33">
        <f t="shared" si="27"/>
        <v>0</v>
      </c>
    </row>
    <row r="95" spans="1:13" s="1" customFormat="1" x14ac:dyDescent="0.25">
      <c r="A95" s="877"/>
      <c r="B95" s="84"/>
      <c r="C95" s="92" t="s">
        <v>121</v>
      </c>
      <c r="D95" s="27" t="s">
        <v>5</v>
      </c>
      <c r="E95" s="17">
        <v>0.35</v>
      </c>
      <c r="F95" s="19">
        <f>F92*E95</f>
        <v>141.17740000000001</v>
      </c>
      <c r="G95" s="33"/>
      <c r="H95" s="33">
        <f t="shared" si="3"/>
        <v>0</v>
      </c>
      <c r="I95" s="33"/>
      <c r="J95" s="33"/>
      <c r="K95" s="33"/>
      <c r="L95" s="33"/>
      <c r="M95" s="33">
        <f t="shared" si="27"/>
        <v>0</v>
      </c>
    </row>
    <row r="96" spans="1:13" s="1" customFormat="1" x14ac:dyDescent="0.25">
      <c r="A96" s="877"/>
      <c r="B96" s="84"/>
      <c r="C96" s="92" t="s">
        <v>122</v>
      </c>
      <c r="D96" s="27" t="s">
        <v>7</v>
      </c>
      <c r="E96" s="17">
        <v>5.0000000000000001E-4</v>
      </c>
      <c r="F96" s="19">
        <f>F92*E96</f>
        <v>0.20168200000000003</v>
      </c>
      <c r="G96" s="33"/>
      <c r="H96" s="33">
        <f t="shared" si="3"/>
        <v>0</v>
      </c>
      <c r="I96" s="33"/>
      <c r="J96" s="33"/>
      <c r="K96" s="33"/>
      <c r="L96" s="33"/>
      <c r="M96" s="33">
        <f t="shared" si="27"/>
        <v>0</v>
      </c>
    </row>
    <row r="97" spans="1:13" s="1" customFormat="1" ht="27" x14ac:dyDescent="0.25">
      <c r="A97" s="878" t="s">
        <v>154</v>
      </c>
      <c r="B97" s="45" t="s">
        <v>22</v>
      </c>
      <c r="C97" s="880" t="s">
        <v>123</v>
      </c>
      <c r="D97" s="45" t="s">
        <v>94</v>
      </c>
      <c r="E97" s="46"/>
      <c r="F97" s="41">
        <f>(40.3+23.3)*2</f>
        <v>127.19999999999999</v>
      </c>
      <c r="G97" s="33"/>
      <c r="H97" s="33"/>
      <c r="I97" s="33"/>
      <c r="J97" s="33"/>
      <c r="K97" s="33"/>
      <c r="L97" s="33"/>
      <c r="M97" s="33"/>
    </row>
    <row r="98" spans="1:13" s="1" customFormat="1" x14ac:dyDescent="0.25">
      <c r="A98" s="879"/>
      <c r="B98" s="45"/>
      <c r="C98" s="881"/>
      <c r="D98" s="45" t="s">
        <v>111</v>
      </c>
      <c r="E98" s="46"/>
      <c r="F98" s="41">
        <f>F97*4.5</f>
        <v>572.4</v>
      </c>
      <c r="G98" s="33"/>
      <c r="H98" s="33"/>
      <c r="I98" s="33"/>
      <c r="J98" s="33"/>
      <c r="K98" s="33"/>
      <c r="L98" s="33"/>
      <c r="M98" s="33"/>
    </row>
    <row r="99" spans="1:13" s="1" customFormat="1" x14ac:dyDescent="0.25">
      <c r="A99" s="879"/>
      <c r="B99" s="45"/>
      <c r="C99" s="92" t="s">
        <v>77</v>
      </c>
      <c r="D99" s="45" t="s">
        <v>111</v>
      </c>
      <c r="E99" s="17">
        <v>1</v>
      </c>
      <c r="F99" s="19">
        <f>F98*E99</f>
        <v>572.4</v>
      </c>
      <c r="G99" s="33"/>
      <c r="H99" s="33"/>
      <c r="I99" s="33"/>
      <c r="J99" s="33">
        <f t="shared" si="13"/>
        <v>0</v>
      </c>
      <c r="K99" s="33"/>
      <c r="L99" s="33"/>
      <c r="M99" s="33">
        <f t="shared" si="27"/>
        <v>0</v>
      </c>
    </row>
    <row r="100" spans="1:13" s="1" customFormat="1" ht="63" x14ac:dyDescent="0.25">
      <c r="A100" s="873" t="s">
        <v>718</v>
      </c>
      <c r="B100" s="845" t="s">
        <v>675</v>
      </c>
      <c r="C100" s="133" t="s">
        <v>1005</v>
      </c>
      <c r="D100" s="621" t="s">
        <v>676</v>
      </c>
      <c r="E100" s="808"/>
      <c r="F100" s="125">
        <f>40.3*20.3</f>
        <v>818.08999999999992</v>
      </c>
      <c r="G100" s="622"/>
      <c r="H100" s="126"/>
      <c r="I100" s="622"/>
      <c r="J100" s="126"/>
      <c r="K100" s="622"/>
      <c r="L100" s="126"/>
      <c r="M100" s="126"/>
    </row>
    <row r="101" spans="1:13" s="1" customFormat="1" ht="30" x14ac:dyDescent="0.25">
      <c r="A101" s="873"/>
      <c r="B101" s="276"/>
      <c r="C101" s="128" t="s">
        <v>77</v>
      </c>
      <c r="D101" s="276" t="s">
        <v>205</v>
      </c>
      <c r="E101" s="808">
        <f>41.5*0.01</f>
        <v>0.41500000000000004</v>
      </c>
      <c r="F101" s="801">
        <f>F100*E101</f>
        <v>339.50734999999997</v>
      </c>
      <c r="G101" s="622"/>
      <c r="H101" s="126"/>
      <c r="I101" s="622"/>
      <c r="J101" s="126">
        <f>F101*I101</f>
        <v>0</v>
      </c>
      <c r="K101" s="622"/>
      <c r="L101" s="126"/>
      <c r="M101" s="126">
        <f>H101+J101+L101</f>
        <v>0</v>
      </c>
    </row>
    <row r="102" spans="1:13" s="1" customFormat="1" ht="27" x14ac:dyDescent="0.25">
      <c r="A102" s="873"/>
      <c r="B102" s="796"/>
      <c r="C102" s="111" t="s">
        <v>21</v>
      </c>
      <c r="D102" s="796" t="s">
        <v>98</v>
      </c>
      <c r="E102" s="808">
        <f>0.03*0.01</f>
        <v>2.9999999999999997E-4</v>
      </c>
      <c r="F102" s="801">
        <f>F100*E102</f>
        <v>0.24542699999999995</v>
      </c>
      <c r="G102" s="126"/>
      <c r="H102" s="126"/>
      <c r="I102" s="126"/>
      <c r="J102" s="126">
        <f t="shared" ref="J102" si="29">F102*I102</f>
        <v>0</v>
      </c>
      <c r="K102" s="126"/>
      <c r="L102" s="126">
        <f>F102*K102</f>
        <v>0</v>
      </c>
      <c r="M102" s="126">
        <f>H102+J102+L102</f>
        <v>0</v>
      </c>
    </row>
    <row r="103" spans="1:13" s="1" customFormat="1" x14ac:dyDescent="0.25">
      <c r="A103" s="873"/>
      <c r="B103" s="797"/>
      <c r="C103" s="135" t="s">
        <v>677</v>
      </c>
      <c r="D103" s="276" t="s">
        <v>516</v>
      </c>
      <c r="E103" s="808">
        <f>(0.19*0.01)*100</f>
        <v>0.19</v>
      </c>
      <c r="F103" s="801">
        <f>F100*E103</f>
        <v>155.43709999999999</v>
      </c>
      <c r="G103" s="622"/>
      <c r="H103" s="126">
        <f>F103*G103</f>
        <v>0</v>
      </c>
      <c r="I103" s="622"/>
      <c r="J103" s="126"/>
      <c r="K103" s="622"/>
      <c r="L103" s="126"/>
      <c r="M103" s="126">
        <f t="shared" ref="M103:M105" si="30">H103+J103+L103</f>
        <v>0</v>
      </c>
    </row>
    <row r="104" spans="1:13" s="1" customFormat="1" ht="31.5" x14ac:dyDescent="0.25">
      <c r="A104" s="873"/>
      <c r="B104" s="796"/>
      <c r="C104" s="128" t="s">
        <v>1006</v>
      </c>
      <c r="D104" s="276" t="s">
        <v>678</v>
      </c>
      <c r="E104" s="808">
        <v>1.02</v>
      </c>
      <c r="F104" s="801">
        <f>F100*E104</f>
        <v>834.45179999999993</v>
      </c>
      <c r="G104" s="622"/>
      <c r="H104" s="126">
        <f>F104*G104</f>
        <v>0</v>
      </c>
      <c r="I104" s="622"/>
      <c r="J104" s="126"/>
      <c r="K104" s="622"/>
      <c r="L104" s="126"/>
      <c r="M104" s="126">
        <f t="shared" si="30"/>
        <v>0</v>
      </c>
    </row>
    <row r="105" spans="1:13" s="1" customFormat="1" x14ac:dyDescent="0.25">
      <c r="A105" s="873"/>
      <c r="B105" s="276"/>
      <c r="C105" s="623" t="s">
        <v>122</v>
      </c>
      <c r="D105" s="276" t="s">
        <v>679</v>
      </c>
      <c r="E105" s="808">
        <v>0.08</v>
      </c>
      <c r="F105" s="801">
        <f>F100*E105</f>
        <v>65.447199999999995</v>
      </c>
      <c r="G105" s="622"/>
      <c r="H105" s="126">
        <f>F105*G105</f>
        <v>0</v>
      </c>
      <c r="I105" s="622"/>
      <c r="J105" s="126"/>
      <c r="K105" s="622"/>
      <c r="L105" s="126"/>
      <c r="M105" s="126">
        <f t="shared" si="30"/>
        <v>0</v>
      </c>
    </row>
    <row r="106" spans="1:13" s="1" customFormat="1" ht="47.25" x14ac:dyDescent="0.25">
      <c r="A106" s="874" t="s">
        <v>297</v>
      </c>
      <c r="B106" s="110" t="s">
        <v>719</v>
      </c>
      <c r="C106" s="119" t="s">
        <v>127</v>
      </c>
      <c r="D106" s="45" t="s">
        <v>111</v>
      </c>
      <c r="E106" s="17"/>
      <c r="F106" s="108">
        <f>30.3*3</f>
        <v>90.9</v>
      </c>
      <c r="G106" s="33"/>
      <c r="H106" s="48"/>
      <c r="I106" s="33"/>
      <c r="J106" s="48"/>
      <c r="K106" s="33"/>
      <c r="L106" s="33"/>
      <c r="M106" s="48"/>
    </row>
    <row r="107" spans="1:13" s="1" customFormat="1" x14ac:dyDescent="0.25">
      <c r="A107" s="874"/>
      <c r="B107" s="44"/>
      <c r="C107" s="70" t="s">
        <v>77</v>
      </c>
      <c r="D107" s="796" t="s">
        <v>18</v>
      </c>
      <c r="E107" s="72">
        <v>0.192</v>
      </c>
      <c r="F107" s="73">
        <f>E107*F106</f>
        <v>17.4528</v>
      </c>
      <c r="G107" s="126"/>
      <c r="H107" s="126"/>
      <c r="I107" s="126"/>
      <c r="J107" s="126">
        <f t="shared" ref="J107" si="31">F107*I107</f>
        <v>0</v>
      </c>
      <c r="K107" s="126"/>
      <c r="L107" s="126"/>
      <c r="M107" s="126">
        <f t="shared" ref="M107:M110" si="32">H107+J107+L107</f>
        <v>0</v>
      </c>
    </row>
    <row r="108" spans="1:13" s="1" customFormat="1" x14ac:dyDescent="0.25">
      <c r="A108" s="874"/>
      <c r="B108" s="44"/>
      <c r="C108" s="44" t="s">
        <v>8</v>
      </c>
      <c r="D108" s="796" t="s">
        <v>7</v>
      </c>
      <c r="E108" s="72">
        <v>5.8999999999999999E-3</v>
      </c>
      <c r="F108" s="73">
        <f>E108*F106</f>
        <v>0.53631000000000006</v>
      </c>
      <c r="G108" s="126"/>
      <c r="H108" s="126"/>
      <c r="I108" s="126"/>
      <c r="J108" s="126"/>
      <c r="K108" s="126"/>
      <c r="L108" s="126">
        <f t="shared" ref="L108" si="33">F108*K108</f>
        <v>0</v>
      </c>
      <c r="M108" s="126">
        <f t="shared" si="32"/>
        <v>0</v>
      </c>
    </row>
    <row r="109" spans="1:13" s="1" customFormat="1" x14ac:dyDescent="0.25">
      <c r="A109" s="874"/>
      <c r="B109" s="44"/>
      <c r="C109" s="44" t="s">
        <v>720</v>
      </c>
      <c r="D109" s="796" t="s">
        <v>5</v>
      </c>
      <c r="E109" s="644">
        <f>2.9+0.76</f>
        <v>3.66</v>
      </c>
      <c r="F109" s="148">
        <f>F106*E109</f>
        <v>332.69400000000002</v>
      </c>
      <c r="G109" s="126"/>
      <c r="H109" s="800">
        <f>F109*G109</f>
        <v>0</v>
      </c>
      <c r="I109" s="800"/>
      <c r="J109" s="800"/>
      <c r="K109" s="369"/>
      <c r="L109" s="800"/>
      <c r="M109" s="800">
        <f t="shared" si="32"/>
        <v>0</v>
      </c>
    </row>
    <row r="110" spans="1:13" s="1" customFormat="1" x14ac:dyDescent="0.25">
      <c r="A110" s="874"/>
      <c r="B110" s="44"/>
      <c r="C110" s="44" t="s">
        <v>122</v>
      </c>
      <c r="D110" s="796" t="s">
        <v>7</v>
      </c>
      <c r="E110" s="644">
        <v>1.9E-3</v>
      </c>
      <c r="F110" s="148">
        <f>F106*E110</f>
        <v>0.17271</v>
      </c>
      <c r="G110" s="126"/>
      <c r="H110" s="800">
        <f>F110*G110</f>
        <v>0</v>
      </c>
      <c r="I110" s="800"/>
      <c r="J110" s="800"/>
      <c r="K110" s="369"/>
      <c r="L110" s="800"/>
      <c r="M110" s="800">
        <f t="shared" si="32"/>
        <v>0</v>
      </c>
    </row>
    <row r="111" spans="1:13" s="1" customFormat="1" x14ac:dyDescent="0.25">
      <c r="A111" s="120"/>
      <c r="B111" s="115"/>
      <c r="C111" s="116"/>
      <c r="D111" s="121"/>
      <c r="E111" s="17"/>
      <c r="F111" s="6"/>
      <c r="G111" s="33"/>
      <c r="H111" s="33"/>
      <c r="I111" s="33"/>
      <c r="J111" s="33"/>
      <c r="K111" s="33"/>
      <c r="L111" s="33"/>
      <c r="M111" s="33"/>
    </row>
    <row r="112" spans="1:13" s="1" customFormat="1" ht="78.75" x14ac:dyDescent="0.25">
      <c r="A112" s="869" t="s">
        <v>979</v>
      </c>
      <c r="B112" s="122" t="s">
        <v>105</v>
      </c>
      <c r="C112" s="105" t="s">
        <v>129</v>
      </c>
      <c r="D112" s="123" t="s">
        <v>94</v>
      </c>
      <c r="E112" s="124"/>
      <c r="F112" s="125">
        <f>24</f>
        <v>24</v>
      </c>
      <c r="G112" s="126"/>
      <c r="H112" s="126"/>
      <c r="I112" s="126"/>
      <c r="J112" s="126"/>
      <c r="K112" s="126"/>
      <c r="L112" s="126"/>
      <c r="M112" s="126"/>
    </row>
    <row r="113" spans="1:13" s="1" customFormat="1" x14ac:dyDescent="0.25">
      <c r="A113" s="870"/>
      <c r="B113" s="127"/>
      <c r="C113" s="128" t="s">
        <v>130</v>
      </c>
      <c r="D113" s="127" t="s">
        <v>94</v>
      </c>
      <c r="E113" s="129">
        <v>1.05</v>
      </c>
      <c r="F113" s="125">
        <f xml:space="preserve"> (14*2*(0.75+0.35+0.75)+2*24)*E113</f>
        <v>104.79000000000002</v>
      </c>
      <c r="G113" s="126"/>
      <c r="H113" s="126"/>
      <c r="I113" s="126"/>
      <c r="J113" s="126"/>
      <c r="K113" s="126"/>
      <c r="L113" s="126"/>
      <c r="M113" s="126"/>
    </row>
    <row r="114" spans="1:13" s="1" customFormat="1" x14ac:dyDescent="0.25">
      <c r="A114" s="870"/>
      <c r="B114" s="127"/>
      <c r="C114" s="128" t="s">
        <v>131</v>
      </c>
      <c r="D114" s="127" t="s">
        <v>94</v>
      </c>
      <c r="E114" s="129">
        <v>1.05</v>
      </c>
      <c r="F114" s="125">
        <f>(2)*24*E114</f>
        <v>50.400000000000006</v>
      </c>
      <c r="G114" s="126"/>
      <c r="H114" s="126"/>
      <c r="I114" s="126"/>
      <c r="J114" s="126"/>
      <c r="K114" s="126"/>
      <c r="L114" s="126"/>
      <c r="M114" s="126"/>
    </row>
    <row r="115" spans="1:13" s="1" customFormat="1" x14ac:dyDescent="0.25">
      <c r="A115" s="870"/>
      <c r="B115" s="127"/>
      <c r="C115" s="128" t="s">
        <v>132</v>
      </c>
      <c r="D115" s="127" t="s">
        <v>94</v>
      </c>
      <c r="E115" s="129">
        <v>1.05</v>
      </c>
      <c r="F115" s="125">
        <f>0.3*21*4*E115+0.3*47*2*E115</f>
        <v>56.07</v>
      </c>
      <c r="G115" s="126"/>
      <c r="H115" s="126"/>
      <c r="I115" s="126"/>
      <c r="J115" s="126"/>
      <c r="K115" s="126"/>
      <c r="L115" s="126"/>
      <c r="M115" s="126"/>
    </row>
    <row r="116" spans="1:13" s="1" customFormat="1" x14ac:dyDescent="0.25">
      <c r="A116" s="870"/>
      <c r="B116" s="127"/>
      <c r="C116" s="128" t="s">
        <v>133</v>
      </c>
      <c r="D116" s="127" t="s">
        <v>94</v>
      </c>
      <c r="E116" s="129">
        <v>1.05</v>
      </c>
      <c r="F116" s="125">
        <f>( ((0.4)*5*2*2)+(0.5*0.75*3*2) )*E116</f>
        <v>10.762500000000001</v>
      </c>
      <c r="G116" s="126"/>
      <c r="H116" s="126"/>
      <c r="I116" s="126"/>
      <c r="J116" s="126"/>
      <c r="K116" s="126"/>
      <c r="L116" s="126"/>
      <c r="M116" s="126"/>
    </row>
    <row r="117" spans="1:13" s="1" customFormat="1" x14ac:dyDescent="0.25">
      <c r="A117" s="870"/>
      <c r="B117" s="127"/>
      <c r="C117" s="130" t="s">
        <v>95</v>
      </c>
      <c r="D117" s="122" t="s">
        <v>83</v>
      </c>
      <c r="E117" s="129"/>
      <c r="F117" s="125">
        <f>(F113*5.65+F114*1.25+F115*1.49+F116*15.7)/1000</f>
        <v>0.90757905000000028</v>
      </c>
      <c r="G117" s="126"/>
      <c r="H117" s="126"/>
      <c r="I117" s="126"/>
      <c r="J117" s="126"/>
      <c r="K117" s="126"/>
      <c r="L117" s="126"/>
      <c r="M117" s="126"/>
    </row>
    <row r="118" spans="1:13" s="1" customFormat="1" ht="27" x14ac:dyDescent="0.25">
      <c r="A118" s="870"/>
      <c r="B118" s="131"/>
      <c r="C118" s="128" t="s">
        <v>73</v>
      </c>
      <c r="D118" s="131" t="s">
        <v>9</v>
      </c>
      <c r="E118" s="129">
        <v>23.6</v>
      </c>
      <c r="F118" s="132">
        <f>F117*E118</f>
        <v>21.418865580000009</v>
      </c>
      <c r="G118" s="126"/>
      <c r="H118" s="126"/>
      <c r="I118" s="126"/>
      <c r="J118" s="126">
        <f t="shared" ref="J118:J143" si="34">F118*I118</f>
        <v>0</v>
      </c>
      <c r="K118" s="126"/>
      <c r="L118" s="126"/>
      <c r="M118" s="126">
        <f t="shared" ref="M118:M146" si="35">H118+J118+L118</f>
        <v>0</v>
      </c>
    </row>
    <row r="119" spans="1:13" s="1" customFormat="1" ht="27" x14ac:dyDescent="0.25">
      <c r="A119" s="870"/>
      <c r="B119" s="38" t="s">
        <v>96</v>
      </c>
      <c r="C119" s="128" t="s">
        <v>99</v>
      </c>
      <c r="D119" s="131" t="s">
        <v>98</v>
      </c>
      <c r="E119" s="129">
        <v>2.87</v>
      </c>
      <c r="F119" s="132">
        <f>F117*E119</f>
        <v>2.604751873500001</v>
      </c>
      <c r="G119" s="126"/>
      <c r="H119" s="126"/>
      <c r="I119" s="126"/>
      <c r="J119" s="126"/>
      <c r="K119" s="126"/>
      <c r="L119" s="126">
        <f t="shared" ref="L119:L138" si="36">F119*K119</f>
        <v>0</v>
      </c>
      <c r="M119" s="126">
        <f t="shared" si="35"/>
        <v>0</v>
      </c>
    </row>
    <row r="120" spans="1:13" s="1" customFormat="1" x14ac:dyDescent="0.25">
      <c r="A120" s="870"/>
      <c r="B120" s="131"/>
      <c r="C120" s="128" t="s">
        <v>8</v>
      </c>
      <c r="D120" s="131" t="s">
        <v>7</v>
      </c>
      <c r="E120" s="129">
        <v>4.0199999999999996</v>
      </c>
      <c r="F120" s="132">
        <f>F117*E120</f>
        <v>3.6484677810000008</v>
      </c>
      <c r="G120" s="126"/>
      <c r="H120" s="126"/>
      <c r="I120" s="126"/>
      <c r="J120" s="126"/>
      <c r="K120" s="126"/>
      <c r="L120" s="126">
        <f t="shared" si="36"/>
        <v>0</v>
      </c>
      <c r="M120" s="126">
        <f t="shared" si="35"/>
        <v>0</v>
      </c>
    </row>
    <row r="121" spans="1:13" s="1" customFormat="1" ht="31.5" x14ac:dyDescent="0.25">
      <c r="A121" s="870"/>
      <c r="B121" s="127"/>
      <c r="C121" s="133" t="s">
        <v>100</v>
      </c>
      <c r="D121" s="127" t="s">
        <v>83</v>
      </c>
      <c r="E121" s="129">
        <v>1</v>
      </c>
      <c r="F121" s="134">
        <f>F117*E121</f>
        <v>0.90757905000000028</v>
      </c>
      <c r="G121" s="126"/>
      <c r="H121" s="126"/>
      <c r="I121" s="126"/>
      <c r="J121" s="126"/>
      <c r="K121" s="126"/>
      <c r="L121" s="126"/>
      <c r="M121" s="126"/>
    </row>
    <row r="122" spans="1:13" s="1" customFormat="1" x14ac:dyDescent="0.25">
      <c r="A122" s="870"/>
      <c r="B122" s="127"/>
      <c r="C122" s="128" t="s">
        <v>134</v>
      </c>
      <c r="D122" s="127" t="s">
        <v>94</v>
      </c>
      <c r="E122" s="129"/>
      <c r="F122" s="134">
        <f>F113</f>
        <v>104.79000000000002</v>
      </c>
      <c r="G122" s="126"/>
      <c r="H122" s="126">
        <f t="shared" ref="H122:H146" si="37">F122*G122</f>
        <v>0</v>
      </c>
      <c r="I122" s="126"/>
      <c r="J122" s="126"/>
      <c r="K122" s="126"/>
      <c r="L122" s="126"/>
      <c r="M122" s="126">
        <f t="shared" ref="M122:M127" si="38">H122+J122+L122</f>
        <v>0</v>
      </c>
    </row>
    <row r="123" spans="1:13" s="1" customFormat="1" x14ac:dyDescent="0.25">
      <c r="A123" s="870"/>
      <c r="B123" s="127"/>
      <c r="C123" s="128" t="s">
        <v>135</v>
      </c>
      <c r="D123" s="127" t="s">
        <v>94</v>
      </c>
      <c r="E123" s="129"/>
      <c r="F123" s="134">
        <f>F114</f>
        <v>50.400000000000006</v>
      </c>
      <c r="G123" s="126"/>
      <c r="H123" s="126">
        <f t="shared" si="37"/>
        <v>0</v>
      </c>
      <c r="I123" s="126"/>
      <c r="J123" s="126"/>
      <c r="K123" s="126"/>
      <c r="L123" s="126"/>
      <c r="M123" s="126">
        <f t="shared" si="38"/>
        <v>0</v>
      </c>
    </row>
    <row r="124" spans="1:13" s="1" customFormat="1" x14ac:dyDescent="0.25">
      <c r="A124" s="870"/>
      <c r="B124" s="127"/>
      <c r="C124" s="128" t="s">
        <v>136</v>
      </c>
      <c r="D124" s="127" t="s">
        <v>94</v>
      </c>
      <c r="E124" s="129"/>
      <c r="F124" s="134">
        <f>F115</f>
        <v>56.07</v>
      </c>
      <c r="G124" s="126"/>
      <c r="H124" s="126">
        <f t="shared" si="37"/>
        <v>0</v>
      </c>
      <c r="I124" s="126"/>
      <c r="J124" s="126"/>
      <c r="K124" s="126"/>
      <c r="L124" s="126"/>
      <c r="M124" s="126">
        <f t="shared" si="38"/>
        <v>0</v>
      </c>
    </row>
    <row r="125" spans="1:13" s="1" customFormat="1" x14ac:dyDescent="0.25">
      <c r="A125" s="870"/>
      <c r="B125" s="127"/>
      <c r="C125" s="128" t="s">
        <v>133</v>
      </c>
      <c r="D125" s="127" t="s">
        <v>94</v>
      </c>
      <c r="E125" s="129"/>
      <c r="F125" s="134">
        <f>F116</f>
        <v>10.762500000000001</v>
      </c>
      <c r="G125" s="126"/>
      <c r="H125" s="126">
        <f t="shared" si="37"/>
        <v>0</v>
      </c>
      <c r="I125" s="126"/>
      <c r="J125" s="126"/>
      <c r="K125" s="126"/>
      <c r="L125" s="126"/>
      <c r="M125" s="126">
        <f t="shared" si="38"/>
        <v>0</v>
      </c>
    </row>
    <row r="126" spans="1:13" s="1" customFormat="1" ht="31.5" x14ac:dyDescent="0.25">
      <c r="A126" s="870"/>
      <c r="B126" s="131"/>
      <c r="C126" s="128" t="s">
        <v>101</v>
      </c>
      <c r="D126" s="131" t="s">
        <v>5</v>
      </c>
      <c r="E126" s="129">
        <v>22.9</v>
      </c>
      <c r="F126" s="132">
        <f>F117*E126</f>
        <v>20.783560245000004</v>
      </c>
      <c r="G126" s="126"/>
      <c r="H126" s="126">
        <f t="shared" si="37"/>
        <v>0</v>
      </c>
      <c r="I126" s="126"/>
      <c r="J126" s="126"/>
      <c r="K126" s="126"/>
      <c r="L126" s="126"/>
      <c r="M126" s="126">
        <f t="shared" si="38"/>
        <v>0</v>
      </c>
    </row>
    <row r="127" spans="1:13" s="1" customFormat="1" x14ac:dyDescent="0.25">
      <c r="A127" s="870"/>
      <c r="B127" s="131"/>
      <c r="C127" s="128" t="s">
        <v>137</v>
      </c>
      <c r="D127" s="131" t="s">
        <v>5</v>
      </c>
      <c r="E127" s="129">
        <v>8.6</v>
      </c>
      <c r="F127" s="132">
        <f>F117*E127</f>
        <v>7.8051798300000019</v>
      </c>
      <c r="G127" s="126"/>
      <c r="H127" s="126">
        <f t="shared" si="37"/>
        <v>0</v>
      </c>
      <c r="I127" s="126"/>
      <c r="J127" s="126"/>
      <c r="K127" s="126"/>
      <c r="L127" s="126"/>
      <c r="M127" s="126">
        <f t="shared" si="38"/>
        <v>0</v>
      </c>
    </row>
    <row r="128" spans="1:13" s="1" customFormat="1" x14ac:dyDescent="0.25">
      <c r="A128" s="870"/>
      <c r="B128" s="131"/>
      <c r="C128" s="135" t="s">
        <v>102</v>
      </c>
      <c r="D128" s="131" t="s">
        <v>5</v>
      </c>
      <c r="E128" s="129"/>
      <c r="F128" s="132">
        <v>25</v>
      </c>
      <c r="G128" s="126"/>
      <c r="H128" s="126">
        <f t="shared" si="37"/>
        <v>0</v>
      </c>
      <c r="I128" s="126"/>
      <c r="J128" s="126"/>
      <c r="K128" s="126"/>
      <c r="L128" s="126"/>
      <c r="M128" s="126">
        <f t="shared" si="35"/>
        <v>0</v>
      </c>
    </row>
    <row r="129" spans="1:13" s="1" customFormat="1" x14ac:dyDescent="0.25">
      <c r="A129" s="871"/>
      <c r="B129" s="131"/>
      <c r="C129" s="128" t="s">
        <v>10</v>
      </c>
      <c r="D129" s="131" t="s">
        <v>7</v>
      </c>
      <c r="E129" s="129">
        <v>2.78</v>
      </c>
      <c r="F129" s="132">
        <f>F117*E129</f>
        <v>2.5230697590000006</v>
      </c>
      <c r="G129" s="126"/>
      <c r="H129" s="126">
        <f t="shared" si="37"/>
        <v>0</v>
      </c>
      <c r="I129" s="126"/>
      <c r="J129" s="126"/>
      <c r="K129" s="126"/>
      <c r="L129" s="126"/>
      <c r="M129" s="126">
        <f t="shared" si="35"/>
        <v>0</v>
      </c>
    </row>
    <row r="130" spans="1:13" s="1" customFormat="1" ht="94.5" x14ac:dyDescent="0.25">
      <c r="A130" s="869" t="s">
        <v>980</v>
      </c>
      <c r="B130" s="38" t="s">
        <v>139</v>
      </c>
      <c r="C130" s="136" t="s">
        <v>140</v>
      </c>
      <c r="D130" s="131" t="s">
        <v>111</v>
      </c>
      <c r="E130" s="129"/>
      <c r="F130" s="125">
        <f>(0.08+0.04)*2*F113/E113+(0.02+0.02)*2*F114/E114+(0.02+0.03)*2*F115/E115+F116*2/E116</f>
        <v>53.632000000000005</v>
      </c>
      <c r="G130" s="126"/>
      <c r="H130" s="126"/>
      <c r="I130" s="126"/>
      <c r="J130" s="126"/>
      <c r="K130" s="126"/>
      <c r="L130" s="126"/>
      <c r="M130" s="126"/>
    </row>
    <row r="131" spans="1:13" s="1" customFormat="1" ht="27" x14ac:dyDescent="0.25">
      <c r="A131" s="870"/>
      <c r="B131" s="131"/>
      <c r="C131" s="128" t="s">
        <v>77</v>
      </c>
      <c r="D131" s="131" t="s">
        <v>9</v>
      </c>
      <c r="E131" s="46">
        <v>0.38800000000000001</v>
      </c>
      <c r="F131" s="47">
        <f>F130*E131</f>
        <v>20.809216000000003</v>
      </c>
      <c r="G131" s="126"/>
      <c r="H131" s="126"/>
      <c r="I131" s="126"/>
      <c r="J131" s="126">
        <f t="shared" si="34"/>
        <v>0</v>
      </c>
      <c r="K131" s="126"/>
      <c r="L131" s="126"/>
      <c r="M131" s="126">
        <f t="shared" si="35"/>
        <v>0</v>
      </c>
    </row>
    <row r="132" spans="1:13" s="1" customFormat="1" ht="27" x14ac:dyDescent="0.25">
      <c r="A132" s="870"/>
      <c r="B132" s="131"/>
      <c r="C132" s="128" t="s">
        <v>21</v>
      </c>
      <c r="D132" s="131" t="s">
        <v>98</v>
      </c>
      <c r="E132" s="46">
        <f>0.03*0.01</f>
        <v>2.9999999999999997E-4</v>
      </c>
      <c r="F132" s="47">
        <f>F130*E132</f>
        <v>1.6089599999999999E-2</v>
      </c>
      <c r="G132" s="126"/>
      <c r="H132" s="126"/>
      <c r="I132" s="126"/>
      <c r="J132" s="126"/>
      <c r="K132" s="126"/>
      <c r="L132" s="126">
        <f t="shared" si="36"/>
        <v>0</v>
      </c>
      <c r="M132" s="126">
        <f t="shared" si="35"/>
        <v>0</v>
      </c>
    </row>
    <row r="133" spans="1:13" s="1" customFormat="1" x14ac:dyDescent="0.25">
      <c r="A133" s="870"/>
      <c r="B133" s="131"/>
      <c r="C133" s="128" t="s">
        <v>121</v>
      </c>
      <c r="D133" s="131" t="s">
        <v>5</v>
      </c>
      <c r="E133" s="46">
        <f>(24.4+0.2)*0.01</f>
        <v>0.246</v>
      </c>
      <c r="F133" s="47">
        <f>F130*E133</f>
        <v>13.193472000000002</v>
      </c>
      <c r="G133" s="126"/>
      <c r="H133" s="126">
        <f t="shared" si="37"/>
        <v>0</v>
      </c>
      <c r="I133" s="126"/>
      <c r="J133" s="126"/>
      <c r="K133" s="126"/>
      <c r="L133" s="126"/>
      <c r="M133" s="126">
        <f t="shared" si="35"/>
        <v>0</v>
      </c>
    </row>
    <row r="134" spans="1:13" s="1" customFormat="1" x14ac:dyDescent="0.25">
      <c r="A134" s="870"/>
      <c r="B134" s="45"/>
      <c r="C134" s="111" t="s">
        <v>141</v>
      </c>
      <c r="D134" s="45" t="s">
        <v>5</v>
      </c>
      <c r="E134" s="46">
        <f>2.7*0.01</f>
        <v>2.7000000000000003E-2</v>
      </c>
      <c r="F134" s="47">
        <f>E134*F130</f>
        <v>1.4480640000000002</v>
      </c>
      <c r="G134" s="126"/>
      <c r="H134" s="126">
        <f t="shared" si="37"/>
        <v>0</v>
      </c>
      <c r="I134" s="126"/>
      <c r="J134" s="126"/>
      <c r="K134" s="126"/>
      <c r="L134" s="126"/>
      <c r="M134" s="126">
        <f t="shared" si="35"/>
        <v>0</v>
      </c>
    </row>
    <row r="135" spans="1:13" s="1" customFormat="1" x14ac:dyDescent="0.25">
      <c r="A135" s="871"/>
      <c r="B135" s="131"/>
      <c r="C135" s="128" t="s">
        <v>122</v>
      </c>
      <c r="D135" s="131" t="s">
        <v>7</v>
      </c>
      <c r="E135" s="46">
        <f>0.19*0.01</f>
        <v>1.9E-3</v>
      </c>
      <c r="F135" s="47">
        <f>F130*E135</f>
        <v>0.10190080000000001</v>
      </c>
      <c r="G135" s="126"/>
      <c r="H135" s="126">
        <f t="shared" si="37"/>
        <v>0</v>
      </c>
      <c r="I135" s="126"/>
      <c r="J135" s="126"/>
      <c r="K135" s="126"/>
      <c r="L135" s="126"/>
      <c r="M135" s="126">
        <f t="shared" si="35"/>
        <v>0</v>
      </c>
    </row>
    <row r="136" spans="1:13" s="1" customFormat="1" ht="31.5" x14ac:dyDescent="0.25">
      <c r="A136" s="869" t="s">
        <v>981</v>
      </c>
      <c r="B136" s="38" t="s">
        <v>143</v>
      </c>
      <c r="C136" s="137" t="s">
        <v>144</v>
      </c>
      <c r="D136" s="38" t="s">
        <v>14</v>
      </c>
      <c r="E136" s="46"/>
      <c r="F136" s="41">
        <f>(5*4+12*2)*4*0.06*0.04</f>
        <v>0.42239999999999994</v>
      </c>
      <c r="G136" s="138"/>
      <c r="H136" s="126"/>
      <c r="I136" s="139"/>
      <c r="J136" s="126"/>
      <c r="K136" s="139"/>
      <c r="L136" s="126"/>
      <c r="M136" s="126"/>
    </row>
    <row r="137" spans="1:13" s="1" customFormat="1" ht="27" x14ac:dyDescent="0.25">
      <c r="A137" s="870"/>
      <c r="B137" s="118"/>
      <c r="C137" s="140" t="s">
        <v>73</v>
      </c>
      <c r="D137" s="141" t="s">
        <v>9</v>
      </c>
      <c r="E137" s="107">
        <v>19.2</v>
      </c>
      <c r="F137" s="142">
        <f>F136*E137</f>
        <v>8.1100799999999982</v>
      </c>
      <c r="G137" s="138"/>
      <c r="H137" s="126"/>
      <c r="I137" s="139"/>
      <c r="J137" s="126">
        <f t="shared" si="34"/>
        <v>0</v>
      </c>
      <c r="K137" s="139"/>
      <c r="L137" s="126"/>
      <c r="M137" s="126">
        <f t="shared" si="35"/>
        <v>0</v>
      </c>
    </row>
    <row r="138" spans="1:13" s="1" customFormat="1" x14ac:dyDescent="0.25">
      <c r="A138" s="870"/>
      <c r="B138" s="45"/>
      <c r="C138" s="143" t="s">
        <v>8</v>
      </c>
      <c r="D138" s="45" t="s">
        <v>7</v>
      </c>
      <c r="E138" s="107">
        <v>1.31</v>
      </c>
      <c r="F138" s="144">
        <f>F136*E138</f>
        <v>0.55334399999999995</v>
      </c>
      <c r="G138" s="138"/>
      <c r="H138" s="126"/>
      <c r="I138" s="139"/>
      <c r="J138" s="126"/>
      <c r="K138" s="139"/>
      <c r="L138" s="126">
        <f t="shared" si="36"/>
        <v>0</v>
      </c>
      <c r="M138" s="126">
        <f t="shared" si="35"/>
        <v>0</v>
      </c>
    </row>
    <row r="139" spans="1:13" s="1" customFormat="1" ht="31.5" x14ac:dyDescent="0.25">
      <c r="A139" s="870"/>
      <c r="B139" s="104"/>
      <c r="C139" s="143" t="s">
        <v>145</v>
      </c>
      <c r="D139" s="121" t="s">
        <v>94</v>
      </c>
      <c r="E139" s="46">
        <f>102*0.01</f>
        <v>1.02</v>
      </c>
      <c r="F139" s="47">
        <f>E139*(5*4*2*2)</f>
        <v>81.599999999999994</v>
      </c>
      <c r="G139" s="138"/>
      <c r="H139" s="126">
        <f t="shared" si="37"/>
        <v>0</v>
      </c>
      <c r="I139" s="139"/>
      <c r="J139" s="126"/>
      <c r="K139" s="139"/>
      <c r="L139" s="126"/>
      <c r="M139" s="126">
        <f t="shared" si="35"/>
        <v>0</v>
      </c>
    </row>
    <row r="140" spans="1:13" s="1" customFormat="1" x14ac:dyDescent="0.25">
      <c r="A140" s="870"/>
      <c r="B140" s="45"/>
      <c r="C140" s="111" t="s">
        <v>146</v>
      </c>
      <c r="D140" s="115" t="s">
        <v>147</v>
      </c>
      <c r="E140" s="46"/>
      <c r="F140" s="47">
        <f>6*4*2*2</f>
        <v>96</v>
      </c>
      <c r="G140" s="138"/>
      <c r="H140" s="126">
        <f t="shared" si="37"/>
        <v>0</v>
      </c>
      <c r="I140" s="126"/>
      <c r="J140" s="126"/>
      <c r="K140" s="138"/>
      <c r="L140" s="126"/>
      <c r="M140" s="126">
        <f t="shared" si="35"/>
        <v>0</v>
      </c>
    </row>
    <row r="141" spans="1:13" s="1" customFormat="1" x14ac:dyDescent="0.25">
      <c r="A141" s="871"/>
      <c r="B141" s="45"/>
      <c r="C141" s="111" t="s">
        <v>10</v>
      </c>
      <c r="D141" s="45" t="s">
        <v>7</v>
      </c>
      <c r="E141" s="107">
        <v>2.1800000000000002</v>
      </c>
      <c r="F141" s="144">
        <f>F136*E141</f>
        <v>0.92083199999999998</v>
      </c>
      <c r="G141" s="138"/>
      <c r="H141" s="126">
        <f t="shared" si="37"/>
        <v>0</v>
      </c>
      <c r="I141" s="139"/>
      <c r="J141" s="126"/>
      <c r="K141" s="139"/>
      <c r="L141" s="126"/>
      <c r="M141" s="126">
        <f t="shared" si="35"/>
        <v>0</v>
      </c>
    </row>
    <row r="142" spans="1:13" s="1" customFormat="1" ht="47.25" x14ac:dyDescent="0.25">
      <c r="A142" s="869" t="s">
        <v>982</v>
      </c>
      <c r="B142" s="38" t="s">
        <v>149</v>
      </c>
      <c r="C142" s="136" t="s">
        <v>150</v>
      </c>
      <c r="D142" s="122" t="s">
        <v>46</v>
      </c>
      <c r="E142" s="124"/>
      <c r="F142" s="125">
        <f>(0.06+0.04)*2*(5*4+12*2)*4</f>
        <v>35.200000000000003</v>
      </c>
      <c r="G142" s="138"/>
      <c r="H142" s="126"/>
      <c r="I142" s="139"/>
      <c r="J142" s="126"/>
      <c r="K142" s="139"/>
      <c r="L142" s="126"/>
      <c r="M142" s="126"/>
    </row>
    <row r="143" spans="1:13" s="1" customFormat="1" ht="27" x14ac:dyDescent="0.25">
      <c r="A143" s="870"/>
      <c r="B143" s="145"/>
      <c r="C143" s="146" t="s">
        <v>73</v>
      </c>
      <c r="D143" s="145" t="s">
        <v>151</v>
      </c>
      <c r="E143" s="147">
        <v>2.02</v>
      </c>
      <c r="F143" s="148">
        <f>F142*E143</f>
        <v>71.104000000000013</v>
      </c>
      <c r="G143" s="138"/>
      <c r="H143" s="126"/>
      <c r="I143" s="139"/>
      <c r="J143" s="126">
        <f t="shared" si="34"/>
        <v>0</v>
      </c>
      <c r="K143" s="139"/>
      <c r="L143" s="126"/>
      <c r="M143" s="126">
        <f t="shared" si="35"/>
        <v>0</v>
      </c>
    </row>
    <row r="144" spans="1:13" s="1" customFormat="1" x14ac:dyDescent="0.25">
      <c r="A144" s="870"/>
      <c r="B144" s="131"/>
      <c r="C144" s="128" t="s">
        <v>152</v>
      </c>
      <c r="D144" s="131" t="s">
        <v>111</v>
      </c>
      <c r="E144" s="147">
        <v>0.05</v>
      </c>
      <c r="F144" s="148">
        <f>F142*E144</f>
        <v>1.7600000000000002</v>
      </c>
      <c r="G144" s="138"/>
      <c r="H144" s="126">
        <f t="shared" si="37"/>
        <v>0</v>
      </c>
      <c r="I144" s="139"/>
      <c r="J144" s="126"/>
      <c r="K144" s="139"/>
      <c r="L144" s="126"/>
      <c r="M144" s="126">
        <f t="shared" si="35"/>
        <v>0</v>
      </c>
    </row>
    <row r="145" spans="1:13" s="1" customFormat="1" x14ac:dyDescent="0.25">
      <c r="A145" s="870"/>
      <c r="B145" s="115"/>
      <c r="C145" s="116" t="s">
        <v>153</v>
      </c>
      <c r="D145" s="117" t="s">
        <v>5</v>
      </c>
      <c r="E145" s="46">
        <f>(25.3+2.5)*0.01</f>
        <v>0.27800000000000002</v>
      </c>
      <c r="F145" s="47">
        <f>F142*E145</f>
        <v>9.7856000000000023</v>
      </c>
      <c r="G145" s="138"/>
      <c r="H145" s="126">
        <f t="shared" si="37"/>
        <v>0</v>
      </c>
      <c r="I145" s="139"/>
      <c r="J145" s="126"/>
      <c r="K145" s="139"/>
      <c r="L145" s="126"/>
      <c r="M145" s="126">
        <f t="shared" si="35"/>
        <v>0</v>
      </c>
    </row>
    <row r="146" spans="1:13" s="1" customFormat="1" x14ac:dyDescent="0.25">
      <c r="A146" s="871"/>
      <c r="B146" s="115"/>
      <c r="C146" s="149" t="s">
        <v>10</v>
      </c>
      <c r="D146" s="71" t="s">
        <v>7</v>
      </c>
      <c r="E146" s="72">
        <v>1.8E-3</v>
      </c>
      <c r="F146" s="73">
        <f>F142*E146</f>
        <v>6.336E-2</v>
      </c>
      <c r="G146" s="139"/>
      <c r="H146" s="126">
        <f t="shared" si="37"/>
        <v>0</v>
      </c>
      <c r="I146" s="139"/>
      <c r="J146" s="126"/>
      <c r="K146" s="139"/>
      <c r="L146" s="126"/>
      <c r="M146" s="126">
        <f t="shared" si="35"/>
        <v>0</v>
      </c>
    </row>
    <row r="147" spans="1:13" s="4" customFormat="1" ht="94.5" x14ac:dyDescent="0.25">
      <c r="A147" s="872" t="s">
        <v>985</v>
      </c>
      <c r="B147" s="61" t="s">
        <v>155</v>
      </c>
      <c r="C147" s="39" t="s">
        <v>156</v>
      </c>
      <c r="D147" s="150" t="s">
        <v>83</v>
      </c>
      <c r="E147" s="18"/>
      <c r="F147" s="103">
        <v>10</v>
      </c>
      <c r="G147" s="33"/>
      <c r="H147" s="33"/>
      <c r="I147" s="48"/>
      <c r="J147" s="33"/>
      <c r="K147" s="33"/>
      <c r="L147" s="33"/>
      <c r="M147" s="33"/>
    </row>
    <row r="148" spans="1:13" s="4" customFormat="1" ht="27" x14ac:dyDescent="0.25">
      <c r="A148" s="872"/>
      <c r="B148" s="150"/>
      <c r="C148" s="151" t="s">
        <v>157</v>
      </c>
      <c r="D148" s="152" t="s">
        <v>9</v>
      </c>
      <c r="E148" s="153">
        <v>3.2429999999999999</v>
      </c>
      <c r="F148" s="154">
        <f>F147*E148</f>
        <v>32.43</v>
      </c>
      <c r="G148" s="63"/>
      <c r="H148" s="33"/>
      <c r="I148" s="63"/>
      <c r="J148" s="33">
        <f t="shared" ref="J148:J150" si="39">F148*I148</f>
        <v>0</v>
      </c>
      <c r="K148" s="33"/>
      <c r="L148" s="33"/>
      <c r="M148" s="33">
        <f t="shared" ref="M148:M151" si="40">H148+J148+L148</f>
        <v>0</v>
      </c>
    </row>
    <row r="149" spans="1:13" s="4" customFormat="1" ht="47.25" x14ac:dyDescent="0.25">
      <c r="A149" s="872"/>
      <c r="B149" s="155"/>
      <c r="C149" s="156" t="s">
        <v>158</v>
      </c>
      <c r="D149" s="27" t="s">
        <v>83</v>
      </c>
      <c r="E149" s="153"/>
      <c r="F149" s="62">
        <f>F147</f>
        <v>10</v>
      </c>
      <c r="G149" s="63"/>
      <c r="H149" s="33"/>
      <c r="I149" s="63"/>
      <c r="J149" s="33"/>
      <c r="K149" s="63"/>
      <c r="L149" s="33"/>
      <c r="M149" s="33"/>
    </row>
    <row r="150" spans="1:13" s="4" customFormat="1" ht="27" x14ac:dyDescent="0.25">
      <c r="A150" s="872"/>
      <c r="B150" s="155"/>
      <c r="C150" s="151" t="s">
        <v>159</v>
      </c>
      <c r="D150" s="152" t="s">
        <v>9</v>
      </c>
      <c r="E150" s="153">
        <v>0.53</v>
      </c>
      <c r="F150" s="154">
        <f>F149*E150</f>
        <v>5.3000000000000007</v>
      </c>
      <c r="G150" s="63"/>
      <c r="H150" s="33"/>
      <c r="I150" s="63"/>
      <c r="J150" s="33">
        <f t="shared" si="39"/>
        <v>0</v>
      </c>
      <c r="K150" s="63"/>
      <c r="L150" s="33"/>
      <c r="M150" s="33">
        <f t="shared" si="40"/>
        <v>0</v>
      </c>
    </row>
    <row r="151" spans="1:13" s="4" customFormat="1" ht="31.5" x14ac:dyDescent="0.25">
      <c r="A151" s="872"/>
      <c r="B151" s="27" t="s">
        <v>160</v>
      </c>
      <c r="C151" s="157" t="s">
        <v>161</v>
      </c>
      <c r="D151" s="27" t="s">
        <v>83</v>
      </c>
      <c r="E151" s="153"/>
      <c r="F151" s="62">
        <f>F147</f>
        <v>10</v>
      </c>
      <c r="G151" s="63"/>
      <c r="H151" s="33"/>
      <c r="I151" s="63"/>
      <c r="J151" s="33"/>
      <c r="K151" s="63"/>
      <c r="L151" s="33">
        <f t="shared" ref="L151" si="41">F151*K151</f>
        <v>0</v>
      </c>
      <c r="M151" s="33">
        <f t="shared" si="40"/>
        <v>0</v>
      </c>
    </row>
    <row r="152" spans="1:13" s="4" customFormat="1" x14ac:dyDescent="0.25">
      <c r="A152" s="158"/>
      <c r="B152" s="27"/>
      <c r="C152" s="159"/>
      <c r="D152" s="160"/>
      <c r="E152" s="161"/>
      <c r="F152" s="154"/>
      <c r="G152" s="26"/>
      <c r="H152" s="33"/>
      <c r="I152" s="26"/>
      <c r="J152" s="33"/>
      <c r="K152" s="26"/>
      <c r="L152" s="26"/>
      <c r="M152" s="26"/>
    </row>
    <row r="153" spans="1:13" s="4" customFormat="1" x14ac:dyDescent="0.25">
      <c r="A153" s="162"/>
      <c r="B153" s="162"/>
      <c r="C153" s="16" t="s">
        <v>162</v>
      </c>
      <c r="D153" s="162"/>
      <c r="E153" s="163"/>
      <c r="F153" s="164"/>
      <c r="G153" s="165"/>
      <c r="H153" s="165">
        <f>SUM(H10:H152)</f>
        <v>0</v>
      </c>
      <c r="I153" s="165"/>
      <c r="J153" s="165">
        <f>SUM(J10:J152)</f>
        <v>0</v>
      </c>
      <c r="K153" s="165"/>
      <c r="L153" s="165">
        <f>SUM(L10:L152)</f>
        <v>0</v>
      </c>
      <c r="M153" s="165">
        <f>H153+J153+L153</f>
        <v>0</v>
      </c>
    </row>
    <row r="154" spans="1:13" s="4" customFormat="1" ht="40.5" x14ac:dyDescent="0.25">
      <c r="A154" s="102"/>
      <c r="B154" s="166"/>
      <c r="C154" s="167" t="s">
        <v>163</v>
      </c>
      <c r="D154" s="166"/>
      <c r="E154" s="168"/>
      <c r="F154" s="169"/>
      <c r="G154" s="170"/>
      <c r="H154" s="170"/>
      <c r="I154" s="170"/>
      <c r="J154" s="170"/>
      <c r="K154" s="170"/>
      <c r="L154" s="170"/>
      <c r="M154" s="170">
        <f>H153*F154</f>
        <v>0</v>
      </c>
    </row>
    <row r="155" spans="1:13" s="4" customFormat="1" x14ac:dyDescent="0.25">
      <c r="A155" s="102"/>
      <c r="B155" s="166"/>
      <c r="C155" s="171"/>
      <c r="D155" s="166"/>
      <c r="E155" s="168"/>
      <c r="F155" s="172"/>
      <c r="G155" s="170"/>
      <c r="H155" s="170"/>
      <c r="I155" s="170"/>
      <c r="J155" s="170"/>
      <c r="K155" s="170"/>
      <c r="L155" s="170"/>
      <c r="M155" s="170">
        <f>M153+M154</f>
        <v>0</v>
      </c>
    </row>
    <row r="156" spans="1:13" s="4" customFormat="1" x14ac:dyDescent="0.25">
      <c r="A156" s="173"/>
      <c r="B156" s="174"/>
      <c r="C156" s="175" t="s">
        <v>164</v>
      </c>
      <c r="D156" s="174"/>
      <c r="E156" s="176"/>
      <c r="F156" s="177"/>
      <c r="G156" s="178"/>
      <c r="H156" s="178"/>
      <c r="I156" s="178"/>
      <c r="J156" s="178"/>
      <c r="K156" s="178"/>
      <c r="L156" s="178"/>
      <c r="M156" s="178">
        <f>M155*F156</f>
        <v>0</v>
      </c>
    </row>
    <row r="157" spans="1:13" s="4" customFormat="1" x14ac:dyDescent="0.25">
      <c r="A157" s="179"/>
      <c r="B157" s="180"/>
      <c r="C157" s="181"/>
      <c r="D157" s="180"/>
      <c r="E157" s="182"/>
      <c r="F157" s="183"/>
      <c r="G157" s="184"/>
      <c r="H157" s="184"/>
      <c r="I157" s="184"/>
      <c r="J157" s="184" t="s">
        <v>41</v>
      </c>
      <c r="K157" s="184"/>
      <c r="L157" s="184"/>
      <c r="M157" s="184">
        <f>M155+M156</f>
        <v>0</v>
      </c>
    </row>
    <row r="158" spans="1:13" s="4" customFormat="1" x14ac:dyDescent="0.25">
      <c r="A158" s="179"/>
      <c r="B158" s="180"/>
      <c r="C158" s="181" t="s">
        <v>165</v>
      </c>
      <c r="D158" s="180"/>
      <c r="E158" s="182"/>
      <c r="F158" s="185"/>
      <c r="G158" s="184"/>
      <c r="H158" s="184"/>
      <c r="I158" s="184"/>
      <c r="J158" s="184"/>
      <c r="K158" s="184"/>
      <c r="L158" s="184"/>
      <c r="M158" s="184">
        <f>M157*F158</f>
        <v>0</v>
      </c>
    </row>
    <row r="159" spans="1:13" s="4" customFormat="1" ht="31.5" x14ac:dyDescent="0.25">
      <c r="A159" s="186"/>
      <c r="B159" s="187"/>
      <c r="C159" s="16" t="s">
        <v>166</v>
      </c>
      <c r="D159" s="187"/>
      <c r="E159" s="188"/>
      <c r="F159" s="189"/>
      <c r="G159" s="190"/>
      <c r="H159" s="190"/>
      <c r="I159" s="190"/>
      <c r="J159" s="190" t="s">
        <v>41</v>
      </c>
      <c r="K159" s="190"/>
      <c r="L159" s="190"/>
      <c r="M159" s="191">
        <f>M157+M158</f>
        <v>0</v>
      </c>
    </row>
    <row r="160" spans="1:13" s="4" customFormat="1" ht="31.5" x14ac:dyDescent="0.25">
      <c r="A160" s="179"/>
      <c r="B160" s="180"/>
      <c r="C160" s="181" t="s">
        <v>4</v>
      </c>
      <c r="D160" s="180"/>
      <c r="E160" s="182"/>
      <c r="F160" s="192" t="s">
        <v>167</v>
      </c>
      <c r="G160" s="184"/>
      <c r="H160" s="184"/>
      <c r="I160" s="184"/>
      <c r="J160" s="184"/>
      <c r="K160" s="184"/>
      <c r="L160" s="184"/>
      <c r="M160" s="184">
        <f>M159*F160</f>
        <v>0</v>
      </c>
    </row>
    <row r="161" spans="1:13" s="4" customFormat="1" x14ac:dyDescent="0.25">
      <c r="A161" s="179"/>
      <c r="B161" s="180"/>
      <c r="C161" s="181"/>
      <c r="D161" s="180"/>
      <c r="E161" s="182"/>
      <c r="F161" s="183"/>
      <c r="G161" s="184"/>
      <c r="H161" s="184"/>
      <c r="I161" s="184"/>
      <c r="J161" s="184" t="s">
        <v>41</v>
      </c>
      <c r="K161" s="184"/>
      <c r="L161" s="184"/>
      <c r="M161" s="184">
        <f>M159+M160</f>
        <v>0</v>
      </c>
    </row>
    <row r="162" spans="1:13" s="4" customFormat="1" x14ac:dyDescent="0.25">
      <c r="A162" s="179"/>
      <c r="B162" s="180"/>
      <c r="C162" s="181" t="s">
        <v>168</v>
      </c>
      <c r="D162" s="180"/>
      <c r="E162" s="182"/>
      <c r="F162" s="192" t="s">
        <v>169</v>
      </c>
      <c r="G162" s="184"/>
      <c r="H162" s="184"/>
      <c r="I162" s="184"/>
      <c r="J162" s="184"/>
      <c r="K162" s="184"/>
      <c r="L162" s="184"/>
      <c r="M162" s="184">
        <f>M161*F162</f>
        <v>0</v>
      </c>
    </row>
    <row r="163" spans="1:13" s="4" customFormat="1" ht="31.5" x14ac:dyDescent="0.25">
      <c r="A163" s="162"/>
      <c r="B163" s="162"/>
      <c r="C163" s="16" t="s">
        <v>166</v>
      </c>
      <c r="D163" s="162"/>
      <c r="E163" s="163"/>
      <c r="F163" s="164"/>
      <c r="G163" s="165"/>
      <c r="H163" s="165"/>
      <c r="I163" s="165"/>
      <c r="J163" s="165" t="s">
        <v>41</v>
      </c>
      <c r="K163" s="165"/>
      <c r="L163" s="165"/>
      <c r="M163" s="165">
        <f>M161+M162</f>
        <v>0</v>
      </c>
    </row>
    <row r="164" spans="1:13" s="4" customFormat="1" x14ac:dyDescent="0.25">
      <c r="A164" s="21"/>
      <c r="B164" s="8"/>
      <c r="C164" s="193"/>
      <c r="D164" s="8"/>
      <c r="E164" s="194"/>
      <c r="F164" s="11"/>
      <c r="G164" s="9"/>
      <c r="H164" s="9"/>
      <c r="I164" s="9"/>
      <c r="J164" s="9"/>
      <c r="K164" s="9"/>
      <c r="L164" s="9"/>
      <c r="M164" s="9"/>
    </row>
    <row r="165" spans="1:13" s="4" customFormat="1" x14ac:dyDescent="0.25"/>
    <row r="166" spans="1:13" s="4" customFormat="1" x14ac:dyDescent="0.25"/>
    <row r="167" spans="1:13" s="4" customFormat="1" x14ac:dyDescent="0.25"/>
    <row r="168" spans="1:13" s="4" customFormat="1" x14ac:dyDescent="0.25"/>
    <row r="169" spans="1:13" s="4" customFormat="1" x14ac:dyDescent="0.25"/>
    <row r="170" spans="1:13" s="4" customFormat="1" x14ac:dyDescent="0.25"/>
    <row r="171" spans="1:13" s="4" customFormat="1" x14ac:dyDescent="0.25"/>
    <row r="172" spans="1:13" s="4" customFormat="1" x14ac:dyDescent="0.25"/>
    <row r="173" spans="1:13" s="4" customFormat="1" x14ac:dyDescent="0.25"/>
    <row r="174" spans="1:13" s="4" customFormat="1" x14ac:dyDescent="0.25"/>
    <row r="175" spans="1:13" s="4" customFormat="1" x14ac:dyDescent="0.25"/>
    <row r="176" spans="1:13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pans="1:13" s="4" customFormat="1" x14ac:dyDescent="0.25"/>
    <row r="642" spans="1:13" s="4" customFormat="1" x14ac:dyDescent="0.25"/>
    <row r="643" spans="1:13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</sheetData>
  <mergeCells count="29">
    <mergeCell ref="A1:M1"/>
    <mergeCell ref="A12:A19"/>
    <mergeCell ref="A20:A23"/>
    <mergeCell ref="A24:A25"/>
    <mergeCell ref="A27:A31"/>
    <mergeCell ref="A3:M3"/>
    <mergeCell ref="A2:M2"/>
    <mergeCell ref="A5:M5"/>
    <mergeCell ref="A7:A8"/>
    <mergeCell ref="B7:B8"/>
    <mergeCell ref="C7:C8"/>
    <mergeCell ref="D7:D8"/>
    <mergeCell ref="E7:F7"/>
    <mergeCell ref="G7:H7"/>
    <mergeCell ref="I7:J7"/>
    <mergeCell ref="K7:L7"/>
    <mergeCell ref="A100:A105"/>
    <mergeCell ref="A106:A110"/>
    <mergeCell ref="M7:M8"/>
    <mergeCell ref="A32:A40"/>
    <mergeCell ref="A41:A48"/>
    <mergeCell ref="A92:A96"/>
    <mergeCell ref="A97:A99"/>
    <mergeCell ref="C97:C98"/>
    <mergeCell ref="A136:A141"/>
    <mergeCell ref="A142:A146"/>
    <mergeCell ref="A147:A151"/>
    <mergeCell ref="A112:A129"/>
    <mergeCell ref="A130:A135"/>
  </mergeCells>
  <conditionalFormatting sqref="D100:D101 C100 D103:D105 C104:C105">
    <cfRule type="cellIs" dxfId="5" priority="5" stopIfTrue="1" operator="equal">
      <formula>8223.307275</formula>
    </cfRule>
  </conditionalFormatting>
  <pageMargins left="0.35433070866141736" right="0.15748031496062992" top="0.47244094488188981" bottom="0.31496062992125984" header="0.23622047244094491" footer="0.15748031496062992"/>
  <pageSetup paperSize="9" orientation="landscape" r:id="rId1"/>
  <headerFooter>
    <oddHeader>&amp;R&amp;P--&amp;N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92"/>
  <sheetViews>
    <sheetView zoomScale="90" zoomScaleNormal="90" workbookViewId="0">
      <selection activeCell="A92" sqref="A92:XFD92"/>
    </sheetView>
  </sheetViews>
  <sheetFormatPr defaultRowHeight="15" x14ac:dyDescent="0.25"/>
  <cols>
    <col min="1" max="1" width="5.7109375" customWidth="1"/>
    <col min="2" max="2" width="7.5703125" customWidth="1"/>
    <col min="3" max="3" width="31.7109375" customWidth="1"/>
    <col min="4" max="4" width="6.140625" customWidth="1"/>
    <col min="7" max="7" width="11" customWidth="1"/>
    <col min="8" max="8" width="10.28515625" customWidth="1"/>
    <col min="9" max="9" width="7.5703125" customWidth="1"/>
    <col min="10" max="10" width="9.85546875" customWidth="1"/>
    <col min="11" max="11" width="7.28515625" customWidth="1"/>
    <col min="13" max="13" width="12.28515625" customWidth="1"/>
  </cols>
  <sheetData>
    <row r="1" spans="1:13" s="4" customFormat="1" ht="45" customHeight="1" x14ac:dyDescent="0.25">
      <c r="A1" s="882" t="str">
        <f>krebsiti!A3</f>
        <v>dmanisis municipalitetis sofel javaxSi sportuli moednis, sazogadoebrivi daniSnulebis reteratisa da skveris mowyobis samuSaoebi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</row>
    <row r="2" spans="1:13" s="4" customFormat="1" ht="16.5" x14ac:dyDescent="0.25">
      <c r="A2" s="886" t="s">
        <v>31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3" s="4" customFormat="1" ht="16.5" x14ac:dyDescent="0.25">
      <c r="A3" s="885" t="s">
        <v>170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</row>
    <row r="4" spans="1:13" s="4" customFormat="1" ht="16.5" x14ac:dyDescent="0.25">
      <c r="A4" s="7"/>
      <c r="B4" s="21"/>
      <c r="C4" s="195"/>
      <c r="D4" s="23"/>
      <c r="E4" s="7"/>
      <c r="F4" s="196"/>
      <c r="G4" s="25"/>
      <c r="H4" s="25"/>
      <c r="I4" s="25"/>
      <c r="J4" s="25"/>
      <c r="K4" s="25"/>
      <c r="L4" s="25"/>
      <c r="M4" s="25"/>
    </row>
    <row r="5" spans="1:13" s="4" customFormat="1" ht="16.5" x14ac:dyDescent="0.25">
      <c r="A5" s="885" t="s">
        <v>171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</row>
    <row r="6" spans="1:13" s="4" customFormat="1" ht="16.5" x14ac:dyDescent="0.25">
      <c r="A6" s="197"/>
      <c r="B6" s="198"/>
      <c r="C6" s="199"/>
      <c r="D6" s="200"/>
      <c r="E6" s="197"/>
      <c r="F6" s="201"/>
      <c r="G6" s="202"/>
      <c r="H6" s="202"/>
      <c r="I6" s="202"/>
      <c r="J6" s="202"/>
      <c r="K6" s="202"/>
      <c r="L6" s="202"/>
      <c r="M6" s="202"/>
    </row>
    <row r="7" spans="1:13" s="4" customFormat="1" ht="16.5" x14ac:dyDescent="0.25">
      <c r="A7" s="888" t="s">
        <v>0</v>
      </c>
      <c r="B7" s="888" t="s">
        <v>34</v>
      </c>
      <c r="C7" s="911" t="s">
        <v>1</v>
      </c>
      <c r="D7" s="911" t="s">
        <v>2</v>
      </c>
      <c r="E7" s="888" t="s">
        <v>172</v>
      </c>
      <c r="F7" s="913" t="s">
        <v>3</v>
      </c>
      <c r="G7" s="890" t="s">
        <v>36</v>
      </c>
      <c r="H7" s="891"/>
      <c r="I7" s="890" t="s">
        <v>37</v>
      </c>
      <c r="J7" s="891"/>
      <c r="K7" s="890" t="s">
        <v>38</v>
      </c>
      <c r="L7" s="891"/>
      <c r="M7" s="899" t="s">
        <v>39</v>
      </c>
    </row>
    <row r="8" spans="1:13" s="4" customFormat="1" ht="31.5" x14ac:dyDescent="0.25">
      <c r="A8" s="889"/>
      <c r="B8" s="889"/>
      <c r="C8" s="912"/>
      <c r="D8" s="912"/>
      <c r="E8" s="889"/>
      <c r="F8" s="914"/>
      <c r="G8" s="26" t="s">
        <v>40</v>
      </c>
      <c r="H8" s="26" t="s">
        <v>41</v>
      </c>
      <c r="I8" s="26" t="s">
        <v>40</v>
      </c>
      <c r="J8" s="26" t="s">
        <v>41</v>
      </c>
      <c r="K8" s="26" t="s">
        <v>40</v>
      </c>
      <c r="L8" s="26" t="s">
        <v>41</v>
      </c>
      <c r="M8" s="900"/>
    </row>
    <row r="9" spans="1:13" s="4" customFormat="1" ht="16.5" x14ac:dyDescent="0.25">
      <c r="A9" s="28">
        <v>1</v>
      </c>
      <c r="B9" s="27">
        <v>2</v>
      </c>
      <c r="C9" s="203">
        <v>3</v>
      </c>
      <c r="D9" s="3">
        <v>4</v>
      </c>
      <c r="E9" s="28">
        <v>5</v>
      </c>
      <c r="F9" s="20">
        <v>6</v>
      </c>
      <c r="G9" s="28">
        <v>7</v>
      </c>
      <c r="H9" s="20">
        <v>8</v>
      </c>
      <c r="I9" s="28">
        <v>9</v>
      </c>
      <c r="J9" s="20">
        <v>10</v>
      </c>
      <c r="K9" s="28">
        <v>11</v>
      </c>
      <c r="L9" s="20">
        <v>12</v>
      </c>
      <c r="M9" s="28">
        <v>13</v>
      </c>
    </row>
    <row r="10" spans="1:13" s="4" customFormat="1" ht="31.5" x14ac:dyDescent="0.25">
      <c r="A10" s="204"/>
      <c r="B10" s="204"/>
      <c r="C10" s="205" t="s">
        <v>173</v>
      </c>
      <c r="D10" s="204"/>
      <c r="E10" s="204"/>
      <c r="F10" s="204"/>
      <c r="G10" s="58"/>
      <c r="H10" s="33"/>
      <c r="I10" s="58"/>
      <c r="J10" s="33"/>
      <c r="K10" s="59"/>
      <c r="L10" s="33"/>
      <c r="M10" s="33"/>
    </row>
    <row r="11" spans="1:13" s="4" customFormat="1" ht="31.5" x14ac:dyDescent="0.25">
      <c r="A11" s="896">
        <v>1</v>
      </c>
      <c r="B11" s="206" t="s">
        <v>174</v>
      </c>
      <c r="C11" s="206" t="s">
        <v>175</v>
      </c>
      <c r="D11" s="207" t="s">
        <v>176</v>
      </c>
      <c r="E11" s="207"/>
      <c r="F11" s="208">
        <f>170*0.25*0.7</f>
        <v>29.749999999999996</v>
      </c>
      <c r="G11" s="58"/>
      <c r="H11" s="48"/>
      <c r="I11" s="58"/>
      <c r="J11" s="48"/>
      <c r="K11" s="59"/>
      <c r="L11" s="33"/>
      <c r="M11" s="33"/>
    </row>
    <row r="12" spans="1:13" s="4" customFormat="1" ht="31.5" x14ac:dyDescent="0.25">
      <c r="A12" s="897"/>
      <c r="B12" s="207"/>
      <c r="C12" s="207" t="s">
        <v>17</v>
      </c>
      <c r="D12" s="207" t="s">
        <v>9</v>
      </c>
      <c r="E12" s="207">
        <v>2.06</v>
      </c>
      <c r="F12" s="207">
        <f>F11*E12</f>
        <v>61.284999999999997</v>
      </c>
      <c r="G12" s="58"/>
      <c r="H12" s="48"/>
      <c r="I12" s="58"/>
      <c r="J12" s="48">
        <f t="shared" ref="J12:J38" si="0">F12*I12</f>
        <v>0</v>
      </c>
      <c r="K12" s="59"/>
      <c r="L12" s="33"/>
      <c r="M12" s="33">
        <f t="shared" ref="M12:M41" si="1">H12+J12+L12</f>
        <v>0</v>
      </c>
    </row>
    <row r="13" spans="1:13" s="4" customFormat="1" ht="63" x14ac:dyDescent="0.25">
      <c r="A13" s="901">
        <v>2</v>
      </c>
      <c r="B13" s="209" t="s">
        <v>64</v>
      </c>
      <c r="C13" s="209" t="s">
        <v>177</v>
      </c>
      <c r="D13" s="207" t="s">
        <v>74</v>
      </c>
      <c r="E13" s="210"/>
      <c r="F13" s="211">
        <f>0.5*0.5*0.85*6</f>
        <v>1.2749999999999999</v>
      </c>
      <c r="G13" s="58"/>
      <c r="H13" s="48"/>
      <c r="I13" s="58"/>
      <c r="J13" s="48"/>
      <c r="K13" s="59"/>
      <c r="L13" s="33"/>
      <c r="M13" s="33"/>
    </row>
    <row r="14" spans="1:13" s="4" customFormat="1" ht="31.5" x14ac:dyDescent="0.25">
      <c r="A14" s="902"/>
      <c r="B14" s="57"/>
      <c r="C14" s="207" t="s">
        <v>67</v>
      </c>
      <c r="D14" s="57" t="s">
        <v>68</v>
      </c>
      <c r="E14" s="210">
        <v>3.88</v>
      </c>
      <c r="F14" s="210">
        <f>F13*E14</f>
        <v>4.9469999999999992</v>
      </c>
      <c r="G14" s="58"/>
      <c r="H14" s="48"/>
      <c r="I14" s="58"/>
      <c r="J14" s="48">
        <f t="shared" si="0"/>
        <v>0</v>
      </c>
      <c r="K14" s="59"/>
      <c r="L14" s="33"/>
      <c r="M14" s="33">
        <f t="shared" si="1"/>
        <v>0</v>
      </c>
    </row>
    <row r="15" spans="1:13" s="4" customFormat="1" ht="31.5" x14ac:dyDescent="0.25">
      <c r="A15" s="901">
        <v>3</v>
      </c>
      <c r="B15" s="209" t="s">
        <v>174</v>
      </c>
      <c r="C15" s="209" t="s">
        <v>178</v>
      </c>
      <c r="D15" s="207" t="s">
        <v>74</v>
      </c>
      <c r="E15" s="210"/>
      <c r="F15" s="211">
        <f>(F11+F13)*10%</f>
        <v>3.1024999999999996</v>
      </c>
      <c r="G15" s="58"/>
      <c r="H15" s="48"/>
      <c r="I15" s="58"/>
      <c r="J15" s="48"/>
      <c r="K15" s="59"/>
      <c r="L15" s="33"/>
      <c r="M15" s="33"/>
    </row>
    <row r="16" spans="1:13" s="4" customFormat="1" ht="31.5" x14ac:dyDescent="0.25">
      <c r="A16" s="902"/>
      <c r="B16" s="57"/>
      <c r="C16" s="207" t="s">
        <v>67</v>
      </c>
      <c r="D16" s="57" t="s">
        <v>68</v>
      </c>
      <c r="E16" s="210">
        <v>2.06</v>
      </c>
      <c r="F16" s="210">
        <f>F15*E16</f>
        <v>6.3911499999999997</v>
      </c>
      <c r="G16" s="58"/>
      <c r="H16" s="48"/>
      <c r="I16" s="58"/>
      <c r="J16" s="48">
        <f>F16*I16</f>
        <v>0</v>
      </c>
      <c r="K16" s="59"/>
      <c r="L16" s="33"/>
      <c r="M16" s="33">
        <f>H16+J16+L16</f>
        <v>0</v>
      </c>
    </row>
    <row r="17" spans="1:13" s="4" customFormat="1" ht="31.5" x14ac:dyDescent="0.25">
      <c r="A17" s="903">
        <v>4</v>
      </c>
      <c r="B17" s="212" t="s">
        <v>179</v>
      </c>
      <c r="C17" s="212" t="s">
        <v>180</v>
      </c>
      <c r="D17" s="213" t="s">
        <v>181</v>
      </c>
      <c r="E17" s="213"/>
      <c r="F17" s="214">
        <f>170*0.25*0.25</f>
        <v>10.625</v>
      </c>
      <c r="G17" s="58"/>
      <c r="H17" s="48"/>
      <c r="I17" s="58"/>
      <c r="J17" s="48"/>
      <c r="K17" s="59"/>
      <c r="L17" s="33"/>
      <c r="M17" s="33"/>
    </row>
    <row r="18" spans="1:13" s="4" customFormat="1" ht="31.5" x14ac:dyDescent="0.25">
      <c r="A18" s="904"/>
      <c r="B18" s="213"/>
      <c r="C18" s="213" t="s">
        <v>17</v>
      </c>
      <c r="D18" s="213" t="s">
        <v>9</v>
      </c>
      <c r="E18" s="213">
        <v>1.8</v>
      </c>
      <c r="F18" s="213">
        <f>F17*E18</f>
        <v>19.125</v>
      </c>
      <c r="G18" s="58"/>
      <c r="H18" s="48"/>
      <c r="I18" s="58"/>
      <c r="J18" s="48">
        <f t="shared" si="0"/>
        <v>0</v>
      </c>
      <c r="K18" s="59"/>
      <c r="L18" s="33"/>
      <c r="M18" s="33">
        <f t="shared" si="1"/>
        <v>0</v>
      </c>
    </row>
    <row r="19" spans="1:13" s="4" customFormat="1" ht="31.5" x14ac:dyDescent="0.25">
      <c r="A19" s="905"/>
      <c r="B19" s="213"/>
      <c r="C19" s="213" t="s">
        <v>182</v>
      </c>
      <c r="D19" s="213" t="s">
        <v>181</v>
      </c>
      <c r="E19" s="213">
        <v>1.1000000000000001</v>
      </c>
      <c r="F19" s="213">
        <f>F17*E19</f>
        <v>11.687500000000002</v>
      </c>
      <c r="G19" s="58"/>
      <c r="H19" s="48">
        <f t="shared" ref="H19:H27" si="2">F19*G19</f>
        <v>0</v>
      </c>
      <c r="I19" s="58"/>
      <c r="J19" s="48"/>
      <c r="K19" s="59"/>
      <c r="L19" s="33"/>
      <c r="M19" s="33">
        <f t="shared" si="1"/>
        <v>0</v>
      </c>
    </row>
    <row r="20" spans="1:13" s="4" customFormat="1" ht="47.25" x14ac:dyDescent="0.25">
      <c r="A20" s="896">
        <v>5</v>
      </c>
      <c r="B20" s="206" t="s">
        <v>183</v>
      </c>
      <c r="C20" s="215" t="s">
        <v>983</v>
      </c>
      <c r="D20" s="207" t="s">
        <v>184</v>
      </c>
      <c r="E20" s="207"/>
      <c r="F20" s="208">
        <v>170</v>
      </c>
      <c r="G20" s="58"/>
      <c r="H20" s="48"/>
      <c r="I20" s="58"/>
      <c r="J20" s="48"/>
      <c r="K20" s="59"/>
      <c r="L20" s="33"/>
      <c r="M20" s="33"/>
    </row>
    <row r="21" spans="1:13" s="4" customFormat="1" ht="31.5" x14ac:dyDescent="0.25">
      <c r="A21" s="897"/>
      <c r="B21" s="207"/>
      <c r="C21" s="207" t="s">
        <v>17</v>
      </c>
      <c r="D21" s="207" t="s">
        <v>9</v>
      </c>
      <c r="E21" s="207">
        <v>0.105</v>
      </c>
      <c r="F21" s="207">
        <f>F20*E21</f>
        <v>17.849999999999998</v>
      </c>
      <c r="G21" s="58"/>
      <c r="H21" s="48"/>
      <c r="I21" s="58"/>
      <c r="J21" s="48">
        <f t="shared" si="0"/>
        <v>0</v>
      </c>
      <c r="K21" s="59"/>
      <c r="L21" s="33"/>
      <c r="M21" s="33">
        <f t="shared" si="1"/>
        <v>0</v>
      </c>
    </row>
    <row r="22" spans="1:13" s="4" customFormat="1" ht="31.5" x14ac:dyDescent="0.25">
      <c r="A22" s="897"/>
      <c r="B22" s="207"/>
      <c r="C22" s="207" t="s">
        <v>21</v>
      </c>
      <c r="D22" s="207" t="s">
        <v>7</v>
      </c>
      <c r="E22" s="207">
        <v>5.3800000000000001E-2</v>
      </c>
      <c r="F22" s="207">
        <f>F20*E22</f>
        <v>9.1460000000000008</v>
      </c>
      <c r="G22" s="58"/>
      <c r="H22" s="48"/>
      <c r="I22" s="58"/>
      <c r="J22" s="48"/>
      <c r="K22" s="59"/>
      <c r="L22" s="33">
        <f t="shared" ref="L22:L39" si="3">F22*K22</f>
        <v>0</v>
      </c>
      <c r="M22" s="33">
        <f t="shared" si="1"/>
        <v>0</v>
      </c>
    </row>
    <row r="23" spans="1:13" s="4" customFormat="1" ht="31.5" x14ac:dyDescent="0.25">
      <c r="A23" s="897"/>
      <c r="B23" s="207"/>
      <c r="C23" s="216" t="s">
        <v>976</v>
      </c>
      <c r="D23" s="207" t="s">
        <v>184</v>
      </c>
      <c r="E23" s="207">
        <v>1.01</v>
      </c>
      <c r="F23" s="207">
        <f>F20*E23</f>
        <v>171.7</v>
      </c>
      <c r="G23" s="58"/>
      <c r="H23" s="48">
        <f t="shared" si="2"/>
        <v>0</v>
      </c>
      <c r="I23" s="58"/>
      <c r="J23" s="48"/>
      <c r="K23" s="59"/>
      <c r="L23" s="33"/>
      <c r="M23" s="33">
        <f t="shared" si="1"/>
        <v>0</v>
      </c>
    </row>
    <row r="24" spans="1:13" s="4" customFormat="1" ht="31.5" x14ac:dyDescent="0.25">
      <c r="A24" s="898"/>
      <c r="B24" s="207"/>
      <c r="C24" s="207" t="s">
        <v>122</v>
      </c>
      <c r="D24" s="207" t="s">
        <v>7</v>
      </c>
      <c r="E24" s="207">
        <v>1.1999999999999999E-3</v>
      </c>
      <c r="F24" s="207">
        <f>F20*E24</f>
        <v>0.20399999999999999</v>
      </c>
      <c r="G24" s="58"/>
      <c r="H24" s="48">
        <f t="shared" si="2"/>
        <v>0</v>
      </c>
      <c r="I24" s="58"/>
      <c r="J24" s="48"/>
      <c r="K24" s="59"/>
      <c r="L24" s="33"/>
      <c r="M24" s="33">
        <f t="shared" si="1"/>
        <v>0</v>
      </c>
    </row>
    <row r="25" spans="1:13" s="4" customFormat="1" ht="31.5" x14ac:dyDescent="0.25">
      <c r="A25" s="906">
        <v>6</v>
      </c>
      <c r="B25" s="217" t="s">
        <v>22</v>
      </c>
      <c r="C25" s="217" t="s">
        <v>185</v>
      </c>
      <c r="D25" s="218" t="s">
        <v>15</v>
      </c>
      <c r="E25" s="218"/>
      <c r="F25" s="219">
        <v>170</v>
      </c>
      <c r="G25" s="58"/>
      <c r="H25" s="48"/>
      <c r="I25" s="58"/>
      <c r="J25" s="48"/>
      <c r="K25" s="59"/>
      <c r="L25" s="33"/>
      <c r="M25" s="33"/>
    </row>
    <row r="26" spans="1:13" s="4" customFormat="1" ht="16.5" x14ac:dyDescent="0.25">
      <c r="A26" s="907"/>
      <c r="B26" s="218"/>
      <c r="C26" s="218" t="s">
        <v>17</v>
      </c>
      <c r="D26" s="218" t="s">
        <v>15</v>
      </c>
      <c r="E26" s="218">
        <v>1</v>
      </c>
      <c r="F26" s="218">
        <f>F25*E26</f>
        <v>170</v>
      </c>
      <c r="G26" s="58"/>
      <c r="H26" s="48"/>
      <c r="I26" s="58"/>
      <c r="J26" s="48">
        <f t="shared" si="0"/>
        <v>0</v>
      </c>
      <c r="K26" s="59"/>
      <c r="L26" s="33"/>
      <c r="M26" s="33">
        <f t="shared" si="1"/>
        <v>0</v>
      </c>
    </row>
    <row r="27" spans="1:13" s="4" customFormat="1" ht="16.5" x14ac:dyDescent="0.25">
      <c r="A27" s="908"/>
      <c r="B27" s="220"/>
      <c r="C27" s="220" t="s">
        <v>186</v>
      </c>
      <c r="D27" s="220" t="s">
        <v>15</v>
      </c>
      <c r="E27" s="220"/>
      <c r="F27" s="220">
        <f>F25</f>
        <v>170</v>
      </c>
      <c r="G27" s="58"/>
      <c r="H27" s="48">
        <f t="shared" si="2"/>
        <v>0</v>
      </c>
      <c r="I27" s="58"/>
      <c r="J27" s="48"/>
      <c r="K27" s="59"/>
      <c r="L27" s="33"/>
      <c r="M27" s="33">
        <f t="shared" si="1"/>
        <v>0</v>
      </c>
    </row>
    <row r="28" spans="1:13" s="4" customFormat="1" ht="31.5" x14ac:dyDescent="0.25">
      <c r="A28" s="909">
        <v>7</v>
      </c>
      <c r="B28" s="221" t="s">
        <v>187</v>
      </c>
      <c r="C28" s="221" t="s">
        <v>188</v>
      </c>
      <c r="D28" s="222" t="s">
        <v>189</v>
      </c>
      <c r="E28" s="222"/>
      <c r="F28" s="223">
        <f>170*0.25*(0.75-0.25)</f>
        <v>21.25</v>
      </c>
      <c r="G28" s="58"/>
      <c r="H28" s="48"/>
      <c r="I28" s="58"/>
      <c r="J28" s="48"/>
      <c r="K28" s="59"/>
      <c r="L28" s="33"/>
      <c r="M28" s="33"/>
    </row>
    <row r="29" spans="1:13" s="4" customFormat="1" ht="31.5" x14ac:dyDescent="0.25">
      <c r="A29" s="910"/>
      <c r="B29" s="222"/>
      <c r="C29" s="224" t="s">
        <v>17</v>
      </c>
      <c r="D29" s="222" t="s">
        <v>9</v>
      </c>
      <c r="E29" s="222">
        <v>1.21</v>
      </c>
      <c r="F29" s="222">
        <f>F28*E29</f>
        <v>25.712499999999999</v>
      </c>
      <c r="G29" s="58"/>
      <c r="H29" s="48"/>
      <c r="I29" s="58"/>
      <c r="J29" s="48">
        <f t="shared" si="0"/>
        <v>0</v>
      </c>
      <c r="K29" s="59"/>
      <c r="L29" s="33"/>
      <c r="M29" s="33">
        <f t="shared" si="1"/>
        <v>0</v>
      </c>
    </row>
    <row r="30" spans="1:13" s="4" customFormat="1" ht="47.25" x14ac:dyDescent="0.25">
      <c r="A30" s="896">
        <v>8</v>
      </c>
      <c r="B30" s="206" t="s">
        <v>190</v>
      </c>
      <c r="C30" s="206" t="s">
        <v>191</v>
      </c>
      <c r="D30" s="207" t="s">
        <v>181</v>
      </c>
      <c r="E30" s="207"/>
      <c r="F30" s="208">
        <f>0.5*0.5*(0.85+0.15)*6</f>
        <v>1.5</v>
      </c>
      <c r="G30" s="58"/>
      <c r="H30" s="48"/>
      <c r="I30" s="58"/>
      <c r="J30" s="48"/>
      <c r="K30" s="59"/>
      <c r="L30" s="33"/>
      <c r="M30" s="33"/>
    </row>
    <row r="31" spans="1:13" s="4" customFormat="1" ht="31.5" x14ac:dyDescent="0.25">
      <c r="A31" s="897"/>
      <c r="B31" s="207"/>
      <c r="C31" s="207" t="s">
        <v>17</v>
      </c>
      <c r="D31" s="207" t="s">
        <v>9</v>
      </c>
      <c r="E31" s="207">
        <v>1.37</v>
      </c>
      <c r="F31" s="207">
        <f>F30*E31</f>
        <v>2.0550000000000002</v>
      </c>
      <c r="G31" s="58"/>
      <c r="H31" s="48"/>
      <c r="I31" s="58"/>
      <c r="J31" s="48">
        <f>F31*I31</f>
        <v>0</v>
      </c>
      <c r="K31" s="59"/>
      <c r="L31" s="33"/>
      <c r="M31" s="33">
        <f>H31+J31+L31</f>
        <v>0</v>
      </c>
    </row>
    <row r="32" spans="1:13" s="4" customFormat="1" ht="31.5" x14ac:dyDescent="0.25">
      <c r="A32" s="897"/>
      <c r="B32" s="207"/>
      <c r="C32" s="207" t="s">
        <v>21</v>
      </c>
      <c r="D32" s="207" t="s">
        <v>7</v>
      </c>
      <c r="E32" s="207">
        <v>0.28299999999999997</v>
      </c>
      <c r="F32" s="207">
        <f>F30*E32</f>
        <v>0.42449999999999999</v>
      </c>
      <c r="G32" s="58"/>
      <c r="H32" s="48"/>
      <c r="I32" s="58"/>
      <c r="J32" s="48"/>
      <c r="K32" s="59"/>
      <c r="L32" s="33">
        <f>F32*K32</f>
        <v>0</v>
      </c>
      <c r="M32" s="33">
        <f>H32+J32+L32</f>
        <v>0</v>
      </c>
    </row>
    <row r="33" spans="1:14" s="4" customFormat="1" ht="31.5" x14ac:dyDescent="0.25">
      <c r="A33" s="897"/>
      <c r="B33" s="207"/>
      <c r="C33" s="207" t="s">
        <v>192</v>
      </c>
      <c r="D33" s="207" t="s">
        <v>181</v>
      </c>
      <c r="E33" s="207">
        <v>1.02</v>
      </c>
      <c r="F33" s="207">
        <f>F30*E33</f>
        <v>1.53</v>
      </c>
      <c r="G33" s="58"/>
      <c r="H33" s="48">
        <f>F33*G33</f>
        <v>0</v>
      </c>
      <c r="I33" s="58"/>
      <c r="J33" s="48"/>
      <c r="K33" s="59"/>
      <c r="L33" s="33"/>
      <c r="M33" s="33">
        <f>H33+J33+L33</f>
        <v>0</v>
      </c>
    </row>
    <row r="34" spans="1:14" s="4" customFormat="1" ht="31.5" x14ac:dyDescent="0.25">
      <c r="A34" s="897"/>
      <c r="B34" s="224"/>
      <c r="C34" s="224" t="s">
        <v>122</v>
      </c>
      <c r="D34" s="225" t="s">
        <v>7</v>
      </c>
      <c r="E34" s="222">
        <v>0.62</v>
      </c>
      <c r="F34" s="222">
        <f>F30*E34</f>
        <v>0.92999999999999994</v>
      </c>
      <c r="G34" s="58"/>
      <c r="H34" s="48">
        <f t="shared" ref="H34:H35" si="4">F34*G34</f>
        <v>0</v>
      </c>
      <c r="I34" s="48"/>
      <c r="J34" s="48"/>
      <c r="K34" s="59"/>
      <c r="L34" s="33"/>
      <c r="M34" s="33">
        <f t="shared" ref="M34:M35" si="5">H34+J34+L34</f>
        <v>0</v>
      </c>
    </row>
    <row r="35" spans="1:14" s="4" customFormat="1" ht="33" x14ac:dyDescent="0.25">
      <c r="A35" s="898"/>
      <c r="B35" s="84"/>
      <c r="C35" s="226" t="s">
        <v>93</v>
      </c>
      <c r="D35" s="84" t="s">
        <v>94</v>
      </c>
      <c r="E35" s="47">
        <v>1.05</v>
      </c>
      <c r="F35" s="47">
        <f>((4+0.15+0.85)*(4))*E35</f>
        <v>21</v>
      </c>
      <c r="G35" s="48"/>
      <c r="H35" s="48">
        <f t="shared" si="4"/>
        <v>0</v>
      </c>
      <c r="I35" s="48"/>
      <c r="J35" s="48"/>
      <c r="K35" s="59"/>
      <c r="L35" s="33"/>
      <c r="M35" s="33">
        <f t="shared" si="5"/>
        <v>0</v>
      </c>
    </row>
    <row r="36" spans="1:14" s="4" customFormat="1" ht="47.25" x14ac:dyDescent="0.25">
      <c r="A36" s="892">
        <v>9</v>
      </c>
      <c r="B36" s="227" t="s">
        <v>193</v>
      </c>
      <c r="C36" s="227" t="s">
        <v>194</v>
      </c>
      <c r="D36" s="228" t="s">
        <v>74</v>
      </c>
      <c r="E36" s="210"/>
      <c r="F36" s="211">
        <f>170*0.25*0.25+F13</f>
        <v>11.9</v>
      </c>
      <c r="G36" s="58"/>
      <c r="H36" s="48"/>
      <c r="I36" s="58"/>
      <c r="J36" s="48"/>
      <c r="K36" s="59"/>
      <c r="L36" s="33"/>
      <c r="M36" s="33"/>
    </row>
    <row r="37" spans="1:14" s="4" customFormat="1" ht="16.5" x14ac:dyDescent="0.25">
      <c r="A37" s="893"/>
      <c r="B37" s="229"/>
      <c r="C37" s="230"/>
      <c r="D37" s="228" t="s">
        <v>195</v>
      </c>
      <c r="E37" s="210">
        <v>1.95</v>
      </c>
      <c r="F37" s="211">
        <f>F36*E37</f>
        <v>23.205000000000002</v>
      </c>
      <c r="G37" s="58"/>
      <c r="H37" s="48"/>
      <c r="I37" s="58"/>
      <c r="J37" s="48"/>
      <c r="K37" s="59"/>
      <c r="L37" s="33"/>
      <c r="M37" s="33"/>
    </row>
    <row r="38" spans="1:14" s="4" customFormat="1" ht="31.5" x14ac:dyDescent="0.25">
      <c r="A38" s="894"/>
      <c r="B38" s="210"/>
      <c r="C38" s="229" t="s">
        <v>17</v>
      </c>
      <c r="D38" s="210" t="s">
        <v>9</v>
      </c>
      <c r="E38" s="210">
        <v>0.53</v>
      </c>
      <c r="F38" s="210">
        <f>F37*E38</f>
        <v>12.298650000000002</v>
      </c>
      <c r="G38" s="58"/>
      <c r="H38" s="48"/>
      <c r="I38" s="58"/>
      <c r="J38" s="48">
        <f t="shared" si="0"/>
        <v>0</v>
      </c>
      <c r="K38" s="59"/>
      <c r="L38" s="33"/>
      <c r="M38" s="33">
        <f t="shared" si="1"/>
        <v>0</v>
      </c>
    </row>
    <row r="39" spans="1:14" s="4" customFormat="1" ht="31.5" x14ac:dyDescent="0.25">
      <c r="A39" s="231">
        <v>10</v>
      </c>
      <c r="B39" s="93" t="s">
        <v>196</v>
      </c>
      <c r="C39" s="232" t="s">
        <v>197</v>
      </c>
      <c r="D39" s="218" t="s">
        <v>195</v>
      </c>
      <c r="E39" s="218"/>
      <c r="F39" s="219">
        <f>F37</f>
        <v>23.205000000000002</v>
      </c>
      <c r="G39" s="58"/>
      <c r="H39" s="48"/>
      <c r="I39" s="58"/>
      <c r="J39" s="48"/>
      <c r="K39" s="59"/>
      <c r="L39" s="33">
        <f t="shared" si="3"/>
        <v>0</v>
      </c>
      <c r="M39" s="33">
        <f t="shared" si="1"/>
        <v>0</v>
      </c>
    </row>
    <row r="40" spans="1:14" s="4" customFormat="1" ht="16.5" x14ac:dyDescent="0.25">
      <c r="A40" s="19"/>
      <c r="B40" s="27"/>
      <c r="C40" s="233"/>
      <c r="D40" s="233"/>
      <c r="E40" s="233"/>
      <c r="F40" s="20"/>
      <c r="G40" s="58"/>
      <c r="H40" s="48"/>
      <c r="I40" s="58"/>
      <c r="J40" s="48"/>
      <c r="K40" s="59"/>
      <c r="L40" s="33"/>
      <c r="M40" s="33"/>
    </row>
    <row r="41" spans="1:14" s="4" customFormat="1" ht="16.5" x14ac:dyDescent="0.25">
      <c r="A41" s="234"/>
      <c r="B41" s="235"/>
      <c r="C41" s="236" t="s">
        <v>95</v>
      </c>
      <c r="D41" s="236"/>
      <c r="E41" s="236"/>
      <c r="F41" s="237"/>
      <c r="G41" s="238"/>
      <c r="H41" s="239">
        <f>SUM(H10:H40)</f>
        <v>0</v>
      </c>
      <c r="I41" s="238"/>
      <c r="J41" s="239">
        <f>SUM(J10:J40)</f>
        <v>0</v>
      </c>
      <c r="K41" s="240"/>
      <c r="L41" s="239">
        <f>SUM(L10:L40)</f>
        <v>0</v>
      </c>
      <c r="M41" s="239">
        <f t="shared" si="1"/>
        <v>0</v>
      </c>
    </row>
    <row r="42" spans="1:14" s="4" customFormat="1" ht="40.5" x14ac:dyDescent="0.25">
      <c r="A42" s="166"/>
      <c r="B42" s="166"/>
      <c r="C42" s="241" t="s">
        <v>163</v>
      </c>
      <c r="D42" s="166"/>
      <c r="E42" s="168"/>
      <c r="F42" s="169"/>
      <c r="G42" s="170"/>
      <c r="H42" s="170"/>
      <c r="I42" s="170"/>
      <c r="J42" s="170"/>
      <c r="K42" s="170"/>
      <c r="L42" s="170"/>
      <c r="M42" s="170">
        <f>H41*F42</f>
        <v>0</v>
      </c>
    </row>
    <row r="43" spans="1:14" s="4" customFormat="1" ht="16.5" x14ac:dyDescent="0.25">
      <c r="A43" s="87"/>
      <c r="B43" s="166"/>
      <c r="C43" s="242"/>
      <c r="D43" s="242"/>
      <c r="E43" s="242"/>
      <c r="F43" s="243"/>
      <c r="G43" s="244"/>
      <c r="H43" s="170"/>
      <c r="I43" s="244"/>
      <c r="J43" s="170"/>
      <c r="K43" s="245"/>
      <c r="L43" s="170"/>
      <c r="M43" s="170">
        <f>M41+M42</f>
        <v>0</v>
      </c>
    </row>
    <row r="44" spans="1:14" s="4" customFormat="1" ht="16.5" x14ac:dyDescent="0.25">
      <c r="A44" s="246"/>
      <c r="B44" s="174"/>
      <c r="C44" s="247" t="s">
        <v>164</v>
      </c>
      <c r="D44" s="174"/>
      <c r="E44" s="248"/>
      <c r="F44" s="177"/>
      <c r="G44" s="178"/>
      <c r="H44" s="178"/>
      <c r="I44" s="178"/>
      <c r="J44" s="178"/>
      <c r="K44" s="178"/>
      <c r="L44" s="178"/>
      <c r="M44" s="178">
        <f>M43*F44</f>
        <v>0</v>
      </c>
    </row>
    <row r="45" spans="1:14" s="4" customFormat="1" ht="16.5" x14ac:dyDescent="0.25">
      <c r="A45" s="249"/>
      <c r="B45" s="250"/>
      <c r="C45" s="251" t="s">
        <v>198</v>
      </c>
      <c r="D45" s="250"/>
      <c r="E45" s="185"/>
      <c r="F45" s="185"/>
      <c r="G45" s="252"/>
      <c r="H45" s="252"/>
      <c r="I45" s="252"/>
      <c r="J45" s="252"/>
      <c r="K45" s="252"/>
      <c r="L45" s="252"/>
      <c r="M45" s="253">
        <f>M43+M44</f>
        <v>0</v>
      </c>
    </row>
    <row r="46" spans="1:14" s="4" customFormat="1" ht="16.5" x14ac:dyDescent="0.25">
      <c r="A46" s="19"/>
      <c r="B46" s="27"/>
      <c r="C46" s="233"/>
      <c r="D46" s="233"/>
      <c r="E46" s="233"/>
      <c r="F46" s="20"/>
      <c r="G46" s="254"/>
      <c r="H46" s="26"/>
      <c r="I46" s="254"/>
      <c r="J46" s="26"/>
      <c r="K46" s="255"/>
      <c r="L46" s="26"/>
      <c r="M46" s="26"/>
    </row>
    <row r="47" spans="1:14" s="4" customFormat="1" ht="16.5" x14ac:dyDescent="0.25">
      <c r="A47" s="204"/>
      <c r="B47" s="204"/>
      <c r="C47" s="205" t="s">
        <v>199</v>
      </c>
      <c r="D47" s="204"/>
      <c r="E47" s="204"/>
      <c r="F47" s="204"/>
      <c r="G47" s="254"/>
      <c r="H47" s="26"/>
      <c r="I47" s="254"/>
      <c r="J47" s="26"/>
      <c r="K47" s="255"/>
      <c r="L47" s="26"/>
      <c r="M47" s="26"/>
    </row>
    <row r="48" spans="1:14" s="4" customFormat="1" ht="47.25" x14ac:dyDescent="0.25">
      <c r="A48" s="874" t="s">
        <v>126</v>
      </c>
      <c r="B48" s="256" t="s">
        <v>200</v>
      </c>
      <c r="C48" s="257" t="s">
        <v>201</v>
      </c>
      <c r="D48" s="45" t="s">
        <v>202</v>
      </c>
      <c r="E48" s="47"/>
      <c r="F48" s="258">
        <f>6*2</f>
        <v>12</v>
      </c>
      <c r="G48" s="48"/>
      <c r="H48" s="48"/>
      <c r="I48" s="48"/>
      <c r="J48" s="48"/>
      <c r="K48" s="48"/>
      <c r="L48" s="48"/>
      <c r="M48" s="48"/>
      <c r="N48" s="4" t="s">
        <v>203</v>
      </c>
    </row>
    <row r="49" spans="1:13" s="4" customFormat="1" ht="27" x14ac:dyDescent="0.25">
      <c r="A49" s="874"/>
      <c r="B49" s="259"/>
      <c r="C49" s="260" t="s">
        <v>204</v>
      </c>
      <c r="D49" s="259" t="s">
        <v>205</v>
      </c>
      <c r="E49" s="261">
        <v>1</v>
      </c>
      <c r="F49" s="262">
        <f>F48*E49</f>
        <v>12</v>
      </c>
      <c r="G49" s="58"/>
      <c r="H49" s="48"/>
      <c r="I49" s="58"/>
      <c r="J49" s="48">
        <f>F49*I49</f>
        <v>0</v>
      </c>
      <c r="K49" s="59"/>
      <c r="L49" s="48"/>
      <c r="M49" s="48">
        <f>J49</f>
        <v>0</v>
      </c>
    </row>
    <row r="50" spans="1:13" s="4" customFormat="1" ht="16.5" x14ac:dyDescent="0.25">
      <c r="A50" s="874"/>
      <c r="B50" s="259"/>
      <c r="C50" s="260" t="s">
        <v>8</v>
      </c>
      <c r="D50" s="259" t="s">
        <v>7</v>
      </c>
      <c r="E50" s="261">
        <v>1.1599999999999999</v>
      </c>
      <c r="F50" s="262">
        <f>F48*E50</f>
        <v>13.919999999999998</v>
      </c>
      <c r="G50" s="58"/>
      <c r="H50" s="48"/>
      <c r="I50" s="58"/>
      <c r="J50" s="48"/>
      <c r="K50" s="59"/>
      <c r="L50" s="48">
        <f>F50*K50</f>
        <v>0</v>
      </c>
      <c r="M50" s="48">
        <f>L50</f>
        <v>0</v>
      </c>
    </row>
    <row r="51" spans="1:13" s="4" customFormat="1" ht="31.5" x14ac:dyDescent="0.25">
      <c r="A51" s="874"/>
      <c r="B51" s="45"/>
      <c r="C51" s="111" t="s">
        <v>206</v>
      </c>
      <c r="D51" s="45" t="s">
        <v>207</v>
      </c>
      <c r="E51" s="47"/>
      <c r="F51" s="263">
        <f>F48</f>
        <v>12</v>
      </c>
      <c r="G51" s="48"/>
      <c r="H51" s="48">
        <f t="shared" ref="H51" si="6">F51*G51</f>
        <v>0</v>
      </c>
      <c r="I51" s="58"/>
      <c r="J51" s="48"/>
      <c r="K51" s="48"/>
      <c r="L51" s="48"/>
      <c r="M51" s="48">
        <f>H51</f>
        <v>0</v>
      </c>
    </row>
    <row r="52" spans="1:13" s="4" customFormat="1" ht="16.5" x14ac:dyDescent="0.25">
      <c r="A52" s="874"/>
      <c r="B52" s="45"/>
      <c r="C52" s="111" t="s">
        <v>122</v>
      </c>
      <c r="D52" s="45" t="s">
        <v>7</v>
      </c>
      <c r="E52" s="47">
        <v>0.05</v>
      </c>
      <c r="F52" s="263">
        <f>F48*E52</f>
        <v>0.60000000000000009</v>
      </c>
      <c r="G52" s="48"/>
      <c r="H52" s="48">
        <f>F52*G52</f>
        <v>0</v>
      </c>
      <c r="I52" s="58"/>
      <c r="J52" s="48"/>
      <c r="K52" s="48"/>
      <c r="L52" s="48"/>
      <c r="M52" s="48">
        <f>H52</f>
        <v>0</v>
      </c>
    </row>
    <row r="53" spans="1:13" s="4" customFormat="1" ht="47.25" x14ac:dyDescent="0.25">
      <c r="A53" s="878" t="s">
        <v>208</v>
      </c>
      <c r="B53" s="38" t="s">
        <v>209</v>
      </c>
      <c r="C53" s="257" t="s">
        <v>210</v>
      </c>
      <c r="D53" s="45" t="s">
        <v>211</v>
      </c>
      <c r="E53" s="47"/>
      <c r="F53" s="258">
        <f>150+40</f>
        <v>190</v>
      </c>
      <c r="G53" s="48"/>
      <c r="H53" s="48"/>
      <c r="I53" s="58"/>
      <c r="J53" s="48"/>
      <c r="K53" s="48"/>
      <c r="L53" s="48"/>
      <c r="M53" s="48"/>
    </row>
    <row r="54" spans="1:13" s="4" customFormat="1" ht="27" x14ac:dyDescent="0.25">
      <c r="A54" s="879"/>
      <c r="B54" s="256"/>
      <c r="C54" s="260" t="s">
        <v>204</v>
      </c>
      <c r="D54" s="259" t="s">
        <v>205</v>
      </c>
      <c r="E54" s="261">
        <v>0.05</v>
      </c>
      <c r="F54" s="262">
        <f>F53*E54</f>
        <v>9.5</v>
      </c>
      <c r="G54" s="58"/>
      <c r="H54" s="48"/>
      <c r="I54" s="58"/>
      <c r="J54" s="48">
        <f>F54*I54</f>
        <v>0</v>
      </c>
      <c r="K54" s="59"/>
      <c r="L54" s="48"/>
      <c r="M54" s="48">
        <f>J54</f>
        <v>0</v>
      </c>
    </row>
    <row r="55" spans="1:13" s="4" customFormat="1" ht="16.5" x14ac:dyDescent="0.25">
      <c r="A55" s="879"/>
      <c r="B55" s="256"/>
      <c r="C55" s="260" t="s">
        <v>8</v>
      </c>
      <c r="D55" s="259" t="s">
        <v>7</v>
      </c>
      <c r="E55" s="261">
        <v>4.8399999999999999E-2</v>
      </c>
      <c r="F55" s="262">
        <f>F53*E55</f>
        <v>9.1959999999999997</v>
      </c>
      <c r="G55" s="58"/>
      <c r="H55" s="48"/>
      <c r="I55" s="58"/>
      <c r="J55" s="48"/>
      <c r="K55" s="59"/>
      <c r="L55" s="48">
        <f>F55*K55</f>
        <v>0</v>
      </c>
      <c r="M55" s="48">
        <f>L55</f>
        <v>0</v>
      </c>
    </row>
    <row r="56" spans="1:13" s="4" customFormat="1" ht="16.5" x14ac:dyDescent="0.25">
      <c r="A56" s="879"/>
      <c r="B56" s="264"/>
      <c r="C56" s="111" t="s">
        <v>212</v>
      </c>
      <c r="D56" s="259" t="s">
        <v>94</v>
      </c>
      <c r="E56" s="261">
        <v>1.02</v>
      </c>
      <c r="F56" s="262">
        <f>150*E56</f>
        <v>153</v>
      </c>
      <c r="G56" s="58"/>
      <c r="H56" s="48">
        <f>F56*G56</f>
        <v>0</v>
      </c>
      <c r="I56" s="58"/>
      <c r="J56" s="48"/>
      <c r="K56" s="59"/>
      <c r="L56" s="48"/>
      <c r="M56" s="48">
        <f>H56</f>
        <v>0</v>
      </c>
    </row>
    <row r="57" spans="1:13" s="4" customFormat="1" ht="16.5" x14ac:dyDescent="0.25">
      <c r="A57" s="879"/>
      <c r="B57" s="264"/>
      <c r="C57" s="111" t="s">
        <v>213</v>
      </c>
      <c r="D57" s="259" t="s">
        <v>94</v>
      </c>
      <c r="E57" s="261">
        <v>1.02</v>
      </c>
      <c r="F57" s="262">
        <f>40*E57</f>
        <v>40.799999999999997</v>
      </c>
      <c r="G57" s="58"/>
      <c r="H57" s="48">
        <f>F57*G57</f>
        <v>0</v>
      </c>
      <c r="I57" s="58"/>
      <c r="J57" s="48"/>
      <c r="K57" s="59"/>
      <c r="L57" s="48"/>
      <c r="M57" s="48">
        <f>H57</f>
        <v>0</v>
      </c>
    </row>
    <row r="58" spans="1:13" s="4" customFormat="1" ht="16.5" x14ac:dyDescent="0.25">
      <c r="A58" s="895"/>
      <c r="B58" s="38"/>
      <c r="C58" s="111" t="s">
        <v>122</v>
      </c>
      <c r="D58" s="45" t="s">
        <v>7</v>
      </c>
      <c r="E58" s="47">
        <v>3.5000000000000001E-3</v>
      </c>
      <c r="F58" s="263">
        <f>F53*E58</f>
        <v>0.66500000000000004</v>
      </c>
      <c r="G58" s="48"/>
      <c r="H58" s="48">
        <f>F58*G58</f>
        <v>0</v>
      </c>
      <c r="I58" s="58"/>
      <c r="J58" s="48"/>
      <c r="K58" s="48"/>
      <c r="L58" s="48"/>
      <c r="M58" s="48">
        <f>H58</f>
        <v>0</v>
      </c>
    </row>
    <row r="59" spans="1:13" s="4" customFormat="1" ht="31.5" x14ac:dyDescent="0.25">
      <c r="A59" s="874" t="s">
        <v>214</v>
      </c>
      <c r="B59" s="38" t="s">
        <v>215</v>
      </c>
      <c r="C59" s="265" t="s">
        <v>216</v>
      </c>
      <c r="D59" s="45" t="s">
        <v>147</v>
      </c>
      <c r="E59" s="47"/>
      <c r="F59" s="258">
        <f>F62</f>
        <v>6</v>
      </c>
      <c r="G59" s="48"/>
      <c r="H59" s="48"/>
      <c r="I59" s="58"/>
      <c r="J59" s="48"/>
      <c r="K59" s="48"/>
      <c r="L59" s="48"/>
      <c r="M59" s="48"/>
    </row>
    <row r="60" spans="1:13" s="4" customFormat="1" ht="27" x14ac:dyDescent="0.25">
      <c r="A60" s="874"/>
      <c r="B60" s="45"/>
      <c r="C60" s="260" t="s">
        <v>204</v>
      </c>
      <c r="D60" s="259" t="s">
        <v>205</v>
      </c>
      <c r="E60" s="261">
        <v>1.69</v>
      </c>
      <c r="F60" s="262">
        <f>F59*E60</f>
        <v>10.14</v>
      </c>
      <c r="G60" s="58"/>
      <c r="H60" s="48"/>
      <c r="I60" s="58"/>
      <c r="J60" s="48">
        <f>F60*I60</f>
        <v>0</v>
      </c>
      <c r="K60" s="59"/>
      <c r="L60" s="48"/>
      <c r="M60" s="48">
        <f>J60</f>
        <v>0</v>
      </c>
    </row>
    <row r="61" spans="1:13" s="4" customFormat="1" ht="16.5" x14ac:dyDescent="0.25">
      <c r="A61" s="874"/>
      <c r="B61" s="45"/>
      <c r="C61" s="260" t="s">
        <v>8</v>
      </c>
      <c r="D61" s="259" t="s">
        <v>7</v>
      </c>
      <c r="E61" s="261">
        <v>2.3E-2</v>
      </c>
      <c r="F61" s="262">
        <f>F59*E61</f>
        <v>0.13800000000000001</v>
      </c>
      <c r="G61" s="58"/>
      <c r="H61" s="48"/>
      <c r="I61" s="58"/>
      <c r="J61" s="48"/>
      <c r="K61" s="59"/>
      <c r="L61" s="48">
        <f>F61*K61</f>
        <v>0</v>
      </c>
      <c r="M61" s="48">
        <f>L61</f>
        <v>0</v>
      </c>
    </row>
    <row r="62" spans="1:13" s="4" customFormat="1" ht="30.75" x14ac:dyDescent="0.25">
      <c r="A62" s="874"/>
      <c r="B62" s="45"/>
      <c r="C62" s="111" t="s">
        <v>217</v>
      </c>
      <c r="D62" s="45" t="s">
        <v>147</v>
      </c>
      <c r="E62" s="47">
        <v>1</v>
      </c>
      <c r="F62" s="263">
        <v>6</v>
      </c>
      <c r="G62" s="48"/>
      <c r="H62" s="48">
        <f>F62*G62</f>
        <v>0</v>
      </c>
      <c r="I62" s="58"/>
      <c r="J62" s="48"/>
      <c r="K62" s="48"/>
      <c r="L62" s="48"/>
      <c r="M62" s="48">
        <f>H62</f>
        <v>0</v>
      </c>
    </row>
    <row r="63" spans="1:13" s="4" customFormat="1" ht="16.5" x14ac:dyDescent="0.25">
      <c r="A63" s="874"/>
      <c r="B63" s="45"/>
      <c r="C63" s="111" t="s">
        <v>218</v>
      </c>
      <c r="D63" s="45" t="s">
        <v>147</v>
      </c>
      <c r="E63" s="47">
        <v>1</v>
      </c>
      <c r="F63" s="263">
        <v>6</v>
      </c>
      <c r="G63" s="48"/>
      <c r="H63" s="48">
        <f>F63*G63</f>
        <v>0</v>
      </c>
      <c r="I63" s="58"/>
      <c r="J63" s="48"/>
      <c r="K63" s="48"/>
      <c r="L63" s="48"/>
      <c r="M63" s="48">
        <f>H63</f>
        <v>0</v>
      </c>
    </row>
    <row r="64" spans="1:13" s="4" customFormat="1" ht="16.5" x14ac:dyDescent="0.25">
      <c r="A64" s="874"/>
      <c r="B64" s="45"/>
      <c r="C64" s="111" t="s">
        <v>122</v>
      </c>
      <c r="D64" s="45" t="s">
        <v>7</v>
      </c>
      <c r="E64" s="47">
        <v>1.01E-2</v>
      </c>
      <c r="F64" s="263">
        <f>F59*E64</f>
        <v>6.0600000000000001E-2</v>
      </c>
      <c r="G64" s="48"/>
      <c r="H64" s="48">
        <f>F64*G64</f>
        <v>0</v>
      </c>
      <c r="I64" s="58"/>
      <c r="J64" s="48"/>
      <c r="K64" s="48"/>
      <c r="L64" s="48"/>
      <c r="M64" s="48">
        <f>H64</f>
        <v>0</v>
      </c>
    </row>
    <row r="65" spans="1:13" s="4" customFormat="1" ht="31.5" x14ac:dyDescent="0.25">
      <c r="A65" s="45" t="s">
        <v>219</v>
      </c>
      <c r="B65" s="45"/>
      <c r="C65" s="257" t="s">
        <v>220</v>
      </c>
      <c r="D65" s="45"/>
      <c r="E65" s="266"/>
      <c r="F65" s="267"/>
      <c r="G65" s="268"/>
      <c r="H65" s="268"/>
      <c r="I65" s="269"/>
      <c r="J65" s="268"/>
      <c r="K65" s="268"/>
      <c r="L65" s="268"/>
      <c r="M65" s="268"/>
    </row>
    <row r="66" spans="1:13" s="4" customFormat="1" ht="54" x14ac:dyDescent="0.25">
      <c r="A66" s="873" t="s">
        <v>221</v>
      </c>
      <c r="B66" s="122" t="s">
        <v>222</v>
      </c>
      <c r="C66" s="133" t="s">
        <v>223</v>
      </c>
      <c r="D66" s="270" t="s">
        <v>147</v>
      </c>
      <c r="E66" s="271"/>
      <c r="F66" s="272">
        <v>6</v>
      </c>
      <c r="G66" s="126"/>
      <c r="H66" s="139"/>
      <c r="I66" s="139"/>
      <c r="J66" s="139"/>
      <c r="K66" s="139"/>
      <c r="L66" s="139"/>
      <c r="M66" s="139"/>
    </row>
    <row r="67" spans="1:13" s="4" customFormat="1" ht="16.5" x14ac:dyDescent="0.25">
      <c r="A67" s="873"/>
      <c r="B67" s="131"/>
      <c r="C67" s="128" t="s">
        <v>73</v>
      </c>
      <c r="D67" s="270" t="s">
        <v>9</v>
      </c>
      <c r="E67" s="273">
        <v>0.9</v>
      </c>
      <c r="F67" s="274">
        <f>E67*F66</f>
        <v>5.4</v>
      </c>
      <c r="G67" s="126"/>
      <c r="H67" s="139"/>
      <c r="I67" s="139"/>
      <c r="J67" s="139">
        <f t="shared" ref="J67:J73" si="7">F67*I67</f>
        <v>0</v>
      </c>
      <c r="K67" s="139"/>
      <c r="L67" s="139"/>
      <c r="M67" s="139">
        <f>J67</f>
        <v>0</v>
      </c>
    </row>
    <row r="68" spans="1:13" s="4" customFormat="1" ht="16.5" x14ac:dyDescent="0.25">
      <c r="A68" s="873"/>
      <c r="B68" s="131"/>
      <c r="C68" s="135" t="s">
        <v>8</v>
      </c>
      <c r="D68" s="270" t="s">
        <v>7</v>
      </c>
      <c r="E68" s="273">
        <v>7.0000000000000007E-2</v>
      </c>
      <c r="F68" s="275">
        <f>E68*F66</f>
        <v>0.42000000000000004</v>
      </c>
      <c r="G68" s="126"/>
      <c r="H68" s="139"/>
      <c r="I68" s="139"/>
      <c r="J68" s="139"/>
      <c r="K68" s="139"/>
      <c r="L68" s="139">
        <f t="shared" ref="L68:L74" si="8">F68*K68</f>
        <v>0</v>
      </c>
      <c r="M68" s="139">
        <f>L68</f>
        <v>0</v>
      </c>
    </row>
    <row r="69" spans="1:13" s="4" customFormat="1" ht="31.5" x14ac:dyDescent="0.25">
      <c r="A69" s="873"/>
      <c r="B69" s="276"/>
      <c r="C69" s="135" t="s">
        <v>225</v>
      </c>
      <c r="D69" s="277" t="s">
        <v>147</v>
      </c>
      <c r="E69" s="278"/>
      <c r="F69" s="132">
        <v>6</v>
      </c>
      <c r="G69" s="126"/>
      <c r="H69" s="139">
        <f>F69*G69</f>
        <v>0</v>
      </c>
      <c r="I69" s="139"/>
      <c r="J69" s="139"/>
      <c r="K69" s="139"/>
      <c r="L69" s="139"/>
      <c r="M69" s="139">
        <f>H69</f>
        <v>0</v>
      </c>
    </row>
    <row r="70" spans="1:13" s="4" customFormat="1" ht="27.6" customHeight="1" x14ac:dyDescent="0.25">
      <c r="A70" s="873"/>
      <c r="B70" s="276"/>
      <c r="C70" s="135" t="s">
        <v>227</v>
      </c>
      <c r="D70" s="277" t="s">
        <v>147</v>
      </c>
      <c r="E70" s="278"/>
      <c r="F70" s="132">
        <v>6</v>
      </c>
      <c r="G70" s="126"/>
      <c r="H70" s="139">
        <f t="shared" ref="H70:H76" si="9">F70*G70</f>
        <v>0</v>
      </c>
      <c r="I70" s="139"/>
      <c r="J70" s="139"/>
      <c r="K70" s="139"/>
      <c r="L70" s="139"/>
      <c r="M70" s="139">
        <f t="shared" ref="M70" si="10">H70</f>
        <v>0</v>
      </c>
    </row>
    <row r="71" spans="1:13" s="4" customFormat="1" ht="16.5" x14ac:dyDescent="0.25">
      <c r="A71" s="873"/>
      <c r="B71" s="131"/>
      <c r="C71" s="128" t="s">
        <v>10</v>
      </c>
      <c r="D71" s="270" t="s">
        <v>7</v>
      </c>
      <c r="E71" s="273">
        <v>0.14000000000000001</v>
      </c>
      <c r="F71" s="274">
        <f>E71*F66</f>
        <v>0.84000000000000008</v>
      </c>
      <c r="G71" s="126"/>
      <c r="H71" s="139">
        <f t="shared" si="9"/>
        <v>0</v>
      </c>
      <c r="I71" s="126"/>
      <c r="J71" s="139"/>
      <c r="K71" s="126"/>
      <c r="L71" s="139"/>
      <c r="M71" s="139">
        <f>H71</f>
        <v>0</v>
      </c>
    </row>
    <row r="72" spans="1:13" s="4" customFormat="1" ht="54" x14ac:dyDescent="0.25">
      <c r="A72" s="873" t="s">
        <v>228</v>
      </c>
      <c r="B72" s="122" t="s">
        <v>229</v>
      </c>
      <c r="C72" s="133" t="s">
        <v>230</v>
      </c>
      <c r="D72" s="277" t="s">
        <v>94</v>
      </c>
      <c r="E72" s="271"/>
      <c r="F72" s="272">
        <v>10</v>
      </c>
      <c r="G72" s="126"/>
      <c r="H72" s="139"/>
      <c r="I72" s="139"/>
      <c r="J72" s="139"/>
      <c r="K72" s="139"/>
      <c r="L72" s="139"/>
      <c r="M72" s="139"/>
    </row>
    <row r="73" spans="1:13" s="4" customFormat="1" ht="16.5" x14ac:dyDescent="0.25">
      <c r="A73" s="873"/>
      <c r="B73" s="131"/>
      <c r="C73" s="128" t="s">
        <v>73</v>
      </c>
      <c r="D73" s="270" t="s">
        <v>9</v>
      </c>
      <c r="E73" s="273">
        <v>0.12</v>
      </c>
      <c r="F73" s="274">
        <f>E73*F72</f>
        <v>1.2</v>
      </c>
      <c r="G73" s="126"/>
      <c r="H73" s="139"/>
      <c r="I73" s="139"/>
      <c r="J73" s="139">
        <f t="shared" si="7"/>
        <v>0</v>
      </c>
      <c r="K73" s="139"/>
      <c r="L73" s="139"/>
      <c r="M73" s="139">
        <f>J73</f>
        <v>0</v>
      </c>
    </row>
    <row r="74" spans="1:13" s="4" customFormat="1" ht="16.5" x14ac:dyDescent="0.25">
      <c r="A74" s="873"/>
      <c r="B74" s="131"/>
      <c r="C74" s="135" t="s">
        <v>8</v>
      </c>
      <c r="D74" s="270" t="s">
        <v>7</v>
      </c>
      <c r="E74" s="273">
        <v>8.9999999999999993E-3</v>
      </c>
      <c r="F74" s="275">
        <f>E74*F72</f>
        <v>0.09</v>
      </c>
      <c r="G74" s="126"/>
      <c r="H74" s="139"/>
      <c r="I74" s="139"/>
      <c r="J74" s="139"/>
      <c r="K74" s="139"/>
      <c r="L74" s="139">
        <f t="shared" si="8"/>
        <v>0</v>
      </c>
      <c r="M74" s="139">
        <f>L74</f>
        <v>0</v>
      </c>
    </row>
    <row r="75" spans="1:13" s="4" customFormat="1" ht="31.5" x14ac:dyDescent="0.25">
      <c r="A75" s="873"/>
      <c r="B75" s="276"/>
      <c r="C75" s="135" t="s">
        <v>232</v>
      </c>
      <c r="D75" s="277" t="s">
        <v>94</v>
      </c>
      <c r="E75" s="278"/>
      <c r="F75" s="132">
        <v>10</v>
      </c>
      <c r="G75" s="126"/>
      <c r="H75" s="139">
        <f t="shared" ref="H75" si="11">F75*G75</f>
        <v>0</v>
      </c>
      <c r="I75" s="139"/>
      <c r="J75" s="139"/>
      <c r="K75" s="139"/>
      <c r="L75" s="139"/>
      <c r="M75" s="139">
        <f>H75</f>
        <v>0</v>
      </c>
    </row>
    <row r="76" spans="1:13" s="4" customFormat="1" ht="16.5" x14ac:dyDescent="0.25">
      <c r="A76" s="873"/>
      <c r="B76" s="131"/>
      <c r="C76" s="128" t="s">
        <v>10</v>
      </c>
      <c r="D76" s="270" t="s">
        <v>7</v>
      </c>
      <c r="E76" s="273">
        <v>0.14000000000000001</v>
      </c>
      <c r="F76" s="274">
        <f>E76*F72</f>
        <v>1.4000000000000001</v>
      </c>
      <c r="G76" s="126"/>
      <c r="H76" s="139">
        <f t="shared" si="9"/>
        <v>0</v>
      </c>
      <c r="I76" s="126"/>
      <c r="J76" s="139"/>
      <c r="K76" s="126"/>
      <c r="L76" s="139"/>
      <c r="M76" s="139">
        <f>H76</f>
        <v>0</v>
      </c>
    </row>
    <row r="77" spans="1:13" s="4" customFormat="1" ht="16.5" x14ac:dyDescent="0.25">
      <c r="A77" s="86"/>
      <c r="B77" s="84"/>
      <c r="C77" s="226"/>
      <c r="D77" s="279"/>
      <c r="E77" s="226"/>
      <c r="F77" s="280"/>
      <c r="G77" s="14"/>
      <c r="H77" s="33"/>
      <c r="I77" s="58"/>
      <c r="J77" s="33"/>
      <c r="K77" s="33"/>
      <c r="L77" s="33"/>
      <c r="M77" s="33"/>
    </row>
    <row r="78" spans="1:13" s="4" customFormat="1" ht="16.5" x14ac:dyDescent="0.25">
      <c r="A78" s="19"/>
      <c r="B78" s="27"/>
      <c r="C78" s="233"/>
      <c r="D78" s="233"/>
      <c r="E78" s="233"/>
      <c r="F78" s="20"/>
      <c r="G78" s="254"/>
      <c r="H78" s="33">
        <f t="shared" ref="H78" si="12">F78*G78</f>
        <v>0</v>
      </c>
      <c r="I78" s="254"/>
      <c r="J78" s="33">
        <f t="shared" ref="J78" si="13">F78*I78</f>
        <v>0</v>
      </c>
      <c r="K78" s="33"/>
      <c r="L78" s="26">
        <f t="shared" ref="L78" si="14">F78*K78</f>
        <v>0</v>
      </c>
      <c r="M78" s="26">
        <f t="shared" ref="M78" si="15">H78+J78+L78</f>
        <v>0</v>
      </c>
    </row>
    <row r="79" spans="1:13" s="4" customFormat="1" ht="16.5" x14ac:dyDescent="0.25">
      <c r="A79" s="234"/>
      <c r="B79" s="234"/>
      <c r="C79" s="234" t="s">
        <v>233</v>
      </c>
      <c r="D79" s="234"/>
      <c r="E79" s="234"/>
      <c r="F79" s="237"/>
      <c r="G79" s="239"/>
      <c r="H79" s="239">
        <f>SUM(H48:H78)</f>
        <v>0</v>
      </c>
      <c r="I79" s="239"/>
      <c r="J79" s="239">
        <f>SUM(J48:J78)</f>
        <v>0</v>
      </c>
      <c r="K79" s="239"/>
      <c r="L79" s="239">
        <f>SUM(L48:L78)</f>
        <v>0</v>
      </c>
      <c r="M79" s="239">
        <f>H79+J79+L79</f>
        <v>0</v>
      </c>
    </row>
    <row r="80" spans="1:13" s="4" customFormat="1" ht="40.5" x14ac:dyDescent="0.25">
      <c r="A80" s="166"/>
      <c r="B80" s="166"/>
      <c r="C80" s="281" t="s">
        <v>163</v>
      </c>
      <c r="D80" s="166"/>
      <c r="E80" s="168"/>
      <c r="F80" s="169"/>
      <c r="G80" s="170"/>
      <c r="H80" s="170"/>
      <c r="I80" s="170"/>
      <c r="J80" s="170"/>
      <c r="K80" s="170"/>
      <c r="L80" s="170"/>
      <c r="M80" s="170">
        <f>H79*F80</f>
        <v>0</v>
      </c>
    </row>
    <row r="81" spans="1:13" s="4" customFormat="1" ht="47.25" x14ac:dyDescent="0.25">
      <c r="A81" s="19"/>
      <c r="B81" s="19"/>
      <c r="C81" s="282" t="s">
        <v>234</v>
      </c>
      <c r="D81" s="19"/>
      <c r="E81" s="19"/>
      <c r="F81" s="283"/>
      <c r="G81" s="26"/>
      <c r="H81" s="26"/>
      <c r="I81" s="26"/>
      <c r="J81" s="26"/>
      <c r="K81" s="26"/>
      <c r="L81" s="26"/>
      <c r="M81" s="26">
        <f>J79*F81</f>
        <v>0</v>
      </c>
    </row>
    <row r="82" spans="1:13" s="4" customFormat="1" ht="16.5" x14ac:dyDescent="0.25">
      <c r="A82" s="234"/>
      <c r="B82" s="234"/>
      <c r="C82" s="234" t="s">
        <v>235</v>
      </c>
      <c r="D82" s="234"/>
      <c r="E82" s="234"/>
      <c r="F82" s="237"/>
      <c r="G82" s="239"/>
      <c r="H82" s="239"/>
      <c r="I82" s="239"/>
      <c r="J82" s="239"/>
      <c r="K82" s="239"/>
      <c r="L82" s="239"/>
      <c r="M82" s="239">
        <f>M79+M80+M81</f>
        <v>0</v>
      </c>
    </row>
    <row r="83" spans="1:13" s="4" customFormat="1" ht="16.5" x14ac:dyDescent="0.25">
      <c r="A83" s="164"/>
      <c r="B83" s="164"/>
      <c r="C83" s="164" t="s">
        <v>236</v>
      </c>
      <c r="D83" s="164"/>
      <c r="E83" s="164"/>
      <c r="F83" s="284"/>
      <c r="G83" s="165"/>
      <c r="H83" s="165"/>
      <c r="I83" s="165"/>
      <c r="J83" s="165"/>
      <c r="K83" s="165"/>
      <c r="L83" s="165"/>
      <c r="M83" s="165">
        <f>M45+M82</f>
        <v>0</v>
      </c>
    </row>
    <row r="84" spans="1:13" s="4" customFormat="1" ht="16.5" x14ac:dyDescent="0.25">
      <c r="A84" s="19"/>
      <c r="B84" s="19"/>
      <c r="C84" s="19" t="s">
        <v>237</v>
      </c>
      <c r="D84" s="19"/>
      <c r="E84" s="19"/>
      <c r="F84" s="283"/>
      <c r="G84" s="26"/>
      <c r="H84" s="26"/>
      <c r="I84" s="26"/>
      <c r="J84" s="26"/>
      <c r="K84" s="26"/>
      <c r="L84" s="26"/>
      <c r="M84" s="26">
        <f>M83*F84</f>
        <v>0</v>
      </c>
    </row>
    <row r="85" spans="1:13" s="4" customFormat="1" ht="31.5" x14ac:dyDescent="0.25">
      <c r="A85" s="285"/>
      <c r="B85" s="285"/>
      <c r="C85" s="164" t="s">
        <v>238</v>
      </c>
      <c r="D85" s="285"/>
      <c r="E85" s="285"/>
      <c r="F85" s="286"/>
      <c r="G85" s="287"/>
      <c r="H85" s="287"/>
      <c r="I85" s="287"/>
      <c r="J85" s="287" t="s">
        <v>41</v>
      </c>
      <c r="K85" s="287"/>
      <c r="L85" s="287"/>
      <c r="M85" s="288">
        <f>M83+M84</f>
        <v>0</v>
      </c>
    </row>
    <row r="86" spans="1:13" s="4" customFormat="1" ht="31.5" x14ac:dyDescent="0.25">
      <c r="A86" s="19"/>
      <c r="B86" s="19"/>
      <c r="C86" s="19" t="s">
        <v>4</v>
      </c>
      <c r="D86" s="19"/>
      <c r="E86" s="19"/>
      <c r="F86" s="289">
        <v>0.03</v>
      </c>
      <c r="G86" s="26"/>
      <c r="H86" s="26"/>
      <c r="I86" s="26"/>
      <c r="J86" s="26"/>
      <c r="K86" s="26"/>
      <c r="L86" s="26"/>
      <c r="M86" s="26">
        <f>M85*F86</f>
        <v>0</v>
      </c>
    </row>
    <row r="87" spans="1:13" s="4" customFormat="1" ht="16.5" x14ac:dyDescent="0.25">
      <c r="A87" s="19"/>
      <c r="B87" s="19"/>
      <c r="C87" s="19"/>
      <c r="D87" s="19"/>
      <c r="E87" s="19"/>
      <c r="F87" s="20"/>
      <c r="G87" s="26"/>
      <c r="H87" s="26"/>
      <c r="I87" s="26"/>
      <c r="J87" s="26" t="s">
        <v>41</v>
      </c>
      <c r="K87" s="26"/>
      <c r="L87" s="26"/>
      <c r="M87" s="26">
        <f>M85+M86</f>
        <v>0</v>
      </c>
    </row>
    <row r="88" spans="1:13" s="4" customFormat="1" ht="16.5" x14ac:dyDescent="0.25">
      <c r="A88" s="19"/>
      <c r="B88" s="19"/>
      <c r="C88" s="19" t="s">
        <v>168</v>
      </c>
      <c r="D88" s="19"/>
      <c r="E88" s="19"/>
      <c r="F88" s="289">
        <v>0.18</v>
      </c>
      <c r="G88" s="26"/>
      <c r="H88" s="26"/>
      <c r="I88" s="26"/>
      <c r="J88" s="26"/>
      <c r="K88" s="26"/>
      <c r="L88" s="26"/>
      <c r="M88" s="26">
        <f>M87*F88</f>
        <v>0</v>
      </c>
    </row>
    <row r="89" spans="1:13" s="4" customFormat="1" ht="31.5" x14ac:dyDescent="0.25">
      <c r="A89" s="285"/>
      <c r="B89" s="285"/>
      <c r="C89" s="164" t="s">
        <v>238</v>
      </c>
      <c r="D89" s="285"/>
      <c r="E89" s="285"/>
      <c r="F89" s="286"/>
      <c r="G89" s="287"/>
      <c r="H89" s="287"/>
      <c r="I89" s="287"/>
      <c r="J89" s="287" t="s">
        <v>41</v>
      </c>
      <c r="K89" s="287"/>
      <c r="L89" s="287"/>
      <c r="M89" s="165">
        <f>M87+M88</f>
        <v>0</v>
      </c>
    </row>
    <row r="90" spans="1:13" s="4" customFormat="1" ht="16.5" x14ac:dyDescent="0.25">
      <c r="A90" s="5"/>
      <c r="B90" s="290"/>
      <c r="D90" s="290"/>
      <c r="E90" s="5"/>
      <c r="F90" s="291"/>
      <c r="G90" s="9"/>
      <c r="H90" s="9"/>
      <c r="I90" s="9"/>
      <c r="J90" s="9"/>
      <c r="K90" s="9"/>
      <c r="L90" s="9"/>
      <c r="M90" s="9"/>
    </row>
    <row r="91" spans="1:13" s="4" customFormat="1" ht="16.5" x14ac:dyDescent="0.25">
      <c r="A91" s="5"/>
      <c r="B91" s="290"/>
      <c r="D91" s="290"/>
      <c r="E91" s="5"/>
      <c r="F91" s="291"/>
      <c r="G91" s="9"/>
      <c r="H91" s="9"/>
      <c r="I91" s="9"/>
      <c r="J91" s="9"/>
      <c r="K91" s="9"/>
      <c r="L91" s="9"/>
      <c r="M91" s="9"/>
    </row>
    <row r="92" spans="1:13" s="4" customFormat="1" ht="16.5" x14ac:dyDescent="0.25">
      <c r="A92" s="5"/>
      <c r="B92" s="290"/>
      <c r="C92" s="293"/>
      <c r="D92" s="294"/>
      <c r="E92" s="292"/>
      <c r="F92" s="291"/>
      <c r="G92" s="9"/>
      <c r="H92" s="9"/>
      <c r="I92" s="9"/>
      <c r="J92" s="9"/>
      <c r="K92" s="9"/>
      <c r="L92" s="9"/>
      <c r="M92" s="9"/>
    </row>
  </sheetData>
  <mergeCells count="28">
    <mergeCell ref="A1:M1"/>
    <mergeCell ref="A2:M2"/>
    <mergeCell ref="A3:M3"/>
    <mergeCell ref="A5:M5"/>
    <mergeCell ref="A7:A8"/>
    <mergeCell ref="B7:B8"/>
    <mergeCell ref="C7:C8"/>
    <mergeCell ref="D7:D8"/>
    <mergeCell ref="E7:E8"/>
    <mergeCell ref="F7:F8"/>
    <mergeCell ref="M7:M8"/>
    <mergeCell ref="A11:A12"/>
    <mergeCell ref="A13:A14"/>
    <mergeCell ref="A15:A16"/>
    <mergeCell ref="A17:A19"/>
    <mergeCell ref="A72:A76"/>
    <mergeCell ref="A30:A35"/>
    <mergeCell ref="G7:H7"/>
    <mergeCell ref="I7:J7"/>
    <mergeCell ref="K7:L7"/>
    <mergeCell ref="A20:A24"/>
    <mergeCell ref="A25:A27"/>
    <mergeCell ref="A28:A29"/>
    <mergeCell ref="A36:A38"/>
    <mergeCell ref="A48:A52"/>
    <mergeCell ref="A53:A58"/>
    <mergeCell ref="A59:A64"/>
    <mergeCell ref="A66:A71"/>
  </mergeCells>
  <pageMargins left="0.70866141732283472" right="0.16" top="0.39" bottom="0.46" header="0.31496062992125984" footer="0.31496062992125984"/>
  <pageSetup paperSize="9" orientation="landscape" horizontalDpi="1200" verticalDpi="1200" r:id="rId1"/>
  <headerFooter>
    <oddHeader>&amp;R&amp;P--&amp;N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4"/>
  <sheetViews>
    <sheetView zoomScale="90" zoomScaleNormal="90" workbookViewId="0">
      <selection activeCell="A25" sqref="A25:XFD25"/>
    </sheetView>
  </sheetViews>
  <sheetFormatPr defaultRowHeight="15" x14ac:dyDescent="0.25"/>
  <cols>
    <col min="1" max="1" width="6" customWidth="1"/>
    <col min="2" max="2" width="8" customWidth="1"/>
    <col min="3" max="3" width="32.42578125" customWidth="1"/>
    <col min="4" max="4" width="6.7109375" customWidth="1"/>
    <col min="7" max="7" width="7.85546875" customWidth="1"/>
    <col min="8" max="8" width="10.42578125" customWidth="1"/>
    <col min="9" max="9" width="7.7109375" customWidth="1"/>
    <col min="11" max="11" width="7.7109375" customWidth="1"/>
    <col min="13" max="13" width="10.5703125" customWidth="1"/>
  </cols>
  <sheetData>
    <row r="1" spans="1:13" s="5" customFormat="1" ht="35.25" customHeight="1" x14ac:dyDescent="0.25">
      <c r="A1" s="882" t="str">
        <f>krebsiti!A3</f>
        <v>dmanisis municipalitetis sofel javaxSi sportuli moednis, sazogadoebrivi daniSnulebis reteratisa da skveris mowyobis samuSaoebi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</row>
    <row r="2" spans="1:13" s="5" customFormat="1" ht="15.75" x14ac:dyDescent="0.25">
      <c r="A2" s="886" t="s">
        <v>31</v>
      </c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</row>
    <row r="3" spans="1:13" s="5" customFormat="1" ht="16.5" x14ac:dyDescent="0.25">
      <c r="A3" s="885" t="s">
        <v>239</v>
      </c>
      <c r="B3" s="885"/>
      <c r="C3" s="885"/>
      <c r="D3" s="885"/>
      <c r="E3" s="885"/>
      <c r="F3" s="885"/>
      <c r="G3" s="885"/>
      <c r="H3" s="885"/>
      <c r="I3" s="885"/>
      <c r="J3" s="885"/>
      <c r="K3" s="885"/>
      <c r="L3" s="885"/>
      <c r="M3" s="885"/>
    </row>
    <row r="4" spans="1:13" s="5" customFormat="1" ht="16.5" x14ac:dyDescent="0.25">
      <c r="A4" s="24"/>
      <c r="B4" s="23"/>
      <c r="C4" s="195"/>
      <c r="D4" s="23"/>
      <c r="E4" s="24"/>
      <c r="F4" s="24"/>
      <c r="G4" s="24"/>
      <c r="H4" s="24"/>
      <c r="I4" s="24"/>
      <c r="J4" s="24"/>
      <c r="K4" s="24"/>
      <c r="L4" s="24"/>
      <c r="M4" s="24"/>
    </row>
    <row r="5" spans="1:13" s="5" customFormat="1" ht="16.5" x14ac:dyDescent="0.25">
      <c r="A5" s="885" t="s">
        <v>240</v>
      </c>
      <c r="B5" s="885"/>
      <c r="C5" s="885"/>
      <c r="D5" s="885"/>
      <c r="E5" s="885"/>
      <c r="F5" s="885"/>
      <c r="G5" s="885"/>
      <c r="H5" s="885"/>
      <c r="I5" s="885"/>
      <c r="J5" s="885"/>
      <c r="K5" s="885"/>
      <c r="L5" s="885"/>
      <c r="M5" s="885"/>
    </row>
    <row r="6" spans="1:13" s="5" customFormat="1" ht="15.75" x14ac:dyDescent="0.25">
      <c r="A6" s="295"/>
      <c r="B6" s="200"/>
      <c r="C6" s="199"/>
      <c r="D6" s="200"/>
      <c r="E6" s="295"/>
      <c r="F6" s="295"/>
      <c r="G6" s="295"/>
      <c r="H6" s="295"/>
      <c r="I6" s="295"/>
      <c r="J6" s="295"/>
      <c r="K6" s="295"/>
      <c r="L6" s="295"/>
      <c r="M6" s="295"/>
    </row>
    <row r="7" spans="1:13" s="5" customFormat="1" ht="33.75" customHeight="1" x14ac:dyDescent="0.25">
      <c r="A7" s="868" t="s">
        <v>0</v>
      </c>
      <c r="B7" s="915" t="s">
        <v>34</v>
      </c>
      <c r="C7" s="916" t="s">
        <v>1</v>
      </c>
      <c r="D7" s="915" t="s">
        <v>2</v>
      </c>
      <c r="E7" s="868" t="s">
        <v>172</v>
      </c>
      <c r="F7" s="868" t="s">
        <v>3</v>
      </c>
      <c r="G7" s="868" t="s">
        <v>36</v>
      </c>
      <c r="H7" s="868"/>
      <c r="I7" s="868" t="s">
        <v>37</v>
      </c>
      <c r="J7" s="868"/>
      <c r="K7" s="868" t="s">
        <v>38</v>
      </c>
      <c r="L7" s="868"/>
      <c r="M7" s="868" t="s">
        <v>39</v>
      </c>
    </row>
    <row r="8" spans="1:13" s="5" customFormat="1" ht="31.5" x14ac:dyDescent="0.25">
      <c r="A8" s="868"/>
      <c r="B8" s="915"/>
      <c r="C8" s="916"/>
      <c r="D8" s="915"/>
      <c r="E8" s="868"/>
      <c r="F8" s="868"/>
      <c r="G8" s="19" t="s">
        <v>40</v>
      </c>
      <c r="H8" s="19" t="s">
        <v>41</v>
      </c>
      <c r="I8" s="19" t="s">
        <v>40</v>
      </c>
      <c r="J8" s="19" t="s">
        <v>41</v>
      </c>
      <c r="K8" s="19" t="s">
        <v>40</v>
      </c>
      <c r="L8" s="19" t="s">
        <v>41</v>
      </c>
      <c r="M8" s="868"/>
    </row>
    <row r="9" spans="1:13" s="5" customFormat="1" ht="16.5" x14ac:dyDescent="0.25">
      <c r="A9" s="19">
        <v>1</v>
      </c>
      <c r="B9" s="3">
        <v>2</v>
      </c>
      <c r="C9" s="203">
        <v>3</v>
      </c>
      <c r="D9" s="3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</row>
    <row r="10" spans="1:13" s="5" customFormat="1" ht="63" x14ac:dyDescent="0.25">
      <c r="A10" s="296" t="s">
        <v>431</v>
      </c>
      <c r="B10" s="297" t="s">
        <v>22</v>
      </c>
      <c r="C10" s="298" t="s">
        <v>241</v>
      </c>
      <c r="D10" s="299" t="s">
        <v>242</v>
      </c>
      <c r="E10" s="6"/>
      <c r="F10" s="300">
        <v>2</v>
      </c>
      <c r="G10" s="6"/>
      <c r="H10" s="33">
        <f t="shared" ref="H10" si="0">F10*G10</f>
        <v>0</v>
      </c>
      <c r="I10" s="6"/>
      <c r="J10" s="33">
        <f t="shared" ref="J10" si="1">F10*I10</f>
        <v>0</v>
      </c>
      <c r="K10" s="6"/>
      <c r="L10" s="26">
        <f t="shared" ref="L10" si="2">F10*K10</f>
        <v>0</v>
      </c>
      <c r="M10" s="26">
        <f t="shared" ref="M10" si="3">H10+J10+L10</f>
        <v>0</v>
      </c>
    </row>
    <row r="11" spans="1:13" s="5" customFormat="1" ht="16.5" x14ac:dyDescent="0.25">
      <c r="A11" s="301"/>
      <c r="B11" s="302"/>
      <c r="C11" s="303"/>
      <c r="D11" s="302"/>
      <c r="E11" s="304"/>
      <c r="F11" s="47"/>
      <c r="G11" s="47"/>
      <c r="H11" s="33"/>
      <c r="I11" s="6"/>
      <c r="J11" s="33"/>
      <c r="K11" s="6"/>
      <c r="L11" s="33"/>
      <c r="M11" s="26"/>
    </row>
    <row r="12" spans="1:13" s="5" customFormat="1" ht="16.5" x14ac:dyDescent="0.25">
      <c r="A12" s="164"/>
      <c r="B12" s="163"/>
      <c r="C12" s="305" t="s">
        <v>243</v>
      </c>
      <c r="D12" s="163"/>
      <c r="E12" s="164"/>
      <c r="F12" s="164"/>
      <c r="G12" s="164"/>
      <c r="H12" s="165">
        <f>SUM(H10:H11)</f>
        <v>0</v>
      </c>
      <c r="I12" s="165"/>
      <c r="J12" s="165">
        <f>SUM(J10:J11)</f>
        <v>0</v>
      </c>
      <c r="K12" s="165"/>
      <c r="L12" s="165">
        <f>SUM(L10:L11)</f>
        <v>0</v>
      </c>
      <c r="M12" s="165">
        <f>H12+J12+L12</f>
        <v>0</v>
      </c>
    </row>
    <row r="13" spans="1:13" s="5" customFormat="1" ht="40.5" x14ac:dyDescent="0.25">
      <c r="A13" s="166"/>
      <c r="B13" s="166"/>
      <c r="C13" s="281" t="s">
        <v>163</v>
      </c>
      <c r="D13" s="166"/>
      <c r="E13" s="168"/>
      <c r="F13" s="169"/>
      <c r="G13" s="170"/>
      <c r="H13" s="170"/>
      <c r="I13" s="170"/>
      <c r="J13" s="170"/>
      <c r="K13" s="170"/>
      <c r="L13" s="170"/>
      <c r="M13" s="170">
        <f>H12*F13</f>
        <v>0</v>
      </c>
    </row>
    <row r="14" spans="1:13" s="5" customFormat="1" ht="16.5" x14ac:dyDescent="0.25">
      <c r="A14" s="87"/>
      <c r="B14" s="838"/>
      <c r="C14" s="839"/>
      <c r="D14" s="838"/>
      <c r="E14" s="87"/>
      <c r="F14" s="87"/>
      <c r="G14" s="87"/>
      <c r="H14" s="840"/>
      <c r="I14" s="840"/>
      <c r="J14" s="840"/>
      <c r="K14" s="840"/>
      <c r="L14" s="840"/>
      <c r="M14" s="840"/>
    </row>
    <row r="15" spans="1:13" s="5" customFormat="1" ht="49.5" x14ac:dyDescent="0.25">
      <c r="A15" s="19"/>
      <c r="B15" s="3"/>
      <c r="C15" s="306" t="s">
        <v>234</v>
      </c>
      <c r="D15" s="3"/>
      <c r="E15" s="19"/>
      <c r="F15" s="283"/>
      <c r="G15" s="19"/>
      <c r="H15" s="19"/>
      <c r="I15" s="19"/>
      <c r="J15" s="26"/>
      <c r="K15" s="26"/>
      <c r="L15" s="26"/>
      <c r="M15" s="26">
        <f>J12*F15</f>
        <v>0</v>
      </c>
    </row>
    <row r="16" spans="1:13" s="5" customFormat="1" ht="16.5" x14ac:dyDescent="0.25">
      <c r="A16" s="19"/>
      <c r="B16" s="3"/>
      <c r="C16" s="306"/>
      <c r="D16" s="3"/>
      <c r="E16" s="19"/>
      <c r="F16" s="20"/>
      <c r="G16" s="19"/>
      <c r="H16" s="19"/>
      <c r="I16" s="19"/>
      <c r="J16" s="26" t="s">
        <v>41</v>
      </c>
      <c r="K16" s="26"/>
      <c r="L16" s="26"/>
      <c r="M16" s="26">
        <f>M12+M13+M15</f>
        <v>0</v>
      </c>
    </row>
    <row r="17" spans="1:13" s="5" customFormat="1" ht="16.5" x14ac:dyDescent="0.25">
      <c r="A17" s="19"/>
      <c r="B17" s="3"/>
      <c r="C17" s="306" t="s">
        <v>237</v>
      </c>
      <c r="D17" s="3"/>
      <c r="E17" s="19"/>
      <c r="F17" s="283"/>
      <c r="G17" s="19"/>
      <c r="H17" s="19"/>
      <c r="I17" s="19"/>
      <c r="J17" s="26"/>
      <c r="K17" s="26"/>
      <c r="L17" s="26"/>
      <c r="M17" s="26">
        <f>(M16-H12)*F17</f>
        <v>0</v>
      </c>
    </row>
    <row r="18" spans="1:13" s="5" customFormat="1" ht="33" x14ac:dyDescent="0.25">
      <c r="A18" s="285"/>
      <c r="B18" s="307"/>
      <c r="C18" s="305" t="s">
        <v>244</v>
      </c>
      <c r="D18" s="307"/>
      <c r="E18" s="285"/>
      <c r="F18" s="286"/>
      <c r="G18" s="285"/>
      <c r="H18" s="285"/>
      <c r="I18" s="285"/>
      <c r="J18" s="287" t="s">
        <v>41</v>
      </c>
      <c r="K18" s="287"/>
      <c r="L18" s="287"/>
      <c r="M18" s="288">
        <f>M16+M17</f>
        <v>0</v>
      </c>
    </row>
    <row r="19" spans="1:13" s="5" customFormat="1" ht="33" x14ac:dyDescent="0.25">
      <c r="A19" s="19"/>
      <c r="B19" s="3"/>
      <c r="C19" s="203" t="s">
        <v>4</v>
      </c>
      <c r="D19" s="3"/>
      <c r="E19" s="19"/>
      <c r="F19" s="289">
        <v>0.03</v>
      </c>
      <c r="G19" s="19"/>
      <c r="H19" s="19"/>
      <c r="I19" s="19"/>
      <c r="J19" s="26"/>
      <c r="K19" s="26"/>
      <c r="L19" s="26"/>
      <c r="M19" s="26">
        <f>M18*F19</f>
        <v>0</v>
      </c>
    </row>
    <row r="20" spans="1:13" s="5" customFormat="1" ht="16.5" x14ac:dyDescent="0.25">
      <c r="A20" s="19"/>
      <c r="B20" s="3"/>
      <c r="C20" s="203"/>
      <c r="D20" s="3"/>
      <c r="E20" s="19"/>
      <c r="F20" s="20"/>
      <c r="G20" s="19"/>
      <c r="H20" s="19"/>
      <c r="I20" s="19"/>
      <c r="J20" s="26" t="s">
        <v>41</v>
      </c>
      <c r="K20" s="26"/>
      <c r="L20" s="26"/>
      <c r="M20" s="26">
        <f>M18+M19</f>
        <v>0</v>
      </c>
    </row>
    <row r="21" spans="1:13" s="5" customFormat="1" ht="16.5" x14ac:dyDescent="0.25">
      <c r="A21" s="19"/>
      <c r="B21" s="3"/>
      <c r="C21" s="203" t="s">
        <v>168</v>
      </c>
      <c r="D21" s="3"/>
      <c r="E21" s="19"/>
      <c r="F21" s="289">
        <v>0.18</v>
      </c>
      <c r="G21" s="19"/>
      <c r="H21" s="19"/>
      <c r="I21" s="19"/>
      <c r="J21" s="26"/>
      <c r="K21" s="26"/>
      <c r="L21" s="26"/>
      <c r="M21" s="26">
        <f>M20*F21</f>
        <v>0</v>
      </c>
    </row>
    <row r="22" spans="1:13" s="5" customFormat="1" ht="33" x14ac:dyDescent="0.25">
      <c r="A22" s="164"/>
      <c r="B22" s="163"/>
      <c r="C22" s="305" t="s">
        <v>245</v>
      </c>
      <c r="D22" s="163"/>
      <c r="E22" s="164"/>
      <c r="F22" s="164"/>
      <c r="G22" s="164"/>
      <c r="H22" s="165"/>
      <c r="I22" s="165"/>
      <c r="J22" s="165" t="s">
        <v>41</v>
      </c>
      <c r="K22" s="165"/>
      <c r="L22" s="165"/>
      <c r="M22" s="165">
        <f>M20+M21</f>
        <v>0</v>
      </c>
    </row>
    <row r="23" spans="1:13" s="5" customFormat="1" ht="15.75" x14ac:dyDescent="0.25">
      <c r="A23" s="295"/>
      <c r="B23" s="200"/>
      <c r="C23" s="199"/>
      <c r="D23" s="200"/>
      <c r="E23" s="295"/>
      <c r="F23" s="295"/>
      <c r="G23" s="295"/>
      <c r="H23" s="295"/>
      <c r="I23" s="295"/>
      <c r="J23" s="295"/>
      <c r="K23" s="295"/>
      <c r="L23" s="295"/>
      <c r="M23" s="295"/>
    </row>
    <row r="24" spans="1:13" s="5" customFormat="1" ht="15.75" x14ac:dyDescent="0.25">
      <c r="A24" s="295"/>
      <c r="B24" s="200"/>
      <c r="C24" s="199"/>
      <c r="D24" s="200"/>
      <c r="E24" s="295"/>
      <c r="F24" s="295"/>
      <c r="G24" s="295"/>
      <c r="H24" s="295"/>
      <c r="I24" s="295"/>
      <c r="J24" s="295"/>
      <c r="K24" s="295"/>
      <c r="L24" s="295"/>
      <c r="M24" s="295"/>
    </row>
  </sheetData>
  <mergeCells count="14">
    <mergeCell ref="A1:M1"/>
    <mergeCell ref="A2:M2"/>
    <mergeCell ref="A3:M3"/>
    <mergeCell ref="A5:M5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M8"/>
  </mergeCells>
  <pageMargins left="0.70866141732283472" right="0.31" top="0.41" bottom="0.22" header="0.31496062992125984" footer="0.2"/>
  <pageSetup paperSize="9" orientation="landscape" horizontalDpi="1200" verticalDpi="1200" r:id="rId1"/>
  <headerFooter>
    <oddHeader>&amp;R&amp;P--&amp;N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285"/>
  <sheetViews>
    <sheetView topLeftCell="A268" zoomScale="90" zoomScaleNormal="90" workbookViewId="0">
      <selection activeCell="H277" sqref="H277"/>
    </sheetView>
  </sheetViews>
  <sheetFormatPr defaultRowHeight="15" x14ac:dyDescent="0.25"/>
  <cols>
    <col min="1" max="1" width="5.7109375" customWidth="1"/>
    <col min="3" max="3" width="31.5703125" customWidth="1"/>
    <col min="4" max="4" width="6.140625" customWidth="1"/>
    <col min="8" max="8" width="11.5703125" customWidth="1"/>
    <col min="9" max="9" width="7.28515625" customWidth="1"/>
    <col min="11" max="11" width="7.28515625" customWidth="1"/>
    <col min="13" max="13" width="12.7109375" customWidth="1"/>
    <col min="14" max="14" width="28.85546875" hidden="1" customWidth="1"/>
    <col min="15" max="21" width="8.85546875" hidden="1" customWidth="1"/>
  </cols>
  <sheetData>
    <row r="1" spans="1:21" ht="42.75" customHeight="1" x14ac:dyDescent="0.25">
      <c r="A1" s="882" t="str">
        <f>krebsiti!A3</f>
        <v>dmanisis municipalitetis sofel javaxSi sportuli moednis, sazogadoebrivi daniSnulebis reteratisa da skveris mowyobis samuSaoebi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309"/>
      <c r="O1" s="308"/>
      <c r="P1" s="308"/>
      <c r="Q1" s="308"/>
      <c r="R1" s="308"/>
      <c r="S1" s="308"/>
      <c r="T1" s="308"/>
      <c r="U1" s="308"/>
    </row>
    <row r="2" spans="1:21" ht="16.5" x14ac:dyDescent="0.25">
      <c r="A2" s="935" t="s">
        <v>246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309"/>
      <c r="O2" s="308"/>
      <c r="P2" s="308"/>
      <c r="Q2" s="308"/>
      <c r="R2" s="308"/>
      <c r="S2" s="308"/>
      <c r="T2" s="308"/>
      <c r="U2" s="308"/>
    </row>
    <row r="3" spans="1:21" ht="16.5" x14ac:dyDescent="0.25">
      <c r="A3" s="882" t="s">
        <v>247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309"/>
      <c r="O3" s="308"/>
      <c r="P3" s="308"/>
      <c r="Q3" s="308"/>
      <c r="R3" s="308"/>
      <c r="S3" s="308"/>
      <c r="T3" s="308"/>
      <c r="U3" s="308"/>
    </row>
    <row r="4" spans="1:21" ht="16.5" x14ac:dyDescent="0.25">
      <c r="A4" s="310"/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09"/>
      <c r="O4" s="308"/>
      <c r="P4" s="308"/>
      <c r="Q4" s="308"/>
      <c r="R4" s="308"/>
      <c r="S4" s="308"/>
      <c r="T4" s="308"/>
      <c r="U4" s="308"/>
    </row>
    <row r="5" spans="1:21" ht="16.5" x14ac:dyDescent="0.25">
      <c r="A5" s="882" t="s">
        <v>33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309"/>
      <c r="O5" s="308"/>
      <c r="P5" s="308"/>
      <c r="Q5" s="308"/>
      <c r="R5" s="308"/>
      <c r="S5" s="308"/>
      <c r="T5" s="308"/>
      <c r="U5" s="308"/>
    </row>
    <row r="6" spans="1:21" ht="16.5" x14ac:dyDescent="0.25">
      <c r="A6" s="311"/>
      <c r="B6" s="311"/>
      <c r="C6" s="312"/>
      <c r="D6" s="313"/>
      <c r="E6" s="312"/>
      <c r="F6" s="312"/>
      <c r="G6" s="314"/>
      <c r="H6" s="314"/>
      <c r="I6" s="314"/>
      <c r="J6" s="314"/>
      <c r="K6" s="314"/>
      <c r="L6" s="314"/>
      <c r="M6" s="314"/>
      <c r="N6" s="309"/>
      <c r="O6" s="308"/>
      <c r="P6" s="308"/>
      <c r="Q6" s="308"/>
      <c r="R6" s="308"/>
      <c r="S6" s="308"/>
      <c r="T6" s="308"/>
      <c r="U6" s="308"/>
    </row>
    <row r="7" spans="1:21" ht="33" customHeight="1" x14ac:dyDescent="0.25">
      <c r="A7" s="936" t="s">
        <v>0</v>
      </c>
      <c r="B7" s="936" t="s">
        <v>34</v>
      </c>
      <c r="C7" s="937" t="s">
        <v>1</v>
      </c>
      <c r="D7" s="937" t="s">
        <v>2</v>
      </c>
      <c r="E7" s="937" t="s">
        <v>35</v>
      </c>
      <c r="F7" s="937"/>
      <c r="G7" s="928" t="s">
        <v>36</v>
      </c>
      <c r="H7" s="928"/>
      <c r="I7" s="928" t="s">
        <v>37</v>
      </c>
      <c r="J7" s="928"/>
      <c r="K7" s="929" t="s">
        <v>38</v>
      </c>
      <c r="L7" s="930"/>
      <c r="M7" s="928" t="s">
        <v>39</v>
      </c>
      <c r="N7" s="309"/>
      <c r="O7" s="308"/>
      <c r="P7" s="308"/>
      <c r="Q7" s="308"/>
      <c r="R7" s="308"/>
      <c r="S7" s="308"/>
      <c r="T7" s="308"/>
      <c r="U7" s="308"/>
    </row>
    <row r="8" spans="1:21" ht="31.5" x14ac:dyDescent="0.25">
      <c r="A8" s="936"/>
      <c r="B8" s="936"/>
      <c r="C8" s="937"/>
      <c r="D8" s="937"/>
      <c r="E8" s="47" t="s">
        <v>16</v>
      </c>
      <c r="F8" s="47" t="s">
        <v>6</v>
      </c>
      <c r="G8" s="48" t="s">
        <v>40</v>
      </c>
      <c r="H8" s="48" t="s">
        <v>41</v>
      </c>
      <c r="I8" s="48" t="s">
        <v>40</v>
      </c>
      <c r="J8" s="48" t="s">
        <v>41</v>
      </c>
      <c r="K8" s="48" t="s">
        <v>40</v>
      </c>
      <c r="L8" s="48" t="s">
        <v>41</v>
      </c>
      <c r="M8" s="928"/>
      <c r="N8" s="309"/>
      <c r="O8" s="308"/>
      <c r="P8" s="308"/>
      <c r="Q8" s="308"/>
      <c r="R8" s="308"/>
      <c r="S8" s="308"/>
      <c r="T8" s="308"/>
      <c r="U8" s="308"/>
    </row>
    <row r="9" spans="1:21" ht="16.5" x14ac:dyDescent="0.25">
      <c r="A9" s="257">
        <v>1</v>
      </c>
      <c r="B9" s="257">
        <v>2</v>
      </c>
      <c r="C9" s="88">
        <v>3</v>
      </c>
      <c r="D9" s="88">
        <v>4</v>
      </c>
      <c r="E9" s="88">
        <v>5</v>
      </c>
      <c r="F9" s="88">
        <v>6</v>
      </c>
      <c r="G9" s="315">
        <v>7</v>
      </c>
      <c r="H9" s="315">
        <v>8</v>
      </c>
      <c r="I9" s="315">
        <v>9</v>
      </c>
      <c r="J9" s="315">
        <v>10</v>
      </c>
      <c r="K9" s="315">
        <v>11</v>
      </c>
      <c r="L9" s="315">
        <v>12</v>
      </c>
      <c r="M9" s="315">
        <v>13</v>
      </c>
      <c r="N9" s="309"/>
      <c r="O9" s="308"/>
      <c r="P9" s="308"/>
      <c r="Q9" s="308"/>
      <c r="R9" s="308"/>
      <c r="S9" s="308"/>
      <c r="T9" s="308"/>
      <c r="U9" s="308"/>
    </row>
    <row r="10" spans="1:21" ht="31.5" x14ac:dyDescent="0.25">
      <c r="A10" s="316"/>
      <c r="B10" s="316"/>
      <c r="C10" s="284" t="s">
        <v>33</v>
      </c>
      <c r="D10" s="317"/>
      <c r="E10" s="284"/>
      <c r="F10" s="284"/>
      <c r="G10" s="48"/>
      <c r="H10" s="48"/>
      <c r="I10" s="48"/>
      <c r="J10" s="48"/>
      <c r="K10" s="48"/>
      <c r="L10" s="48"/>
      <c r="M10" s="48"/>
      <c r="N10" s="309"/>
      <c r="O10" s="318"/>
      <c r="P10" s="318"/>
      <c r="Q10" s="318"/>
      <c r="R10" s="318"/>
      <c r="S10" s="318"/>
      <c r="T10" s="318"/>
      <c r="U10" s="318"/>
    </row>
    <row r="11" spans="1:21" ht="31.5" x14ac:dyDescent="0.25">
      <c r="A11" s="319" t="s">
        <v>248</v>
      </c>
      <c r="B11" s="320"/>
      <c r="C11" s="321" t="s">
        <v>249</v>
      </c>
      <c r="D11" s="322"/>
      <c r="E11" s="321"/>
      <c r="F11" s="321"/>
      <c r="G11" s="48"/>
      <c r="H11" s="48"/>
      <c r="I11" s="48"/>
      <c r="J11" s="48"/>
      <c r="K11" s="48"/>
      <c r="L11" s="48"/>
      <c r="M11" s="48"/>
      <c r="N11" s="309"/>
      <c r="O11" s="323"/>
      <c r="P11" s="323"/>
      <c r="Q11" s="323"/>
      <c r="R11" s="323"/>
      <c r="S11" s="323"/>
      <c r="T11" s="323"/>
      <c r="U11" s="323"/>
    </row>
    <row r="12" spans="1:21" ht="78.75" x14ac:dyDescent="0.25">
      <c r="A12" s="931">
        <v>1</v>
      </c>
      <c r="B12" s="38" t="s">
        <v>64</v>
      </c>
      <c r="C12" s="324" t="s">
        <v>250</v>
      </c>
      <c r="D12" s="40" t="s">
        <v>66</v>
      </c>
      <c r="E12" s="88"/>
      <c r="F12" s="88">
        <v>10</v>
      </c>
      <c r="G12" s="42"/>
      <c r="H12" s="48"/>
      <c r="I12" s="42"/>
      <c r="J12" s="48"/>
      <c r="K12" s="42"/>
      <c r="L12" s="48"/>
      <c r="M12" s="48"/>
      <c r="N12" s="932" t="s">
        <v>251</v>
      </c>
      <c r="O12" s="932"/>
      <c r="P12" s="932"/>
      <c r="Q12" s="932"/>
      <c r="R12" s="932"/>
      <c r="S12" s="932"/>
      <c r="T12" s="932"/>
      <c r="U12" s="932"/>
    </row>
    <row r="13" spans="1:21" ht="63.75" x14ac:dyDescent="0.25">
      <c r="A13" s="931"/>
      <c r="B13" s="38"/>
      <c r="C13" s="326" t="s">
        <v>17</v>
      </c>
      <c r="D13" s="46" t="s">
        <v>18</v>
      </c>
      <c r="E13" s="47">
        <v>3.88</v>
      </c>
      <c r="F13" s="47">
        <f>E13*F12</f>
        <v>38.799999999999997</v>
      </c>
      <c r="G13" s="48"/>
      <c r="H13" s="48"/>
      <c r="I13" s="48"/>
      <c r="J13" s="48">
        <f t="shared" ref="J13:J76" si="0">F13*I13</f>
        <v>0</v>
      </c>
      <c r="K13" s="48"/>
      <c r="L13" s="48"/>
      <c r="M13" s="48">
        <f t="shared" ref="M13:M82" si="1">H13+J13+L13</f>
        <v>0</v>
      </c>
      <c r="N13" s="325"/>
      <c r="O13" s="327" t="s">
        <v>252</v>
      </c>
      <c r="P13" s="328" t="s">
        <v>253</v>
      </c>
      <c r="Q13" s="328" t="s">
        <v>254</v>
      </c>
      <c r="R13" s="327" t="s">
        <v>255</v>
      </c>
      <c r="S13" s="329"/>
      <c r="T13" s="330" t="s">
        <v>256</v>
      </c>
      <c r="U13" s="330" t="s">
        <v>257</v>
      </c>
    </row>
    <row r="14" spans="1:21" ht="63" x14ac:dyDescent="0.25">
      <c r="A14" s="925">
        <v>2</v>
      </c>
      <c r="B14" s="38" t="s">
        <v>71</v>
      </c>
      <c r="C14" s="324" t="s">
        <v>258</v>
      </c>
      <c r="D14" s="40" t="s">
        <v>66</v>
      </c>
      <c r="E14" s="88"/>
      <c r="F14" s="88">
        <f>P23*0.1</f>
        <v>0.97400000000000009</v>
      </c>
      <c r="G14" s="42"/>
      <c r="H14" s="48"/>
      <c r="I14" s="42"/>
      <c r="J14" s="48"/>
      <c r="K14" s="42"/>
      <c r="L14" s="48"/>
      <c r="M14" s="48"/>
      <c r="N14" s="331" t="s">
        <v>259</v>
      </c>
      <c r="O14" s="332">
        <v>4</v>
      </c>
      <c r="P14" s="333">
        <f>0.9*0.9*O14</f>
        <v>3.24</v>
      </c>
      <c r="Q14" s="333">
        <f>( (0.9+0.9)*2*0.1+(0.8+0.8)*2*0.45+(0.3+0.3)*2*0.3)*O14</f>
        <v>8.64</v>
      </c>
      <c r="R14" s="333">
        <f>0.9*0.9*(0.85-0.15)*O14</f>
        <v>2.2679999999999998</v>
      </c>
      <c r="S14" s="12"/>
      <c r="T14" s="12"/>
      <c r="U14" s="12"/>
    </row>
    <row r="15" spans="1:21" ht="16.5" x14ac:dyDescent="0.25">
      <c r="A15" s="926"/>
      <c r="B15" s="38"/>
      <c r="C15" s="326" t="s">
        <v>77</v>
      </c>
      <c r="D15" s="46" t="s">
        <v>18</v>
      </c>
      <c r="E15" s="47">
        <v>3.52</v>
      </c>
      <c r="F15" s="47">
        <f>E15*F14</f>
        <v>3.4284800000000004</v>
      </c>
      <c r="G15" s="48"/>
      <c r="H15" s="48"/>
      <c r="I15" s="48"/>
      <c r="J15" s="48">
        <f t="shared" si="0"/>
        <v>0</v>
      </c>
      <c r="K15" s="48"/>
      <c r="L15" s="48"/>
      <c r="M15" s="48">
        <f t="shared" si="1"/>
        <v>0</v>
      </c>
      <c r="N15" s="331"/>
      <c r="O15" s="332"/>
      <c r="P15" s="333"/>
      <c r="Q15" s="333"/>
      <c r="R15" s="333"/>
      <c r="S15" s="12"/>
      <c r="T15" s="12"/>
      <c r="U15" s="12"/>
    </row>
    <row r="16" spans="1:21" ht="16.5" x14ac:dyDescent="0.25">
      <c r="A16" s="926"/>
      <c r="B16" s="38"/>
      <c r="C16" s="326" t="s">
        <v>8</v>
      </c>
      <c r="D16" s="334" t="s">
        <v>7</v>
      </c>
      <c r="E16" s="47">
        <v>1.06</v>
      </c>
      <c r="F16" s="47">
        <f>E16*F14</f>
        <v>1.0324400000000002</v>
      </c>
      <c r="G16" s="48"/>
      <c r="H16" s="48"/>
      <c r="I16" s="48"/>
      <c r="J16" s="48"/>
      <c r="K16" s="48"/>
      <c r="L16" s="48">
        <f t="shared" ref="L16:L77" si="2">F16*K16</f>
        <v>0</v>
      </c>
      <c r="M16" s="48">
        <f t="shared" si="1"/>
        <v>0</v>
      </c>
      <c r="N16" s="331"/>
      <c r="O16" s="332"/>
      <c r="P16" s="333"/>
      <c r="Q16" s="333"/>
      <c r="R16" s="333"/>
      <c r="S16" s="12"/>
      <c r="T16" s="12"/>
      <c r="U16" s="12"/>
    </row>
    <row r="17" spans="1:21" ht="16.5" x14ac:dyDescent="0.25">
      <c r="A17" s="926"/>
      <c r="B17" s="45"/>
      <c r="C17" s="326" t="s">
        <v>63</v>
      </c>
      <c r="D17" s="46" t="s">
        <v>59</v>
      </c>
      <c r="E17" s="47">
        <f>0.18+0.09+0.97</f>
        <v>1.24</v>
      </c>
      <c r="F17" s="47">
        <f>E17*F14</f>
        <v>1.2077600000000002</v>
      </c>
      <c r="G17" s="48"/>
      <c r="H17" s="48">
        <f t="shared" ref="H17:H81" si="3">F17*G17</f>
        <v>0</v>
      </c>
      <c r="I17" s="48"/>
      <c r="J17" s="48"/>
      <c r="K17" s="48"/>
      <c r="L17" s="48"/>
      <c r="M17" s="48">
        <f t="shared" si="1"/>
        <v>0</v>
      </c>
      <c r="N17" s="331"/>
      <c r="O17" s="332"/>
      <c r="P17" s="333"/>
      <c r="Q17" s="333"/>
      <c r="R17" s="333"/>
      <c r="S17" s="12"/>
      <c r="T17" s="12"/>
      <c r="U17" s="12"/>
    </row>
    <row r="18" spans="1:21" ht="16.5" x14ac:dyDescent="0.25">
      <c r="A18" s="927"/>
      <c r="B18" s="38"/>
      <c r="C18" s="326" t="s">
        <v>10</v>
      </c>
      <c r="D18" s="335" t="s">
        <v>7</v>
      </c>
      <c r="E18" s="47">
        <v>0.02</v>
      </c>
      <c r="F18" s="47">
        <f>E18*F14</f>
        <v>1.9480000000000001E-2</v>
      </c>
      <c r="G18" s="48"/>
      <c r="H18" s="48">
        <f t="shared" si="3"/>
        <v>0</v>
      </c>
      <c r="I18" s="48"/>
      <c r="J18" s="48"/>
      <c r="K18" s="48"/>
      <c r="L18" s="48"/>
      <c r="M18" s="48">
        <f t="shared" si="1"/>
        <v>0</v>
      </c>
      <c r="N18" s="933" t="s">
        <v>260</v>
      </c>
      <c r="O18" s="332">
        <f>(3.4+3.1)*2</f>
        <v>13</v>
      </c>
      <c r="P18" s="333">
        <f>0.5*O18</f>
        <v>6.5</v>
      </c>
      <c r="Q18" s="333">
        <f>0.85*2*O18</f>
        <v>22.099999999999998</v>
      </c>
      <c r="R18" s="333">
        <f>0.5*(0.85-0.15)*O18</f>
        <v>4.55</v>
      </c>
      <c r="S18" s="12"/>
      <c r="T18" s="12"/>
      <c r="U18" s="12"/>
    </row>
    <row r="19" spans="1:21" ht="78.75" x14ac:dyDescent="0.25">
      <c r="A19" s="925">
        <v>3</v>
      </c>
      <c r="B19" s="38" t="s">
        <v>261</v>
      </c>
      <c r="C19" s="324" t="s">
        <v>262</v>
      </c>
      <c r="D19" s="40" t="s">
        <v>66</v>
      </c>
      <c r="E19" s="88"/>
      <c r="F19" s="88">
        <f>P23*0.1</f>
        <v>0.97400000000000009</v>
      </c>
      <c r="G19" s="42"/>
      <c r="H19" s="48">
        <f t="shared" si="3"/>
        <v>0</v>
      </c>
      <c r="I19" s="42"/>
      <c r="J19" s="48">
        <f t="shared" si="0"/>
        <v>0</v>
      </c>
      <c r="K19" s="42"/>
      <c r="L19" s="48"/>
      <c r="M19" s="48">
        <f t="shared" si="1"/>
        <v>0</v>
      </c>
      <c r="N19" s="934"/>
      <c r="O19" s="332" t="s">
        <v>94</v>
      </c>
      <c r="P19" s="333" t="s">
        <v>111</v>
      </c>
      <c r="Q19" s="333" t="s">
        <v>111</v>
      </c>
      <c r="R19" s="333" t="s">
        <v>74</v>
      </c>
      <c r="S19" s="12"/>
      <c r="T19" s="12"/>
      <c r="U19" s="12"/>
    </row>
    <row r="20" spans="1:21" ht="16.5" x14ac:dyDescent="0.25">
      <c r="A20" s="926"/>
      <c r="B20" s="38"/>
      <c r="C20" s="326" t="s">
        <v>77</v>
      </c>
      <c r="D20" s="46" t="s">
        <v>18</v>
      </c>
      <c r="E20" s="47">
        <v>1.37</v>
      </c>
      <c r="F20" s="47">
        <f>E20*F19</f>
        <v>1.3343800000000001</v>
      </c>
      <c r="G20" s="48"/>
      <c r="H20" s="48">
        <f t="shared" si="3"/>
        <v>0</v>
      </c>
      <c r="I20" s="48"/>
      <c r="J20" s="48">
        <f t="shared" si="0"/>
        <v>0</v>
      </c>
      <c r="K20" s="48"/>
      <c r="L20" s="48"/>
      <c r="M20" s="48">
        <f t="shared" si="1"/>
        <v>0</v>
      </c>
      <c r="N20" s="336"/>
      <c r="O20" s="10"/>
      <c r="P20" s="12"/>
      <c r="Q20" s="12"/>
      <c r="R20" s="12"/>
      <c r="S20" s="12"/>
      <c r="T20" s="12"/>
      <c r="U20" s="12"/>
    </row>
    <row r="21" spans="1:21" ht="16.5" x14ac:dyDescent="0.25">
      <c r="A21" s="926"/>
      <c r="B21" s="38"/>
      <c r="C21" s="326" t="s">
        <v>8</v>
      </c>
      <c r="D21" s="334" t="s">
        <v>7</v>
      </c>
      <c r="E21" s="47">
        <v>0.28299999999999997</v>
      </c>
      <c r="F21" s="47">
        <f>E21*F19</f>
        <v>0.275642</v>
      </c>
      <c r="G21" s="48"/>
      <c r="H21" s="48">
        <f t="shared" si="3"/>
        <v>0</v>
      </c>
      <c r="I21" s="48"/>
      <c r="J21" s="48">
        <f t="shared" si="0"/>
        <v>0</v>
      </c>
      <c r="K21" s="48"/>
      <c r="L21" s="48"/>
      <c r="M21" s="48">
        <f t="shared" si="1"/>
        <v>0</v>
      </c>
      <c r="N21" s="336"/>
      <c r="O21" s="10"/>
      <c r="P21" s="12"/>
      <c r="Q21" s="12"/>
      <c r="R21" s="12"/>
      <c r="S21" s="12"/>
      <c r="T21" s="12"/>
      <c r="U21" s="12"/>
    </row>
    <row r="22" spans="1:21" ht="16.5" x14ac:dyDescent="0.25">
      <c r="A22" s="926"/>
      <c r="B22" s="45"/>
      <c r="C22" s="326" t="s">
        <v>263</v>
      </c>
      <c r="D22" s="46" t="s">
        <v>59</v>
      </c>
      <c r="E22" s="47">
        <v>1.02</v>
      </c>
      <c r="F22" s="47">
        <f>E22*F19</f>
        <v>0.99348000000000014</v>
      </c>
      <c r="G22" s="48"/>
      <c r="H22" s="48">
        <f t="shared" si="3"/>
        <v>0</v>
      </c>
      <c r="I22" s="48"/>
      <c r="J22" s="48">
        <f t="shared" si="0"/>
        <v>0</v>
      </c>
      <c r="K22" s="48"/>
      <c r="L22" s="48"/>
      <c r="M22" s="48">
        <f t="shared" si="1"/>
        <v>0</v>
      </c>
      <c r="N22" s="336"/>
      <c r="O22" s="10"/>
      <c r="P22" s="12"/>
      <c r="Q22" s="12"/>
      <c r="R22" s="12"/>
      <c r="S22" s="12"/>
      <c r="T22" s="12"/>
      <c r="U22" s="12"/>
    </row>
    <row r="23" spans="1:21" ht="16.5" x14ac:dyDescent="0.25">
      <c r="A23" s="927"/>
      <c r="B23" s="38"/>
      <c r="C23" s="326" t="s">
        <v>10</v>
      </c>
      <c r="D23" s="335" t="s">
        <v>7</v>
      </c>
      <c r="E23" s="47">
        <v>0.62</v>
      </c>
      <c r="F23" s="47">
        <f>E23*F19</f>
        <v>0.60388000000000008</v>
      </c>
      <c r="G23" s="48"/>
      <c r="H23" s="48">
        <f t="shared" si="3"/>
        <v>0</v>
      </c>
      <c r="I23" s="48"/>
      <c r="J23" s="48">
        <f t="shared" si="0"/>
        <v>0</v>
      </c>
      <c r="K23" s="48"/>
      <c r="L23" s="48"/>
      <c r="M23" s="48">
        <f t="shared" si="1"/>
        <v>0</v>
      </c>
      <c r="N23" s="337"/>
      <c r="O23" s="338"/>
      <c r="P23" s="339">
        <f>SUM(P14:P22)</f>
        <v>9.74</v>
      </c>
      <c r="Q23" s="339">
        <f>SUM(Q14:Q22)</f>
        <v>30.74</v>
      </c>
      <c r="R23" s="339">
        <f>SUM(R14:R22)</f>
        <v>6.8179999999999996</v>
      </c>
      <c r="S23" s="339"/>
      <c r="T23" s="339">
        <f>SUM(T14:T22)</f>
        <v>0</v>
      </c>
      <c r="U23" s="339">
        <f>SUM(U14:U22)</f>
        <v>0</v>
      </c>
    </row>
    <row r="24" spans="1:21" ht="78.75" x14ac:dyDescent="0.25">
      <c r="A24" s="925">
        <v>4</v>
      </c>
      <c r="B24" s="66" t="s">
        <v>75</v>
      </c>
      <c r="C24" s="340" t="s">
        <v>264</v>
      </c>
      <c r="D24" s="68" t="s">
        <v>66</v>
      </c>
      <c r="E24" s="341"/>
      <c r="F24" s="341">
        <v>1.21</v>
      </c>
      <c r="G24" s="42"/>
      <c r="H24" s="48"/>
      <c r="I24" s="42"/>
      <c r="J24" s="48"/>
      <c r="K24" s="42"/>
      <c r="L24" s="48"/>
      <c r="M24" s="48"/>
      <c r="N24" s="309"/>
      <c r="O24" s="323"/>
      <c r="P24" s="323"/>
      <c r="Q24" s="323"/>
      <c r="R24" s="323"/>
      <c r="S24" s="323"/>
      <c r="T24" s="323"/>
      <c r="U24" s="323"/>
    </row>
    <row r="25" spans="1:21" ht="16.5" x14ac:dyDescent="0.25">
      <c r="A25" s="926"/>
      <c r="B25" s="66"/>
      <c r="C25" s="342" t="s">
        <v>77</v>
      </c>
      <c r="D25" s="72" t="s">
        <v>18</v>
      </c>
      <c r="E25" s="73">
        <f>666*0.01</f>
        <v>6.66</v>
      </c>
      <c r="F25" s="73">
        <f>E25*F24</f>
        <v>8.0586000000000002</v>
      </c>
      <c r="G25" s="74"/>
      <c r="H25" s="48"/>
      <c r="I25" s="74"/>
      <c r="J25" s="48">
        <f t="shared" si="0"/>
        <v>0</v>
      </c>
      <c r="K25" s="74"/>
      <c r="L25" s="48"/>
      <c r="M25" s="48">
        <f t="shared" si="1"/>
        <v>0</v>
      </c>
      <c r="N25" s="309"/>
      <c r="O25" s="323"/>
      <c r="P25" s="323"/>
      <c r="Q25" s="323"/>
      <c r="R25" s="323"/>
      <c r="S25" s="323"/>
      <c r="T25" s="323"/>
      <c r="U25" s="323"/>
    </row>
    <row r="26" spans="1:21" ht="16.5" x14ac:dyDescent="0.25">
      <c r="A26" s="926"/>
      <c r="B26" s="66"/>
      <c r="C26" s="326" t="s">
        <v>8</v>
      </c>
      <c r="D26" s="334" t="s">
        <v>7</v>
      </c>
      <c r="E26" s="73">
        <f>59*0.01</f>
        <v>0.59</v>
      </c>
      <c r="F26" s="73">
        <f>E26*F24</f>
        <v>0.71389999999999998</v>
      </c>
      <c r="G26" s="74"/>
      <c r="H26" s="48"/>
      <c r="I26" s="74"/>
      <c r="J26" s="48"/>
      <c r="K26" s="74"/>
      <c r="L26" s="48">
        <f t="shared" si="2"/>
        <v>0</v>
      </c>
      <c r="M26" s="48">
        <f t="shared" si="1"/>
        <v>0</v>
      </c>
      <c r="N26" s="309"/>
      <c r="O26" s="323"/>
      <c r="P26" s="323"/>
      <c r="Q26" s="323"/>
      <c r="R26" s="323"/>
      <c r="S26" s="323"/>
      <c r="T26" s="323"/>
      <c r="U26" s="323"/>
    </row>
    <row r="27" spans="1:21" ht="16.5" x14ac:dyDescent="0.25">
      <c r="A27" s="926"/>
      <c r="B27" s="71"/>
      <c r="C27" s="342" t="s">
        <v>78</v>
      </c>
      <c r="D27" s="72" t="s">
        <v>59</v>
      </c>
      <c r="E27" s="73">
        <f>101.5*0.01</f>
        <v>1.0150000000000001</v>
      </c>
      <c r="F27" s="73">
        <f>E27*F24</f>
        <v>1.2281500000000001</v>
      </c>
      <c r="G27" s="74"/>
      <c r="H27" s="48">
        <f t="shared" si="3"/>
        <v>0</v>
      </c>
      <c r="I27" s="74"/>
      <c r="J27" s="48"/>
      <c r="K27" s="74"/>
      <c r="L27" s="48"/>
      <c r="M27" s="48">
        <f t="shared" si="1"/>
        <v>0</v>
      </c>
      <c r="N27" s="309"/>
      <c r="O27" s="323"/>
      <c r="P27" s="323"/>
      <c r="Q27" s="323"/>
      <c r="R27" s="323"/>
      <c r="S27" s="323"/>
      <c r="T27" s="323"/>
      <c r="U27" s="323"/>
    </row>
    <row r="28" spans="1:21" ht="16.5" x14ac:dyDescent="0.25">
      <c r="A28" s="926"/>
      <c r="B28" s="71"/>
      <c r="C28" s="342" t="s">
        <v>79</v>
      </c>
      <c r="D28" s="72" t="s">
        <v>80</v>
      </c>
      <c r="E28" s="73">
        <f>160*0.01</f>
        <v>1.6</v>
      </c>
      <c r="F28" s="73">
        <f>E28*F24</f>
        <v>1.9359999999999999</v>
      </c>
      <c r="G28" s="74"/>
      <c r="H28" s="48">
        <f t="shared" si="3"/>
        <v>0</v>
      </c>
      <c r="I28" s="74"/>
      <c r="J28" s="48"/>
      <c r="K28" s="74"/>
      <c r="L28" s="48"/>
      <c r="M28" s="48">
        <f t="shared" si="1"/>
        <v>0</v>
      </c>
      <c r="N28" s="309"/>
      <c r="O28" s="323"/>
      <c r="P28" s="323"/>
      <c r="Q28" s="323"/>
      <c r="R28" s="323"/>
      <c r="S28" s="323"/>
      <c r="T28" s="323"/>
      <c r="U28" s="323"/>
    </row>
    <row r="29" spans="1:21" ht="16.5" x14ac:dyDescent="0.25">
      <c r="A29" s="926"/>
      <c r="B29" s="71"/>
      <c r="C29" s="342" t="s">
        <v>81</v>
      </c>
      <c r="D29" s="72" t="s">
        <v>59</v>
      </c>
      <c r="E29" s="73">
        <f>1.83*0.01</f>
        <v>1.83E-2</v>
      </c>
      <c r="F29" s="73">
        <f>E29*F24</f>
        <v>2.2142999999999999E-2</v>
      </c>
      <c r="G29" s="74"/>
      <c r="H29" s="48">
        <f t="shared" si="3"/>
        <v>0</v>
      </c>
      <c r="I29" s="74"/>
      <c r="J29" s="48"/>
      <c r="K29" s="74"/>
      <c r="L29" s="48"/>
      <c r="M29" s="48">
        <f t="shared" si="1"/>
        <v>0</v>
      </c>
      <c r="N29" s="309"/>
      <c r="O29" s="323"/>
      <c r="P29" s="323"/>
      <c r="Q29" s="323"/>
      <c r="R29" s="323"/>
      <c r="S29" s="323"/>
      <c r="T29" s="323"/>
      <c r="U29" s="323"/>
    </row>
    <row r="30" spans="1:21" ht="16.5" x14ac:dyDescent="0.25">
      <c r="A30" s="926"/>
      <c r="B30" s="71"/>
      <c r="C30" s="326" t="s">
        <v>10</v>
      </c>
      <c r="D30" s="335" t="s">
        <v>7</v>
      </c>
      <c r="E30" s="73">
        <f>40*0.01</f>
        <v>0.4</v>
      </c>
      <c r="F30" s="73">
        <f>E30*F24</f>
        <v>0.48399999999999999</v>
      </c>
      <c r="G30" s="74"/>
      <c r="H30" s="48">
        <f t="shared" si="3"/>
        <v>0</v>
      </c>
      <c r="I30" s="74"/>
      <c r="J30" s="48"/>
      <c r="K30" s="74"/>
      <c r="L30" s="48"/>
      <c r="M30" s="48">
        <f t="shared" si="1"/>
        <v>0</v>
      </c>
      <c r="N30" s="309"/>
      <c r="O30" s="323"/>
      <c r="P30" s="323"/>
      <c r="Q30" s="323"/>
      <c r="R30" s="323"/>
      <c r="S30" s="323"/>
      <c r="T30" s="323"/>
      <c r="U30" s="323"/>
    </row>
    <row r="31" spans="1:21" ht="16.5" x14ac:dyDescent="0.25">
      <c r="A31" s="926"/>
      <c r="B31" s="66"/>
      <c r="C31" s="340" t="s">
        <v>265</v>
      </c>
      <c r="D31" s="68" t="s">
        <v>70</v>
      </c>
      <c r="E31" s="341"/>
      <c r="F31" s="341">
        <v>1.7000000000000001E-2</v>
      </c>
      <c r="G31" s="74"/>
      <c r="H31" s="48">
        <f t="shared" si="3"/>
        <v>0</v>
      </c>
      <c r="I31" s="74"/>
      <c r="J31" s="48"/>
      <c r="K31" s="74"/>
      <c r="L31" s="48"/>
      <c r="M31" s="48">
        <f t="shared" si="1"/>
        <v>0</v>
      </c>
      <c r="N31" s="309"/>
      <c r="O31" s="323"/>
      <c r="P31" s="323"/>
      <c r="Q31" s="323"/>
      <c r="R31" s="323"/>
      <c r="S31" s="323"/>
      <c r="T31" s="323"/>
      <c r="U31" s="323"/>
    </row>
    <row r="32" spans="1:21" ht="78.75" x14ac:dyDescent="0.25">
      <c r="A32" s="925">
        <v>4</v>
      </c>
      <c r="B32" s="66" t="s">
        <v>266</v>
      </c>
      <c r="C32" s="340" t="s">
        <v>267</v>
      </c>
      <c r="D32" s="68" t="s">
        <v>66</v>
      </c>
      <c r="E32" s="341"/>
      <c r="F32" s="341">
        <v>1.8</v>
      </c>
      <c r="G32" s="42"/>
      <c r="H32" s="48"/>
      <c r="I32" s="42"/>
      <c r="J32" s="48"/>
      <c r="K32" s="42"/>
      <c r="L32" s="48"/>
      <c r="M32" s="48"/>
      <c r="N32" s="309"/>
      <c r="O32" s="323"/>
      <c r="P32" s="323"/>
      <c r="Q32" s="323"/>
      <c r="R32" s="323"/>
      <c r="S32" s="323"/>
      <c r="T32" s="323"/>
      <c r="U32" s="323"/>
    </row>
    <row r="33" spans="1:21" ht="16.5" x14ac:dyDescent="0.25">
      <c r="A33" s="926"/>
      <c r="B33" s="66"/>
      <c r="C33" s="342" t="s">
        <v>77</v>
      </c>
      <c r="D33" s="72" t="s">
        <v>18</v>
      </c>
      <c r="E33" s="73">
        <f>378*0.01</f>
        <v>3.7800000000000002</v>
      </c>
      <c r="F33" s="73">
        <f>E33*F32</f>
        <v>6.8040000000000003</v>
      </c>
      <c r="G33" s="74"/>
      <c r="H33" s="48"/>
      <c r="I33" s="74"/>
      <c r="J33" s="48">
        <f t="shared" ref="J33" si="4">F33*I33</f>
        <v>0</v>
      </c>
      <c r="K33" s="74"/>
      <c r="L33" s="48"/>
      <c r="M33" s="48">
        <f t="shared" ref="M33:M39" si="5">H33+J33+L33</f>
        <v>0</v>
      </c>
      <c r="N33" s="309"/>
      <c r="O33" s="323"/>
      <c r="P33" s="323"/>
      <c r="Q33" s="323"/>
      <c r="R33" s="323"/>
      <c r="S33" s="323"/>
      <c r="T33" s="323"/>
      <c r="U33" s="323"/>
    </row>
    <row r="34" spans="1:21" ht="16.5" x14ac:dyDescent="0.25">
      <c r="A34" s="926"/>
      <c r="B34" s="66"/>
      <c r="C34" s="326" t="s">
        <v>8</v>
      </c>
      <c r="D34" s="334" t="s">
        <v>7</v>
      </c>
      <c r="E34" s="73">
        <f>92*0.01</f>
        <v>0.92</v>
      </c>
      <c r="F34" s="73">
        <f>E34*F32</f>
        <v>1.6560000000000001</v>
      </c>
      <c r="G34" s="74"/>
      <c r="H34" s="48"/>
      <c r="I34" s="74"/>
      <c r="J34" s="48"/>
      <c r="K34" s="74"/>
      <c r="L34" s="48">
        <f t="shared" ref="L34" si="6">F34*K34</f>
        <v>0</v>
      </c>
      <c r="M34" s="48">
        <f t="shared" si="5"/>
        <v>0</v>
      </c>
      <c r="N34" s="309"/>
      <c r="O34" s="323"/>
      <c r="P34" s="323"/>
      <c r="Q34" s="323"/>
      <c r="R34" s="323"/>
      <c r="S34" s="323"/>
      <c r="T34" s="323"/>
      <c r="U34" s="323"/>
    </row>
    <row r="35" spans="1:21" ht="16.5" x14ac:dyDescent="0.25">
      <c r="A35" s="926"/>
      <c r="B35" s="71"/>
      <c r="C35" s="342" t="s">
        <v>78</v>
      </c>
      <c r="D35" s="72" t="s">
        <v>59</v>
      </c>
      <c r="E35" s="73">
        <f>101.5*0.01</f>
        <v>1.0150000000000001</v>
      </c>
      <c r="F35" s="73">
        <f>E35*F32</f>
        <v>1.8270000000000002</v>
      </c>
      <c r="G35" s="74"/>
      <c r="H35" s="48">
        <f t="shared" ref="H35:H39" si="7">F35*G35</f>
        <v>0</v>
      </c>
      <c r="I35" s="74"/>
      <c r="J35" s="48"/>
      <c r="K35" s="74"/>
      <c r="L35" s="48"/>
      <c r="M35" s="48">
        <f t="shared" si="5"/>
        <v>0</v>
      </c>
      <c r="N35" s="309"/>
      <c r="O35" s="323"/>
      <c r="P35" s="323"/>
      <c r="Q35" s="323"/>
      <c r="R35" s="323"/>
      <c r="S35" s="323"/>
      <c r="T35" s="323"/>
      <c r="U35" s="323"/>
    </row>
    <row r="36" spans="1:21" ht="16.5" x14ac:dyDescent="0.25">
      <c r="A36" s="926"/>
      <c r="B36" s="71"/>
      <c r="C36" s="342" t="s">
        <v>79</v>
      </c>
      <c r="D36" s="72" t="s">
        <v>80</v>
      </c>
      <c r="E36" s="73">
        <f>70.3*0.01</f>
        <v>0.70299999999999996</v>
      </c>
      <c r="F36" s="73">
        <f>E36*F32</f>
        <v>1.2653999999999999</v>
      </c>
      <c r="G36" s="74"/>
      <c r="H36" s="48">
        <f t="shared" si="7"/>
        <v>0</v>
      </c>
      <c r="I36" s="74"/>
      <c r="J36" s="48"/>
      <c r="K36" s="74"/>
      <c r="L36" s="48"/>
      <c r="M36" s="48">
        <f t="shared" si="5"/>
        <v>0</v>
      </c>
      <c r="N36" s="309"/>
      <c r="O36" s="323"/>
      <c r="P36" s="323"/>
      <c r="Q36" s="323"/>
      <c r="R36" s="323"/>
      <c r="S36" s="323"/>
      <c r="T36" s="323"/>
      <c r="U36" s="323"/>
    </row>
    <row r="37" spans="1:21" ht="16.5" x14ac:dyDescent="0.25">
      <c r="A37" s="926"/>
      <c r="B37" s="71"/>
      <c r="C37" s="342" t="s">
        <v>81</v>
      </c>
      <c r="D37" s="72" t="s">
        <v>59</v>
      </c>
      <c r="E37" s="73">
        <f>1.14*0.01</f>
        <v>1.1399999999999999E-2</v>
      </c>
      <c r="F37" s="73">
        <f>E37*F32</f>
        <v>2.0519999999999997E-2</v>
      </c>
      <c r="G37" s="74"/>
      <c r="H37" s="48">
        <f t="shared" si="7"/>
        <v>0</v>
      </c>
      <c r="I37" s="74"/>
      <c r="J37" s="48"/>
      <c r="K37" s="74"/>
      <c r="L37" s="48"/>
      <c r="M37" s="48">
        <f t="shared" si="5"/>
        <v>0</v>
      </c>
      <c r="N37" s="309"/>
      <c r="O37" s="323"/>
      <c r="P37" s="323"/>
      <c r="Q37" s="323"/>
      <c r="R37" s="323"/>
      <c r="S37" s="323"/>
      <c r="T37" s="323"/>
      <c r="U37" s="323"/>
    </row>
    <row r="38" spans="1:21" ht="16.5" x14ac:dyDescent="0.25">
      <c r="A38" s="926"/>
      <c r="B38" s="71"/>
      <c r="C38" s="326" t="s">
        <v>10</v>
      </c>
      <c r="D38" s="335" t="s">
        <v>7</v>
      </c>
      <c r="E38" s="73">
        <f>60*0.01</f>
        <v>0.6</v>
      </c>
      <c r="F38" s="73">
        <f>E38*F32</f>
        <v>1.08</v>
      </c>
      <c r="G38" s="74"/>
      <c r="H38" s="48">
        <f t="shared" si="7"/>
        <v>0</v>
      </c>
      <c r="I38" s="74"/>
      <c r="J38" s="48"/>
      <c r="K38" s="74"/>
      <c r="L38" s="48"/>
      <c r="M38" s="48">
        <f t="shared" si="5"/>
        <v>0</v>
      </c>
      <c r="N38" s="309"/>
      <c r="O38" s="323"/>
      <c r="P38" s="323"/>
      <c r="Q38" s="323"/>
      <c r="R38" s="323"/>
      <c r="S38" s="323"/>
      <c r="T38" s="323"/>
      <c r="U38" s="323"/>
    </row>
    <row r="39" spans="1:21" ht="16.5" x14ac:dyDescent="0.25">
      <c r="A39" s="926"/>
      <c r="B39" s="66"/>
      <c r="C39" s="340" t="s">
        <v>265</v>
      </c>
      <c r="D39" s="68" t="s">
        <v>70</v>
      </c>
      <c r="E39" s="341"/>
      <c r="F39" s="341">
        <v>3.5159999999999997E-2</v>
      </c>
      <c r="G39" s="74"/>
      <c r="H39" s="48">
        <f t="shared" si="7"/>
        <v>0</v>
      </c>
      <c r="I39" s="74"/>
      <c r="J39" s="48"/>
      <c r="K39" s="74"/>
      <c r="L39" s="48"/>
      <c r="M39" s="48">
        <f t="shared" si="5"/>
        <v>0</v>
      </c>
      <c r="N39" s="309"/>
      <c r="O39" s="323"/>
      <c r="P39" s="323"/>
      <c r="Q39" s="323"/>
      <c r="R39" s="323"/>
      <c r="S39" s="323"/>
      <c r="T39" s="323"/>
      <c r="U39" s="323"/>
    </row>
    <row r="40" spans="1:21" ht="31.5" x14ac:dyDescent="0.25">
      <c r="A40" s="921">
        <v>5</v>
      </c>
      <c r="B40" s="38" t="s">
        <v>268</v>
      </c>
      <c r="C40" s="324" t="s">
        <v>269</v>
      </c>
      <c r="D40" s="40" t="s">
        <v>66</v>
      </c>
      <c r="E40" s="88"/>
      <c r="F40" s="88">
        <v>0.52</v>
      </c>
      <c r="G40" s="48"/>
      <c r="H40" s="48"/>
      <c r="I40" s="48"/>
      <c r="J40" s="48"/>
      <c r="K40" s="48"/>
      <c r="L40" s="48"/>
      <c r="M40" s="48"/>
      <c r="N40" s="309"/>
      <c r="O40" s="323"/>
      <c r="P40" s="323"/>
      <c r="Q40" s="323"/>
      <c r="R40" s="323"/>
      <c r="S40" s="323"/>
      <c r="T40" s="323"/>
      <c r="U40" s="323"/>
    </row>
    <row r="41" spans="1:21" ht="16.5" x14ac:dyDescent="0.25">
      <c r="A41" s="922"/>
      <c r="B41" s="45"/>
      <c r="C41" s="326" t="s">
        <v>73</v>
      </c>
      <c r="D41" s="343" t="s">
        <v>9</v>
      </c>
      <c r="E41" s="144">
        <v>11.1</v>
      </c>
      <c r="F41" s="144">
        <f>E41*F40</f>
        <v>5.7720000000000002</v>
      </c>
      <c r="G41" s="48"/>
      <c r="H41" s="48"/>
      <c r="I41" s="48"/>
      <c r="J41" s="48">
        <f t="shared" si="0"/>
        <v>0</v>
      </c>
      <c r="K41" s="48"/>
      <c r="L41" s="48"/>
      <c r="M41" s="48">
        <f t="shared" si="1"/>
        <v>0</v>
      </c>
      <c r="N41" s="309"/>
      <c r="O41" s="323"/>
      <c r="P41" s="323"/>
      <c r="Q41" s="323"/>
      <c r="R41" s="323"/>
      <c r="S41" s="323"/>
      <c r="T41" s="323"/>
      <c r="U41" s="323"/>
    </row>
    <row r="42" spans="1:21" ht="16.5" x14ac:dyDescent="0.25">
      <c r="A42" s="922"/>
      <c r="B42" s="45"/>
      <c r="C42" s="326" t="s">
        <v>8</v>
      </c>
      <c r="D42" s="334" t="s">
        <v>7</v>
      </c>
      <c r="E42" s="144">
        <v>0.96</v>
      </c>
      <c r="F42" s="144">
        <f>F40*E42</f>
        <v>0.49919999999999998</v>
      </c>
      <c r="G42" s="48"/>
      <c r="H42" s="48"/>
      <c r="I42" s="48"/>
      <c r="J42" s="48"/>
      <c r="K42" s="48"/>
      <c r="L42" s="48">
        <f t="shared" si="2"/>
        <v>0</v>
      </c>
      <c r="M42" s="48">
        <f t="shared" si="1"/>
        <v>0</v>
      </c>
      <c r="N42" s="309"/>
      <c r="O42" s="323"/>
      <c r="P42" s="323"/>
      <c r="Q42" s="323"/>
      <c r="R42" s="323"/>
      <c r="S42" s="323"/>
      <c r="T42" s="323"/>
      <c r="U42" s="323"/>
    </row>
    <row r="43" spans="1:21" ht="16.5" x14ac:dyDescent="0.25">
      <c r="A43" s="922"/>
      <c r="B43" s="45"/>
      <c r="C43" s="326" t="s">
        <v>270</v>
      </c>
      <c r="D43" s="107" t="s">
        <v>59</v>
      </c>
      <c r="E43" s="144">
        <v>1.0149999999999999</v>
      </c>
      <c r="F43" s="144">
        <f>E43*F40</f>
        <v>0.52779999999999994</v>
      </c>
      <c r="G43" s="48"/>
      <c r="H43" s="48">
        <f t="shared" si="3"/>
        <v>0</v>
      </c>
      <c r="I43" s="48"/>
      <c r="J43" s="48"/>
      <c r="K43" s="48"/>
      <c r="L43" s="48"/>
      <c r="M43" s="48">
        <f t="shared" si="1"/>
        <v>0</v>
      </c>
      <c r="N43" s="309"/>
      <c r="O43" s="323"/>
      <c r="P43" s="323"/>
      <c r="Q43" s="323"/>
      <c r="R43" s="323"/>
      <c r="S43" s="323"/>
      <c r="T43" s="323"/>
      <c r="U43" s="323"/>
    </row>
    <row r="44" spans="1:21" ht="16.5" x14ac:dyDescent="0.25">
      <c r="A44" s="922"/>
      <c r="B44" s="118"/>
      <c r="C44" s="344" t="s">
        <v>79</v>
      </c>
      <c r="D44" s="107" t="s">
        <v>80</v>
      </c>
      <c r="E44" s="144">
        <f>205/100</f>
        <v>2.0499999999999998</v>
      </c>
      <c r="F44" s="144">
        <f>E44*F40</f>
        <v>1.0659999999999998</v>
      </c>
      <c r="G44" s="74"/>
      <c r="H44" s="48">
        <f t="shared" si="3"/>
        <v>0</v>
      </c>
      <c r="I44" s="48"/>
      <c r="J44" s="48"/>
      <c r="K44" s="48"/>
      <c r="L44" s="48"/>
      <c r="M44" s="48">
        <f t="shared" si="1"/>
        <v>0</v>
      </c>
      <c r="N44" s="309"/>
      <c r="O44" s="323"/>
      <c r="P44" s="323"/>
      <c r="Q44" s="323"/>
      <c r="R44" s="323"/>
      <c r="S44" s="323"/>
      <c r="T44" s="323"/>
      <c r="U44" s="323"/>
    </row>
    <row r="45" spans="1:21" ht="16.5" x14ac:dyDescent="0.25">
      <c r="A45" s="922"/>
      <c r="B45" s="118"/>
      <c r="C45" s="326" t="s">
        <v>89</v>
      </c>
      <c r="D45" s="107" t="s">
        <v>59</v>
      </c>
      <c r="E45" s="144">
        <f>(0.3+2.78)/100</f>
        <v>3.0799999999999998E-2</v>
      </c>
      <c r="F45" s="144">
        <f>E45*F40</f>
        <v>1.6015999999999999E-2</v>
      </c>
      <c r="G45" s="48"/>
      <c r="H45" s="48">
        <f t="shared" si="3"/>
        <v>0</v>
      </c>
      <c r="I45" s="48"/>
      <c r="J45" s="48"/>
      <c r="K45" s="48"/>
      <c r="L45" s="48"/>
      <c r="M45" s="48">
        <f t="shared" si="1"/>
        <v>0</v>
      </c>
      <c r="N45" s="309"/>
      <c r="O45" s="323"/>
      <c r="P45" s="323"/>
      <c r="Q45" s="323"/>
      <c r="R45" s="323"/>
      <c r="S45" s="323"/>
      <c r="T45" s="323"/>
      <c r="U45" s="323"/>
    </row>
    <row r="46" spans="1:21" ht="16.5" x14ac:dyDescent="0.25">
      <c r="A46" s="922"/>
      <c r="B46" s="118"/>
      <c r="C46" s="326" t="s">
        <v>102</v>
      </c>
      <c r="D46" s="107" t="s">
        <v>5</v>
      </c>
      <c r="E46" s="144">
        <v>1.7</v>
      </c>
      <c r="F46" s="144">
        <f>F40*E46</f>
        <v>0.88400000000000001</v>
      </c>
      <c r="G46" s="48"/>
      <c r="H46" s="48">
        <f t="shared" si="3"/>
        <v>0</v>
      </c>
      <c r="I46" s="48"/>
      <c r="J46" s="48"/>
      <c r="K46" s="48"/>
      <c r="L46" s="48"/>
      <c r="M46" s="48">
        <f t="shared" si="1"/>
        <v>0</v>
      </c>
      <c r="N46" s="309"/>
      <c r="O46" s="323"/>
      <c r="P46" s="323"/>
      <c r="Q46" s="323"/>
      <c r="R46" s="323"/>
      <c r="S46" s="323"/>
      <c r="T46" s="323"/>
      <c r="U46" s="323"/>
    </row>
    <row r="47" spans="1:21" ht="16.5" x14ac:dyDescent="0.25">
      <c r="A47" s="922"/>
      <c r="B47" s="345"/>
      <c r="C47" s="326" t="s">
        <v>10</v>
      </c>
      <c r="D47" s="107" t="s">
        <v>7</v>
      </c>
      <c r="E47" s="144">
        <f>70/100</f>
        <v>0.7</v>
      </c>
      <c r="F47" s="144">
        <f>E47*F40</f>
        <v>0.36399999999999999</v>
      </c>
      <c r="G47" s="48"/>
      <c r="H47" s="48">
        <f t="shared" si="3"/>
        <v>0</v>
      </c>
      <c r="I47" s="48"/>
      <c r="J47" s="48"/>
      <c r="K47" s="48"/>
      <c r="L47" s="48"/>
      <c r="M47" s="48">
        <f t="shared" si="1"/>
        <v>0</v>
      </c>
      <c r="N47" s="309"/>
      <c r="O47" s="323"/>
      <c r="P47" s="323"/>
      <c r="Q47" s="323"/>
      <c r="R47" s="323"/>
      <c r="S47" s="323"/>
      <c r="T47" s="323"/>
      <c r="U47" s="323"/>
    </row>
    <row r="48" spans="1:21" ht="16.5" x14ac:dyDescent="0.25">
      <c r="A48" s="922"/>
      <c r="B48" s="118"/>
      <c r="C48" s="346" t="s">
        <v>271</v>
      </c>
      <c r="D48" s="40" t="s">
        <v>195</v>
      </c>
      <c r="E48" s="347">
        <v>1.03</v>
      </c>
      <c r="F48" s="347">
        <v>5.8740000000000001E-2</v>
      </c>
      <c r="G48" s="74"/>
      <c r="H48" s="48">
        <f>F48*G48</f>
        <v>0</v>
      </c>
      <c r="I48" s="48"/>
      <c r="J48" s="48"/>
      <c r="K48" s="48"/>
      <c r="L48" s="48"/>
      <c r="M48" s="48">
        <f>H48+J48+L48</f>
        <v>0</v>
      </c>
      <c r="N48" s="309"/>
      <c r="O48" s="323"/>
      <c r="P48" s="323"/>
      <c r="Q48" s="323"/>
      <c r="R48" s="323"/>
      <c r="S48" s="323"/>
      <c r="T48" s="323"/>
      <c r="U48" s="323"/>
    </row>
    <row r="49" spans="1:21" ht="16.5" x14ac:dyDescent="0.25">
      <c r="A49" s="923"/>
      <c r="B49" s="45"/>
      <c r="C49" s="346" t="s">
        <v>272</v>
      </c>
      <c r="D49" s="40" t="s">
        <v>195</v>
      </c>
      <c r="E49" s="347">
        <v>1.03</v>
      </c>
      <c r="F49" s="347">
        <v>2.4889999999999999E-2</v>
      </c>
      <c r="G49" s="48"/>
      <c r="H49" s="48">
        <f>F49*G49</f>
        <v>0</v>
      </c>
      <c r="I49" s="48"/>
      <c r="J49" s="48"/>
      <c r="K49" s="48"/>
      <c r="L49" s="48"/>
      <c r="M49" s="48">
        <f>H49+J49+L49</f>
        <v>0</v>
      </c>
      <c r="N49" s="309"/>
      <c r="O49" s="323"/>
      <c r="P49" s="323"/>
      <c r="Q49" s="323"/>
      <c r="R49" s="323"/>
      <c r="S49" s="323"/>
      <c r="T49" s="323"/>
      <c r="U49" s="323"/>
    </row>
    <row r="50" spans="1:21" ht="94.5" x14ac:dyDescent="0.25">
      <c r="A50" s="920">
        <v>6</v>
      </c>
      <c r="B50" s="66" t="s">
        <v>273</v>
      </c>
      <c r="C50" s="340" t="s">
        <v>274</v>
      </c>
      <c r="D50" s="68" t="s">
        <v>46</v>
      </c>
      <c r="E50" s="341"/>
      <c r="F50" s="341">
        <f>Q23</f>
        <v>30.74</v>
      </c>
      <c r="G50" s="42"/>
      <c r="H50" s="48"/>
      <c r="I50" s="42"/>
      <c r="J50" s="48"/>
      <c r="K50" s="42"/>
      <c r="L50" s="48"/>
      <c r="M50" s="48"/>
      <c r="N50" s="309"/>
      <c r="O50" s="323"/>
      <c r="P50" s="323"/>
      <c r="Q50" s="323"/>
      <c r="R50" s="323"/>
      <c r="S50" s="323"/>
      <c r="T50" s="323"/>
      <c r="U50" s="323"/>
    </row>
    <row r="51" spans="1:21" ht="16.5" x14ac:dyDescent="0.25">
      <c r="A51" s="920"/>
      <c r="B51" s="66"/>
      <c r="C51" s="326" t="s">
        <v>77</v>
      </c>
      <c r="D51" s="46" t="s">
        <v>18</v>
      </c>
      <c r="E51" s="47">
        <v>0.33600000000000002</v>
      </c>
      <c r="F51" s="47">
        <f>F50*E51</f>
        <v>10.32864</v>
      </c>
      <c r="G51" s="48"/>
      <c r="H51" s="48"/>
      <c r="I51" s="48"/>
      <c r="J51" s="48">
        <f t="shared" si="0"/>
        <v>0</v>
      </c>
      <c r="K51" s="48"/>
      <c r="L51" s="48"/>
      <c r="M51" s="48">
        <f t="shared" si="1"/>
        <v>0</v>
      </c>
      <c r="N51" s="309"/>
      <c r="O51" s="323"/>
      <c r="P51" s="323"/>
      <c r="Q51" s="323"/>
      <c r="R51" s="323"/>
      <c r="S51" s="323"/>
      <c r="T51" s="323"/>
      <c r="U51" s="323"/>
    </row>
    <row r="52" spans="1:21" ht="16.5" x14ac:dyDescent="0.25">
      <c r="A52" s="920"/>
      <c r="B52" s="66"/>
      <c r="C52" s="326" t="s">
        <v>8</v>
      </c>
      <c r="D52" s="334" t="s">
        <v>7</v>
      </c>
      <c r="E52" s="47">
        <v>1.4999999999999999E-2</v>
      </c>
      <c r="F52" s="47">
        <f>F50*E52</f>
        <v>0.46109999999999995</v>
      </c>
      <c r="G52" s="48"/>
      <c r="H52" s="48"/>
      <c r="I52" s="48"/>
      <c r="J52" s="48"/>
      <c r="K52" s="48"/>
      <c r="L52" s="48">
        <f t="shared" si="2"/>
        <v>0</v>
      </c>
      <c r="M52" s="48">
        <f t="shared" si="1"/>
        <v>0</v>
      </c>
      <c r="N52" s="309"/>
      <c r="O52" s="323"/>
      <c r="P52" s="323"/>
      <c r="Q52" s="323"/>
      <c r="R52" s="323"/>
      <c r="S52" s="323"/>
      <c r="T52" s="323"/>
      <c r="U52" s="323"/>
    </row>
    <row r="53" spans="1:21" ht="16.5" x14ac:dyDescent="0.25">
      <c r="A53" s="920"/>
      <c r="B53" s="71"/>
      <c r="C53" s="326" t="s">
        <v>275</v>
      </c>
      <c r="D53" s="46" t="s">
        <v>276</v>
      </c>
      <c r="E53" s="47">
        <v>2.4</v>
      </c>
      <c r="F53" s="47">
        <f>F50*E53</f>
        <v>73.775999999999996</v>
      </c>
      <c r="G53" s="48"/>
      <c r="H53" s="48">
        <f t="shared" si="3"/>
        <v>0</v>
      </c>
      <c r="I53" s="48"/>
      <c r="J53" s="48"/>
      <c r="K53" s="48"/>
      <c r="L53" s="48"/>
      <c r="M53" s="48">
        <f t="shared" si="1"/>
        <v>0</v>
      </c>
      <c r="N53" s="309"/>
      <c r="O53" s="323"/>
      <c r="P53" s="323"/>
      <c r="Q53" s="323"/>
      <c r="R53" s="323"/>
      <c r="S53" s="323"/>
      <c r="T53" s="323"/>
      <c r="U53" s="323"/>
    </row>
    <row r="54" spans="1:21" ht="16.5" x14ac:dyDescent="0.25">
      <c r="A54" s="920"/>
      <c r="B54" s="66"/>
      <c r="C54" s="326" t="s">
        <v>10</v>
      </c>
      <c r="D54" s="335" t="s">
        <v>7</v>
      </c>
      <c r="E54" s="47">
        <v>2.2800000000000001E-2</v>
      </c>
      <c r="F54" s="47">
        <f>E54*F50</f>
        <v>0.70087199999999994</v>
      </c>
      <c r="G54" s="48"/>
      <c r="H54" s="48">
        <f t="shared" si="3"/>
        <v>0</v>
      </c>
      <c r="I54" s="48"/>
      <c r="J54" s="48"/>
      <c r="K54" s="48"/>
      <c r="L54" s="48"/>
      <c r="M54" s="48">
        <f t="shared" si="1"/>
        <v>0</v>
      </c>
      <c r="N54" s="309"/>
      <c r="O54" s="323"/>
      <c r="P54" s="323"/>
      <c r="Q54" s="323"/>
      <c r="R54" s="323"/>
      <c r="S54" s="323"/>
      <c r="T54" s="323"/>
      <c r="U54" s="323"/>
    </row>
    <row r="55" spans="1:21" ht="78.75" x14ac:dyDescent="0.25">
      <c r="A55" s="920" t="s">
        <v>277</v>
      </c>
      <c r="B55" s="38" t="s">
        <v>278</v>
      </c>
      <c r="C55" s="324" t="s">
        <v>279</v>
      </c>
      <c r="D55" s="40" t="s">
        <v>280</v>
      </c>
      <c r="E55" s="88"/>
      <c r="F55" s="312">
        <f>(3.4*4)/100</f>
        <v>0.13600000000000001</v>
      </c>
      <c r="G55" s="48"/>
      <c r="H55" s="48"/>
      <c r="I55" s="48"/>
      <c r="J55" s="48"/>
      <c r="K55" s="48"/>
      <c r="L55" s="48"/>
      <c r="M55" s="48"/>
      <c r="N55" s="309"/>
      <c r="O55" s="323"/>
      <c r="P55" s="323"/>
      <c r="Q55" s="323"/>
      <c r="R55" s="323"/>
      <c r="S55" s="323"/>
      <c r="T55" s="323"/>
      <c r="U55" s="323"/>
    </row>
    <row r="56" spans="1:21" ht="27" x14ac:dyDescent="0.25">
      <c r="A56" s="920"/>
      <c r="B56" s="45"/>
      <c r="C56" s="326" t="s">
        <v>73</v>
      </c>
      <c r="D56" s="46" t="s">
        <v>9</v>
      </c>
      <c r="E56" s="47">
        <v>31.2</v>
      </c>
      <c r="F56" s="47">
        <f>F55*E56</f>
        <v>4.2431999999999999</v>
      </c>
      <c r="G56" s="48"/>
      <c r="H56" s="48"/>
      <c r="I56" s="48"/>
      <c r="J56" s="48">
        <f t="shared" si="0"/>
        <v>0</v>
      </c>
      <c r="K56" s="48"/>
      <c r="L56" s="48"/>
      <c r="M56" s="48">
        <f t="shared" si="1"/>
        <v>0</v>
      </c>
      <c r="N56" s="309"/>
      <c r="O56" s="323"/>
      <c r="P56" s="323"/>
      <c r="Q56" s="323"/>
      <c r="R56" s="323"/>
      <c r="S56" s="323"/>
      <c r="T56" s="323"/>
      <c r="U56" s="323"/>
    </row>
    <row r="57" spans="1:21" ht="27" x14ac:dyDescent="0.25">
      <c r="A57" s="920"/>
      <c r="B57" s="45"/>
      <c r="C57" s="326" t="s">
        <v>21</v>
      </c>
      <c r="D57" s="46" t="s">
        <v>98</v>
      </c>
      <c r="E57" s="47">
        <v>1.38</v>
      </c>
      <c r="F57" s="47">
        <f>F55*E57</f>
        <v>0.18767999999999999</v>
      </c>
      <c r="G57" s="48"/>
      <c r="H57" s="48"/>
      <c r="I57" s="48"/>
      <c r="J57" s="48"/>
      <c r="K57" s="48"/>
      <c r="L57" s="48">
        <f t="shared" si="2"/>
        <v>0</v>
      </c>
      <c r="M57" s="48">
        <f t="shared" si="1"/>
        <v>0</v>
      </c>
      <c r="N57" s="309"/>
      <c r="O57" s="323"/>
      <c r="P57" s="323"/>
      <c r="Q57" s="323"/>
      <c r="R57" s="323"/>
      <c r="S57" s="323"/>
      <c r="T57" s="323"/>
      <c r="U57" s="323"/>
    </row>
    <row r="58" spans="1:21" ht="16.5" x14ac:dyDescent="0.25">
      <c r="A58" s="920"/>
      <c r="B58" s="45"/>
      <c r="C58" s="326" t="s">
        <v>281</v>
      </c>
      <c r="D58" s="46" t="s">
        <v>282</v>
      </c>
      <c r="E58" s="47">
        <v>112</v>
      </c>
      <c r="F58" s="47">
        <f>F55*E58</f>
        <v>15.232000000000001</v>
      </c>
      <c r="G58" s="48"/>
      <c r="H58" s="48">
        <f t="shared" si="3"/>
        <v>0</v>
      </c>
      <c r="I58" s="48"/>
      <c r="J58" s="48"/>
      <c r="K58" s="48"/>
      <c r="L58" s="48"/>
      <c r="M58" s="48">
        <f t="shared" si="1"/>
        <v>0</v>
      </c>
      <c r="N58" s="309"/>
      <c r="O58" s="323"/>
      <c r="P58" s="323"/>
      <c r="Q58" s="323"/>
      <c r="R58" s="323"/>
      <c r="S58" s="323"/>
      <c r="T58" s="323"/>
      <c r="U58" s="323"/>
    </row>
    <row r="59" spans="1:21" ht="16.5" x14ac:dyDescent="0.25">
      <c r="A59" s="920"/>
      <c r="B59" s="45"/>
      <c r="C59" s="326" t="s">
        <v>283</v>
      </c>
      <c r="D59" s="46" t="s">
        <v>83</v>
      </c>
      <c r="E59" s="47">
        <v>0.53</v>
      </c>
      <c r="F59" s="47">
        <f>F55*E59</f>
        <v>7.2080000000000005E-2</v>
      </c>
      <c r="G59" s="48"/>
      <c r="H59" s="48">
        <f t="shared" si="3"/>
        <v>0</v>
      </c>
      <c r="I59" s="48"/>
      <c r="J59" s="48"/>
      <c r="K59" s="48"/>
      <c r="L59" s="48"/>
      <c r="M59" s="48">
        <f t="shared" si="1"/>
        <v>0</v>
      </c>
      <c r="N59" s="309"/>
      <c r="O59" s="323"/>
      <c r="P59" s="323"/>
      <c r="Q59" s="323"/>
      <c r="R59" s="323"/>
      <c r="S59" s="323"/>
      <c r="T59" s="323"/>
      <c r="U59" s="323"/>
    </row>
    <row r="60" spans="1:21" ht="16.5" x14ac:dyDescent="0.25">
      <c r="A60" s="920"/>
      <c r="B60" s="45"/>
      <c r="C60" s="326" t="s">
        <v>284</v>
      </c>
      <c r="D60" s="46" t="s">
        <v>5</v>
      </c>
      <c r="E60" s="47">
        <v>76</v>
      </c>
      <c r="F60" s="47">
        <f>F55*E60</f>
        <v>10.336</v>
      </c>
      <c r="G60" s="48"/>
      <c r="H60" s="48">
        <f t="shared" si="3"/>
        <v>0</v>
      </c>
      <c r="I60" s="48"/>
      <c r="J60" s="48"/>
      <c r="K60" s="48"/>
      <c r="L60" s="48"/>
      <c r="M60" s="48">
        <f t="shared" si="1"/>
        <v>0</v>
      </c>
      <c r="N60" s="309"/>
      <c r="O60" s="323"/>
      <c r="P60" s="323"/>
      <c r="Q60" s="323"/>
      <c r="R60" s="323"/>
      <c r="S60" s="323"/>
      <c r="T60" s="323"/>
      <c r="U60" s="323"/>
    </row>
    <row r="61" spans="1:21" ht="16.5" x14ac:dyDescent="0.25">
      <c r="A61" s="920"/>
      <c r="B61" s="45"/>
      <c r="C61" s="326" t="s">
        <v>10</v>
      </c>
      <c r="D61" s="46" t="s">
        <v>7</v>
      </c>
      <c r="E61" s="47">
        <v>0.19</v>
      </c>
      <c r="F61" s="47">
        <f>F55*E61</f>
        <v>2.5840000000000002E-2</v>
      </c>
      <c r="G61" s="48"/>
      <c r="H61" s="48">
        <f t="shared" si="3"/>
        <v>0</v>
      </c>
      <c r="I61" s="48"/>
      <c r="J61" s="48"/>
      <c r="K61" s="48"/>
      <c r="L61" s="48"/>
      <c r="M61" s="48">
        <f t="shared" si="1"/>
        <v>0</v>
      </c>
      <c r="N61" s="309"/>
      <c r="O61" s="323"/>
      <c r="P61" s="323"/>
      <c r="Q61" s="323"/>
      <c r="R61" s="323"/>
      <c r="S61" s="323"/>
      <c r="T61" s="323"/>
      <c r="U61" s="323"/>
    </row>
    <row r="62" spans="1:21" ht="94.5" x14ac:dyDescent="0.25">
      <c r="A62" s="925">
        <v>8</v>
      </c>
      <c r="B62" s="38" t="s">
        <v>71</v>
      </c>
      <c r="C62" s="324" t="s">
        <v>285</v>
      </c>
      <c r="D62" s="40" t="s">
        <v>66</v>
      </c>
      <c r="E62" s="88"/>
      <c r="F62" s="88">
        <v>1.5</v>
      </c>
      <c r="G62" s="42"/>
      <c r="H62" s="48"/>
      <c r="I62" s="42"/>
      <c r="J62" s="48"/>
      <c r="K62" s="42"/>
      <c r="L62" s="48"/>
      <c r="M62" s="48"/>
      <c r="N62" s="309"/>
      <c r="O62" s="323"/>
      <c r="P62" s="323"/>
      <c r="Q62" s="323"/>
      <c r="R62" s="323"/>
      <c r="S62" s="323"/>
      <c r="T62" s="323"/>
      <c r="U62" s="323"/>
    </row>
    <row r="63" spans="1:21" ht="16.5" x14ac:dyDescent="0.25">
      <c r="A63" s="926"/>
      <c r="B63" s="38"/>
      <c r="C63" s="326" t="s">
        <v>77</v>
      </c>
      <c r="D63" s="46" t="s">
        <v>18</v>
      </c>
      <c r="E63" s="47">
        <v>3.52</v>
      </c>
      <c r="F63" s="47">
        <f>E63*F62</f>
        <v>5.28</v>
      </c>
      <c r="G63" s="48"/>
      <c r="H63" s="48"/>
      <c r="I63" s="48"/>
      <c r="J63" s="48">
        <f t="shared" si="0"/>
        <v>0</v>
      </c>
      <c r="K63" s="48"/>
      <c r="L63" s="48"/>
      <c r="M63" s="48">
        <f t="shared" si="1"/>
        <v>0</v>
      </c>
      <c r="N63" s="309"/>
      <c r="O63" s="323"/>
      <c r="P63" s="323"/>
      <c r="Q63" s="323"/>
      <c r="R63" s="323"/>
      <c r="S63" s="323"/>
      <c r="T63" s="323"/>
      <c r="U63" s="323"/>
    </row>
    <row r="64" spans="1:21" ht="16.5" x14ac:dyDescent="0.25">
      <c r="A64" s="926"/>
      <c r="B64" s="38"/>
      <c r="C64" s="326" t="s">
        <v>8</v>
      </c>
      <c r="D64" s="334" t="s">
        <v>7</v>
      </c>
      <c r="E64" s="47">
        <v>1.06</v>
      </c>
      <c r="F64" s="47">
        <f>E64*F62</f>
        <v>1.59</v>
      </c>
      <c r="G64" s="48"/>
      <c r="H64" s="48"/>
      <c r="I64" s="48"/>
      <c r="J64" s="48"/>
      <c r="K64" s="48"/>
      <c r="L64" s="48">
        <f t="shared" si="2"/>
        <v>0</v>
      </c>
      <c r="M64" s="48">
        <f t="shared" si="1"/>
        <v>0</v>
      </c>
      <c r="N64" s="309"/>
      <c r="O64" s="323"/>
      <c r="P64" s="323"/>
      <c r="Q64" s="323"/>
      <c r="R64" s="323"/>
      <c r="S64" s="323"/>
      <c r="T64" s="323"/>
      <c r="U64" s="323"/>
    </row>
    <row r="65" spans="1:21" ht="16.5" x14ac:dyDescent="0.25">
      <c r="A65" s="926"/>
      <c r="B65" s="45"/>
      <c r="C65" s="326" t="s">
        <v>63</v>
      </c>
      <c r="D65" s="46" t="s">
        <v>59</v>
      </c>
      <c r="E65" s="47">
        <f>0.18+0.09+0.97</f>
        <v>1.24</v>
      </c>
      <c r="F65" s="47">
        <f>E65*F62</f>
        <v>1.8599999999999999</v>
      </c>
      <c r="G65" s="48"/>
      <c r="H65" s="48">
        <f t="shared" si="3"/>
        <v>0</v>
      </c>
      <c r="I65" s="48"/>
      <c r="J65" s="48"/>
      <c r="K65" s="48"/>
      <c r="L65" s="48"/>
      <c r="M65" s="48">
        <f t="shared" si="1"/>
        <v>0</v>
      </c>
      <c r="N65" s="309"/>
      <c r="O65" s="323"/>
      <c r="P65" s="323"/>
      <c r="Q65" s="323"/>
      <c r="R65" s="323"/>
      <c r="S65" s="323"/>
      <c r="T65" s="323"/>
      <c r="U65" s="323"/>
    </row>
    <row r="66" spans="1:21" ht="16.5" x14ac:dyDescent="0.25">
      <c r="A66" s="927"/>
      <c r="B66" s="38"/>
      <c r="C66" s="326" t="s">
        <v>10</v>
      </c>
      <c r="D66" s="335" t="s">
        <v>7</v>
      </c>
      <c r="E66" s="47">
        <v>0.02</v>
      </c>
      <c r="F66" s="47">
        <f>E66*F62</f>
        <v>0.03</v>
      </c>
      <c r="G66" s="48"/>
      <c r="H66" s="48">
        <f t="shared" si="3"/>
        <v>0</v>
      </c>
      <c r="I66" s="48"/>
      <c r="J66" s="48"/>
      <c r="K66" s="48"/>
      <c r="L66" s="48"/>
      <c r="M66" s="48">
        <f t="shared" si="1"/>
        <v>0</v>
      </c>
      <c r="N66" s="309"/>
      <c r="O66" s="323"/>
      <c r="P66" s="323"/>
      <c r="Q66" s="323"/>
      <c r="R66" s="323"/>
      <c r="S66" s="323"/>
      <c r="T66" s="323"/>
      <c r="U66" s="323"/>
    </row>
    <row r="67" spans="1:21" ht="47.25" x14ac:dyDescent="0.25">
      <c r="A67" s="917">
        <v>9</v>
      </c>
      <c r="B67" s="66" t="s">
        <v>85</v>
      </c>
      <c r="C67" s="340" t="s">
        <v>286</v>
      </c>
      <c r="D67" s="68" t="s">
        <v>66</v>
      </c>
      <c r="E67" s="341"/>
      <c r="F67" s="341">
        <v>1.1399999999999999</v>
      </c>
      <c r="G67" s="42"/>
      <c r="H67" s="48"/>
      <c r="I67" s="42"/>
      <c r="J67" s="48"/>
      <c r="K67" s="42"/>
      <c r="L67" s="48"/>
      <c r="M67" s="48"/>
      <c r="N67" s="309"/>
      <c r="O67" s="323"/>
      <c r="P67" s="323"/>
      <c r="Q67" s="323"/>
      <c r="R67" s="323"/>
      <c r="S67" s="323"/>
      <c r="T67" s="323"/>
      <c r="U67" s="323"/>
    </row>
    <row r="68" spans="1:21" ht="16.5" x14ac:dyDescent="0.25">
      <c r="A68" s="918"/>
      <c r="B68" s="66"/>
      <c r="C68" s="342" t="s">
        <v>77</v>
      </c>
      <c r="D68" s="72" t="s">
        <v>18</v>
      </c>
      <c r="E68" s="73">
        <f>840*0.01</f>
        <v>8.4</v>
      </c>
      <c r="F68" s="73">
        <f>E68*F67</f>
        <v>9.5759999999999987</v>
      </c>
      <c r="G68" s="74"/>
      <c r="H68" s="48"/>
      <c r="I68" s="74"/>
      <c r="J68" s="48">
        <f t="shared" si="0"/>
        <v>0</v>
      </c>
      <c r="K68" s="74"/>
      <c r="L68" s="48"/>
      <c r="M68" s="48">
        <f t="shared" si="1"/>
        <v>0</v>
      </c>
      <c r="N68" s="309"/>
      <c r="O68" s="323"/>
      <c r="P68" s="323"/>
      <c r="Q68" s="323"/>
      <c r="R68" s="323"/>
      <c r="S68" s="323"/>
      <c r="T68" s="323"/>
      <c r="U68" s="323"/>
    </row>
    <row r="69" spans="1:21" ht="16.5" x14ac:dyDescent="0.25">
      <c r="A69" s="918"/>
      <c r="B69" s="66"/>
      <c r="C69" s="326" t="s">
        <v>8</v>
      </c>
      <c r="D69" s="46" t="s">
        <v>7</v>
      </c>
      <c r="E69" s="73">
        <f>81*0.01</f>
        <v>0.81</v>
      </c>
      <c r="F69" s="73">
        <f>E69*F67</f>
        <v>0.9234</v>
      </c>
      <c r="G69" s="74"/>
      <c r="H69" s="48"/>
      <c r="I69" s="74"/>
      <c r="J69" s="48"/>
      <c r="K69" s="74"/>
      <c r="L69" s="48">
        <f t="shared" si="2"/>
        <v>0</v>
      </c>
      <c r="M69" s="48">
        <f t="shared" si="1"/>
        <v>0</v>
      </c>
      <c r="N69" s="309"/>
      <c r="O69" s="323"/>
      <c r="P69" s="323"/>
      <c r="Q69" s="323"/>
      <c r="R69" s="323"/>
      <c r="S69" s="323"/>
      <c r="T69" s="323"/>
      <c r="U69" s="323"/>
    </row>
    <row r="70" spans="1:21" ht="16.5" x14ac:dyDescent="0.25">
      <c r="A70" s="918"/>
      <c r="B70" s="71"/>
      <c r="C70" s="342" t="s">
        <v>78</v>
      </c>
      <c r="D70" s="72" t="s">
        <v>59</v>
      </c>
      <c r="E70" s="73">
        <f>101.5*0.01</f>
        <v>1.0150000000000001</v>
      </c>
      <c r="F70" s="73">
        <f>E70*F67</f>
        <v>1.1571</v>
      </c>
      <c r="G70" s="74"/>
      <c r="H70" s="48">
        <f t="shared" si="3"/>
        <v>0</v>
      </c>
      <c r="I70" s="74"/>
      <c r="J70" s="48"/>
      <c r="K70" s="74"/>
      <c r="L70" s="48"/>
      <c r="M70" s="48">
        <f t="shared" si="1"/>
        <v>0</v>
      </c>
      <c r="N70" s="309"/>
      <c r="O70" s="323"/>
      <c r="P70" s="323"/>
      <c r="Q70" s="323"/>
      <c r="R70" s="323"/>
      <c r="S70" s="323"/>
      <c r="T70" s="323"/>
      <c r="U70" s="323"/>
    </row>
    <row r="71" spans="1:21" ht="16.5" x14ac:dyDescent="0.25">
      <c r="A71" s="918"/>
      <c r="B71" s="71"/>
      <c r="C71" s="342" t="s">
        <v>79</v>
      </c>
      <c r="D71" s="72" t="s">
        <v>80</v>
      </c>
      <c r="E71" s="73">
        <f>137*0.01</f>
        <v>1.37</v>
      </c>
      <c r="F71" s="73">
        <f>E71*F67</f>
        <v>1.5618000000000001</v>
      </c>
      <c r="G71" s="74"/>
      <c r="H71" s="48">
        <f t="shared" si="3"/>
        <v>0</v>
      </c>
      <c r="I71" s="74"/>
      <c r="J71" s="48"/>
      <c r="K71" s="74"/>
      <c r="L71" s="48"/>
      <c r="M71" s="48">
        <f t="shared" si="1"/>
        <v>0</v>
      </c>
      <c r="N71" s="309"/>
      <c r="O71" s="323"/>
      <c r="P71" s="323"/>
      <c r="Q71" s="323"/>
      <c r="R71" s="323"/>
      <c r="S71" s="323"/>
      <c r="T71" s="323"/>
      <c r="U71" s="323"/>
    </row>
    <row r="72" spans="1:21" ht="16.5" x14ac:dyDescent="0.25">
      <c r="A72" s="918"/>
      <c r="B72" s="71"/>
      <c r="C72" s="342" t="s">
        <v>81</v>
      </c>
      <c r="D72" s="72" t="s">
        <v>59</v>
      </c>
      <c r="E72" s="73">
        <f>(0.84+2.56+0.26)/100</f>
        <v>3.6600000000000001E-2</v>
      </c>
      <c r="F72" s="73">
        <f>E72*F67</f>
        <v>4.1723999999999997E-2</v>
      </c>
      <c r="G72" s="74"/>
      <c r="H72" s="48">
        <f t="shared" si="3"/>
        <v>0</v>
      </c>
      <c r="I72" s="74"/>
      <c r="J72" s="48"/>
      <c r="K72" s="74"/>
      <c r="L72" s="48"/>
      <c r="M72" s="48">
        <f t="shared" si="1"/>
        <v>0</v>
      </c>
      <c r="N72" s="309"/>
      <c r="O72" s="323"/>
      <c r="P72" s="323"/>
      <c r="Q72" s="323"/>
      <c r="R72" s="323"/>
      <c r="S72" s="323"/>
      <c r="T72" s="323"/>
      <c r="U72" s="323"/>
    </row>
    <row r="73" spans="1:21" ht="16.5" x14ac:dyDescent="0.25">
      <c r="A73" s="918"/>
      <c r="B73" s="66"/>
      <c r="C73" s="342" t="s">
        <v>10</v>
      </c>
      <c r="D73" s="72" t="s">
        <v>7</v>
      </c>
      <c r="E73" s="73">
        <f>0.39*0.01</f>
        <v>3.9000000000000003E-3</v>
      </c>
      <c r="F73" s="73">
        <f>E73*F67</f>
        <v>4.4460000000000003E-3</v>
      </c>
      <c r="G73" s="74"/>
      <c r="H73" s="48">
        <f t="shared" si="3"/>
        <v>0</v>
      </c>
      <c r="I73" s="74"/>
      <c r="J73" s="48"/>
      <c r="K73" s="74"/>
      <c r="L73" s="48"/>
      <c r="M73" s="48">
        <f t="shared" si="1"/>
        <v>0</v>
      </c>
      <c r="N73" s="309"/>
      <c r="O73" s="323"/>
      <c r="P73" s="323"/>
      <c r="Q73" s="323"/>
      <c r="R73" s="323"/>
      <c r="S73" s="323"/>
      <c r="T73" s="323"/>
      <c r="U73" s="323"/>
    </row>
    <row r="74" spans="1:21" ht="16.5" x14ac:dyDescent="0.25">
      <c r="A74" s="918"/>
      <c r="B74" s="66"/>
      <c r="C74" s="340" t="s">
        <v>265</v>
      </c>
      <c r="D74" s="68" t="s">
        <v>70</v>
      </c>
      <c r="E74" s="341"/>
      <c r="F74" s="341">
        <v>6.5570000000000003E-2</v>
      </c>
      <c r="G74" s="74"/>
      <c r="H74" s="48">
        <f t="shared" si="3"/>
        <v>0</v>
      </c>
      <c r="I74" s="74"/>
      <c r="J74" s="48"/>
      <c r="K74" s="74"/>
      <c r="L74" s="48"/>
      <c r="M74" s="48">
        <f t="shared" si="1"/>
        <v>0</v>
      </c>
      <c r="N74" s="348"/>
      <c r="O74" s="323"/>
      <c r="P74" s="323"/>
      <c r="Q74" s="323"/>
      <c r="R74" s="323"/>
      <c r="S74" s="323"/>
      <c r="T74" s="323"/>
      <c r="U74" s="323"/>
    </row>
    <row r="75" spans="1:21" ht="47.25" x14ac:dyDescent="0.25">
      <c r="A75" s="921">
        <v>10</v>
      </c>
      <c r="B75" s="38" t="s">
        <v>287</v>
      </c>
      <c r="C75" s="324" t="s">
        <v>288</v>
      </c>
      <c r="D75" s="40" t="s">
        <v>66</v>
      </c>
      <c r="E75" s="88"/>
      <c r="F75" s="88">
        <v>1.22</v>
      </c>
      <c r="G75" s="48"/>
      <c r="H75" s="48"/>
      <c r="I75" s="48"/>
      <c r="J75" s="48"/>
      <c r="K75" s="48"/>
      <c r="L75" s="48"/>
      <c r="M75" s="48"/>
      <c r="N75" s="309"/>
      <c r="O75" s="323"/>
      <c r="P75" s="323"/>
      <c r="Q75" s="323"/>
      <c r="R75" s="323"/>
      <c r="S75" s="323"/>
      <c r="T75" s="323"/>
      <c r="U75" s="323"/>
    </row>
    <row r="76" spans="1:21" ht="27" x14ac:dyDescent="0.25">
      <c r="A76" s="922"/>
      <c r="B76" s="345"/>
      <c r="C76" s="344" t="s">
        <v>73</v>
      </c>
      <c r="D76" s="46" t="s">
        <v>9</v>
      </c>
      <c r="E76" s="47">
        <v>13.3</v>
      </c>
      <c r="F76" s="47">
        <f>F75*E76</f>
        <v>16.225999999999999</v>
      </c>
      <c r="G76" s="48"/>
      <c r="H76" s="48"/>
      <c r="I76" s="48"/>
      <c r="J76" s="48">
        <f t="shared" si="0"/>
        <v>0</v>
      </c>
      <c r="K76" s="48"/>
      <c r="L76" s="48"/>
      <c r="M76" s="48">
        <f t="shared" si="1"/>
        <v>0</v>
      </c>
      <c r="N76" s="309"/>
      <c r="O76" s="323"/>
      <c r="P76" s="323"/>
      <c r="Q76" s="323"/>
      <c r="R76" s="323"/>
      <c r="S76" s="323"/>
      <c r="T76" s="323"/>
      <c r="U76" s="323"/>
    </row>
    <row r="77" spans="1:21" ht="16.5" x14ac:dyDescent="0.25">
      <c r="A77" s="922"/>
      <c r="B77" s="45"/>
      <c r="C77" s="326" t="s">
        <v>8</v>
      </c>
      <c r="D77" s="46" t="s">
        <v>7</v>
      </c>
      <c r="E77" s="144">
        <v>3.36</v>
      </c>
      <c r="F77" s="144">
        <f>F75*E77</f>
        <v>4.0991999999999997</v>
      </c>
      <c r="G77" s="48"/>
      <c r="H77" s="48"/>
      <c r="I77" s="48"/>
      <c r="J77" s="48"/>
      <c r="K77" s="48"/>
      <c r="L77" s="48">
        <f t="shared" si="2"/>
        <v>0</v>
      </c>
      <c r="M77" s="48">
        <f t="shared" si="1"/>
        <v>0</v>
      </c>
      <c r="N77" s="309"/>
      <c r="O77" s="323"/>
      <c r="P77" s="323"/>
      <c r="Q77" s="323"/>
      <c r="R77" s="323"/>
      <c r="S77" s="323"/>
      <c r="T77" s="323"/>
      <c r="U77" s="323"/>
    </row>
    <row r="78" spans="1:21" ht="16.5" x14ac:dyDescent="0.25">
      <c r="A78" s="922"/>
      <c r="B78" s="45"/>
      <c r="C78" s="326" t="s">
        <v>270</v>
      </c>
      <c r="D78" s="46" t="s">
        <v>59</v>
      </c>
      <c r="E78" s="47">
        <v>1.0149999999999999</v>
      </c>
      <c r="F78" s="144">
        <f>E78*F75</f>
        <v>1.2383</v>
      </c>
      <c r="G78" s="48"/>
      <c r="H78" s="48">
        <f t="shared" si="3"/>
        <v>0</v>
      </c>
      <c r="I78" s="48"/>
      <c r="J78" s="48"/>
      <c r="K78" s="48"/>
      <c r="L78" s="48"/>
      <c r="M78" s="48">
        <f t="shared" si="1"/>
        <v>0</v>
      </c>
      <c r="N78" s="309"/>
      <c r="O78" s="323"/>
      <c r="P78" s="323"/>
      <c r="Q78" s="323"/>
      <c r="R78" s="323"/>
      <c r="S78" s="323"/>
      <c r="T78" s="323"/>
      <c r="U78" s="323"/>
    </row>
    <row r="79" spans="1:21" ht="16.5" x14ac:dyDescent="0.25">
      <c r="A79" s="922"/>
      <c r="B79" s="118"/>
      <c r="C79" s="344" t="s">
        <v>79</v>
      </c>
      <c r="D79" s="46" t="s">
        <v>80</v>
      </c>
      <c r="E79" s="47">
        <v>2.42</v>
      </c>
      <c r="F79" s="47">
        <f>F75*E79</f>
        <v>2.9523999999999999</v>
      </c>
      <c r="G79" s="74"/>
      <c r="H79" s="48">
        <f t="shared" si="3"/>
        <v>0</v>
      </c>
      <c r="I79" s="48"/>
      <c r="J79" s="48"/>
      <c r="K79" s="48"/>
      <c r="L79" s="48"/>
      <c r="M79" s="48">
        <f t="shared" si="1"/>
        <v>0</v>
      </c>
      <c r="N79" s="309"/>
      <c r="O79" s="323"/>
      <c r="P79" s="323"/>
      <c r="Q79" s="323"/>
      <c r="R79" s="323"/>
      <c r="S79" s="323"/>
      <c r="T79" s="323"/>
      <c r="U79" s="323"/>
    </row>
    <row r="80" spans="1:21" ht="16.5" x14ac:dyDescent="0.25">
      <c r="A80" s="922"/>
      <c r="B80" s="118"/>
      <c r="C80" s="344" t="s">
        <v>89</v>
      </c>
      <c r="D80" s="107" t="s">
        <v>59</v>
      </c>
      <c r="E80" s="47">
        <f>(5.81+0.67)/100</f>
        <v>6.4799999999999996E-2</v>
      </c>
      <c r="F80" s="47">
        <f>F75*E80</f>
        <v>7.9055999999999987E-2</v>
      </c>
      <c r="G80" s="48"/>
      <c r="H80" s="48">
        <f t="shared" si="3"/>
        <v>0</v>
      </c>
      <c r="I80" s="48"/>
      <c r="J80" s="48"/>
      <c r="K80" s="48"/>
      <c r="L80" s="48"/>
      <c r="M80" s="48">
        <f t="shared" si="1"/>
        <v>0</v>
      </c>
      <c r="N80" s="309"/>
      <c r="O80" s="323"/>
      <c r="P80" s="323"/>
      <c r="Q80" s="323"/>
      <c r="R80" s="323"/>
      <c r="S80" s="323"/>
      <c r="T80" s="323"/>
      <c r="U80" s="323"/>
    </row>
    <row r="81" spans="1:21" ht="16.5" x14ac:dyDescent="0.25">
      <c r="A81" s="922"/>
      <c r="B81" s="118"/>
      <c r="C81" s="344" t="s">
        <v>102</v>
      </c>
      <c r="D81" s="107" t="s">
        <v>276</v>
      </c>
      <c r="E81" s="144">
        <v>1.5</v>
      </c>
      <c r="F81" s="47">
        <f>F75*E81</f>
        <v>1.83</v>
      </c>
      <c r="G81" s="48"/>
      <c r="H81" s="48">
        <f t="shared" si="3"/>
        <v>0</v>
      </c>
      <c r="I81" s="48"/>
      <c r="J81" s="48"/>
      <c r="K81" s="48"/>
      <c r="L81" s="48"/>
      <c r="M81" s="48">
        <f t="shared" si="1"/>
        <v>0</v>
      </c>
      <c r="N81" s="309"/>
      <c r="O81" s="323"/>
      <c r="P81" s="323"/>
      <c r="Q81" s="323"/>
      <c r="R81" s="323"/>
      <c r="S81" s="323"/>
      <c r="T81" s="323"/>
      <c r="U81" s="323"/>
    </row>
    <row r="82" spans="1:21" ht="16.5" x14ac:dyDescent="0.25">
      <c r="A82" s="922"/>
      <c r="B82" s="45"/>
      <c r="C82" s="326" t="s">
        <v>122</v>
      </c>
      <c r="D82" s="46" t="s">
        <v>7</v>
      </c>
      <c r="E82" s="144">
        <v>0.6</v>
      </c>
      <c r="F82" s="144">
        <f>F75*E82</f>
        <v>0.73199999999999998</v>
      </c>
      <c r="G82" s="48"/>
      <c r="H82" s="48">
        <f t="shared" ref="H82:H144" si="8">F82*G82</f>
        <v>0</v>
      </c>
      <c r="I82" s="48"/>
      <c r="J82" s="48"/>
      <c r="K82" s="48"/>
      <c r="L82" s="48"/>
      <c r="M82" s="48">
        <f t="shared" si="1"/>
        <v>0</v>
      </c>
      <c r="N82" s="309"/>
      <c r="O82" s="323"/>
      <c r="P82" s="323"/>
      <c r="Q82" s="323"/>
      <c r="R82" s="323"/>
      <c r="S82" s="323"/>
      <c r="T82" s="323"/>
      <c r="U82" s="323"/>
    </row>
    <row r="83" spans="1:21" ht="16.5" x14ac:dyDescent="0.25">
      <c r="A83" s="922"/>
      <c r="B83" s="118"/>
      <c r="C83" s="346" t="s">
        <v>271</v>
      </c>
      <c r="D83" s="40" t="s">
        <v>195</v>
      </c>
      <c r="E83" s="347">
        <v>1.03</v>
      </c>
      <c r="F83" s="347">
        <v>0.13746</v>
      </c>
      <c r="G83" s="74"/>
      <c r="H83" s="48">
        <f>F83*G83</f>
        <v>0</v>
      </c>
      <c r="I83" s="48"/>
      <c r="J83" s="48"/>
      <c r="K83" s="48"/>
      <c r="L83" s="48"/>
      <c r="M83" s="48">
        <f>H83+J83+L83</f>
        <v>0</v>
      </c>
      <c r="N83" s="309"/>
      <c r="O83" s="323"/>
      <c r="P83" s="323"/>
      <c r="Q83" s="323"/>
      <c r="R83" s="323"/>
      <c r="S83" s="323"/>
      <c r="T83" s="323"/>
      <c r="U83" s="323"/>
    </row>
    <row r="84" spans="1:21" ht="16.5" x14ac:dyDescent="0.25">
      <c r="A84" s="923"/>
      <c r="B84" s="45"/>
      <c r="C84" s="346" t="s">
        <v>272</v>
      </c>
      <c r="D84" s="40" t="s">
        <v>195</v>
      </c>
      <c r="E84" s="347">
        <v>1.03</v>
      </c>
      <c r="F84" s="347">
        <v>4.9770000000000002E-2</v>
      </c>
      <c r="G84" s="48"/>
      <c r="H84" s="48">
        <f>F84*G84</f>
        <v>0</v>
      </c>
      <c r="I84" s="48"/>
      <c r="J84" s="48"/>
      <c r="K84" s="48"/>
      <c r="L84" s="48"/>
      <c r="M84" s="48">
        <f>H84+J84+L84</f>
        <v>0</v>
      </c>
      <c r="N84" s="309"/>
      <c r="O84" s="323"/>
      <c r="P84" s="323"/>
      <c r="Q84" s="323"/>
      <c r="R84" s="323"/>
      <c r="S84" s="323"/>
      <c r="T84" s="323"/>
      <c r="U84" s="323"/>
    </row>
    <row r="85" spans="1:21" ht="31.5" x14ac:dyDescent="0.25">
      <c r="A85" s="921">
        <v>11</v>
      </c>
      <c r="B85" s="38" t="s">
        <v>289</v>
      </c>
      <c r="C85" s="324" t="s">
        <v>290</v>
      </c>
      <c r="D85" s="40" t="s">
        <v>66</v>
      </c>
      <c r="E85" s="88"/>
      <c r="F85" s="88">
        <v>0.17</v>
      </c>
      <c r="G85" s="48"/>
      <c r="H85" s="48"/>
      <c r="I85" s="48"/>
      <c r="J85" s="48"/>
      <c r="K85" s="48"/>
      <c r="L85" s="48"/>
      <c r="M85" s="48"/>
      <c r="N85" s="309"/>
      <c r="O85" s="323"/>
      <c r="P85" s="323"/>
      <c r="Q85" s="323"/>
      <c r="R85" s="323"/>
      <c r="S85" s="323"/>
      <c r="T85" s="323"/>
      <c r="U85" s="323"/>
    </row>
    <row r="86" spans="1:21" ht="27" x14ac:dyDescent="0.25">
      <c r="A86" s="922"/>
      <c r="B86" s="345"/>
      <c r="C86" s="344" t="s">
        <v>73</v>
      </c>
      <c r="D86" s="46" t="s">
        <v>9</v>
      </c>
      <c r="E86" s="47">
        <v>13.5</v>
      </c>
      <c r="F86" s="47">
        <f>F85*E86</f>
        <v>2.2950000000000004</v>
      </c>
      <c r="G86" s="48"/>
      <c r="H86" s="48"/>
      <c r="I86" s="48"/>
      <c r="J86" s="48">
        <f t="shared" ref="J86:J138" si="9">F86*I86</f>
        <v>0</v>
      </c>
      <c r="K86" s="48"/>
      <c r="L86" s="48"/>
      <c r="M86" s="48">
        <f t="shared" ref="M86:M149" si="10">H86+J86+L86</f>
        <v>0</v>
      </c>
      <c r="N86" s="309"/>
      <c r="O86" s="323"/>
      <c r="P86" s="323"/>
      <c r="Q86" s="323"/>
      <c r="R86" s="323"/>
      <c r="S86" s="323"/>
      <c r="T86" s="323"/>
      <c r="U86" s="323"/>
    </row>
    <row r="87" spans="1:21" ht="16.5" x14ac:dyDescent="0.25">
      <c r="A87" s="922"/>
      <c r="B87" s="45"/>
      <c r="C87" s="326" t="s">
        <v>8</v>
      </c>
      <c r="D87" s="46" t="s">
        <v>7</v>
      </c>
      <c r="E87" s="144">
        <v>1.1200000000000001</v>
      </c>
      <c r="F87" s="144">
        <f>F85*E87</f>
        <v>0.19040000000000004</v>
      </c>
      <c r="G87" s="48"/>
      <c r="H87" s="48"/>
      <c r="I87" s="48"/>
      <c r="J87" s="48"/>
      <c r="K87" s="48"/>
      <c r="L87" s="48">
        <f t="shared" ref="L87" si="11">F87*K87</f>
        <v>0</v>
      </c>
      <c r="M87" s="48">
        <f t="shared" si="10"/>
        <v>0</v>
      </c>
      <c r="N87" s="309"/>
      <c r="O87" s="323"/>
      <c r="P87" s="323"/>
      <c r="Q87" s="323"/>
      <c r="R87" s="323"/>
      <c r="S87" s="323"/>
      <c r="T87" s="323"/>
      <c r="U87" s="323"/>
    </row>
    <row r="88" spans="1:21" ht="16.5" x14ac:dyDescent="0.25">
      <c r="A88" s="922"/>
      <c r="B88" s="45"/>
      <c r="C88" s="326" t="s">
        <v>270</v>
      </c>
      <c r="D88" s="46" t="s">
        <v>59</v>
      </c>
      <c r="E88" s="47">
        <v>1.1000000000000001</v>
      </c>
      <c r="F88" s="144">
        <f>E88*F85</f>
        <v>0.18700000000000003</v>
      </c>
      <c r="G88" s="48"/>
      <c r="H88" s="48">
        <f t="shared" si="8"/>
        <v>0</v>
      </c>
      <c r="I88" s="48"/>
      <c r="J88" s="48"/>
      <c r="K88" s="48"/>
      <c r="L88" s="48"/>
      <c r="M88" s="48">
        <f t="shared" si="10"/>
        <v>0</v>
      </c>
      <c r="N88" s="309"/>
      <c r="O88" s="323"/>
      <c r="P88" s="323"/>
      <c r="Q88" s="323"/>
      <c r="R88" s="323"/>
      <c r="S88" s="323"/>
      <c r="T88" s="323"/>
      <c r="U88" s="323"/>
    </row>
    <row r="89" spans="1:21" ht="16.5" x14ac:dyDescent="0.25">
      <c r="A89" s="922"/>
      <c r="B89" s="118"/>
      <c r="C89" s="344" t="s">
        <v>79</v>
      </c>
      <c r="D89" s="46" t="s">
        <v>80</v>
      </c>
      <c r="E89" s="47">
        <v>2.9</v>
      </c>
      <c r="F89" s="47">
        <f>F85*E89</f>
        <v>0.49299999999999999</v>
      </c>
      <c r="G89" s="74"/>
      <c r="H89" s="48">
        <f t="shared" si="8"/>
        <v>0</v>
      </c>
      <c r="I89" s="48"/>
      <c r="J89" s="48"/>
      <c r="K89" s="48"/>
      <c r="L89" s="48"/>
      <c r="M89" s="48">
        <f t="shared" si="10"/>
        <v>0</v>
      </c>
      <c r="N89" s="309"/>
      <c r="O89" s="323"/>
      <c r="P89" s="323"/>
      <c r="Q89" s="323"/>
      <c r="R89" s="323"/>
      <c r="S89" s="323"/>
      <c r="T89" s="323"/>
      <c r="U89" s="323"/>
    </row>
    <row r="90" spans="1:21" ht="16.5" x14ac:dyDescent="0.25">
      <c r="A90" s="922"/>
      <c r="B90" s="118"/>
      <c r="C90" s="344" t="s">
        <v>89</v>
      </c>
      <c r="D90" s="107" t="s">
        <v>59</v>
      </c>
      <c r="E90" s="47">
        <v>3.78E-2</v>
      </c>
      <c r="F90" s="47">
        <f>E90*F85</f>
        <v>6.4260000000000003E-3</v>
      </c>
      <c r="G90" s="48"/>
      <c r="H90" s="48">
        <f t="shared" si="8"/>
        <v>0</v>
      </c>
      <c r="I90" s="48"/>
      <c r="J90" s="48"/>
      <c r="K90" s="48"/>
      <c r="L90" s="48"/>
      <c r="M90" s="48">
        <f t="shared" si="10"/>
        <v>0</v>
      </c>
      <c r="N90" s="309"/>
      <c r="O90" s="323"/>
      <c r="P90" s="323"/>
      <c r="Q90" s="323"/>
      <c r="R90" s="323"/>
      <c r="S90" s="323"/>
      <c r="T90" s="323"/>
      <c r="U90" s="323"/>
    </row>
    <row r="91" spans="1:21" ht="16.5" x14ac:dyDescent="0.25">
      <c r="A91" s="922"/>
      <c r="B91" s="118"/>
      <c r="C91" s="344" t="s">
        <v>102</v>
      </c>
      <c r="D91" s="107" t="s">
        <v>276</v>
      </c>
      <c r="E91" s="144">
        <v>2.2999999999999998</v>
      </c>
      <c r="F91" s="47">
        <f>F85*E91</f>
        <v>0.39100000000000001</v>
      </c>
      <c r="G91" s="48"/>
      <c r="H91" s="48">
        <f t="shared" si="8"/>
        <v>0</v>
      </c>
      <c r="I91" s="48"/>
      <c r="J91" s="48"/>
      <c r="K91" s="48"/>
      <c r="L91" s="48"/>
      <c r="M91" s="48">
        <f t="shared" si="10"/>
        <v>0</v>
      </c>
      <c r="N91" s="309"/>
      <c r="O91" s="323"/>
      <c r="P91" s="323"/>
      <c r="Q91" s="323"/>
      <c r="R91" s="323"/>
      <c r="S91" s="323"/>
      <c r="T91" s="323"/>
      <c r="U91" s="323"/>
    </row>
    <row r="92" spans="1:21" ht="16.5" x14ac:dyDescent="0.25">
      <c r="A92" s="922"/>
      <c r="B92" s="45"/>
      <c r="C92" s="326" t="s">
        <v>10</v>
      </c>
      <c r="D92" s="46" t="s">
        <v>7</v>
      </c>
      <c r="E92" s="144">
        <v>0.95</v>
      </c>
      <c r="F92" s="144">
        <f>F85*E92</f>
        <v>0.1615</v>
      </c>
      <c r="G92" s="48"/>
      <c r="H92" s="48">
        <f t="shared" si="8"/>
        <v>0</v>
      </c>
      <c r="I92" s="48"/>
      <c r="J92" s="48"/>
      <c r="K92" s="48"/>
      <c r="L92" s="48"/>
      <c r="M92" s="48">
        <f t="shared" si="10"/>
        <v>0</v>
      </c>
      <c r="N92" s="309"/>
      <c r="O92" s="323"/>
      <c r="P92" s="323"/>
      <c r="Q92" s="323"/>
      <c r="R92" s="323"/>
      <c r="S92" s="323"/>
      <c r="T92" s="323"/>
      <c r="U92" s="323"/>
    </row>
    <row r="93" spans="1:21" ht="16.5" x14ac:dyDescent="0.25">
      <c r="A93" s="922"/>
      <c r="B93" s="45"/>
      <c r="C93" s="346" t="s">
        <v>271</v>
      </c>
      <c r="D93" s="40" t="s">
        <v>195</v>
      </c>
      <c r="E93" s="347">
        <v>1.03</v>
      </c>
      <c r="F93" s="347">
        <v>1.602E-2</v>
      </c>
      <c r="G93" s="74"/>
      <c r="H93" s="48">
        <f>F93*G93</f>
        <v>0</v>
      </c>
      <c r="I93" s="48"/>
      <c r="J93" s="48"/>
      <c r="K93" s="48"/>
      <c r="L93" s="48"/>
      <c r="M93" s="48">
        <f>H93+J93+L93</f>
        <v>0</v>
      </c>
      <c r="N93" s="309"/>
      <c r="O93" s="323"/>
      <c r="P93" s="323"/>
      <c r="Q93" s="323"/>
      <c r="R93" s="323"/>
      <c r="S93" s="323"/>
      <c r="T93" s="323"/>
      <c r="U93" s="323"/>
    </row>
    <row r="94" spans="1:21" ht="16.5" x14ac:dyDescent="0.25">
      <c r="A94" s="923"/>
      <c r="B94" s="45"/>
      <c r="C94" s="346" t="s">
        <v>272</v>
      </c>
      <c r="D94" s="40" t="s">
        <v>195</v>
      </c>
      <c r="E94" s="347">
        <v>1.03</v>
      </c>
      <c r="F94" s="347">
        <v>7.11E-3</v>
      </c>
      <c r="G94" s="48"/>
      <c r="H94" s="48">
        <f>F94*G94</f>
        <v>0</v>
      </c>
      <c r="I94" s="48"/>
      <c r="J94" s="48"/>
      <c r="K94" s="48"/>
      <c r="L94" s="48"/>
      <c r="M94" s="48">
        <f>H94+J94+L94</f>
        <v>0</v>
      </c>
      <c r="N94" s="309"/>
      <c r="O94" s="323"/>
      <c r="P94" s="323"/>
      <c r="Q94" s="323"/>
      <c r="R94" s="323"/>
      <c r="S94" s="323"/>
      <c r="T94" s="323"/>
      <c r="U94" s="323"/>
    </row>
    <row r="95" spans="1:21" ht="63" x14ac:dyDescent="0.25">
      <c r="A95" s="917">
        <v>12</v>
      </c>
      <c r="B95" s="66" t="s">
        <v>292</v>
      </c>
      <c r="C95" s="340" t="s">
        <v>293</v>
      </c>
      <c r="D95" s="40" t="s">
        <v>66</v>
      </c>
      <c r="E95" s="341"/>
      <c r="F95" s="341">
        <v>1.05</v>
      </c>
      <c r="G95" s="48"/>
      <c r="H95" s="48"/>
      <c r="I95" s="48"/>
      <c r="J95" s="48"/>
      <c r="K95" s="48"/>
      <c r="L95" s="48"/>
      <c r="M95" s="48"/>
      <c r="N95" s="309"/>
      <c r="O95" s="323"/>
      <c r="P95" s="323"/>
      <c r="Q95" s="323"/>
      <c r="R95" s="323"/>
      <c r="S95" s="323"/>
      <c r="T95" s="323"/>
      <c r="U95" s="323"/>
    </row>
    <row r="96" spans="1:21" ht="27" x14ac:dyDescent="0.25">
      <c r="A96" s="918"/>
      <c r="B96" s="345"/>
      <c r="C96" s="344" t="s">
        <v>73</v>
      </c>
      <c r="D96" s="46" t="s">
        <v>9</v>
      </c>
      <c r="E96" s="47">
        <v>8.5399999999999991</v>
      </c>
      <c r="F96" s="47">
        <f>F95*E96</f>
        <v>8.9669999999999987</v>
      </c>
      <c r="G96" s="48"/>
      <c r="H96" s="48"/>
      <c r="I96" s="74"/>
      <c r="J96" s="48">
        <f t="shared" si="9"/>
        <v>0</v>
      </c>
      <c r="K96" s="48"/>
      <c r="L96" s="48"/>
      <c r="M96" s="48">
        <f t="shared" si="10"/>
        <v>0</v>
      </c>
      <c r="N96" s="309"/>
      <c r="O96" s="323"/>
      <c r="P96" s="323"/>
      <c r="Q96" s="323"/>
      <c r="R96" s="323"/>
      <c r="S96" s="323"/>
      <c r="T96" s="323"/>
      <c r="U96" s="323"/>
    </row>
    <row r="97" spans="1:21" ht="16.5" x14ac:dyDescent="0.25">
      <c r="A97" s="918"/>
      <c r="B97" s="45"/>
      <c r="C97" s="326" t="s">
        <v>8</v>
      </c>
      <c r="D97" s="46" t="s">
        <v>7</v>
      </c>
      <c r="E97" s="144">
        <v>1.06</v>
      </c>
      <c r="F97" s="144">
        <f>F95*E97</f>
        <v>1.1130000000000002</v>
      </c>
      <c r="G97" s="48"/>
      <c r="H97" s="48"/>
      <c r="I97" s="48"/>
      <c r="J97" s="48"/>
      <c r="K97" s="74"/>
      <c r="L97" s="48">
        <f t="shared" ref="L97:L139" si="12">F97*K97</f>
        <v>0</v>
      </c>
      <c r="M97" s="48">
        <f t="shared" si="10"/>
        <v>0</v>
      </c>
      <c r="N97" s="309"/>
      <c r="O97" s="323"/>
      <c r="P97" s="323"/>
      <c r="Q97" s="323"/>
      <c r="R97" s="323"/>
      <c r="S97" s="323"/>
      <c r="T97" s="323"/>
      <c r="U97" s="323"/>
    </row>
    <row r="98" spans="1:21" ht="16.5" x14ac:dyDescent="0.25">
      <c r="A98" s="918"/>
      <c r="B98" s="45"/>
      <c r="C98" s="326" t="s">
        <v>270</v>
      </c>
      <c r="D98" s="46" t="s">
        <v>59</v>
      </c>
      <c r="E98" s="47">
        <v>1.1000000000000001</v>
      </c>
      <c r="F98" s="144">
        <f>E98*F95</f>
        <v>1.1550000000000002</v>
      </c>
      <c r="G98" s="48"/>
      <c r="H98" s="48">
        <f t="shared" si="8"/>
        <v>0</v>
      </c>
      <c r="I98" s="48"/>
      <c r="J98" s="48"/>
      <c r="K98" s="48"/>
      <c r="L98" s="48"/>
      <c r="M98" s="48">
        <f t="shared" si="10"/>
        <v>0</v>
      </c>
      <c r="N98" s="309"/>
      <c r="O98" s="323"/>
      <c r="P98" s="323"/>
      <c r="Q98" s="323"/>
      <c r="R98" s="323"/>
      <c r="S98" s="323"/>
      <c r="T98" s="323"/>
      <c r="U98" s="323"/>
    </row>
    <row r="99" spans="1:21" ht="16.5" x14ac:dyDescent="0.25">
      <c r="A99" s="918"/>
      <c r="B99" s="118"/>
      <c r="C99" s="344" t="s">
        <v>79</v>
      </c>
      <c r="D99" s="46" t="s">
        <v>80</v>
      </c>
      <c r="E99" s="47">
        <v>1.4</v>
      </c>
      <c r="F99" s="47">
        <f>F95*E99</f>
        <v>1.47</v>
      </c>
      <c r="G99" s="74"/>
      <c r="H99" s="48">
        <f t="shared" si="8"/>
        <v>0</v>
      </c>
      <c r="I99" s="48"/>
      <c r="J99" s="48"/>
      <c r="K99" s="48"/>
      <c r="L99" s="48"/>
      <c r="M99" s="48">
        <f t="shared" si="10"/>
        <v>0</v>
      </c>
      <c r="N99" s="309"/>
      <c r="O99" s="323"/>
      <c r="P99" s="323"/>
      <c r="Q99" s="323"/>
      <c r="R99" s="323"/>
      <c r="S99" s="323"/>
      <c r="T99" s="323"/>
      <c r="U99" s="323"/>
    </row>
    <row r="100" spans="1:21" ht="16.5" x14ac:dyDescent="0.25">
      <c r="A100" s="918"/>
      <c r="B100" s="118"/>
      <c r="C100" s="344" t="s">
        <v>89</v>
      </c>
      <c r="D100" s="107" t="s">
        <v>59</v>
      </c>
      <c r="E100" s="47">
        <v>1.4500000000000001E-2</v>
      </c>
      <c r="F100" s="47">
        <f>E100*F95</f>
        <v>1.5225000000000001E-2</v>
      </c>
      <c r="G100" s="48"/>
      <c r="H100" s="48">
        <f t="shared" si="8"/>
        <v>0</v>
      </c>
      <c r="I100" s="48"/>
      <c r="J100" s="48"/>
      <c r="K100" s="48"/>
      <c r="L100" s="48"/>
      <c r="M100" s="48">
        <f t="shared" si="10"/>
        <v>0</v>
      </c>
      <c r="N100" s="309"/>
      <c r="O100" s="323"/>
      <c r="P100" s="323"/>
      <c r="Q100" s="323"/>
      <c r="R100" s="323"/>
      <c r="S100" s="323"/>
      <c r="T100" s="323"/>
      <c r="U100" s="323"/>
    </row>
    <row r="101" spans="1:21" ht="16.5" x14ac:dyDescent="0.25">
      <c r="A101" s="918"/>
      <c r="B101" s="118"/>
      <c r="C101" s="344" t="s">
        <v>102</v>
      </c>
      <c r="D101" s="107" t="s">
        <v>276</v>
      </c>
      <c r="E101" s="144">
        <v>2.5</v>
      </c>
      <c r="F101" s="47">
        <f>F95*E101</f>
        <v>2.625</v>
      </c>
      <c r="G101" s="48"/>
      <c r="H101" s="48">
        <f t="shared" si="8"/>
        <v>0</v>
      </c>
      <c r="I101" s="48"/>
      <c r="J101" s="48"/>
      <c r="K101" s="48"/>
      <c r="L101" s="48"/>
      <c r="M101" s="48">
        <f t="shared" si="10"/>
        <v>0</v>
      </c>
      <c r="N101" s="309"/>
      <c r="O101" s="323"/>
      <c r="P101" s="323"/>
      <c r="Q101" s="323"/>
      <c r="R101" s="323"/>
      <c r="S101" s="323"/>
      <c r="T101" s="323"/>
      <c r="U101" s="323"/>
    </row>
    <row r="102" spans="1:21" ht="16.5" x14ac:dyDescent="0.25">
      <c r="A102" s="918"/>
      <c r="B102" s="45"/>
      <c r="C102" s="326" t="s">
        <v>10</v>
      </c>
      <c r="D102" s="46" t="s">
        <v>7</v>
      </c>
      <c r="E102" s="144">
        <v>0.74</v>
      </c>
      <c r="F102" s="144">
        <f>F95*E102</f>
        <v>0.77700000000000002</v>
      </c>
      <c r="G102" s="48"/>
      <c r="H102" s="48">
        <f t="shared" si="8"/>
        <v>0</v>
      </c>
      <c r="I102" s="48"/>
      <c r="J102" s="48"/>
      <c r="K102" s="48"/>
      <c r="L102" s="48"/>
      <c r="M102" s="48">
        <f t="shared" si="10"/>
        <v>0</v>
      </c>
      <c r="N102" s="309"/>
      <c r="O102" s="323"/>
      <c r="P102" s="323"/>
      <c r="Q102" s="323"/>
      <c r="R102" s="323"/>
      <c r="S102" s="323"/>
      <c r="T102" s="323"/>
      <c r="U102" s="323"/>
    </row>
    <row r="103" spans="1:21" ht="16.5" x14ac:dyDescent="0.25">
      <c r="A103" s="918"/>
      <c r="B103" s="118"/>
      <c r="C103" s="346" t="s">
        <v>271</v>
      </c>
      <c r="D103" s="40" t="s">
        <v>27</v>
      </c>
      <c r="E103" s="347">
        <v>1.03</v>
      </c>
      <c r="F103" s="347">
        <v>7.986E-2</v>
      </c>
      <c r="G103" s="74"/>
      <c r="H103" s="48">
        <f>F103*G103</f>
        <v>0</v>
      </c>
      <c r="I103" s="48"/>
      <c r="J103" s="48"/>
      <c r="K103" s="48"/>
      <c r="L103" s="48"/>
      <c r="M103" s="48">
        <f>H103+J103+L103</f>
        <v>0</v>
      </c>
      <c r="N103" s="309"/>
      <c r="O103" s="323"/>
      <c r="P103" s="323"/>
      <c r="Q103" s="323"/>
      <c r="R103" s="323"/>
      <c r="S103" s="323"/>
      <c r="T103" s="323"/>
      <c r="U103" s="323"/>
    </row>
    <row r="104" spans="1:21" ht="16.5" x14ac:dyDescent="0.25">
      <c r="A104" s="919"/>
      <c r="B104" s="45"/>
      <c r="C104" s="346" t="s">
        <v>272</v>
      </c>
      <c r="D104" s="40" t="s">
        <v>27</v>
      </c>
      <c r="E104" s="347">
        <v>1.03</v>
      </c>
      <c r="F104" s="347">
        <v>4.9770000000000002E-2</v>
      </c>
      <c r="G104" s="48"/>
      <c r="H104" s="48">
        <f>F104*G104</f>
        <v>0</v>
      </c>
      <c r="I104" s="48"/>
      <c r="J104" s="48"/>
      <c r="K104" s="48"/>
      <c r="L104" s="48"/>
      <c r="M104" s="48">
        <f>H104+J104+L104</f>
        <v>0</v>
      </c>
      <c r="N104" s="309"/>
      <c r="O104" s="323"/>
      <c r="P104" s="323"/>
      <c r="Q104" s="323"/>
      <c r="R104" s="323"/>
      <c r="S104" s="323"/>
      <c r="T104" s="323"/>
      <c r="U104" s="323"/>
    </row>
    <row r="105" spans="1:21" ht="47.25" x14ac:dyDescent="0.25">
      <c r="A105" s="917">
        <v>13</v>
      </c>
      <c r="B105" s="66" t="s">
        <v>85</v>
      </c>
      <c r="C105" s="340" t="s">
        <v>294</v>
      </c>
      <c r="D105" s="68" t="s">
        <v>66</v>
      </c>
      <c r="E105" s="341"/>
      <c r="F105" s="341">
        <v>3.36</v>
      </c>
      <c r="G105" s="42"/>
      <c r="H105" s="48"/>
      <c r="I105" s="42"/>
      <c r="J105" s="48"/>
      <c r="K105" s="42"/>
      <c r="L105" s="48"/>
      <c r="M105" s="48"/>
      <c r="N105" s="309"/>
      <c r="O105" s="323"/>
      <c r="P105" s="323"/>
      <c r="Q105" s="323"/>
      <c r="R105" s="323"/>
      <c r="S105" s="323"/>
      <c r="T105" s="323"/>
      <c r="U105" s="323"/>
    </row>
    <row r="106" spans="1:21" ht="16.5" x14ac:dyDescent="0.25">
      <c r="A106" s="918"/>
      <c r="B106" s="66"/>
      <c r="C106" s="342" t="s">
        <v>77</v>
      </c>
      <c r="D106" s="72" t="s">
        <v>18</v>
      </c>
      <c r="E106" s="73">
        <f>840*0.01</f>
        <v>8.4</v>
      </c>
      <c r="F106" s="73">
        <f>E106*F105</f>
        <v>28.224</v>
      </c>
      <c r="G106" s="74"/>
      <c r="H106" s="48"/>
      <c r="I106" s="74"/>
      <c r="J106" s="48">
        <f t="shared" si="9"/>
        <v>0</v>
      </c>
      <c r="K106" s="74"/>
      <c r="L106" s="48"/>
      <c r="M106" s="48">
        <f t="shared" si="10"/>
        <v>0</v>
      </c>
      <c r="N106" s="309"/>
      <c r="O106" s="323"/>
      <c r="P106" s="323"/>
      <c r="Q106" s="323"/>
      <c r="R106" s="323"/>
      <c r="S106" s="323"/>
      <c r="T106" s="323"/>
      <c r="U106" s="323"/>
    </row>
    <row r="107" spans="1:21" ht="16.5" x14ac:dyDescent="0.25">
      <c r="A107" s="918"/>
      <c r="B107" s="66"/>
      <c r="C107" s="326" t="s">
        <v>8</v>
      </c>
      <c r="D107" s="46" t="s">
        <v>7</v>
      </c>
      <c r="E107" s="73">
        <f>81*0.01</f>
        <v>0.81</v>
      </c>
      <c r="F107" s="73">
        <f>E107*F105</f>
        <v>2.7216</v>
      </c>
      <c r="G107" s="74"/>
      <c r="H107" s="48"/>
      <c r="I107" s="74"/>
      <c r="J107" s="48"/>
      <c r="K107" s="74"/>
      <c r="L107" s="48">
        <f t="shared" si="12"/>
        <v>0</v>
      </c>
      <c r="M107" s="48">
        <f t="shared" si="10"/>
        <v>0</v>
      </c>
      <c r="N107" s="309"/>
      <c r="O107" s="323"/>
      <c r="P107" s="323"/>
      <c r="Q107" s="323"/>
      <c r="R107" s="323"/>
      <c r="S107" s="323"/>
      <c r="T107" s="323"/>
      <c r="U107" s="323"/>
    </row>
    <row r="108" spans="1:21" ht="16.5" x14ac:dyDescent="0.25">
      <c r="A108" s="918"/>
      <c r="B108" s="71"/>
      <c r="C108" s="342" t="s">
        <v>78</v>
      </c>
      <c r="D108" s="72" t="s">
        <v>59</v>
      </c>
      <c r="E108" s="73">
        <f>101.5*0.01</f>
        <v>1.0150000000000001</v>
      </c>
      <c r="F108" s="73">
        <f>E108*F105</f>
        <v>3.4104000000000001</v>
      </c>
      <c r="G108" s="74"/>
      <c r="H108" s="48">
        <f t="shared" si="8"/>
        <v>0</v>
      </c>
      <c r="I108" s="74"/>
      <c r="J108" s="48"/>
      <c r="K108" s="74"/>
      <c r="L108" s="48"/>
      <c r="M108" s="48">
        <f t="shared" si="10"/>
        <v>0</v>
      </c>
      <c r="N108" s="309"/>
      <c r="O108" s="323"/>
      <c r="P108" s="323"/>
      <c r="Q108" s="323"/>
      <c r="R108" s="323"/>
      <c r="S108" s="323"/>
      <c r="T108" s="323"/>
      <c r="U108" s="323"/>
    </row>
    <row r="109" spans="1:21" ht="16.5" x14ac:dyDescent="0.25">
      <c r="A109" s="918"/>
      <c r="B109" s="71"/>
      <c r="C109" s="342" t="s">
        <v>79</v>
      </c>
      <c r="D109" s="72" t="s">
        <v>80</v>
      </c>
      <c r="E109" s="73">
        <f>137*0.01</f>
        <v>1.37</v>
      </c>
      <c r="F109" s="73">
        <f>E109*F105</f>
        <v>4.6032000000000002</v>
      </c>
      <c r="G109" s="74"/>
      <c r="H109" s="48">
        <f t="shared" si="8"/>
        <v>0</v>
      </c>
      <c r="I109" s="74"/>
      <c r="J109" s="48"/>
      <c r="K109" s="74"/>
      <c r="L109" s="48"/>
      <c r="M109" s="48">
        <f t="shared" si="10"/>
        <v>0</v>
      </c>
      <c r="N109" s="309"/>
      <c r="O109" s="323"/>
      <c r="P109" s="323"/>
      <c r="Q109" s="323"/>
      <c r="R109" s="323"/>
      <c r="S109" s="323"/>
      <c r="T109" s="323"/>
      <c r="U109" s="323"/>
    </row>
    <row r="110" spans="1:21" ht="16.5" x14ac:dyDescent="0.25">
      <c r="A110" s="918"/>
      <c r="B110" s="71"/>
      <c r="C110" s="342" t="s">
        <v>81</v>
      </c>
      <c r="D110" s="72" t="s">
        <v>59</v>
      </c>
      <c r="E110" s="73">
        <f>(0.84+2.56+0.26)/100</f>
        <v>3.6600000000000001E-2</v>
      </c>
      <c r="F110" s="73">
        <f>E110*F105</f>
        <v>0.122976</v>
      </c>
      <c r="G110" s="74"/>
      <c r="H110" s="48">
        <f t="shared" si="8"/>
        <v>0</v>
      </c>
      <c r="I110" s="74"/>
      <c r="J110" s="48"/>
      <c r="K110" s="74"/>
      <c r="L110" s="48"/>
      <c r="M110" s="48">
        <f t="shared" si="10"/>
        <v>0</v>
      </c>
      <c r="N110" s="309"/>
      <c r="O110" s="323"/>
      <c r="P110" s="323"/>
      <c r="Q110" s="323"/>
      <c r="R110" s="323"/>
      <c r="S110" s="323"/>
      <c r="T110" s="323"/>
      <c r="U110" s="323"/>
    </row>
    <row r="111" spans="1:21" ht="16.5" x14ac:dyDescent="0.25">
      <c r="A111" s="918"/>
      <c r="B111" s="66"/>
      <c r="C111" s="342" t="s">
        <v>10</v>
      </c>
      <c r="D111" s="72" t="s">
        <v>7</v>
      </c>
      <c r="E111" s="73">
        <f>0.39*0.01</f>
        <v>3.9000000000000003E-3</v>
      </c>
      <c r="F111" s="73">
        <f>E111*F105</f>
        <v>1.3104000000000001E-2</v>
      </c>
      <c r="G111" s="74"/>
      <c r="H111" s="48">
        <f t="shared" si="8"/>
        <v>0</v>
      </c>
      <c r="I111" s="74"/>
      <c r="J111" s="48"/>
      <c r="K111" s="74"/>
      <c r="L111" s="48"/>
      <c r="M111" s="48">
        <f t="shared" si="10"/>
        <v>0</v>
      </c>
      <c r="N111" s="309"/>
      <c r="O111" s="323"/>
      <c r="P111" s="323"/>
      <c r="Q111" s="323"/>
      <c r="R111" s="323"/>
      <c r="S111" s="323"/>
      <c r="T111" s="323"/>
      <c r="U111" s="323"/>
    </row>
    <row r="112" spans="1:21" ht="16.5" x14ac:dyDescent="0.25">
      <c r="A112" s="918"/>
      <c r="B112" s="66"/>
      <c r="C112" s="340" t="s">
        <v>295</v>
      </c>
      <c r="D112" s="68" t="s">
        <v>70</v>
      </c>
      <c r="E112" s="341"/>
      <c r="F112" s="341">
        <v>0.24410999999999999</v>
      </c>
      <c r="G112" s="74"/>
      <c r="H112" s="48">
        <f t="shared" si="8"/>
        <v>0</v>
      </c>
      <c r="I112" s="74"/>
      <c r="J112" s="48"/>
      <c r="K112" s="74"/>
      <c r="L112" s="48"/>
      <c r="M112" s="48">
        <f t="shared" si="10"/>
        <v>0</v>
      </c>
      <c r="N112" s="309"/>
      <c r="O112" s="323"/>
      <c r="P112" s="323"/>
      <c r="Q112" s="323"/>
      <c r="R112" s="323"/>
      <c r="S112" s="323"/>
      <c r="T112" s="323"/>
      <c r="U112" s="323"/>
    </row>
    <row r="113" spans="1:21" ht="16.5" x14ac:dyDescent="0.25">
      <c r="A113" s="919"/>
      <c r="B113" s="66"/>
      <c r="C113" s="340" t="s">
        <v>296</v>
      </c>
      <c r="D113" s="68" t="s">
        <v>70</v>
      </c>
      <c r="E113" s="341"/>
      <c r="F113" s="341">
        <v>6.4780000000000004E-2</v>
      </c>
      <c r="G113" s="74"/>
      <c r="H113" s="48">
        <f t="shared" si="8"/>
        <v>0</v>
      </c>
      <c r="I113" s="74"/>
      <c r="J113" s="48"/>
      <c r="K113" s="74"/>
      <c r="L113" s="48"/>
      <c r="M113" s="48">
        <f t="shared" si="10"/>
        <v>0</v>
      </c>
      <c r="N113" s="309"/>
      <c r="O113" s="323"/>
      <c r="P113" s="323"/>
      <c r="Q113" s="323"/>
      <c r="R113" s="323"/>
      <c r="S113" s="323"/>
      <c r="T113" s="323"/>
      <c r="U113" s="323"/>
    </row>
    <row r="114" spans="1:21" ht="31.5" x14ac:dyDescent="0.25">
      <c r="A114" s="349" t="s">
        <v>297</v>
      </c>
      <c r="B114" s="350"/>
      <c r="C114" s="351" t="s">
        <v>298</v>
      </c>
      <c r="D114" s="352"/>
      <c r="E114" s="353"/>
      <c r="F114" s="88"/>
      <c r="G114" s="48"/>
      <c r="H114" s="48"/>
      <c r="I114" s="48"/>
      <c r="J114" s="48"/>
      <c r="K114" s="48"/>
      <c r="L114" s="48"/>
      <c r="M114" s="48"/>
      <c r="N114" s="309"/>
      <c r="O114" s="323"/>
      <c r="P114" s="323"/>
      <c r="Q114" s="323"/>
      <c r="R114" s="323"/>
      <c r="S114" s="323"/>
      <c r="T114" s="323"/>
      <c r="U114" s="323"/>
    </row>
    <row r="115" spans="1:21" ht="47.25" x14ac:dyDescent="0.25">
      <c r="A115" s="920" t="s">
        <v>299</v>
      </c>
      <c r="B115" s="38" t="s">
        <v>300</v>
      </c>
      <c r="C115" s="324" t="s">
        <v>301</v>
      </c>
      <c r="D115" s="40"/>
      <c r="E115" s="88"/>
      <c r="F115" s="88"/>
      <c r="G115" s="48"/>
      <c r="H115" s="48"/>
      <c r="I115" s="48"/>
      <c r="J115" s="48"/>
      <c r="K115" s="48"/>
      <c r="L115" s="48"/>
      <c r="M115" s="48"/>
      <c r="N115" s="309"/>
      <c r="O115" s="323"/>
      <c r="P115" s="323"/>
      <c r="Q115" s="323"/>
      <c r="R115" s="323"/>
      <c r="S115" s="323"/>
      <c r="T115" s="323"/>
      <c r="U115" s="323"/>
    </row>
    <row r="116" spans="1:21" ht="31.5" x14ac:dyDescent="0.25">
      <c r="A116" s="920"/>
      <c r="B116" s="38"/>
      <c r="C116" s="326" t="s">
        <v>302</v>
      </c>
      <c r="D116" s="46" t="s">
        <v>74</v>
      </c>
      <c r="E116" s="88"/>
      <c r="F116" s="47">
        <v>0.43</v>
      </c>
      <c r="G116" s="48"/>
      <c r="H116" s="48"/>
      <c r="I116" s="48"/>
      <c r="J116" s="48"/>
      <c r="K116" s="48"/>
      <c r="L116" s="48"/>
      <c r="M116" s="48"/>
      <c r="N116" s="309"/>
      <c r="O116" s="323"/>
      <c r="P116" s="323"/>
      <c r="Q116" s="323"/>
      <c r="R116" s="323"/>
      <c r="S116" s="323"/>
      <c r="T116" s="323"/>
      <c r="U116" s="323"/>
    </row>
    <row r="117" spans="1:21" ht="16.5" x14ac:dyDescent="0.25">
      <c r="A117" s="920"/>
      <c r="B117" s="38"/>
      <c r="C117" s="326" t="s">
        <v>303</v>
      </c>
      <c r="D117" s="46" t="s">
        <v>74</v>
      </c>
      <c r="E117" s="88"/>
      <c r="F117" s="47">
        <f>0.39+0.41</f>
        <v>0.8</v>
      </c>
      <c r="G117" s="48"/>
      <c r="H117" s="48"/>
      <c r="I117" s="48"/>
      <c r="J117" s="48"/>
      <c r="K117" s="48"/>
      <c r="L117" s="48"/>
      <c r="M117" s="48"/>
      <c r="N117" s="309"/>
      <c r="O117" s="323"/>
      <c r="P117" s="323"/>
      <c r="Q117" s="323"/>
      <c r="R117" s="323"/>
      <c r="S117" s="323"/>
      <c r="T117" s="323"/>
      <c r="U117" s="323"/>
    </row>
    <row r="118" spans="1:21" ht="31.5" x14ac:dyDescent="0.25">
      <c r="A118" s="920"/>
      <c r="B118" s="38"/>
      <c r="C118" s="326" t="s">
        <v>304</v>
      </c>
      <c r="D118" s="46"/>
      <c r="E118" s="88"/>
      <c r="F118" s="47"/>
      <c r="G118" s="48"/>
      <c r="H118" s="48"/>
      <c r="I118" s="48"/>
      <c r="J118" s="48"/>
      <c r="K118" s="48"/>
      <c r="L118" s="48"/>
      <c r="M118" s="48"/>
      <c r="N118" s="309"/>
      <c r="O118" s="323"/>
      <c r="P118" s="323"/>
      <c r="Q118" s="323"/>
      <c r="R118" s="323"/>
      <c r="S118" s="323"/>
      <c r="T118" s="323"/>
      <c r="U118" s="323"/>
    </row>
    <row r="119" spans="1:21" ht="16.5" x14ac:dyDescent="0.25">
      <c r="A119" s="920"/>
      <c r="B119" s="38"/>
      <c r="C119" s="326"/>
      <c r="D119" s="46"/>
      <c r="E119" s="88"/>
      <c r="F119" s="47"/>
      <c r="G119" s="48"/>
      <c r="H119" s="48"/>
      <c r="I119" s="48"/>
      <c r="J119" s="48"/>
      <c r="K119" s="48"/>
      <c r="L119" s="48"/>
      <c r="M119" s="48"/>
      <c r="N119" s="309"/>
      <c r="O119" s="323"/>
      <c r="P119" s="323"/>
      <c r="Q119" s="323"/>
      <c r="R119" s="323"/>
      <c r="S119" s="323"/>
      <c r="T119" s="323"/>
      <c r="U119" s="323"/>
    </row>
    <row r="120" spans="1:21" ht="16.5" x14ac:dyDescent="0.25">
      <c r="A120" s="920"/>
      <c r="B120" s="349"/>
      <c r="C120" s="324" t="s">
        <v>305</v>
      </c>
      <c r="D120" s="40" t="s">
        <v>306</v>
      </c>
      <c r="E120" s="88"/>
      <c r="F120" s="237">
        <f>F116+F117+F119</f>
        <v>1.23</v>
      </c>
      <c r="G120" s="48"/>
      <c r="H120" s="48"/>
      <c r="I120" s="48"/>
      <c r="J120" s="48"/>
      <c r="K120" s="48"/>
      <c r="L120" s="48"/>
      <c r="M120" s="48"/>
      <c r="N120" s="309"/>
      <c r="O120" s="323"/>
      <c r="P120" s="323"/>
      <c r="Q120" s="323"/>
      <c r="R120" s="323"/>
      <c r="S120" s="323"/>
      <c r="T120" s="323"/>
      <c r="U120" s="323"/>
    </row>
    <row r="121" spans="1:21" ht="27" x14ac:dyDescent="0.25">
      <c r="A121" s="920"/>
      <c r="B121" s="45"/>
      <c r="C121" s="326" t="s">
        <v>73</v>
      </c>
      <c r="D121" s="46" t="s">
        <v>9</v>
      </c>
      <c r="E121" s="47">
        <v>23.8</v>
      </c>
      <c r="F121" s="47">
        <f>F120*E121</f>
        <v>29.274000000000001</v>
      </c>
      <c r="G121" s="48"/>
      <c r="H121" s="48"/>
      <c r="I121" s="48"/>
      <c r="J121" s="48">
        <f t="shared" si="9"/>
        <v>0</v>
      </c>
      <c r="K121" s="48"/>
      <c r="L121" s="48"/>
      <c r="M121" s="48">
        <f t="shared" si="10"/>
        <v>0</v>
      </c>
      <c r="N121" s="309"/>
      <c r="O121" s="323"/>
      <c r="P121" s="323"/>
      <c r="Q121" s="323"/>
      <c r="R121" s="323"/>
      <c r="S121" s="323"/>
      <c r="T121" s="323"/>
      <c r="U121" s="323"/>
    </row>
    <row r="122" spans="1:21" ht="16.5" x14ac:dyDescent="0.25">
      <c r="A122" s="920"/>
      <c r="B122" s="45"/>
      <c r="C122" s="326" t="s">
        <v>8</v>
      </c>
      <c r="D122" s="46" t="s">
        <v>7</v>
      </c>
      <c r="E122" s="47">
        <v>2.1</v>
      </c>
      <c r="F122" s="47">
        <f>F120*E122</f>
        <v>2.5830000000000002</v>
      </c>
      <c r="G122" s="48"/>
      <c r="H122" s="48"/>
      <c r="I122" s="48"/>
      <c r="J122" s="48"/>
      <c r="K122" s="48"/>
      <c r="L122" s="48">
        <f t="shared" si="12"/>
        <v>0</v>
      </c>
      <c r="M122" s="48">
        <f t="shared" si="10"/>
        <v>0</v>
      </c>
      <c r="N122" s="309"/>
      <c r="O122" s="323"/>
      <c r="P122" s="323"/>
      <c r="Q122" s="323"/>
      <c r="R122" s="323"/>
      <c r="S122" s="323"/>
      <c r="T122" s="323"/>
      <c r="U122" s="323"/>
    </row>
    <row r="123" spans="1:21" ht="16.5" x14ac:dyDescent="0.25">
      <c r="A123" s="920"/>
      <c r="B123" s="45"/>
      <c r="C123" s="354" t="s">
        <v>307</v>
      </c>
      <c r="D123" s="161" t="s">
        <v>14</v>
      </c>
      <c r="E123" s="355">
        <f>0.16+0.06+0.83</f>
        <v>1.05</v>
      </c>
      <c r="F123" s="47">
        <f>F120*E123</f>
        <v>1.2915000000000001</v>
      </c>
      <c r="G123" s="48"/>
      <c r="H123" s="48">
        <f t="shared" si="8"/>
        <v>0</v>
      </c>
      <c r="I123" s="48"/>
      <c r="J123" s="48"/>
      <c r="K123" s="48"/>
      <c r="L123" s="48"/>
      <c r="M123" s="48">
        <f t="shared" si="10"/>
        <v>0</v>
      </c>
      <c r="N123" s="309"/>
      <c r="O123" s="323"/>
      <c r="P123" s="323"/>
      <c r="Q123" s="323"/>
      <c r="R123" s="323"/>
      <c r="S123" s="323"/>
      <c r="T123" s="323"/>
      <c r="U123" s="323"/>
    </row>
    <row r="124" spans="1:21" ht="16.5" x14ac:dyDescent="0.25">
      <c r="A124" s="920"/>
      <c r="B124" s="45"/>
      <c r="C124" s="354" t="s">
        <v>308</v>
      </c>
      <c r="D124" s="161" t="s">
        <v>5</v>
      </c>
      <c r="E124" s="355">
        <v>7.2</v>
      </c>
      <c r="F124" s="47">
        <f>F120*E124</f>
        <v>8.8559999999999999</v>
      </c>
      <c r="G124" s="48"/>
      <c r="H124" s="48">
        <f t="shared" si="8"/>
        <v>0</v>
      </c>
      <c r="I124" s="48"/>
      <c r="J124" s="48"/>
      <c r="K124" s="48"/>
      <c r="L124" s="48"/>
      <c r="M124" s="48">
        <f t="shared" si="10"/>
        <v>0</v>
      </c>
      <c r="N124" s="309"/>
      <c r="O124" s="323"/>
      <c r="P124" s="323"/>
      <c r="Q124" s="323"/>
      <c r="R124" s="323"/>
      <c r="S124" s="323"/>
      <c r="T124" s="323"/>
      <c r="U124" s="323"/>
    </row>
    <row r="125" spans="1:21" ht="16.5" x14ac:dyDescent="0.25">
      <c r="A125" s="920"/>
      <c r="B125" s="45"/>
      <c r="C125" s="354" t="s">
        <v>309</v>
      </c>
      <c r="D125" s="161" t="s">
        <v>5</v>
      </c>
      <c r="E125" s="355">
        <v>1.96</v>
      </c>
      <c r="F125" s="47">
        <f>F120*E125</f>
        <v>2.4108000000000001</v>
      </c>
      <c r="G125" s="48"/>
      <c r="H125" s="48">
        <f t="shared" si="8"/>
        <v>0</v>
      </c>
      <c r="I125" s="48"/>
      <c r="J125" s="48"/>
      <c r="K125" s="48"/>
      <c r="L125" s="48"/>
      <c r="M125" s="48">
        <f t="shared" si="10"/>
        <v>0</v>
      </c>
      <c r="N125" s="309"/>
      <c r="O125" s="323"/>
      <c r="P125" s="323"/>
      <c r="Q125" s="323"/>
      <c r="R125" s="323"/>
      <c r="S125" s="323"/>
      <c r="T125" s="323"/>
      <c r="U125" s="323"/>
    </row>
    <row r="126" spans="1:21" ht="16.5" x14ac:dyDescent="0.25">
      <c r="A126" s="920"/>
      <c r="B126" s="45"/>
      <c r="C126" s="354" t="s">
        <v>310</v>
      </c>
      <c r="D126" s="161" t="s">
        <v>311</v>
      </c>
      <c r="E126" s="355">
        <v>3.38</v>
      </c>
      <c r="F126" s="47">
        <f>F120*E126</f>
        <v>4.1574</v>
      </c>
      <c r="G126" s="48"/>
      <c r="H126" s="48">
        <f t="shared" si="8"/>
        <v>0</v>
      </c>
      <c r="I126" s="48"/>
      <c r="J126" s="48"/>
      <c r="K126" s="48"/>
      <c r="L126" s="48"/>
      <c r="M126" s="48">
        <f t="shared" si="10"/>
        <v>0</v>
      </c>
      <c r="N126" s="309"/>
      <c r="O126" s="323"/>
      <c r="P126" s="323"/>
      <c r="Q126" s="323"/>
      <c r="R126" s="323"/>
      <c r="S126" s="323"/>
      <c r="T126" s="323"/>
      <c r="U126" s="323"/>
    </row>
    <row r="127" spans="1:21" ht="16.5" x14ac:dyDescent="0.25">
      <c r="A127" s="920"/>
      <c r="B127" s="45"/>
      <c r="C127" s="354" t="s">
        <v>312</v>
      </c>
      <c r="D127" s="161" t="s">
        <v>5</v>
      </c>
      <c r="E127" s="355">
        <v>4.38</v>
      </c>
      <c r="F127" s="47">
        <f>F120*E127</f>
        <v>5.3873999999999995</v>
      </c>
      <c r="G127" s="48"/>
      <c r="H127" s="48">
        <f t="shared" si="8"/>
        <v>0</v>
      </c>
      <c r="I127" s="48"/>
      <c r="J127" s="48"/>
      <c r="K127" s="48"/>
      <c r="L127" s="48"/>
      <c r="M127" s="48">
        <f t="shared" si="10"/>
        <v>0</v>
      </c>
      <c r="N127" s="309"/>
      <c r="O127" s="323"/>
      <c r="P127" s="323"/>
      <c r="Q127" s="323"/>
      <c r="R127" s="323"/>
      <c r="S127" s="323"/>
      <c r="T127" s="323"/>
      <c r="U127" s="323"/>
    </row>
    <row r="128" spans="1:21" ht="63" x14ac:dyDescent="0.25">
      <c r="A128" s="920"/>
      <c r="B128" s="45"/>
      <c r="C128" s="326" t="s">
        <v>313</v>
      </c>
      <c r="D128" s="46" t="s">
        <v>147</v>
      </c>
      <c r="E128" s="47" t="s">
        <v>314</v>
      </c>
      <c r="F128" s="47">
        <v>36</v>
      </c>
      <c r="G128" s="48"/>
      <c r="H128" s="48">
        <f>F128*G128</f>
        <v>0</v>
      </c>
      <c r="I128" s="48"/>
      <c r="J128" s="48"/>
      <c r="K128" s="48"/>
      <c r="L128" s="48"/>
      <c r="M128" s="48">
        <f>H128+J128+L128</f>
        <v>0</v>
      </c>
      <c r="N128" s="309"/>
      <c r="O128" s="323"/>
      <c r="P128" s="323"/>
      <c r="Q128" s="323"/>
      <c r="R128" s="323"/>
      <c r="S128" s="323"/>
      <c r="T128" s="323"/>
      <c r="U128" s="323"/>
    </row>
    <row r="129" spans="1:21" ht="16.5" x14ac:dyDescent="0.25">
      <c r="A129" s="920"/>
      <c r="B129" s="45"/>
      <c r="C129" s="354" t="s">
        <v>122</v>
      </c>
      <c r="D129" s="161" t="s">
        <v>7</v>
      </c>
      <c r="E129" s="355">
        <v>3.44</v>
      </c>
      <c r="F129" s="47">
        <f>F120*E129</f>
        <v>4.2312000000000003</v>
      </c>
      <c r="G129" s="48"/>
      <c r="H129" s="48">
        <f t="shared" si="8"/>
        <v>0</v>
      </c>
      <c r="I129" s="48"/>
      <c r="J129" s="48"/>
      <c r="K129" s="48"/>
      <c r="L129" s="48"/>
      <c r="M129" s="48">
        <f t="shared" si="10"/>
        <v>0</v>
      </c>
      <c r="N129" s="309"/>
      <c r="O129" s="323"/>
      <c r="P129" s="323"/>
      <c r="Q129" s="323"/>
      <c r="R129" s="323"/>
      <c r="S129" s="323"/>
      <c r="T129" s="323"/>
      <c r="U129" s="323"/>
    </row>
    <row r="130" spans="1:21" ht="31.5" x14ac:dyDescent="0.25">
      <c r="A130" s="920" t="s">
        <v>315</v>
      </c>
      <c r="B130" s="38" t="s">
        <v>316</v>
      </c>
      <c r="C130" s="351" t="s">
        <v>317</v>
      </c>
      <c r="D130" s="352" t="s">
        <v>74</v>
      </c>
      <c r="E130" s="353"/>
      <c r="F130" s="88">
        <f>F120</f>
        <v>1.23</v>
      </c>
      <c r="G130" s="48"/>
      <c r="H130" s="48"/>
      <c r="I130" s="48"/>
      <c r="J130" s="48"/>
      <c r="K130" s="48"/>
      <c r="L130" s="48"/>
      <c r="M130" s="48"/>
      <c r="N130" s="309"/>
      <c r="O130" s="323"/>
      <c r="P130" s="323"/>
      <c r="Q130" s="323"/>
      <c r="R130" s="323"/>
      <c r="S130" s="323"/>
      <c r="T130" s="323"/>
      <c r="U130" s="323"/>
    </row>
    <row r="131" spans="1:21" ht="27" x14ac:dyDescent="0.25">
      <c r="A131" s="920"/>
      <c r="B131" s="45"/>
      <c r="C131" s="354" t="s">
        <v>157</v>
      </c>
      <c r="D131" s="161" t="s">
        <v>9</v>
      </c>
      <c r="E131" s="355">
        <v>0.87</v>
      </c>
      <c r="F131" s="47">
        <f>F130*E131</f>
        <v>1.0701000000000001</v>
      </c>
      <c r="G131" s="48"/>
      <c r="H131" s="48"/>
      <c r="I131" s="48"/>
      <c r="J131" s="48">
        <f t="shared" si="9"/>
        <v>0</v>
      </c>
      <c r="K131" s="48"/>
      <c r="L131" s="48"/>
      <c r="M131" s="48">
        <f t="shared" si="10"/>
        <v>0</v>
      </c>
      <c r="N131" s="309"/>
      <c r="O131" s="323"/>
      <c r="P131" s="323"/>
      <c r="Q131" s="323"/>
      <c r="R131" s="323"/>
      <c r="S131" s="323"/>
      <c r="T131" s="323"/>
      <c r="U131" s="323"/>
    </row>
    <row r="132" spans="1:21" ht="16.5" x14ac:dyDescent="0.25">
      <c r="A132" s="920"/>
      <c r="B132" s="45"/>
      <c r="C132" s="354" t="s">
        <v>318</v>
      </c>
      <c r="D132" s="161" t="s">
        <v>7</v>
      </c>
      <c r="E132" s="355">
        <v>0.13</v>
      </c>
      <c r="F132" s="47">
        <f>F130*E132</f>
        <v>0.15990000000000001</v>
      </c>
      <c r="G132" s="48"/>
      <c r="H132" s="48"/>
      <c r="I132" s="48"/>
      <c r="J132" s="48">
        <f t="shared" si="9"/>
        <v>0</v>
      </c>
      <c r="K132" s="48"/>
      <c r="L132" s="48">
        <f t="shared" si="12"/>
        <v>0</v>
      </c>
      <c r="M132" s="48">
        <f t="shared" si="10"/>
        <v>0</v>
      </c>
      <c r="N132" s="309"/>
      <c r="O132" s="323"/>
      <c r="P132" s="323"/>
      <c r="Q132" s="323"/>
      <c r="R132" s="323"/>
      <c r="S132" s="323"/>
      <c r="T132" s="323"/>
      <c r="U132" s="323"/>
    </row>
    <row r="133" spans="1:21" ht="16.5" x14ac:dyDescent="0.25">
      <c r="A133" s="920"/>
      <c r="B133" s="45"/>
      <c r="C133" s="354" t="s">
        <v>319</v>
      </c>
      <c r="D133" s="161" t="s">
        <v>5</v>
      </c>
      <c r="E133" s="355">
        <v>7.2</v>
      </c>
      <c r="F133" s="47">
        <f>F130*E133</f>
        <v>8.8559999999999999</v>
      </c>
      <c r="G133" s="48"/>
      <c r="H133" s="48">
        <f t="shared" si="8"/>
        <v>0</v>
      </c>
      <c r="I133" s="48"/>
      <c r="J133" s="48"/>
      <c r="K133" s="48"/>
      <c r="L133" s="48"/>
      <c r="M133" s="48">
        <f t="shared" si="10"/>
        <v>0</v>
      </c>
      <c r="N133" s="309"/>
      <c r="O133" s="323"/>
      <c r="P133" s="323"/>
      <c r="Q133" s="323"/>
      <c r="R133" s="323"/>
      <c r="S133" s="323"/>
      <c r="T133" s="323"/>
      <c r="U133" s="323"/>
    </row>
    <row r="134" spans="1:21" ht="16.5" x14ac:dyDescent="0.25">
      <c r="A134" s="920"/>
      <c r="B134" s="45"/>
      <c r="C134" s="354" t="s">
        <v>320</v>
      </c>
      <c r="D134" s="161" t="s">
        <v>5</v>
      </c>
      <c r="E134" s="355">
        <v>1.79</v>
      </c>
      <c r="F134" s="47">
        <f>F130*E134</f>
        <v>2.2017000000000002</v>
      </c>
      <c r="G134" s="48"/>
      <c r="H134" s="48">
        <f t="shared" si="8"/>
        <v>0</v>
      </c>
      <c r="I134" s="48"/>
      <c r="J134" s="48"/>
      <c r="K134" s="48"/>
      <c r="L134" s="48"/>
      <c r="M134" s="48">
        <f t="shared" si="10"/>
        <v>0</v>
      </c>
      <c r="N134" s="309"/>
      <c r="O134" s="323"/>
      <c r="P134" s="323"/>
      <c r="Q134" s="323"/>
      <c r="R134" s="323"/>
      <c r="S134" s="323"/>
      <c r="T134" s="323"/>
      <c r="U134" s="323"/>
    </row>
    <row r="135" spans="1:21" ht="16.5" x14ac:dyDescent="0.25">
      <c r="A135" s="920"/>
      <c r="B135" s="45"/>
      <c r="C135" s="354" t="s">
        <v>321</v>
      </c>
      <c r="D135" s="161" t="s">
        <v>5</v>
      </c>
      <c r="E135" s="355">
        <v>1.07</v>
      </c>
      <c r="F135" s="47">
        <f>F130*E135</f>
        <v>1.3161</v>
      </c>
      <c r="G135" s="48"/>
      <c r="H135" s="48">
        <f t="shared" si="8"/>
        <v>0</v>
      </c>
      <c r="I135" s="48"/>
      <c r="J135" s="48"/>
      <c r="K135" s="48"/>
      <c r="L135" s="48"/>
      <c r="M135" s="48">
        <f t="shared" si="10"/>
        <v>0</v>
      </c>
      <c r="N135" s="309"/>
      <c r="O135" s="323"/>
      <c r="P135" s="323"/>
      <c r="Q135" s="323"/>
      <c r="R135" s="323"/>
      <c r="S135" s="323"/>
      <c r="T135" s="323"/>
      <c r="U135" s="323"/>
    </row>
    <row r="136" spans="1:21" ht="16.5" x14ac:dyDescent="0.25">
      <c r="A136" s="920"/>
      <c r="B136" s="45"/>
      <c r="C136" s="354" t="s">
        <v>122</v>
      </c>
      <c r="D136" s="161" t="s">
        <v>7</v>
      </c>
      <c r="E136" s="355">
        <v>0.1</v>
      </c>
      <c r="F136" s="47">
        <f>F130*E136</f>
        <v>0.123</v>
      </c>
      <c r="G136" s="48"/>
      <c r="H136" s="48">
        <f t="shared" si="8"/>
        <v>0</v>
      </c>
      <c r="I136" s="48"/>
      <c r="J136" s="48"/>
      <c r="K136" s="48"/>
      <c r="L136" s="48"/>
      <c r="M136" s="48">
        <f t="shared" si="10"/>
        <v>0</v>
      </c>
      <c r="N136" s="309"/>
      <c r="O136" s="323"/>
      <c r="P136" s="323"/>
      <c r="Q136" s="323"/>
      <c r="R136" s="323"/>
      <c r="S136" s="323"/>
      <c r="T136" s="323"/>
      <c r="U136" s="323"/>
    </row>
    <row r="137" spans="1:21" ht="47.25" x14ac:dyDescent="0.25">
      <c r="A137" s="920" t="s">
        <v>322</v>
      </c>
      <c r="B137" s="38" t="s">
        <v>323</v>
      </c>
      <c r="C137" s="324" t="s">
        <v>324</v>
      </c>
      <c r="D137" s="40" t="s">
        <v>280</v>
      </c>
      <c r="E137" s="88"/>
      <c r="F137" s="88">
        <f>(25+16)/100</f>
        <v>0.41</v>
      </c>
      <c r="G137" s="48"/>
      <c r="H137" s="48"/>
      <c r="I137" s="48"/>
      <c r="J137" s="48"/>
      <c r="K137" s="48"/>
      <c r="L137" s="48"/>
      <c r="M137" s="48"/>
      <c r="N137" s="309"/>
      <c r="O137" s="323"/>
      <c r="P137" s="323"/>
      <c r="Q137" s="323"/>
      <c r="R137" s="323"/>
      <c r="S137" s="323"/>
      <c r="T137" s="323"/>
      <c r="U137" s="323"/>
    </row>
    <row r="138" spans="1:21" ht="27" x14ac:dyDescent="0.25">
      <c r="A138" s="920"/>
      <c r="B138" s="45"/>
      <c r="C138" s="326" t="s">
        <v>73</v>
      </c>
      <c r="D138" s="46" t="s">
        <v>9</v>
      </c>
      <c r="E138" s="47">
        <v>42.9</v>
      </c>
      <c r="F138" s="47">
        <f>F137*E138</f>
        <v>17.588999999999999</v>
      </c>
      <c r="G138" s="48"/>
      <c r="H138" s="48"/>
      <c r="I138" s="48"/>
      <c r="J138" s="48">
        <f t="shared" si="9"/>
        <v>0</v>
      </c>
      <c r="K138" s="48"/>
      <c r="L138" s="48"/>
      <c r="M138" s="48">
        <f t="shared" si="10"/>
        <v>0</v>
      </c>
      <c r="N138" s="309"/>
      <c r="O138" s="323"/>
      <c r="P138" s="323"/>
      <c r="Q138" s="323"/>
      <c r="R138" s="323"/>
      <c r="S138" s="323"/>
      <c r="T138" s="323"/>
      <c r="U138" s="323"/>
    </row>
    <row r="139" spans="1:21" ht="27" x14ac:dyDescent="0.25">
      <c r="A139" s="920"/>
      <c r="B139" s="45"/>
      <c r="C139" s="354" t="s">
        <v>318</v>
      </c>
      <c r="D139" s="46" t="s">
        <v>98</v>
      </c>
      <c r="E139" s="47">
        <v>2.64</v>
      </c>
      <c r="F139" s="47">
        <f>F137*E139</f>
        <v>1.0824</v>
      </c>
      <c r="G139" s="48"/>
      <c r="H139" s="48"/>
      <c r="I139" s="48"/>
      <c r="J139" s="48"/>
      <c r="K139" s="48"/>
      <c r="L139" s="48">
        <f t="shared" si="12"/>
        <v>0</v>
      </c>
      <c r="M139" s="48">
        <f t="shared" si="10"/>
        <v>0</v>
      </c>
      <c r="N139" s="309"/>
      <c r="O139" s="323"/>
      <c r="P139" s="323"/>
      <c r="Q139" s="323"/>
      <c r="R139" s="323"/>
      <c r="S139" s="323"/>
      <c r="T139" s="323"/>
      <c r="U139" s="323"/>
    </row>
    <row r="140" spans="1:21" ht="47.25" x14ac:dyDescent="0.25">
      <c r="A140" s="920"/>
      <c r="B140" s="45"/>
      <c r="C140" s="326" t="s">
        <v>325</v>
      </c>
      <c r="D140" s="46" t="s">
        <v>111</v>
      </c>
      <c r="E140" s="47">
        <v>130</v>
      </c>
      <c r="F140" s="47">
        <f>F137*E140</f>
        <v>53.3</v>
      </c>
      <c r="G140" s="48"/>
      <c r="H140" s="48">
        <f t="shared" si="8"/>
        <v>0</v>
      </c>
      <c r="I140" s="48"/>
      <c r="J140" s="48"/>
      <c r="K140" s="48"/>
      <c r="L140" s="48"/>
      <c r="M140" s="48">
        <f t="shared" si="10"/>
        <v>0</v>
      </c>
      <c r="N140" s="309"/>
      <c r="O140" s="323"/>
      <c r="P140" s="323"/>
      <c r="Q140" s="323"/>
      <c r="R140" s="323"/>
      <c r="S140" s="323"/>
      <c r="T140" s="323"/>
      <c r="U140" s="323"/>
    </row>
    <row r="141" spans="1:21" ht="16.5" x14ac:dyDescent="0.25">
      <c r="A141" s="920"/>
      <c r="B141" s="45"/>
      <c r="C141" s="326" t="s">
        <v>326</v>
      </c>
      <c r="D141" s="46" t="s">
        <v>147</v>
      </c>
      <c r="E141" s="47">
        <v>600</v>
      </c>
      <c r="F141" s="47">
        <f>F137*E141</f>
        <v>245.99999999999997</v>
      </c>
      <c r="G141" s="48"/>
      <c r="H141" s="48">
        <f t="shared" si="8"/>
        <v>0</v>
      </c>
      <c r="I141" s="48"/>
      <c r="J141" s="48"/>
      <c r="K141" s="48"/>
      <c r="L141" s="48"/>
      <c r="M141" s="48">
        <f t="shared" si="10"/>
        <v>0</v>
      </c>
      <c r="N141" s="309"/>
      <c r="O141" s="323"/>
      <c r="P141" s="323"/>
      <c r="Q141" s="323"/>
      <c r="R141" s="323"/>
      <c r="S141" s="323"/>
      <c r="T141" s="323"/>
      <c r="U141" s="323"/>
    </row>
    <row r="142" spans="1:21" ht="16.5" x14ac:dyDescent="0.25">
      <c r="A142" s="920"/>
      <c r="B142" s="45"/>
      <c r="C142" s="326" t="s">
        <v>327</v>
      </c>
      <c r="D142" s="46" t="s">
        <v>5</v>
      </c>
      <c r="E142" s="47">
        <v>7.9</v>
      </c>
      <c r="F142" s="47">
        <f>F137*E142</f>
        <v>3.2389999999999999</v>
      </c>
      <c r="G142" s="48"/>
      <c r="H142" s="48">
        <f t="shared" si="8"/>
        <v>0</v>
      </c>
      <c r="I142" s="48"/>
      <c r="J142" s="48"/>
      <c r="K142" s="48"/>
      <c r="L142" s="48"/>
      <c r="M142" s="48">
        <f t="shared" si="10"/>
        <v>0</v>
      </c>
      <c r="N142" s="309"/>
      <c r="O142" s="323"/>
      <c r="P142" s="323"/>
      <c r="Q142" s="323"/>
      <c r="R142" s="323"/>
      <c r="S142" s="323"/>
      <c r="T142" s="323"/>
      <c r="U142" s="323"/>
    </row>
    <row r="143" spans="1:21" ht="31.5" x14ac:dyDescent="0.25">
      <c r="A143" s="920"/>
      <c r="B143" s="45"/>
      <c r="C143" s="326" t="s">
        <v>328</v>
      </c>
      <c r="D143" s="46" t="s">
        <v>83</v>
      </c>
      <c r="E143" s="47">
        <v>0.02</v>
      </c>
      <c r="F143" s="47">
        <f>F137*E143</f>
        <v>8.199999999999999E-3</v>
      </c>
      <c r="G143" s="48"/>
      <c r="H143" s="48">
        <f t="shared" si="8"/>
        <v>0</v>
      </c>
      <c r="I143" s="48"/>
      <c r="J143" s="48"/>
      <c r="K143" s="48"/>
      <c r="L143" s="48"/>
      <c r="M143" s="48">
        <f t="shared" si="10"/>
        <v>0</v>
      </c>
      <c r="N143" s="309"/>
      <c r="O143" s="323"/>
      <c r="P143" s="323"/>
      <c r="Q143" s="323"/>
      <c r="R143" s="323"/>
      <c r="S143" s="323"/>
      <c r="T143" s="323"/>
      <c r="U143" s="323"/>
    </row>
    <row r="144" spans="1:21" ht="16.5" x14ac:dyDescent="0.25">
      <c r="A144" s="920"/>
      <c r="B144" s="45"/>
      <c r="C144" s="326" t="s">
        <v>10</v>
      </c>
      <c r="D144" s="46" t="s">
        <v>7</v>
      </c>
      <c r="E144" s="47">
        <v>6.36</v>
      </c>
      <c r="F144" s="47">
        <f>F137*E144</f>
        <v>2.6076000000000001</v>
      </c>
      <c r="G144" s="48"/>
      <c r="H144" s="48">
        <f t="shared" si="8"/>
        <v>0</v>
      </c>
      <c r="I144" s="48"/>
      <c r="J144" s="48"/>
      <c r="K144" s="48"/>
      <c r="L144" s="48"/>
      <c r="M144" s="48">
        <f t="shared" si="10"/>
        <v>0</v>
      </c>
      <c r="N144" s="309"/>
      <c r="O144" s="323"/>
      <c r="P144" s="323"/>
      <c r="Q144" s="323"/>
      <c r="R144" s="323"/>
      <c r="S144" s="323"/>
      <c r="T144" s="323"/>
      <c r="U144" s="323"/>
    </row>
    <row r="145" spans="1:21" ht="47.25" x14ac:dyDescent="0.25">
      <c r="A145" s="920" t="s">
        <v>329</v>
      </c>
      <c r="B145" s="38" t="s">
        <v>330</v>
      </c>
      <c r="C145" s="324" t="s">
        <v>331</v>
      </c>
      <c r="D145" s="46" t="s">
        <v>94</v>
      </c>
      <c r="E145" s="47">
        <f>22.7+6+1.5+14.55+1.5+12+3.95+5.1+1.4+3.25+8.75+2.4+7.5</f>
        <v>90.600000000000009</v>
      </c>
      <c r="F145" s="88">
        <v>4</v>
      </c>
      <c r="G145" s="48"/>
      <c r="H145" s="48"/>
      <c r="I145" s="48"/>
      <c r="J145" s="48"/>
      <c r="K145" s="48"/>
      <c r="L145" s="48"/>
      <c r="M145" s="48"/>
      <c r="N145" s="309"/>
      <c r="O145" s="323"/>
      <c r="P145" s="323"/>
      <c r="Q145" s="323"/>
      <c r="R145" s="323"/>
      <c r="S145" s="323"/>
      <c r="T145" s="323"/>
      <c r="U145" s="323"/>
    </row>
    <row r="146" spans="1:21" ht="27" x14ac:dyDescent="0.25">
      <c r="A146" s="920"/>
      <c r="B146" s="45"/>
      <c r="C146" s="354" t="s">
        <v>157</v>
      </c>
      <c r="D146" s="46" t="s">
        <v>9</v>
      </c>
      <c r="E146" s="355">
        <v>0.28599999999999998</v>
      </c>
      <c r="F146" s="47">
        <f>F145*E146</f>
        <v>1.1439999999999999</v>
      </c>
      <c r="G146" s="48"/>
      <c r="H146" s="48"/>
      <c r="I146" s="48"/>
      <c r="J146" s="48">
        <f t="shared" ref="J146:J206" si="13">F146*I146</f>
        <v>0</v>
      </c>
      <c r="K146" s="48"/>
      <c r="L146" s="48"/>
      <c r="M146" s="48">
        <f t="shared" si="10"/>
        <v>0</v>
      </c>
      <c r="N146" s="309"/>
      <c r="O146" s="323"/>
      <c r="P146" s="323"/>
      <c r="Q146" s="323"/>
      <c r="R146" s="323"/>
      <c r="S146" s="323"/>
      <c r="T146" s="323"/>
      <c r="U146" s="323"/>
    </row>
    <row r="147" spans="1:21" ht="16.5" x14ac:dyDescent="0.25">
      <c r="A147" s="920"/>
      <c r="B147" s="45"/>
      <c r="C147" s="354" t="s">
        <v>8</v>
      </c>
      <c r="D147" s="46" t="s">
        <v>7</v>
      </c>
      <c r="E147" s="355">
        <v>4.1000000000000003E-3</v>
      </c>
      <c r="F147" s="47">
        <f>F145*E147</f>
        <v>1.6400000000000001E-2</v>
      </c>
      <c r="G147" s="48"/>
      <c r="H147" s="48"/>
      <c r="I147" s="48"/>
      <c r="J147" s="48"/>
      <c r="K147" s="48"/>
      <c r="L147" s="48">
        <f t="shared" ref="L147:L200" si="14">F147*K147</f>
        <v>0</v>
      </c>
      <c r="M147" s="48">
        <f t="shared" si="10"/>
        <v>0</v>
      </c>
      <c r="N147" s="309"/>
      <c r="O147" s="323"/>
      <c r="P147" s="323"/>
      <c r="Q147" s="323"/>
      <c r="R147" s="323"/>
      <c r="S147" s="323"/>
      <c r="T147" s="323"/>
      <c r="U147" s="323"/>
    </row>
    <row r="148" spans="1:21" ht="31.5" x14ac:dyDescent="0.25">
      <c r="A148" s="920"/>
      <c r="B148" s="45"/>
      <c r="C148" s="326" t="s">
        <v>332</v>
      </c>
      <c r="D148" s="46" t="s">
        <v>333</v>
      </c>
      <c r="E148" s="47">
        <v>1.1000000000000001</v>
      </c>
      <c r="F148" s="47">
        <f>F145*E148</f>
        <v>4.4000000000000004</v>
      </c>
      <c r="G148" s="48"/>
      <c r="H148" s="48">
        <f t="shared" ref="H148:H208" si="15">F148*G148</f>
        <v>0</v>
      </c>
      <c r="I148" s="48"/>
      <c r="J148" s="48"/>
      <c r="K148" s="48"/>
      <c r="L148" s="48"/>
      <c r="M148" s="48">
        <f t="shared" si="10"/>
        <v>0</v>
      </c>
      <c r="N148" s="309"/>
      <c r="O148" s="323"/>
      <c r="P148" s="323"/>
      <c r="Q148" s="323"/>
      <c r="R148" s="323"/>
      <c r="S148" s="323"/>
      <c r="T148" s="323"/>
      <c r="U148" s="323"/>
    </row>
    <row r="149" spans="1:21" ht="16.5" x14ac:dyDescent="0.25">
      <c r="A149" s="920"/>
      <c r="B149" s="45"/>
      <c r="C149" s="326" t="s">
        <v>334</v>
      </c>
      <c r="D149" s="46" t="s">
        <v>202</v>
      </c>
      <c r="E149" s="47">
        <f>F145/0.5*2</f>
        <v>16</v>
      </c>
      <c r="F149" s="47">
        <f>E149</f>
        <v>16</v>
      </c>
      <c r="G149" s="48"/>
      <c r="H149" s="48">
        <f t="shared" si="15"/>
        <v>0</v>
      </c>
      <c r="I149" s="48"/>
      <c r="J149" s="48"/>
      <c r="K149" s="48"/>
      <c r="L149" s="48"/>
      <c r="M149" s="48">
        <f t="shared" si="10"/>
        <v>0</v>
      </c>
      <c r="N149" s="309"/>
      <c r="O149" s="323"/>
      <c r="P149" s="323"/>
      <c r="Q149" s="323"/>
      <c r="R149" s="323"/>
      <c r="S149" s="323"/>
      <c r="T149" s="323"/>
      <c r="U149" s="323"/>
    </row>
    <row r="150" spans="1:21" ht="31.5" x14ac:dyDescent="0.25">
      <c r="A150" s="920"/>
      <c r="B150" s="45"/>
      <c r="C150" s="356" t="s">
        <v>335</v>
      </c>
      <c r="D150" s="161" t="s">
        <v>27</v>
      </c>
      <c r="E150" s="355">
        <v>2.3E-3</v>
      </c>
      <c r="F150" s="47">
        <f>F145*E150</f>
        <v>9.1999999999999998E-3</v>
      </c>
      <c r="G150" s="48"/>
      <c r="H150" s="48">
        <f t="shared" si="15"/>
        <v>0</v>
      </c>
      <c r="I150" s="48"/>
      <c r="J150" s="48"/>
      <c r="K150" s="48"/>
      <c r="L150" s="48"/>
      <c r="M150" s="48">
        <f t="shared" ref="M150:M208" si="16">H150+J150+L150</f>
        <v>0</v>
      </c>
      <c r="N150" s="4"/>
      <c r="O150" s="4"/>
      <c r="P150" s="323"/>
      <c r="Q150" s="323"/>
      <c r="R150" s="323"/>
      <c r="S150" s="323"/>
      <c r="T150" s="323"/>
      <c r="U150" s="323"/>
    </row>
    <row r="151" spans="1:21" ht="16.5" x14ac:dyDescent="0.25">
      <c r="A151" s="920"/>
      <c r="B151" s="45"/>
      <c r="C151" s="354" t="s">
        <v>336</v>
      </c>
      <c r="D151" s="161" t="s">
        <v>5</v>
      </c>
      <c r="E151" s="355">
        <v>3.7999999999999999E-2</v>
      </c>
      <c r="F151" s="47">
        <f>F145*E151</f>
        <v>0.152</v>
      </c>
      <c r="G151" s="48"/>
      <c r="H151" s="48">
        <f t="shared" si="15"/>
        <v>0</v>
      </c>
      <c r="I151" s="48"/>
      <c r="J151" s="48"/>
      <c r="K151" s="48"/>
      <c r="L151" s="48"/>
      <c r="M151" s="48">
        <f t="shared" si="16"/>
        <v>0</v>
      </c>
      <c r="N151" s="309"/>
      <c r="O151" s="323"/>
      <c r="P151" s="323"/>
      <c r="Q151" s="323"/>
      <c r="R151" s="323"/>
      <c r="S151" s="323"/>
      <c r="T151" s="323"/>
      <c r="U151" s="323"/>
    </row>
    <row r="152" spans="1:21" ht="16.5" x14ac:dyDescent="0.25">
      <c r="A152" s="920"/>
      <c r="B152" s="45"/>
      <c r="C152" s="354" t="s">
        <v>337</v>
      </c>
      <c r="D152" s="161" t="s">
        <v>5</v>
      </c>
      <c r="E152" s="355">
        <v>3.7999999999999999E-2</v>
      </c>
      <c r="F152" s="47">
        <f>F145*E152</f>
        <v>0.152</v>
      </c>
      <c r="G152" s="48"/>
      <c r="H152" s="48">
        <f t="shared" si="15"/>
        <v>0</v>
      </c>
      <c r="I152" s="48"/>
      <c r="J152" s="48"/>
      <c r="K152" s="48"/>
      <c r="L152" s="48"/>
      <c r="M152" s="48">
        <f t="shared" si="16"/>
        <v>0</v>
      </c>
      <c r="N152" s="309"/>
      <c r="O152" s="323"/>
      <c r="P152" s="323"/>
      <c r="Q152" s="323"/>
      <c r="R152" s="323"/>
      <c r="S152" s="323"/>
      <c r="T152" s="323"/>
      <c r="U152" s="323"/>
    </row>
    <row r="153" spans="1:21" ht="16.5" x14ac:dyDescent="0.25">
      <c r="A153" s="920"/>
      <c r="B153" s="45"/>
      <c r="C153" s="354" t="s">
        <v>338</v>
      </c>
      <c r="D153" s="161" t="s">
        <v>5</v>
      </c>
      <c r="E153" s="355">
        <v>1.69</v>
      </c>
      <c r="F153" s="47">
        <f>F145*E153</f>
        <v>6.76</v>
      </c>
      <c r="G153" s="48"/>
      <c r="H153" s="48">
        <f t="shared" si="15"/>
        <v>0</v>
      </c>
      <c r="I153" s="48"/>
      <c r="J153" s="48"/>
      <c r="K153" s="48"/>
      <c r="L153" s="48"/>
      <c r="M153" s="48">
        <f t="shared" si="16"/>
        <v>0</v>
      </c>
      <c r="N153" s="309"/>
      <c r="O153" s="323"/>
      <c r="P153" s="323"/>
      <c r="Q153" s="323"/>
      <c r="R153" s="323"/>
      <c r="S153" s="323"/>
      <c r="T153" s="323"/>
      <c r="U153" s="323"/>
    </row>
    <row r="154" spans="1:21" ht="47.25" x14ac:dyDescent="0.25">
      <c r="A154" s="920" t="s">
        <v>339</v>
      </c>
      <c r="B154" s="38" t="s">
        <v>340</v>
      </c>
      <c r="C154" s="324" t="s">
        <v>341</v>
      </c>
      <c r="D154" s="40" t="s">
        <v>202</v>
      </c>
      <c r="E154" s="88"/>
      <c r="F154" s="88">
        <v>2</v>
      </c>
      <c r="G154" s="48"/>
      <c r="H154" s="48"/>
      <c r="I154" s="48"/>
      <c r="J154" s="48"/>
      <c r="K154" s="48"/>
      <c r="L154" s="48"/>
      <c r="M154" s="48"/>
      <c r="N154" s="309"/>
      <c r="O154" s="323"/>
      <c r="P154" s="323"/>
      <c r="Q154" s="323"/>
      <c r="R154" s="323"/>
      <c r="S154" s="323"/>
      <c r="T154" s="323"/>
      <c r="U154" s="323"/>
    </row>
    <row r="155" spans="1:21" ht="27" x14ac:dyDescent="0.25">
      <c r="A155" s="920"/>
      <c r="B155" s="45"/>
      <c r="C155" s="354" t="s">
        <v>157</v>
      </c>
      <c r="D155" s="161" t="s">
        <v>9</v>
      </c>
      <c r="E155" s="355">
        <v>1.51</v>
      </c>
      <c r="F155" s="47">
        <f>F154*E155</f>
        <v>3.02</v>
      </c>
      <c r="G155" s="48"/>
      <c r="H155" s="48"/>
      <c r="I155" s="48"/>
      <c r="J155" s="48">
        <f t="shared" si="13"/>
        <v>0</v>
      </c>
      <c r="K155" s="48"/>
      <c r="L155" s="48"/>
      <c r="M155" s="48">
        <f t="shared" si="16"/>
        <v>0</v>
      </c>
      <c r="N155" s="309"/>
      <c r="O155" s="323"/>
      <c r="P155" s="323"/>
      <c r="Q155" s="323"/>
      <c r="R155" s="323"/>
      <c r="S155" s="323"/>
      <c r="T155" s="323"/>
      <c r="U155" s="323"/>
    </row>
    <row r="156" spans="1:21" ht="16.5" x14ac:dyDescent="0.25">
      <c r="A156" s="920"/>
      <c r="B156" s="45"/>
      <c r="C156" s="354" t="s">
        <v>342</v>
      </c>
      <c r="D156" s="161" t="s">
        <v>7</v>
      </c>
      <c r="E156" s="355">
        <v>0.02</v>
      </c>
      <c r="F156" s="47">
        <f>F154*E156</f>
        <v>0.04</v>
      </c>
      <c r="G156" s="48"/>
      <c r="H156" s="48"/>
      <c r="I156" s="48"/>
      <c r="J156" s="48"/>
      <c r="K156" s="48"/>
      <c r="L156" s="48">
        <f t="shared" si="14"/>
        <v>0</v>
      </c>
      <c r="M156" s="48">
        <f t="shared" si="16"/>
        <v>0</v>
      </c>
      <c r="N156" s="309"/>
      <c r="O156" s="323"/>
      <c r="P156" s="323"/>
      <c r="Q156" s="323"/>
      <c r="R156" s="323"/>
      <c r="S156" s="323"/>
      <c r="T156" s="323"/>
      <c r="U156" s="323"/>
    </row>
    <row r="157" spans="1:21" ht="31.5" x14ac:dyDescent="0.25">
      <c r="A157" s="920"/>
      <c r="B157" s="45"/>
      <c r="C157" s="354" t="s">
        <v>343</v>
      </c>
      <c r="D157" s="161" t="s">
        <v>26</v>
      </c>
      <c r="E157" s="355">
        <v>1</v>
      </c>
      <c r="F157" s="47">
        <f>F154*E157</f>
        <v>2</v>
      </c>
      <c r="G157" s="48"/>
      <c r="H157" s="48">
        <f t="shared" si="15"/>
        <v>0</v>
      </c>
      <c r="I157" s="48"/>
      <c r="J157" s="48"/>
      <c r="K157" s="48"/>
      <c r="L157" s="48"/>
      <c r="M157" s="48">
        <f t="shared" si="16"/>
        <v>0</v>
      </c>
      <c r="N157" s="309"/>
      <c r="O157" s="323"/>
      <c r="P157" s="323"/>
      <c r="Q157" s="323"/>
      <c r="R157" s="323"/>
      <c r="S157" s="323"/>
      <c r="T157" s="323"/>
      <c r="U157" s="323"/>
    </row>
    <row r="158" spans="1:21" ht="16.5" x14ac:dyDescent="0.25">
      <c r="A158" s="920"/>
      <c r="B158" s="45"/>
      <c r="C158" s="354" t="s">
        <v>344</v>
      </c>
      <c r="D158" s="161" t="s">
        <v>7</v>
      </c>
      <c r="E158" s="355">
        <v>0.28999999999999998</v>
      </c>
      <c r="F158" s="47">
        <f>F154*E158</f>
        <v>0.57999999999999996</v>
      </c>
      <c r="G158" s="48"/>
      <c r="H158" s="48">
        <f t="shared" si="15"/>
        <v>0</v>
      </c>
      <c r="I158" s="48"/>
      <c r="J158" s="48"/>
      <c r="K158" s="48"/>
      <c r="L158" s="48"/>
      <c r="M158" s="48">
        <f t="shared" si="16"/>
        <v>0</v>
      </c>
      <c r="N158" s="309"/>
      <c r="O158" s="323"/>
      <c r="P158" s="323"/>
      <c r="Q158" s="323"/>
      <c r="R158" s="323"/>
      <c r="S158" s="323"/>
      <c r="T158" s="323"/>
      <c r="U158" s="323"/>
    </row>
    <row r="159" spans="1:21" ht="47.25" x14ac:dyDescent="0.25">
      <c r="A159" s="920" t="s">
        <v>345</v>
      </c>
      <c r="B159" s="38" t="s">
        <v>346</v>
      </c>
      <c r="C159" s="324" t="s">
        <v>347</v>
      </c>
      <c r="D159" s="40" t="s">
        <v>211</v>
      </c>
      <c r="E159" s="88"/>
      <c r="F159" s="88">
        <f>2*2.5</f>
        <v>5</v>
      </c>
      <c r="G159" s="48"/>
      <c r="H159" s="48"/>
      <c r="I159" s="48"/>
      <c r="J159" s="48"/>
      <c r="K159" s="48"/>
      <c r="L159" s="48"/>
      <c r="M159" s="48"/>
      <c r="N159" s="309"/>
      <c r="O159" s="323"/>
      <c r="P159" s="323"/>
      <c r="Q159" s="323"/>
      <c r="R159" s="323"/>
      <c r="S159" s="323"/>
      <c r="T159" s="323"/>
      <c r="U159" s="323"/>
    </row>
    <row r="160" spans="1:21" ht="27" x14ac:dyDescent="0.25">
      <c r="A160" s="920"/>
      <c r="B160" s="45"/>
      <c r="C160" s="354" t="s">
        <v>157</v>
      </c>
      <c r="D160" s="161" t="s">
        <v>9</v>
      </c>
      <c r="E160" s="355">
        <v>0.74</v>
      </c>
      <c r="F160" s="154">
        <f>F159*E160</f>
        <v>3.7</v>
      </c>
      <c r="G160" s="48"/>
      <c r="H160" s="48"/>
      <c r="I160" s="48"/>
      <c r="J160" s="48">
        <f t="shared" si="13"/>
        <v>0</v>
      </c>
      <c r="K160" s="48"/>
      <c r="L160" s="48"/>
      <c r="M160" s="48">
        <f t="shared" si="16"/>
        <v>0</v>
      </c>
      <c r="N160" s="309"/>
      <c r="O160" s="323"/>
      <c r="P160" s="323"/>
      <c r="Q160" s="323"/>
      <c r="R160" s="323"/>
      <c r="S160" s="323"/>
      <c r="T160" s="323"/>
      <c r="U160" s="323"/>
    </row>
    <row r="161" spans="1:21" ht="16.5" x14ac:dyDescent="0.25">
      <c r="A161" s="920"/>
      <c r="B161" s="45"/>
      <c r="C161" s="354" t="s">
        <v>348</v>
      </c>
      <c r="D161" s="161" t="s">
        <v>7</v>
      </c>
      <c r="E161" s="355">
        <v>6.6199999999999995E-2</v>
      </c>
      <c r="F161" s="154">
        <f>F159*E161</f>
        <v>0.33099999999999996</v>
      </c>
      <c r="G161" s="48"/>
      <c r="H161" s="48"/>
      <c r="I161" s="48"/>
      <c r="J161" s="48"/>
      <c r="K161" s="48"/>
      <c r="L161" s="48">
        <f t="shared" si="14"/>
        <v>0</v>
      </c>
      <c r="M161" s="48">
        <f t="shared" si="16"/>
        <v>0</v>
      </c>
      <c r="N161" s="309"/>
      <c r="O161" s="323"/>
      <c r="P161" s="323"/>
      <c r="Q161" s="323"/>
      <c r="R161" s="323"/>
      <c r="S161" s="323"/>
      <c r="T161" s="323"/>
      <c r="U161" s="323"/>
    </row>
    <row r="162" spans="1:21" ht="16.5" x14ac:dyDescent="0.25">
      <c r="A162" s="920"/>
      <c r="B162" s="45"/>
      <c r="C162" s="354" t="s">
        <v>349</v>
      </c>
      <c r="D162" s="153" t="s">
        <v>15</v>
      </c>
      <c r="E162" s="355">
        <v>1.05</v>
      </c>
      <c r="F162" s="154">
        <f>F159*E162</f>
        <v>5.25</v>
      </c>
      <c r="G162" s="48"/>
      <c r="H162" s="48">
        <f t="shared" si="15"/>
        <v>0</v>
      </c>
      <c r="I162" s="48"/>
      <c r="J162" s="48"/>
      <c r="K162" s="48"/>
      <c r="L162" s="48"/>
      <c r="M162" s="48">
        <f t="shared" si="16"/>
        <v>0</v>
      </c>
      <c r="N162" s="309"/>
      <c r="O162" s="323"/>
      <c r="P162" s="323"/>
      <c r="Q162" s="323"/>
      <c r="R162" s="323"/>
      <c r="S162" s="323"/>
      <c r="T162" s="323"/>
      <c r="U162" s="323"/>
    </row>
    <row r="163" spans="1:21" ht="16.5" x14ac:dyDescent="0.25">
      <c r="A163" s="920"/>
      <c r="B163" s="45"/>
      <c r="C163" s="354" t="s">
        <v>336</v>
      </c>
      <c r="D163" s="161" t="s">
        <v>5</v>
      </c>
      <c r="E163" s="355">
        <v>0.128</v>
      </c>
      <c r="F163" s="154">
        <f>F159*E163</f>
        <v>0.64</v>
      </c>
      <c r="G163" s="48"/>
      <c r="H163" s="48">
        <f t="shared" si="15"/>
        <v>0</v>
      </c>
      <c r="I163" s="48"/>
      <c r="J163" s="48"/>
      <c r="K163" s="48"/>
      <c r="L163" s="48"/>
      <c r="M163" s="48">
        <f t="shared" si="16"/>
        <v>0</v>
      </c>
      <c r="N163" s="309"/>
      <c r="O163" s="323"/>
      <c r="P163" s="323"/>
      <c r="Q163" s="323"/>
      <c r="R163" s="323"/>
      <c r="S163" s="323"/>
      <c r="T163" s="323"/>
      <c r="U163" s="323"/>
    </row>
    <row r="164" spans="1:21" ht="16.5" x14ac:dyDescent="0.25">
      <c r="A164" s="920"/>
      <c r="B164" s="45"/>
      <c r="C164" s="354" t="s">
        <v>337</v>
      </c>
      <c r="D164" s="161" t="s">
        <v>5</v>
      </c>
      <c r="E164" s="355">
        <v>0.128</v>
      </c>
      <c r="F164" s="154">
        <f>F159*E164</f>
        <v>0.64</v>
      </c>
      <c r="G164" s="48"/>
      <c r="H164" s="48">
        <f t="shared" si="15"/>
        <v>0</v>
      </c>
      <c r="I164" s="48"/>
      <c r="J164" s="48"/>
      <c r="K164" s="48"/>
      <c r="L164" s="48"/>
      <c r="M164" s="48">
        <f t="shared" si="16"/>
        <v>0</v>
      </c>
      <c r="N164" s="309"/>
      <c r="O164" s="323"/>
      <c r="P164" s="323"/>
      <c r="Q164" s="323"/>
      <c r="R164" s="323"/>
      <c r="S164" s="323"/>
      <c r="T164" s="323"/>
      <c r="U164" s="323"/>
    </row>
    <row r="165" spans="1:21" ht="16.5" x14ac:dyDescent="0.25">
      <c r="A165" s="920"/>
      <c r="B165" s="45"/>
      <c r="C165" s="354" t="s">
        <v>338</v>
      </c>
      <c r="D165" s="161" t="s">
        <v>5</v>
      </c>
      <c r="E165" s="355">
        <v>0.112</v>
      </c>
      <c r="F165" s="154">
        <f>F159*E165</f>
        <v>0.56000000000000005</v>
      </c>
      <c r="G165" s="48"/>
      <c r="H165" s="48">
        <f t="shared" si="15"/>
        <v>0</v>
      </c>
      <c r="I165" s="48"/>
      <c r="J165" s="48"/>
      <c r="K165" s="48"/>
      <c r="L165" s="48"/>
      <c r="M165" s="48">
        <f t="shared" si="16"/>
        <v>0</v>
      </c>
      <c r="N165" s="309"/>
      <c r="O165" s="323"/>
      <c r="P165" s="323"/>
      <c r="Q165" s="323"/>
      <c r="R165" s="323"/>
      <c r="S165" s="323"/>
      <c r="T165" s="323"/>
      <c r="U165" s="323"/>
    </row>
    <row r="166" spans="1:21" ht="16.5" x14ac:dyDescent="0.25">
      <c r="A166" s="920"/>
      <c r="B166" s="45"/>
      <c r="C166" s="354" t="s">
        <v>344</v>
      </c>
      <c r="D166" s="161" t="s">
        <v>7</v>
      </c>
      <c r="E166" s="355">
        <v>0.13300000000000001</v>
      </c>
      <c r="F166" s="154">
        <f>F159*E166</f>
        <v>0.66500000000000004</v>
      </c>
      <c r="G166" s="48"/>
      <c r="H166" s="48">
        <f t="shared" si="15"/>
        <v>0</v>
      </c>
      <c r="I166" s="48"/>
      <c r="J166" s="48"/>
      <c r="K166" s="48"/>
      <c r="L166" s="48"/>
      <c r="M166" s="48">
        <f t="shared" si="16"/>
        <v>0</v>
      </c>
      <c r="N166" s="309"/>
      <c r="O166" s="323"/>
      <c r="P166" s="323"/>
      <c r="Q166" s="323"/>
      <c r="R166" s="323"/>
      <c r="S166" s="323"/>
      <c r="T166" s="323"/>
      <c r="U166" s="323"/>
    </row>
    <row r="167" spans="1:21" ht="47.25" x14ac:dyDescent="0.25">
      <c r="A167" s="349" t="s">
        <v>350</v>
      </c>
      <c r="B167" s="349"/>
      <c r="C167" s="324" t="s">
        <v>351</v>
      </c>
      <c r="D167" s="357" t="s">
        <v>111</v>
      </c>
      <c r="E167" s="358"/>
      <c r="F167" s="359">
        <f>(4+3.4+2)*2*1</f>
        <v>18.8</v>
      </c>
      <c r="G167" s="48"/>
      <c r="H167" s="48"/>
      <c r="I167" s="48"/>
      <c r="J167" s="48"/>
      <c r="K167" s="48"/>
      <c r="L167" s="48"/>
      <c r="M167" s="48"/>
      <c r="N167" s="309"/>
      <c r="O167" s="323"/>
      <c r="P167" s="323"/>
      <c r="Q167" s="323"/>
      <c r="R167" s="323"/>
      <c r="S167" s="323"/>
      <c r="T167" s="323"/>
      <c r="U167" s="323"/>
    </row>
    <row r="168" spans="1:21" ht="31.5" x14ac:dyDescent="0.25">
      <c r="A168" s="921" t="s">
        <v>352</v>
      </c>
      <c r="B168" s="360" t="s">
        <v>174</v>
      </c>
      <c r="C168" s="361" t="s">
        <v>353</v>
      </c>
      <c r="D168" s="362" t="s">
        <v>74</v>
      </c>
      <c r="E168" s="359"/>
      <c r="F168" s="88">
        <f>F167*0.2</f>
        <v>3.7600000000000002</v>
      </c>
      <c r="G168" s="48"/>
      <c r="H168" s="48"/>
      <c r="I168" s="48"/>
      <c r="J168" s="48"/>
      <c r="K168" s="48"/>
      <c r="L168" s="48"/>
      <c r="M168" s="48"/>
      <c r="N168" s="309"/>
      <c r="O168" s="323"/>
      <c r="P168" s="323"/>
      <c r="Q168" s="323"/>
      <c r="R168" s="323"/>
      <c r="S168" s="323"/>
      <c r="T168" s="323"/>
      <c r="U168" s="323"/>
    </row>
    <row r="169" spans="1:21" ht="27" x14ac:dyDescent="0.25">
      <c r="A169" s="923"/>
      <c r="B169" s="363"/>
      <c r="C169" s="364" t="s">
        <v>73</v>
      </c>
      <c r="D169" s="365" t="s">
        <v>9</v>
      </c>
      <c r="E169" s="366">
        <v>2.06</v>
      </c>
      <c r="F169" s="366">
        <f>F168*E169</f>
        <v>7.7456000000000005</v>
      </c>
      <c r="G169" s="367"/>
      <c r="H169" s="48"/>
      <c r="I169" s="48"/>
      <c r="J169" s="48">
        <f t="shared" si="13"/>
        <v>0</v>
      </c>
      <c r="K169" s="48"/>
      <c r="L169" s="48"/>
      <c r="M169" s="48">
        <f t="shared" si="16"/>
        <v>0</v>
      </c>
      <c r="N169" s="309"/>
      <c r="O169" s="323"/>
      <c r="P169" s="323"/>
      <c r="Q169" s="323"/>
      <c r="R169" s="323"/>
      <c r="S169" s="323"/>
      <c r="T169" s="323"/>
      <c r="U169" s="323"/>
    </row>
    <row r="170" spans="1:21" ht="47.25" x14ac:dyDescent="0.25">
      <c r="A170" s="922" t="s">
        <v>354</v>
      </c>
      <c r="B170" s="360"/>
      <c r="C170" s="368" t="s">
        <v>355</v>
      </c>
      <c r="D170" s="352" t="s">
        <v>27</v>
      </c>
      <c r="E170" s="353"/>
      <c r="F170" s="359">
        <f>F168*1.7</f>
        <v>6.3920000000000003</v>
      </c>
      <c r="G170" s="48"/>
      <c r="H170" s="48"/>
      <c r="I170" s="48"/>
      <c r="J170" s="48"/>
      <c r="K170" s="48"/>
      <c r="L170" s="48"/>
      <c r="M170" s="48"/>
      <c r="N170" s="309"/>
      <c r="O170" s="323"/>
      <c r="P170" s="323"/>
      <c r="Q170" s="323"/>
      <c r="R170" s="323"/>
      <c r="S170" s="323"/>
      <c r="T170" s="323"/>
      <c r="U170" s="323"/>
    </row>
    <row r="171" spans="1:21" ht="27" x14ac:dyDescent="0.25">
      <c r="A171" s="923"/>
      <c r="B171" s="363"/>
      <c r="C171" s="354" t="s">
        <v>157</v>
      </c>
      <c r="D171" s="161" t="s">
        <v>9</v>
      </c>
      <c r="E171" s="355">
        <v>0.53</v>
      </c>
      <c r="F171" s="366">
        <f>F170*E171</f>
        <v>3.3877600000000005</v>
      </c>
      <c r="G171" s="48"/>
      <c r="H171" s="48"/>
      <c r="I171" s="48"/>
      <c r="J171" s="48">
        <f t="shared" si="13"/>
        <v>0</v>
      </c>
      <c r="K171" s="48"/>
      <c r="L171" s="48"/>
      <c r="M171" s="48">
        <f t="shared" si="16"/>
        <v>0</v>
      </c>
      <c r="N171" s="309"/>
      <c r="O171" s="323"/>
      <c r="P171" s="323"/>
      <c r="Q171" s="323"/>
      <c r="R171" s="323"/>
      <c r="S171" s="323"/>
      <c r="T171" s="323"/>
      <c r="U171" s="323"/>
    </row>
    <row r="172" spans="1:21" ht="47.25" x14ac:dyDescent="0.25">
      <c r="A172" s="349" t="s">
        <v>356</v>
      </c>
      <c r="B172" s="38" t="s">
        <v>357</v>
      </c>
      <c r="C172" s="361" t="s">
        <v>358</v>
      </c>
      <c r="D172" s="40" t="s">
        <v>83</v>
      </c>
      <c r="E172" s="359"/>
      <c r="F172" s="359">
        <f>F170</f>
        <v>6.3920000000000003</v>
      </c>
      <c r="G172" s="48"/>
      <c r="H172" s="48"/>
      <c r="I172" s="48"/>
      <c r="J172" s="48"/>
      <c r="K172" s="63"/>
      <c r="L172" s="48">
        <f t="shared" si="14"/>
        <v>0</v>
      </c>
      <c r="M172" s="48">
        <f t="shared" si="16"/>
        <v>0</v>
      </c>
      <c r="N172" s="309"/>
      <c r="O172" s="323"/>
      <c r="P172" s="323"/>
      <c r="Q172" s="323"/>
      <c r="R172" s="323"/>
      <c r="S172" s="323"/>
      <c r="T172" s="323"/>
      <c r="U172" s="323"/>
    </row>
    <row r="173" spans="1:21" ht="31.5" x14ac:dyDescent="0.25">
      <c r="A173" s="921" t="s">
        <v>359</v>
      </c>
      <c r="B173" s="38" t="s">
        <v>71</v>
      </c>
      <c r="C173" s="324" t="s">
        <v>360</v>
      </c>
      <c r="D173" s="40" t="s">
        <v>74</v>
      </c>
      <c r="E173" s="88"/>
      <c r="F173" s="88">
        <f>F167*0.1</f>
        <v>1.8800000000000001</v>
      </c>
      <c r="G173" s="48"/>
      <c r="H173" s="48"/>
      <c r="I173" s="48"/>
      <c r="J173" s="48"/>
      <c r="K173" s="48"/>
      <c r="L173" s="48"/>
      <c r="M173" s="48"/>
      <c r="N173" s="309"/>
      <c r="O173" s="323"/>
      <c r="P173" s="323"/>
      <c r="Q173" s="323"/>
      <c r="R173" s="323"/>
      <c r="S173" s="323"/>
      <c r="T173" s="323"/>
      <c r="U173" s="323"/>
    </row>
    <row r="174" spans="1:21" ht="27" x14ac:dyDescent="0.25">
      <c r="A174" s="922"/>
      <c r="B174" s="45"/>
      <c r="C174" s="326" t="s">
        <v>73</v>
      </c>
      <c r="D174" s="46" t="s">
        <v>9</v>
      </c>
      <c r="E174" s="47">
        <v>3.52</v>
      </c>
      <c r="F174" s="47">
        <f>F173*E174</f>
        <v>6.6176000000000004</v>
      </c>
      <c r="G174" s="48"/>
      <c r="H174" s="48"/>
      <c r="I174" s="48"/>
      <c r="J174" s="48">
        <f t="shared" si="13"/>
        <v>0</v>
      </c>
      <c r="K174" s="48"/>
      <c r="L174" s="48"/>
      <c r="M174" s="48">
        <f t="shared" si="16"/>
        <v>0</v>
      </c>
      <c r="N174" s="309"/>
      <c r="O174" s="323"/>
      <c r="P174" s="323"/>
      <c r="Q174" s="323"/>
      <c r="R174" s="323"/>
      <c r="S174" s="323"/>
      <c r="T174" s="323"/>
      <c r="U174" s="323"/>
    </row>
    <row r="175" spans="1:21" ht="16.5" x14ac:dyDescent="0.25">
      <c r="A175" s="922"/>
      <c r="B175" s="45"/>
      <c r="C175" s="326" t="s">
        <v>21</v>
      </c>
      <c r="D175" s="46" t="s">
        <v>7</v>
      </c>
      <c r="E175" s="47">
        <v>1.06</v>
      </c>
      <c r="F175" s="47">
        <f>F173*E175</f>
        <v>1.9928000000000001</v>
      </c>
      <c r="G175" s="48"/>
      <c r="H175" s="48"/>
      <c r="I175" s="48"/>
      <c r="J175" s="48"/>
      <c r="K175" s="48"/>
      <c r="L175" s="48">
        <f t="shared" si="14"/>
        <v>0</v>
      </c>
      <c r="M175" s="48">
        <f t="shared" si="16"/>
        <v>0</v>
      </c>
      <c r="N175" s="309"/>
      <c r="O175" s="323"/>
      <c r="P175" s="323"/>
      <c r="Q175" s="323"/>
      <c r="R175" s="323"/>
      <c r="S175" s="323"/>
      <c r="T175" s="323"/>
      <c r="U175" s="323"/>
    </row>
    <row r="176" spans="1:21" ht="16.5" x14ac:dyDescent="0.25">
      <c r="A176" s="922"/>
      <c r="B176" s="45"/>
      <c r="C176" s="326" t="s">
        <v>63</v>
      </c>
      <c r="D176" s="46" t="s">
        <v>74</v>
      </c>
      <c r="E176" s="47">
        <f>0.18+0.09+0.97</f>
        <v>1.24</v>
      </c>
      <c r="F176" s="47">
        <f>F173*E176</f>
        <v>2.3311999999999999</v>
      </c>
      <c r="G176" s="48"/>
      <c r="H176" s="48">
        <f t="shared" si="15"/>
        <v>0</v>
      </c>
      <c r="I176" s="48"/>
      <c r="J176" s="48"/>
      <c r="K176" s="48"/>
      <c r="L176" s="48"/>
      <c r="M176" s="48">
        <f t="shared" si="16"/>
        <v>0</v>
      </c>
      <c r="N176" s="309"/>
      <c r="O176" s="323"/>
      <c r="P176" s="323"/>
      <c r="Q176" s="323"/>
      <c r="R176" s="323"/>
      <c r="S176" s="323"/>
      <c r="T176" s="323"/>
      <c r="U176" s="323"/>
    </row>
    <row r="177" spans="1:21" ht="16.5" x14ac:dyDescent="0.25">
      <c r="A177" s="923"/>
      <c r="B177" s="45"/>
      <c r="C177" s="326" t="s">
        <v>10</v>
      </c>
      <c r="D177" s="46" t="s">
        <v>7</v>
      </c>
      <c r="E177" s="47">
        <v>0.02</v>
      </c>
      <c r="F177" s="47">
        <f>F173*E177</f>
        <v>3.7600000000000001E-2</v>
      </c>
      <c r="G177" s="48"/>
      <c r="H177" s="48">
        <f t="shared" si="15"/>
        <v>0</v>
      </c>
      <c r="I177" s="48"/>
      <c r="J177" s="48"/>
      <c r="K177" s="48"/>
      <c r="L177" s="48"/>
      <c r="M177" s="48">
        <f t="shared" si="16"/>
        <v>0</v>
      </c>
      <c r="N177" s="309"/>
      <c r="O177" s="323"/>
      <c r="P177" s="323"/>
      <c r="Q177" s="323"/>
      <c r="R177" s="323"/>
      <c r="S177" s="323"/>
      <c r="T177" s="323"/>
      <c r="U177" s="323"/>
    </row>
    <row r="178" spans="1:21" ht="31.5" x14ac:dyDescent="0.25">
      <c r="A178" s="921" t="s">
        <v>361</v>
      </c>
      <c r="B178" s="38" t="s">
        <v>278</v>
      </c>
      <c r="C178" s="324" t="s">
        <v>362</v>
      </c>
      <c r="D178" s="40" t="s">
        <v>280</v>
      </c>
      <c r="E178" s="88"/>
      <c r="F178" s="88">
        <f>F167/100</f>
        <v>0.188</v>
      </c>
      <c r="G178" s="48"/>
      <c r="H178" s="48"/>
      <c r="I178" s="48"/>
      <c r="J178" s="48"/>
      <c r="K178" s="48"/>
      <c r="L178" s="48"/>
      <c r="M178" s="48"/>
      <c r="N178" s="309"/>
      <c r="O178" s="323"/>
      <c r="P178" s="323"/>
      <c r="Q178" s="323"/>
      <c r="R178" s="323"/>
      <c r="S178" s="323"/>
      <c r="T178" s="323"/>
      <c r="U178" s="323"/>
    </row>
    <row r="179" spans="1:21" ht="27" x14ac:dyDescent="0.25">
      <c r="A179" s="922"/>
      <c r="B179" s="45"/>
      <c r="C179" s="326" t="s">
        <v>73</v>
      </c>
      <c r="D179" s="46" t="s">
        <v>9</v>
      </c>
      <c r="E179" s="47">
        <v>31.2</v>
      </c>
      <c r="F179" s="47">
        <f>F178*E179</f>
        <v>5.8655999999999997</v>
      </c>
      <c r="G179" s="48"/>
      <c r="H179" s="48"/>
      <c r="I179" s="48"/>
      <c r="J179" s="48">
        <f t="shared" si="13"/>
        <v>0</v>
      </c>
      <c r="K179" s="48"/>
      <c r="L179" s="48"/>
      <c r="M179" s="48">
        <f t="shared" si="16"/>
        <v>0</v>
      </c>
      <c r="N179" s="309"/>
      <c r="O179" s="323"/>
      <c r="P179" s="323"/>
      <c r="Q179" s="323"/>
      <c r="R179" s="323"/>
      <c r="S179" s="323"/>
      <c r="T179" s="323"/>
      <c r="U179" s="323"/>
    </row>
    <row r="180" spans="1:21" ht="27" x14ac:dyDescent="0.25">
      <c r="A180" s="922"/>
      <c r="B180" s="45"/>
      <c r="C180" s="326" t="s">
        <v>21</v>
      </c>
      <c r="D180" s="46" t="s">
        <v>98</v>
      </c>
      <c r="E180" s="47">
        <v>1.38</v>
      </c>
      <c r="F180" s="47">
        <f>F178*E180</f>
        <v>0.25944</v>
      </c>
      <c r="G180" s="48"/>
      <c r="H180" s="48"/>
      <c r="I180" s="48"/>
      <c r="J180" s="48"/>
      <c r="K180" s="48"/>
      <c r="L180" s="48">
        <f t="shared" si="14"/>
        <v>0</v>
      </c>
      <c r="M180" s="48">
        <f t="shared" si="16"/>
        <v>0</v>
      </c>
      <c r="N180" s="309"/>
      <c r="O180" s="323"/>
      <c r="P180" s="323"/>
      <c r="Q180" s="323"/>
      <c r="R180" s="323"/>
      <c r="S180" s="323"/>
      <c r="T180" s="323"/>
      <c r="U180" s="323"/>
    </row>
    <row r="181" spans="1:21" ht="16.5" x14ac:dyDescent="0.25">
      <c r="A181" s="922"/>
      <c r="B181" s="45"/>
      <c r="C181" s="326" t="s">
        <v>281</v>
      </c>
      <c r="D181" s="46" t="s">
        <v>282</v>
      </c>
      <c r="E181" s="47">
        <v>112</v>
      </c>
      <c r="F181" s="47">
        <f>F178*E181</f>
        <v>21.056000000000001</v>
      </c>
      <c r="G181" s="48"/>
      <c r="H181" s="48">
        <f t="shared" si="15"/>
        <v>0</v>
      </c>
      <c r="I181" s="48"/>
      <c r="J181" s="48"/>
      <c r="K181" s="48"/>
      <c r="L181" s="48"/>
      <c r="M181" s="48">
        <f t="shared" si="16"/>
        <v>0</v>
      </c>
      <c r="N181" s="309"/>
      <c r="O181" s="323"/>
      <c r="P181" s="323"/>
      <c r="Q181" s="323"/>
      <c r="R181" s="323"/>
      <c r="S181" s="323"/>
      <c r="T181" s="323"/>
      <c r="U181" s="323"/>
    </row>
    <row r="182" spans="1:21" ht="16.5" x14ac:dyDescent="0.25">
      <c r="A182" s="922"/>
      <c r="B182" s="45"/>
      <c r="C182" s="326" t="s">
        <v>283</v>
      </c>
      <c r="D182" s="46" t="s">
        <v>83</v>
      </c>
      <c r="E182" s="47">
        <v>0.53</v>
      </c>
      <c r="F182" s="47">
        <f>F178*E182</f>
        <v>9.9640000000000006E-2</v>
      </c>
      <c r="G182" s="48"/>
      <c r="H182" s="48">
        <f t="shared" si="15"/>
        <v>0</v>
      </c>
      <c r="I182" s="48"/>
      <c r="J182" s="48"/>
      <c r="K182" s="48"/>
      <c r="L182" s="48"/>
      <c r="M182" s="48">
        <f t="shared" si="16"/>
        <v>0</v>
      </c>
      <c r="N182" s="309"/>
      <c r="O182" s="323"/>
      <c r="P182" s="323"/>
      <c r="Q182" s="323"/>
      <c r="R182" s="323"/>
      <c r="S182" s="323"/>
      <c r="T182" s="323"/>
      <c r="U182" s="323"/>
    </row>
    <row r="183" spans="1:21" ht="16.5" x14ac:dyDescent="0.25">
      <c r="A183" s="922"/>
      <c r="B183" s="45"/>
      <c r="C183" s="326" t="s">
        <v>284</v>
      </c>
      <c r="D183" s="46" t="s">
        <v>5</v>
      </c>
      <c r="E183" s="47">
        <v>76</v>
      </c>
      <c r="F183" s="47">
        <f>F178*E183</f>
        <v>14.288</v>
      </c>
      <c r="G183" s="48"/>
      <c r="H183" s="48">
        <f t="shared" si="15"/>
        <v>0</v>
      </c>
      <c r="I183" s="48"/>
      <c r="J183" s="48"/>
      <c r="K183" s="48"/>
      <c r="L183" s="48"/>
      <c r="M183" s="48">
        <f t="shared" si="16"/>
        <v>0</v>
      </c>
      <c r="N183" s="309"/>
      <c r="O183" s="323"/>
      <c r="P183" s="323"/>
      <c r="Q183" s="323"/>
      <c r="R183" s="323"/>
      <c r="S183" s="323"/>
      <c r="T183" s="323"/>
      <c r="U183" s="323"/>
    </row>
    <row r="184" spans="1:21" ht="16.5" x14ac:dyDescent="0.25">
      <c r="A184" s="923"/>
      <c r="B184" s="45"/>
      <c r="C184" s="326" t="s">
        <v>10</v>
      </c>
      <c r="D184" s="46" t="s">
        <v>7</v>
      </c>
      <c r="E184" s="47">
        <v>0.19</v>
      </c>
      <c r="F184" s="47">
        <f>F178*E184</f>
        <v>3.5720000000000002E-2</v>
      </c>
      <c r="G184" s="48"/>
      <c r="H184" s="48">
        <f t="shared" si="15"/>
        <v>0</v>
      </c>
      <c r="I184" s="48"/>
      <c r="J184" s="48"/>
      <c r="K184" s="48"/>
      <c r="L184" s="48"/>
      <c r="M184" s="48">
        <f t="shared" si="16"/>
        <v>0</v>
      </c>
      <c r="N184" s="309"/>
      <c r="O184" s="323"/>
      <c r="P184" s="323"/>
      <c r="Q184" s="323"/>
      <c r="R184" s="323"/>
      <c r="S184" s="323"/>
      <c r="T184" s="323"/>
      <c r="U184" s="323"/>
    </row>
    <row r="185" spans="1:21" ht="47.25" x14ac:dyDescent="0.25">
      <c r="A185" s="922" t="s">
        <v>363</v>
      </c>
      <c r="B185" s="38" t="s">
        <v>364</v>
      </c>
      <c r="C185" s="361" t="s">
        <v>365</v>
      </c>
      <c r="D185" s="40" t="s">
        <v>74</v>
      </c>
      <c r="E185" s="88"/>
      <c r="F185" s="88">
        <v>2</v>
      </c>
      <c r="G185" s="369"/>
      <c r="H185" s="48"/>
      <c r="I185" s="48"/>
      <c r="J185" s="48"/>
      <c r="K185" s="369"/>
      <c r="L185" s="48"/>
      <c r="M185" s="48"/>
      <c r="N185" s="309"/>
      <c r="O185" s="323"/>
      <c r="P185" s="323"/>
      <c r="Q185" s="323"/>
      <c r="R185" s="323"/>
      <c r="S185" s="323"/>
      <c r="T185" s="323"/>
      <c r="U185" s="323"/>
    </row>
    <row r="186" spans="1:21" ht="27" x14ac:dyDescent="0.25">
      <c r="A186" s="922"/>
      <c r="B186" s="45"/>
      <c r="C186" s="326" t="s">
        <v>73</v>
      </c>
      <c r="D186" s="46" t="s">
        <v>9</v>
      </c>
      <c r="E186" s="47">
        <v>2.9</v>
      </c>
      <c r="F186" s="47">
        <f>F185*E186</f>
        <v>5.8</v>
      </c>
      <c r="G186" s="48"/>
      <c r="H186" s="48"/>
      <c r="I186" s="48"/>
      <c r="J186" s="48">
        <f t="shared" si="13"/>
        <v>0</v>
      </c>
      <c r="K186" s="369"/>
      <c r="L186" s="48"/>
      <c r="M186" s="48">
        <f t="shared" si="16"/>
        <v>0</v>
      </c>
      <c r="N186" s="309"/>
      <c r="O186" s="323"/>
      <c r="P186" s="323"/>
      <c r="Q186" s="323"/>
      <c r="R186" s="323"/>
      <c r="S186" s="323"/>
      <c r="T186" s="323"/>
      <c r="U186" s="323"/>
    </row>
    <row r="187" spans="1:21" ht="16.5" x14ac:dyDescent="0.25">
      <c r="A187" s="922"/>
      <c r="B187" s="45"/>
      <c r="C187" s="326" t="s">
        <v>78</v>
      </c>
      <c r="D187" s="46" t="s">
        <v>74</v>
      </c>
      <c r="E187" s="47">
        <v>1.02</v>
      </c>
      <c r="F187" s="47">
        <f>F185*E187</f>
        <v>2.04</v>
      </c>
      <c r="G187" s="369"/>
      <c r="H187" s="48">
        <f t="shared" si="15"/>
        <v>0</v>
      </c>
      <c r="I187" s="48"/>
      <c r="J187" s="48"/>
      <c r="K187" s="369"/>
      <c r="L187" s="48"/>
      <c r="M187" s="48">
        <f t="shared" si="16"/>
        <v>0</v>
      </c>
      <c r="N187" s="309"/>
      <c r="O187" s="323"/>
      <c r="P187" s="323"/>
      <c r="Q187" s="323"/>
      <c r="R187" s="323"/>
      <c r="S187" s="323"/>
      <c r="T187" s="323"/>
      <c r="U187" s="323"/>
    </row>
    <row r="188" spans="1:21" ht="16.5" x14ac:dyDescent="0.25">
      <c r="A188" s="923"/>
      <c r="B188" s="45"/>
      <c r="C188" s="326" t="s">
        <v>20</v>
      </c>
      <c r="D188" s="46" t="s">
        <v>7</v>
      </c>
      <c r="E188" s="47">
        <v>0.88</v>
      </c>
      <c r="F188" s="47">
        <f>F185*E188</f>
        <v>1.76</v>
      </c>
      <c r="G188" s="369"/>
      <c r="H188" s="48">
        <f t="shared" si="15"/>
        <v>0</v>
      </c>
      <c r="I188" s="48"/>
      <c r="J188" s="48"/>
      <c r="K188" s="369"/>
      <c r="L188" s="48"/>
      <c r="M188" s="48">
        <f t="shared" si="16"/>
        <v>0</v>
      </c>
      <c r="N188" s="309"/>
      <c r="O188" s="323"/>
      <c r="P188" s="323"/>
      <c r="Q188" s="323"/>
      <c r="R188" s="323"/>
      <c r="S188" s="323"/>
      <c r="T188" s="323"/>
      <c r="U188" s="323"/>
    </row>
    <row r="189" spans="1:21" ht="16.5" x14ac:dyDescent="0.25">
      <c r="A189" s="370"/>
      <c r="B189" s="38"/>
      <c r="C189" s="324"/>
      <c r="D189" s="40"/>
      <c r="E189" s="347"/>
      <c r="F189" s="347"/>
      <c r="G189" s="48"/>
      <c r="H189" s="48">
        <f t="shared" si="15"/>
        <v>0</v>
      </c>
      <c r="I189" s="48"/>
      <c r="J189" s="48"/>
      <c r="K189" s="48"/>
      <c r="L189" s="48"/>
      <c r="M189" s="48">
        <f t="shared" si="16"/>
        <v>0</v>
      </c>
      <c r="N189" s="309"/>
      <c r="O189" s="323"/>
      <c r="P189" s="323"/>
      <c r="Q189" s="323"/>
      <c r="R189" s="323"/>
      <c r="S189" s="323"/>
      <c r="T189" s="323"/>
      <c r="U189" s="323"/>
    </row>
    <row r="190" spans="1:21" ht="47.25" x14ac:dyDescent="0.25">
      <c r="A190" s="319" t="s">
        <v>366</v>
      </c>
      <c r="B190" s="320"/>
      <c r="C190" s="321" t="s">
        <v>367</v>
      </c>
      <c r="D190" s="322"/>
      <c r="E190" s="321"/>
      <c r="F190" s="321"/>
      <c r="G190" s="371"/>
      <c r="H190" s="48"/>
      <c r="I190" s="48"/>
      <c r="J190" s="48"/>
      <c r="K190" s="48"/>
      <c r="L190" s="48"/>
      <c r="M190" s="48"/>
      <c r="N190" s="309"/>
      <c r="O190" s="323"/>
      <c r="P190" s="323"/>
      <c r="Q190" s="323"/>
      <c r="R190" s="323"/>
      <c r="S190" s="323"/>
      <c r="T190" s="323"/>
      <c r="U190" s="323"/>
    </row>
    <row r="191" spans="1:21" ht="63" x14ac:dyDescent="0.25">
      <c r="A191" s="921" t="s">
        <v>126</v>
      </c>
      <c r="B191" s="38" t="s">
        <v>28</v>
      </c>
      <c r="C191" s="324" t="s">
        <v>368</v>
      </c>
      <c r="D191" s="40" t="s">
        <v>74</v>
      </c>
      <c r="E191" s="88"/>
      <c r="F191" s="88">
        <f>( (3.4+3.1)*2*(2.5+3)/2-0.9*2.1*3)*0.2</f>
        <v>6.016</v>
      </c>
      <c r="G191" s="48"/>
      <c r="H191" s="48"/>
      <c r="I191" s="48"/>
      <c r="J191" s="48"/>
      <c r="K191" s="48"/>
      <c r="L191" s="48"/>
      <c r="M191" s="48"/>
      <c r="N191" s="309"/>
      <c r="O191" s="323"/>
      <c r="P191" s="323"/>
      <c r="Q191" s="323"/>
      <c r="R191" s="323"/>
      <c r="S191" s="323"/>
      <c r="T191" s="323"/>
      <c r="U191" s="323"/>
    </row>
    <row r="192" spans="1:21" ht="27" x14ac:dyDescent="0.25">
      <c r="A192" s="922"/>
      <c r="B192" s="45"/>
      <c r="C192" s="326" t="s">
        <v>73</v>
      </c>
      <c r="D192" s="46" t="s">
        <v>9</v>
      </c>
      <c r="E192" s="47">
        <v>3.36</v>
      </c>
      <c r="F192" s="47">
        <f>F191*E192</f>
        <v>20.213760000000001</v>
      </c>
      <c r="G192" s="48"/>
      <c r="H192" s="48"/>
      <c r="I192" s="48"/>
      <c r="J192" s="48">
        <f t="shared" si="13"/>
        <v>0</v>
      </c>
      <c r="K192" s="48"/>
      <c r="L192" s="48"/>
      <c r="M192" s="48">
        <f t="shared" si="16"/>
        <v>0</v>
      </c>
      <c r="N192" s="309"/>
      <c r="O192" s="323"/>
      <c r="P192" s="323"/>
      <c r="Q192" s="323"/>
      <c r="R192" s="323"/>
      <c r="S192" s="323"/>
      <c r="T192" s="323"/>
      <c r="U192" s="323"/>
    </row>
    <row r="193" spans="1:21" ht="27" x14ac:dyDescent="0.25">
      <c r="A193" s="922"/>
      <c r="B193" s="45"/>
      <c r="C193" s="326" t="s">
        <v>21</v>
      </c>
      <c r="D193" s="46" t="s">
        <v>98</v>
      </c>
      <c r="E193" s="47">
        <v>0.92</v>
      </c>
      <c r="F193" s="47">
        <f>F191*E193</f>
        <v>5.5347200000000001</v>
      </c>
      <c r="G193" s="48"/>
      <c r="H193" s="48"/>
      <c r="I193" s="48"/>
      <c r="J193" s="48"/>
      <c r="K193" s="48"/>
      <c r="L193" s="48">
        <f t="shared" si="14"/>
        <v>0</v>
      </c>
      <c r="M193" s="48">
        <f t="shared" si="16"/>
        <v>0</v>
      </c>
      <c r="N193" s="309"/>
      <c r="O193" s="323"/>
      <c r="P193" s="323"/>
      <c r="Q193" s="323"/>
      <c r="R193" s="323"/>
      <c r="S193" s="323"/>
      <c r="T193" s="323"/>
      <c r="U193" s="323"/>
    </row>
    <row r="194" spans="1:21" ht="31.5" x14ac:dyDescent="0.25">
      <c r="A194" s="922"/>
      <c r="B194" s="372"/>
      <c r="C194" s="364" t="s">
        <v>369</v>
      </c>
      <c r="D194" s="46" t="s">
        <v>74</v>
      </c>
      <c r="E194" s="47">
        <v>0.92</v>
      </c>
      <c r="F194" s="47">
        <f>F191*E194</f>
        <v>5.5347200000000001</v>
      </c>
      <c r="G194" s="48"/>
      <c r="H194" s="48"/>
      <c r="I194" s="48"/>
      <c r="J194" s="48"/>
      <c r="K194" s="48"/>
      <c r="L194" s="48"/>
      <c r="M194" s="48">
        <f t="shared" si="16"/>
        <v>0</v>
      </c>
      <c r="N194" s="309"/>
      <c r="O194" s="323"/>
      <c r="P194" s="323"/>
      <c r="Q194" s="323"/>
      <c r="R194" s="323"/>
      <c r="S194" s="323"/>
      <c r="T194" s="323"/>
      <c r="U194" s="323"/>
    </row>
    <row r="195" spans="1:21" ht="16.5" x14ac:dyDescent="0.25">
      <c r="A195" s="922"/>
      <c r="B195" s="45"/>
      <c r="C195" s="344"/>
      <c r="D195" s="46" t="s">
        <v>147</v>
      </c>
      <c r="E195" s="47">
        <v>62.5</v>
      </c>
      <c r="F195" s="47">
        <f>F194*E195</f>
        <v>345.92</v>
      </c>
      <c r="G195" s="48"/>
      <c r="H195" s="48">
        <f t="shared" si="15"/>
        <v>0</v>
      </c>
      <c r="I195" s="48"/>
      <c r="J195" s="48"/>
      <c r="K195" s="48"/>
      <c r="L195" s="48"/>
      <c r="M195" s="48">
        <f t="shared" si="16"/>
        <v>0</v>
      </c>
      <c r="N195" s="309"/>
      <c r="O195" s="323"/>
      <c r="P195" s="323"/>
      <c r="Q195" s="323"/>
      <c r="R195" s="323"/>
      <c r="S195" s="323"/>
      <c r="T195" s="323"/>
      <c r="U195" s="323"/>
    </row>
    <row r="196" spans="1:21" ht="16.5" x14ac:dyDescent="0.25">
      <c r="A196" s="922"/>
      <c r="B196" s="45"/>
      <c r="C196" s="326" t="s">
        <v>370</v>
      </c>
      <c r="D196" s="46" t="s">
        <v>74</v>
      </c>
      <c r="E196" s="47">
        <v>0.11</v>
      </c>
      <c r="F196" s="47">
        <f>F191*E196</f>
        <v>0.66176000000000001</v>
      </c>
      <c r="G196" s="48"/>
      <c r="H196" s="48">
        <f t="shared" si="15"/>
        <v>0</v>
      </c>
      <c r="I196" s="48"/>
      <c r="J196" s="48"/>
      <c r="K196" s="48"/>
      <c r="L196" s="48"/>
      <c r="M196" s="48">
        <f t="shared" si="16"/>
        <v>0</v>
      </c>
      <c r="N196" s="309"/>
      <c r="O196" s="323"/>
      <c r="P196" s="323"/>
      <c r="Q196" s="323"/>
      <c r="R196" s="323"/>
      <c r="S196" s="323"/>
      <c r="T196" s="323"/>
      <c r="U196" s="323"/>
    </row>
    <row r="197" spans="1:21" ht="16.5" x14ac:dyDescent="0.25">
      <c r="A197" s="923"/>
      <c r="B197" s="45"/>
      <c r="C197" s="326" t="s">
        <v>10</v>
      </c>
      <c r="D197" s="46" t="s">
        <v>7</v>
      </c>
      <c r="E197" s="47">
        <v>0.16</v>
      </c>
      <c r="F197" s="47">
        <f>F191*E197</f>
        <v>0.96255999999999997</v>
      </c>
      <c r="G197" s="48"/>
      <c r="H197" s="48">
        <f t="shared" si="15"/>
        <v>0</v>
      </c>
      <c r="I197" s="48"/>
      <c r="J197" s="48"/>
      <c r="K197" s="48"/>
      <c r="L197" s="48"/>
      <c r="M197" s="48">
        <f t="shared" si="16"/>
        <v>0</v>
      </c>
      <c r="N197" s="309"/>
      <c r="O197" s="323"/>
      <c r="P197" s="323"/>
      <c r="Q197" s="323"/>
      <c r="R197" s="323"/>
      <c r="S197" s="323"/>
      <c r="T197" s="323"/>
      <c r="U197" s="323"/>
    </row>
    <row r="198" spans="1:21" ht="63" x14ac:dyDescent="0.25">
      <c r="A198" s="921" t="s">
        <v>371</v>
      </c>
      <c r="B198" s="38" t="s">
        <v>28</v>
      </c>
      <c r="C198" s="324" t="s">
        <v>372</v>
      </c>
      <c r="D198" s="373" t="s">
        <v>74</v>
      </c>
      <c r="E198" s="359"/>
      <c r="F198" s="88">
        <f>(3.4+1.8)*(2.5+3)/2*0.1</f>
        <v>1.4300000000000002</v>
      </c>
      <c r="G198" s="48"/>
      <c r="H198" s="48"/>
      <c r="I198" s="48"/>
      <c r="J198" s="48"/>
      <c r="K198" s="48"/>
      <c r="L198" s="48"/>
      <c r="M198" s="48"/>
      <c r="N198" s="309"/>
      <c r="O198" s="323"/>
      <c r="P198" s="323"/>
      <c r="Q198" s="323"/>
      <c r="R198" s="323"/>
      <c r="S198" s="323"/>
      <c r="T198" s="323"/>
      <c r="U198" s="323"/>
    </row>
    <row r="199" spans="1:21" ht="27" x14ac:dyDescent="0.25">
      <c r="A199" s="922"/>
      <c r="B199" s="45"/>
      <c r="C199" s="326" t="s">
        <v>73</v>
      </c>
      <c r="D199" s="46" t="s">
        <v>9</v>
      </c>
      <c r="E199" s="47">
        <v>3.36</v>
      </c>
      <c r="F199" s="47">
        <f>F198*E199</f>
        <v>4.8048000000000002</v>
      </c>
      <c r="G199" s="48"/>
      <c r="H199" s="48"/>
      <c r="I199" s="48"/>
      <c r="J199" s="48">
        <f t="shared" si="13"/>
        <v>0</v>
      </c>
      <c r="K199" s="48"/>
      <c r="L199" s="48"/>
      <c r="M199" s="48">
        <f t="shared" si="16"/>
        <v>0</v>
      </c>
      <c r="N199" s="309"/>
      <c r="O199" s="323"/>
      <c r="P199" s="323"/>
      <c r="Q199" s="323"/>
      <c r="R199" s="323"/>
      <c r="S199" s="323"/>
      <c r="T199" s="323"/>
      <c r="U199" s="323"/>
    </row>
    <row r="200" spans="1:21" ht="27" x14ac:dyDescent="0.25">
      <c r="A200" s="922"/>
      <c r="B200" s="45"/>
      <c r="C200" s="326" t="s">
        <v>21</v>
      </c>
      <c r="D200" s="46" t="s">
        <v>98</v>
      </c>
      <c r="E200" s="47">
        <v>0.92</v>
      </c>
      <c r="F200" s="47">
        <f>F198*E200</f>
        <v>1.3156000000000001</v>
      </c>
      <c r="G200" s="48"/>
      <c r="H200" s="48"/>
      <c r="I200" s="48"/>
      <c r="J200" s="48"/>
      <c r="K200" s="48"/>
      <c r="L200" s="48">
        <f t="shared" si="14"/>
        <v>0</v>
      </c>
      <c r="M200" s="48">
        <f t="shared" si="16"/>
        <v>0</v>
      </c>
      <c r="N200" s="309"/>
      <c r="O200" s="323"/>
      <c r="P200" s="323"/>
      <c r="Q200" s="323"/>
      <c r="R200" s="323"/>
      <c r="S200" s="323"/>
      <c r="T200" s="323"/>
      <c r="U200" s="323"/>
    </row>
    <row r="201" spans="1:21" ht="31.5" x14ac:dyDescent="0.25">
      <c r="A201" s="922"/>
      <c r="B201" s="372"/>
      <c r="C201" s="364" t="s">
        <v>373</v>
      </c>
      <c r="D201" s="46" t="s">
        <v>74</v>
      </c>
      <c r="E201" s="47">
        <v>0.92</v>
      </c>
      <c r="F201" s="47">
        <f>F198*E201</f>
        <v>1.3156000000000001</v>
      </c>
      <c r="G201" s="48"/>
      <c r="H201" s="48"/>
      <c r="I201" s="48"/>
      <c r="J201" s="48"/>
      <c r="K201" s="48"/>
      <c r="L201" s="48"/>
      <c r="M201" s="48">
        <f t="shared" si="16"/>
        <v>0</v>
      </c>
      <c r="N201" s="309"/>
      <c r="O201" s="323"/>
      <c r="P201" s="323"/>
      <c r="Q201" s="323"/>
      <c r="R201" s="323"/>
      <c r="S201" s="323"/>
      <c r="T201" s="323"/>
      <c r="U201" s="323"/>
    </row>
    <row r="202" spans="1:21" ht="16.5" x14ac:dyDescent="0.25">
      <c r="A202" s="922"/>
      <c r="B202" s="45"/>
      <c r="C202" s="344"/>
      <c r="D202" s="46" t="s">
        <v>147</v>
      </c>
      <c r="E202" s="47">
        <f>62.5*2</f>
        <v>125</v>
      </c>
      <c r="F202" s="47">
        <f>F201*E202</f>
        <v>164.45000000000002</v>
      </c>
      <c r="G202" s="48"/>
      <c r="H202" s="48">
        <f t="shared" si="15"/>
        <v>0</v>
      </c>
      <c r="I202" s="48"/>
      <c r="J202" s="48"/>
      <c r="K202" s="48"/>
      <c r="L202" s="48"/>
      <c r="M202" s="48">
        <f t="shared" si="16"/>
        <v>0</v>
      </c>
      <c r="N202" s="309"/>
      <c r="O202" s="323"/>
      <c r="P202" s="323"/>
      <c r="Q202" s="323"/>
      <c r="R202" s="323"/>
      <c r="S202" s="323"/>
      <c r="T202" s="323"/>
      <c r="U202" s="323"/>
    </row>
    <row r="203" spans="1:21" ht="16.5" x14ac:dyDescent="0.25">
      <c r="A203" s="922"/>
      <c r="B203" s="45"/>
      <c r="C203" s="326" t="s">
        <v>370</v>
      </c>
      <c r="D203" s="46" t="s">
        <v>74</v>
      </c>
      <c r="E203" s="47">
        <v>0.11</v>
      </c>
      <c r="F203" s="47">
        <f>F198*E203</f>
        <v>0.15730000000000002</v>
      </c>
      <c r="G203" s="48"/>
      <c r="H203" s="48">
        <f t="shared" si="15"/>
        <v>0</v>
      </c>
      <c r="I203" s="48"/>
      <c r="J203" s="48"/>
      <c r="K203" s="48"/>
      <c r="L203" s="48"/>
      <c r="M203" s="48">
        <f t="shared" si="16"/>
        <v>0</v>
      </c>
      <c r="N203" s="309"/>
      <c r="O203" s="323"/>
      <c r="P203" s="323"/>
      <c r="Q203" s="323"/>
      <c r="R203" s="323"/>
      <c r="S203" s="323"/>
      <c r="T203" s="323"/>
      <c r="U203" s="323"/>
    </row>
    <row r="204" spans="1:21" ht="16.5" x14ac:dyDescent="0.25">
      <c r="A204" s="923"/>
      <c r="B204" s="45"/>
      <c r="C204" s="326" t="s">
        <v>10</v>
      </c>
      <c r="D204" s="46" t="s">
        <v>7</v>
      </c>
      <c r="E204" s="47">
        <v>0.16</v>
      </c>
      <c r="F204" s="47">
        <f>F198*E204</f>
        <v>0.22880000000000003</v>
      </c>
      <c r="G204" s="48"/>
      <c r="H204" s="48">
        <f t="shared" si="15"/>
        <v>0</v>
      </c>
      <c r="I204" s="48"/>
      <c r="J204" s="48"/>
      <c r="K204" s="48"/>
      <c r="L204" s="48"/>
      <c r="M204" s="48">
        <f t="shared" si="16"/>
        <v>0</v>
      </c>
      <c r="N204" s="309"/>
      <c r="O204" s="323"/>
      <c r="P204" s="323"/>
      <c r="Q204" s="323"/>
      <c r="R204" s="323"/>
      <c r="S204" s="323"/>
      <c r="T204" s="323"/>
      <c r="U204" s="323"/>
    </row>
    <row r="205" spans="1:21" ht="63" x14ac:dyDescent="0.25">
      <c r="A205" s="921" t="s">
        <v>221</v>
      </c>
      <c r="B205" s="38" t="s">
        <v>374</v>
      </c>
      <c r="C205" s="324" t="s">
        <v>375</v>
      </c>
      <c r="D205" s="373" t="s">
        <v>111</v>
      </c>
      <c r="E205" s="359"/>
      <c r="F205" s="312">
        <f>F207+F208</f>
        <v>6.39</v>
      </c>
      <c r="G205" s="48"/>
      <c r="H205" s="48"/>
      <c r="I205" s="48"/>
      <c r="J205" s="48"/>
      <c r="K205" s="48"/>
      <c r="L205" s="48"/>
      <c r="M205" s="48"/>
      <c r="N205" s="309"/>
      <c r="O205" s="323"/>
      <c r="P205" s="323"/>
      <c r="Q205" s="323"/>
      <c r="R205" s="323"/>
      <c r="S205" s="323"/>
      <c r="T205" s="323"/>
      <c r="U205" s="323"/>
    </row>
    <row r="206" spans="1:21" ht="27" x14ac:dyDescent="0.25">
      <c r="A206" s="922"/>
      <c r="B206" s="45"/>
      <c r="C206" s="326" t="s">
        <v>73</v>
      </c>
      <c r="D206" s="112" t="s">
        <v>9</v>
      </c>
      <c r="E206" s="366">
        <v>2.72</v>
      </c>
      <c r="F206" s="47">
        <f>F205*E206</f>
        <v>17.380800000000001</v>
      </c>
      <c r="G206" s="48"/>
      <c r="H206" s="48"/>
      <c r="I206" s="48"/>
      <c r="J206" s="48">
        <f t="shared" si="13"/>
        <v>0</v>
      </c>
      <c r="K206" s="48"/>
      <c r="L206" s="48"/>
      <c r="M206" s="48">
        <f t="shared" si="16"/>
        <v>0</v>
      </c>
      <c r="N206" s="309"/>
      <c r="O206" s="323"/>
      <c r="P206" s="323"/>
      <c r="Q206" s="323"/>
      <c r="R206" s="323"/>
      <c r="S206" s="323"/>
      <c r="T206" s="323"/>
      <c r="U206" s="323"/>
    </row>
    <row r="207" spans="1:21" ht="47.25" x14ac:dyDescent="0.25">
      <c r="A207" s="922"/>
      <c r="B207" s="45"/>
      <c r="C207" s="326" t="s">
        <v>377</v>
      </c>
      <c r="D207" s="112" t="s">
        <v>111</v>
      </c>
      <c r="E207" s="366">
        <v>1</v>
      </c>
      <c r="F207" s="88">
        <f>0.4*0.6*3</f>
        <v>0.72</v>
      </c>
      <c r="G207" s="48"/>
      <c r="H207" s="48">
        <f t="shared" si="15"/>
        <v>0</v>
      </c>
      <c r="I207" s="48"/>
      <c r="J207" s="48">
        <f t="shared" ref="J207:J256" si="17">F207*I207</f>
        <v>0</v>
      </c>
      <c r="K207" s="48"/>
      <c r="L207" s="48"/>
      <c r="M207" s="48">
        <f t="shared" si="16"/>
        <v>0</v>
      </c>
      <c r="N207" s="309"/>
      <c r="O207" s="323"/>
      <c r="P207" s="323"/>
      <c r="Q207" s="323"/>
      <c r="R207" s="323"/>
      <c r="S207" s="323"/>
      <c r="T207" s="323"/>
      <c r="U207" s="323"/>
    </row>
    <row r="208" spans="1:21" ht="47.25" x14ac:dyDescent="0.25">
      <c r="A208" s="923"/>
      <c r="B208" s="45"/>
      <c r="C208" s="326" t="s">
        <v>378</v>
      </c>
      <c r="D208" s="112" t="s">
        <v>111</v>
      </c>
      <c r="E208" s="366">
        <v>1</v>
      </c>
      <c r="F208" s="88">
        <f>0.9*2.1*3</f>
        <v>5.67</v>
      </c>
      <c r="G208" s="48"/>
      <c r="H208" s="48">
        <f t="shared" si="15"/>
        <v>0</v>
      </c>
      <c r="I208" s="48"/>
      <c r="J208" s="48">
        <f t="shared" si="17"/>
        <v>0</v>
      </c>
      <c r="K208" s="48"/>
      <c r="L208" s="48"/>
      <c r="M208" s="48">
        <f t="shared" si="16"/>
        <v>0</v>
      </c>
      <c r="N208" s="309"/>
      <c r="O208" s="323"/>
      <c r="P208" s="323"/>
      <c r="Q208" s="323"/>
      <c r="R208" s="323"/>
      <c r="S208" s="323"/>
      <c r="T208" s="323"/>
      <c r="U208" s="323"/>
    </row>
    <row r="209" spans="1:21" ht="31.5" x14ac:dyDescent="0.25">
      <c r="A209" s="921" t="s">
        <v>228</v>
      </c>
      <c r="B209" s="38" t="s">
        <v>379</v>
      </c>
      <c r="C209" s="324" t="s">
        <v>380</v>
      </c>
      <c r="D209" s="40" t="s">
        <v>46</v>
      </c>
      <c r="E209" s="88"/>
      <c r="F209" s="88">
        <f>0.6*3</f>
        <v>1.7999999999999998</v>
      </c>
      <c r="G209" s="48"/>
      <c r="H209" s="48"/>
      <c r="I209" s="48"/>
      <c r="J209" s="48"/>
      <c r="K209" s="48"/>
      <c r="L209" s="48"/>
      <c r="M209" s="48"/>
      <c r="N209" s="309"/>
      <c r="O209" s="323"/>
      <c r="P209" s="323"/>
      <c r="Q209" s="323"/>
      <c r="R209" s="323"/>
      <c r="S209" s="323"/>
      <c r="T209" s="323"/>
      <c r="U209" s="323"/>
    </row>
    <row r="210" spans="1:21" ht="27" x14ac:dyDescent="0.25">
      <c r="A210" s="922"/>
      <c r="B210" s="118"/>
      <c r="C210" s="344" t="s">
        <v>73</v>
      </c>
      <c r="D210" s="107" t="s">
        <v>151</v>
      </c>
      <c r="E210" s="144">
        <f>59.4*0.01</f>
        <v>0.59399999999999997</v>
      </c>
      <c r="F210" s="47">
        <f>F209*E210</f>
        <v>1.0691999999999999</v>
      </c>
      <c r="G210" s="48"/>
      <c r="H210" s="48"/>
      <c r="I210" s="48"/>
      <c r="J210" s="48">
        <f t="shared" si="17"/>
        <v>0</v>
      </c>
      <c r="K210" s="48"/>
      <c r="L210" s="48"/>
      <c r="M210" s="48">
        <f t="shared" ref="M210:M261" si="18">H210+J210+L210</f>
        <v>0</v>
      </c>
      <c r="N210" s="309"/>
      <c r="O210" s="323"/>
      <c r="P210" s="323"/>
      <c r="Q210" s="323"/>
      <c r="R210" s="323"/>
      <c r="S210" s="323"/>
      <c r="T210" s="323"/>
      <c r="U210" s="323"/>
    </row>
    <row r="211" spans="1:21" ht="16.5" x14ac:dyDescent="0.25">
      <c r="A211" s="922"/>
      <c r="B211" s="45"/>
      <c r="C211" s="326" t="s">
        <v>8</v>
      </c>
      <c r="D211" s="46" t="s">
        <v>7</v>
      </c>
      <c r="E211" s="144">
        <f>2.66*0.01</f>
        <v>2.6600000000000002E-2</v>
      </c>
      <c r="F211" s="144">
        <f>F209*E211</f>
        <v>4.7879999999999999E-2</v>
      </c>
      <c r="G211" s="48"/>
      <c r="H211" s="48"/>
      <c r="I211" s="48"/>
      <c r="J211" s="48"/>
      <c r="K211" s="48"/>
      <c r="L211" s="48">
        <f t="shared" ref="L211:L250" si="19">F211*K211</f>
        <v>0</v>
      </c>
      <c r="M211" s="48">
        <f t="shared" si="18"/>
        <v>0</v>
      </c>
      <c r="N211" s="309"/>
      <c r="O211" s="323"/>
      <c r="P211" s="323"/>
      <c r="Q211" s="323"/>
      <c r="R211" s="323"/>
      <c r="S211" s="323"/>
      <c r="T211" s="323"/>
      <c r="U211" s="323"/>
    </row>
    <row r="212" spans="1:21" ht="31.5" x14ac:dyDescent="0.25">
      <c r="A212" s="922"/>
      <c r="B212" s="45"/>
      <c r="C212" s="326" t="s">
        <v>381</v>
      </c>
      <c r="D212" s="46" t="s">
        <v>94</v>
      </c>
      <c r="E212" s="144">
        <f>74*0.01</f>
        <v>0.74</v>
      </c>
      <c r="F212" s="47">
        <f>F209*E212</f>
        <v>1.3319999999999999</v>
      </c>
      <c r="G212" s="48"/>
      <c r="H212" s="48">
        <f t="shared" ref="H212:H259" si="20">F212*G212</f>
        <v>0</v>
      </c>
      <c r="I212" s="48"/>
      <c r="J212" s="48"/>
      <c r="K212" s="48"/>
      <c r="L212" s="48"/>
      <c r="M212" s="48">
        <f t="shared" si="18"/>
        <v>0</v>
      </c>
      <c r="N212" s="309"/>
      <c r="O212" s="323"/>
      <c r="P212" s="323"/>
      <c r="Q212" s="323"/>
      <c r="R212" s="323"/>
      <c r="S212" s="323"/>
      <c r="T212" s="323"/>
      <c r="U212" s="323"/>
    </row>
    <row r="213" spans="1:21" ht="16.5" x14ac:dyDescent="0.25">
      <c r="A213" s="923"/>
      <c r="B213" s="118"/>
      <c r="C213" s="344" t="s">
        <v>382</v>
      </c>
      <c r="D213" s="107" t="s">
        <v>27</v>
      </c>
      <c r="E213" s="144">
        <f>0.3*0.01</f>
        <v>3.0000000000000001E-3</v>
      </c>
      <c r="F213" s="47">
        <f>E213*F209</f>
        <v>5.3999999999999994E-3</v>
      </c>
      <c r="G213" s="48"/>
      <c r="H213" s="48">
        <f t="shared" si="20"/>
        <v>0</v>
      </c>
      <c r="I213" s="48"/>
      <c r="J213" s="48"/>
      <c r="K213" s="48"/>
      <c r="L213" s="48"/>
      <c r="M213" s="48">
        <f t="shared" si="18"/>
        <v>0</v>
      </c>
      <c r="N213" s="309"/>
      <c r="O213" s="323"/>
      <c r="P213" s="323"/>
      <c r="Q213" s="323"/>
      <c r="R213" s="323"/>
      <c r="S213" s="323"/>
      <c r="T213" s="323"/>
      <c r="U213" s="323"/>
    </row>
    <row r="214" spans="1:21" ht="78.75" x14ac:dyDescent="0.25">
      <c r="A214" s="921" t="s">
        <v>383</v>
      </c>
      <c r="B214" s="66" t="s">
        <v>384</v>
      </c>
      <c r="C214" s="324" t="s">
        <v>385</v>
      </c>
      <c r="D214" s="40" t="s">
        <v>94</v>
      </c>
      <c r="E214" s="88"/>
      <c r="F214" s="88">
        <f>(0.6+0.4)*2*2*3+(0.9+2.1*2)*2*3</f>
        <v>42.6</v>
      </c>
      <c r="G214" s="48"/>
      <c r="H214" s="48"/>
      <c r="I214" s="48"/>
      <c r="J214" s="48"/>
      <c r="K214" s="48"/>
      <c r="L214" s="48"/>
      <c r="M214" s="48"/>
      <c r="N214" s="309"/>
      <c r="O214" s="323"/>
      <c r="P214" s="323"/>
      <c r="Q214" s="323"/>
      <c r="R214" s="323"/>
      <c r="S214" s="323"/>
      <c r="T214" s="323"/>
      <c r="U214" s="323"/>
    </row>
    <row r="215" spans="1:21" ht="16.5" x14ac:dyDescent="0.25">
      <c r="A215" s="922"/>
      <c r="B215" s="66"/>
      <c r="C215" s="342" t="s">
        <v>77</v>
      </c>
      <c r="D215" s="72" t="s">
        <v>18</v>
      </c>
      <c r="E215" s="73">
        <v>0.49</v>
      </c>
      <c r="F215" s="73">
        <f>E215*F214</f>
        <v>20.873999999999999</v>
      </c>
      <c r="G215" s="48"/>
      <c r="H215" s="48"/>
      <c r="I215" s="48"/>
      <c r="J215" s="48">
        <f t="shared" si="17"/>
        <v>0</v>
      </c>
      <c r="K215" s="48"/>
      <c r="L215" s="48"/>
      <c r="M215" s="48">
        <f t="shared" si="18"/>
        <v>0</v>
      </c>
      <c r="N215" s="309"/>
      <c r="O215" s="323"/>
      <c r="P215" s="323"/>
      <c r="Q215" s="323"/>
      <c r="R215" s="323"/>
      <c r="S215" s="323"/>
      <c r="T215" s="323"/>
      <c r="U215" s="323"/>
    </row>
    <row r="216" spans="1:21" ht="16.5" x14ac:dyDescent="0.25">
      <c r="A216" s="922"/>
      <c r="B216" s="66"/>
      <c r="C216" s="342" t="s">
        <v>8</v>
      </c>
      <c r="D216" s="72" t="s">
        <v>7</v>
      </c>
      <c r="E216" s="73">
        <v>1.7999999999999999E-2</v>
      </c>
      <c r="F216" s="73">
        <f>E216*F214</f>
        <v>0.76679999999999993</v>
      </c>
      <c r="G216" s="48"/>
      <c r="H216" s="48"/>
      <c r="I216" s="48"/>
      <c r="J216" s="48"/>
      <c r="K216" s="48"/>
      <c r="L216" s="48">
        <f t="shared" si="19"/>
        <v>0</v>
      </c>
      <c r="M216" s="48">
        <f t="shared" si="18"/>
        <v>0</v>
      </c>
      <c r="N216" s="309"/>
      <c r="O216" s="323"/>
      <c r="P216" s="323"/>
      <c r="Q216" s="323"/>
      <c r="R216" s="323"/>
      <c r="S216" s="323"/>
      <c r="T216" s="323"/>
      <c r="U216" s="323"/>
    </row>
    <row r="217" spans="1:21" ht="31.5" x14ac:dyDescent="0.25">
      <c r="A217" s="923"/>
      <c r="B217" s="71"/>
      <c r="C217" s="342" t="s">
        <v>386</v>
      </c>
      <c r="D217" s="72" t="s">
        <v>59</v>
      </c>
      <c r="E217" s="73">
        <v>1.06E-2</v>
      </c>
      <c r="F217" s="73">
        <f>E217*F214</f>
        <v>0.45156000000000002</v>
      </c>
      <c r="G217" s="48"/>
      <c r="H217" s="48">
        <f t="shared" si="20"/>
        <v>0</v>
      </c>
      <c r="I217" s="48"/>
      <c r="J217" s="48"/>
      <c r="K217" s="48"/>
      <c r="L217" s="48"/>
      <c r="M217" s="48">
        <f t="shared" si="18"/>
        <v>0</v>
      </c>
      <c r="N217" s="309"/>
      <c r="O217" s="323"/>
      <c r="P217" s="323"/>
      <c r="Q217" s="323"/>
      <c r="R217" s="323"/>
      <c r="S217" s="323"/>
      <c r="T217" s="323"/>
      <c r="U217" s="323"/>
    </row>
    <row r="218" spans="1:21" ht="47.25" x14ac:dyDescent="0.25">
      <c r="A218" s="921" t="s">
        <v>387</v>
      </c>
      <c r="B218" s="66" t="s">
        <v>388</v>
      </c>
      <c r="C218" s="324" t="s">
        <v>389</v>
      </c>
      <c r="D218" s="40" t="s">
        <v>46</v>
      </c>
      <c r="E218" s="88"/>
      <c r="F218" s="88">
        <f>( (3.4+3.1)*2*(2.5+3)/2-0.9*2.1*3)*1   +   (3.4+1.8)*(2.5+3)/2*2</f>
        <v>58.68</v>
      </c>
      <c r="G218" s="48"/>
      <c r="H218" s="48"/>
      <c r="I218" s="48"/>
      <c r="J218" s="48"/>
      <c r="K218" s="48"/>
      <c r="L218" s="48"/>
      <c r="M218" s="48"/>
      <c r="N218" s="309"/>
      <c r="O218" s="323"/>
      <c r="P218" s="323"/>
      <c r="Q218" s="323"/>
      <c r="R218" s="323"/>
      <c r="S218" s="323"/>
      <c r="T218" s="323"/>
      <c r="U218" s="323"/>
    </row>
    <row r="219" spans="1:21" ht="16.5" x14ac:dyDescent="0.25">
      <c r="A219" s="922"/>
      <c r="B219" s="66"/>
      <c r="C219" s="342" t="s">
        <v>77</v>
      </c>
      <c r="D219" s="72" t="s">
        <v>18</v>
      </c>
      <c r="E219" s="73">
        <v>1.01</v>
      </c>
      <c r="F219" s="73">
        <f>E219*F218</f>
        <v>59.266800000000003</v>
      </c>
      <c r="G219" s="48"/>
      <c r="H219" s="48"/>
      <c r="I219" s="48"/>
      <c r="J219" s="48">
        <f t="shared" si="17"/>
        <v>0</v>
      </c>
      <c r="K219" s="48"/>
      <c r="L219" s="48"/>
      <c r="M219" s="48">
        <f t="shared" si="18"/>
        <v>0</v>
      </c>
      <c r="N219" s="309"/>
      <c r="O219" s="323"/>
      <c r="P219" s="323"/>
      <c r="Q219" s="323"/>
      <c r="R219" s="323"/>
      <c r="S219" s="323"/>
      <c r="T219" s="323"/>
      <c r="U219" s="323"/>
    </row>
    <row r="220" spans="1:21" ht="16.5" x14ac:dyDescent="0.25">
      <c r="A220" s="922"/>
      <c r="B220" s="66" t="s">
        <v>390</v>
      </c>
      <c r="C220" s="342" t="s">
        <v>391</v>
      </c>
      <c r="D220" s="72" t="s">
        <v>19</v>
      </c>
      <c r="E220" s="73">
        <v>4.1000000000000002E-2</v>
      </c>
      <c r="F220" s="73">
        <f>E220*F218</f>
        <v>2.4058800000000002</v>
      </c>
      <c r="G220" s="48"/>
      <c r="H220" s="48"/>
      <c r="I220" s="48"/>
      <c r="J220" s="48"/>
      <c r="K220" s="48"/>
      <c r="L220" s="48">
        <f t="shared" si="19"/>
        <v>0</v>
      </c>
      <c r="M220" s="48">
        <f t="shared" si="18"/>
        <v>0</v>
      </c>
      <c r="N220" s="309"/>
      <c r="O220" s="323"/>
      <c r="P220" s="323"/>
      <c r="Q220" s="323"/>
      <c r="R220" s="323"/>
      <c r="S220" s="323"/>
      <c r="T220" s="323"/>
      <c r="U220" s="323"/>
    </row>
    <row r="221" spans="1:21" ht="16.5" x14ac:dyDescent="0.25">
      <c r="A221" s="922"/>
      <c r="B221" s="66"/>
      <c r="C221" s="342" t="s">
        <v>8</v>
      </c>
      <c r="D221" s="72" t="s">
        <v>7</v>
      </c>
      <c r="E221" s="73">
        <v>2.7E-2</v>
      </c>
      <c r="F221" s="73">
        <f>E221*F218</f>
        <v>1.58436</v>
      </c>
      <c r="G221" s="48"/>
      <c r="H221" s="48"/>
      <c r="I221" s="48"/>
      <c r="J221" s="48"/>
      <c r="K221" s="48"/>
      <c r="L221" s="48">
        <f t="shared" si="19"/>
        <v>0</v>
      </c>
      <c r="M221" s="48">
        <f t="shared" si="18"/>
        <v>0</v>
      </c>
      <c r="N221" s="309"/>
      <c r="O221" s="323"/>
      <c r="P221" s="323"/>
      <c r="Q221" s="323"/>
      <c r="R221" s="323"/>
      <c r="S221" s="323"/>
      <c r="T221" s="323"/>
      <c r="U221" s="323"/>
    </row>
    <row r="222" spans="1:21" ht="31.5" x14ac:dyDescent="0.25">
      <c r="A222" s="922"/>
      <c r="B222" s="71"/>
      <c r="C222" s="342" t="s">
        <v>392</v>
      </c>
      <c r="D222" s="72" t="s">
        <v>59</v>
      </c>
      <c r="E222" s="73">
        <f>0.0212+0.0026</f>
        <v>2.3800000000000002E-2</v>
      </c>
      <c r="F222" s="73">
        <f>E222*F218</f>
        <v>1.396584</v>
      </c>
      <c r="G222" s="48"/>
      <c r="H222" s="48">
        <f t="shared" si="20"/>
        <v>0</v>
      </c>
      <c r="I222" s="48"/>
      <c r="J222" s="48"/>
      <c r="K222" s="48"/>
      <c r="L222" s="48"/>
      <c r="M222" s="48">
        <f t="shared" si="18"/>
        <v>0</v>
      </c>
      <c r="N222" s="309"/>
      <c r="O222" s="323"/>
      <c r="P222" s="323"/>
      <c r="Q222" s="323"/>
      <c r="R222" s="323"/>
      <c r="S222" s="323"/>
      <c r="T222" s="323"/>
      <c r="U222" s="323"/>
    </row>
    <row r="223" spans="1:21" ht="16.5" x14ac:dyDescent="0.25">
      <c r="A223" s="922"/>
      <c r="B223" s="45"/>
      <c r="C223" s="354" t="s">
        <v>393</v>
      </c>
      <c r="D223" s="161" t="s">
        <v>111</v>
      </c>
      <c r="E223" s="355">
        <v>5.28E-2</v>
      </c>
      <c r="F223" s="154">
        <f>F218*E223</f>
        <v>3.0983040000000002</v>
      </c>
      <c r="G223" s="48"/>
      <c r="H223" s="48">
        <f t="shared" si="20"/>
        <v>0</v>
      </c>
      <c r="I223" s="48"/>
      <c r="J223" s="48"/>
      <c r="K223" s="48"/>
      <c r="L223" s="48"/>
      <c r="M223" s="48">
        <f t="shared" si="18"/>
        <v>0</v>
      </c>
      <c r="N223" s="309"/>
      <c r="O223" s="323"/>
      <c r="P223" s="323"/>
      <c r="Q223" s="323"/>
      <c r="R223" s="323"/>
      <c r="S223" s="323"/>
      <c r="T223" s="323"/>
      <c r="U223" s="323"/>
    </row>
    <row r="224" spans="1:21" ht="16.5" x14ac:dyDescent="0.25">
      <c r="A224" s="923"/>
      <c r="B224" s="45"/>
      <c r="C224" s="354" t="s">
        <v>10</v>
      </c>
      <c r="D224" s="161" t="s">
        <v>7</v>
      </c>
      <c r="E224" s="355">
        <v>3.0000000000000001E-3</v>
      </c>
      <c r="F224" s="154">
        <f>F218*E224</f>
        <v>0.17604</v>
      </c>
      <c r="G224" s="48"/>
      <c r="H224" s="48">
        <f t="shared" si="20"/>
        <v>0</v>
      </c>
      <c r="I224" s="48"/>
      <c r="J224" s="48"/>
      <c r="K224" s="48"/>
      <c r="L224" s="48"/>
      <c r="M224" s="48">
        <f t="shared" si="18"/>
        <v>0</v>
      </c>
      <c r="N224" s="309"/>
      <c r="O224" s="323"/>
      <c r="P224" s="323"/>
      <c r="Q224" s="323"/>
      <c r="R224" s="323"/>
      <c r="S224" s="323"/>
      <c r="T224" s="323"/>
      <c r="U224" s="323"/>
    </row>
    <row r="225" spans="1:21" ht="63" x14ac:dyDescent="0.25">
      <c r="A225" s="921" t="s">
        <v>394</v>
      </c>
      <c r="B225" s="38" t="s">
        <v>395</v>
      </c>
      <c r="C225" s="324" t="s">
        <v>396</v>
      </c>
      <c r="D225" s="40" t="s">
        <v>111</v>
      </c>
      <c r="E225" s="88"/>
      <c r="F225" s="88">
        <f>3*3.6</f>
        <v>10.8</v>
      </c>
      <c r="G225" s="48"/>
      <c r="H225" s="48"/>
      <c r="I225" s="48"/>
      <c r="J225" s="48"/>
      <c r="K225" s="48"/>
      <c r="L225" s="48"/>
      <c r="M225" s="48"/>
      <c r="N225" s="309"/>
      <c r="O225" s="323"/>
      <c r="P225" s="323"/>
      <c r="Q225" s="323"/>
      <c r="R225" s="323"/>
      <c r="S225" s="323"/>
      <c r="T225" s="323"/>
      <c r="U225" s="323"/>
    </row>
    <row r="226" spans="1:21" ht="27" x14ac:dyDescent="0.25">
      <c r="A226" s="922"/>
      <c r="B226" s="45"/>
      <c r="C226" s="374" t="s">
        <v>159</v>
      </c>
      <c r="D226" s="161" t="s">
        <v>9</v>
      </c>
      <c r="E226" s="375">
        <f>0.188+0.0034*2</f>
        <v>0.1948</v>
      </c>
      <c r="F226" s="47">
        <f>F225*E226</f>
        <v>2.1038399999999999</v>
      </c>
      <c r="G226" s="48"/>
      <c r="H226" s="48"/>
      <c r="I226" s="48"/>
      <c r="J226" s="48">
        <f t="shared" si="17"/>
        <v>0</v>
      </c>
      <c r="K226" s="48"/>
      <c r="L226" s="48"/>
      <c r="M226" s="48">
        <f t="shared" si="18"/>
        <v>0</v>
      </c>
      <c r="N226" s="309"/>
      <c r="O226" s="323"/>
      <c r="P226" s="323"/>
      <c r="Q226" s="323"/>
      <c r="R226" s="323"/>
      <c r="S226" s="323"/>
      <c r="T226" s="323"/>
      <c r="U226" s="323"/>
    </row>
    <row r="227" spans="1:21" ht="16.5" x14ac:dyDescent="0.25">
      <c r="A227" s="922"/>
      <c r="B227" s="45"/>
      <c r="C227" s="374" t="s">
        <v>318</v>
      </c>
      <c r="D227" s="161" t="s">
        <v>7</v>
      </c>
      <c r="E227" s="375">
        <f>0.0095+0.0023*2</f>
        <v>1.41E-2</v>
      </c>
      <c r="F227" s="47">
        <f>F225*E227</f>
        <v>0.15228</v>
      </c>
      <c r="G227" s="48"/>
      <c r="H227" s="48"/>
      <c r="I227" s="48"/>
      <c r="J227" s="48"/>
      <c r="K227" s="48"/>
      <c r="L227" s="48">
        <f t="shared" si="19"/>
        <v>0</v>
      </c>
      <c r="M227" s="48">
        <f t="shared" si="18"/>
        <v>0</v>
      </c>
      <c r="N227" s="309"/>
      <c r="O227" s="323"/>
      <c r="P227" s="323"/>
      <c r="Q227" s="323"/>
      <c r="R227" s="323"/>
      <c r="S227" s="323"/>
      <c r="T227" s="323"/>
      <c r="U227" s="323"/>
    </row>
    <row r="228" spans="1:21" ht="16.5" x14ac:dyDescent="0.25">
      <c r="A228" s="922"/>
      <c r="B228" s="45"/>
      <c r="C228" s="344" t="s">
        <v>397</v>
      </c>
      <c r="D228" s="46" t="s">
        <v>74</v>
      </c>
      <c r="E228" s="47">
        <f>0.0204+0.0051*2</f>
        <v>3.0600000000000002E-2</v>
      </c>
      <c r="F228" s="47">
        <f>F225*E228</f>
        <v>0.33048000000000005</v>
      </c>
      <c r="G228" s="48"/>
      <c r="H228" s="48">
        <f t="shared" si="20"/>
        <v>0</v>
      </c>
      <c r="I228" s="48"/>
      <c r="J228" s="48"/>
      <c r="K228" s="48"/>
      <c r="L228" s="48"/>
      <c r="M228" s="48">
        <f t="shared" si="18"/>
        <v>0</v>
      </c>
      <c r="N228" s="309"/>
      <c r="O228" s="323"/>
      <c r="P228" s="323"/>
      <c r="Q228" s="323"/>
      <c r="R228" s="323"/>
      <c r="S228" s="323"/>
      <c r="T228" s="323"/>
      <c r="U228" s="323"/>
    </row>
    <row r="229" spans="1:21" ht="16.5" x14ac:dyDescent="0.25">
      <c r="A229" s="923"/>
      <c r="B229" s="45"/>
      <c r="C229" s="354" t="s">
        <v>122</v>
      </c>
      <c r="D229" s="161" t="s">
        <v>7</v>
      </c>
      <c r="E229" s="355">
        <f>0.0636</f>
        <v>6.3600000000000004E-2</v>
      </c>
      <c r="F229" s="47">
        <f>F225*E229</f>
        <v>0.68688000000000005</v>
      </c>
      <c r="G229" s="48"/>
      <c r="H229" s="48">
        <f t="shared" si="20"/>
        <v>0</v>
      </c>
      <c r="I229" s="48"/>
      <c r="J229" s="48"/>
      <c r="K229" s="48"/>
      <c r="L229" s="48"/>
      <c r="M229" s="48">
        <f t="shared" si="18"/>
        <v>0</v>
      </c>
      <c r="N229" s="309"/>
      <c r="O229" s="323"/>
      <c r="P229" s="323"/>
      <c r="Q229" s="323"/>
      <c r="R229" s="323"/>
      <c r="S229" s="323"/>
      <c r="T229" s="323"/>
      <c r="U229" s="323"/>
    </row>
    <row r="230" spans="1:21" ht="31.5" x14ac:dyDescent="0.25">
      <c r="A230" s="921" t="s">
        <v>398</v>
      </c>
      <c r="B230" s="38" t="s">
        <v>399</v>
      </c>
      <c r="C230" s="324" t="s">
        <v>400</v>
      </c>
      <c r="D230" s="40" t="s">
        <v>111</v>
      </c>
      <c r="E230" s="88"/>
      <c r="F230" s="88">
        <f>3*3.6</f>
        <v>10.8</v>
      </c>
      <c r="G230" s="48"/>
      <c r="H230" s="48"/>
      <c r="I230" s="48"/>
      <c r="J230" s="48"/>
      <c r="K230" s="48"/>
      <c r="L230" s="48"/>
      <c r="M230" s="48"/>
      <c r="N230" s="309"/>
      <c r="O230" s="323"/>
      <c r="P230" s="323"/>
      <c r="Q230" s="323"/>
      <c r="R230" s="323"/>
      <c r="S230" s="323"/>
      <c r="T230" s="323"/>
      <c r="U230" s="323"/>
    </row>
    <row r="231" spans="1:21" ht="27" x14ac:dyDescent="0.25">
      <c r="A231" s="922"/>
      <c r="B231" s="45"/>
      <c r="C231" s="326" t="s">
        <v>73</v>
      </c>
      <c r="D231" s="46" t="s">
        <v>9</v>
      </c>
      <c r="E231" s="47">
        <v>1.08</v>
      </c>
      <c r="F231" s="47">
        <f>F230*E231</f>
        <v>11.664000000000001</v>
      </c>
      <c r="G231" s="48"/>
      <c r="H231" s="48"/>
      <c r="I231" s="48"/>
      <c r="J231" s="48">
        <f t="shared" si="17"/>
        <v>0</v>
      </c>
      <c r="K231" s="48"/>
      <c r="L231" s="48"/>
      <c r="M231" s="48">
        <f t="shared" si="18"/>
        <v>0</v>
      </c>
      <c r="N231" s="309"/>
      <c r="O231" s="323"/>
      <c r="P231" s="323"/>
      <c r="Q231" s="323"/>
      <c r="R231" s="323"/>
      <c r="S231" s="323"/>
      <c r="T231" s="323"/>
      <c r="U231" s="323"/>
    </row>
    <row r="232" spans="1:21" ht="27" x14ac:dyDescent="0.25">
      <c r="A232" s="922"/>
      <c r="B232" s="45"/>
      <c r="C232" s="326" t="s">
        <v>8</v>
      </c>
      <c r="D232" s="46" t="s">
        <v>98</v>
      </c>
      <c r="E232" s="47">
        <v>4.5199999999999997E-2</v>
      </c>
      <c r="F232" s="47">
        <f>F230*E232</f>
        <v>0.48815999999999998</v>
      </c>
      <c r="G232" s="48"/>
      <c r="H232" s="48"/>
      <c r="I232" s="48"/>
      <c r="J232" s="48"/>
      <c r="K232" s="48"/>
      <c r="L232" s="48">
        <f t="shared" si="19"/>
        <v>0</v>
      </c>
      <c r="M232" s="48">
        <f t="shared" si="18"/>
        <v>0</v>
      </c>
      <c r="N232" s="309"/>
      <c r="O232" s="323"/>
      <c r="P232" s="323"/>
      <c r="Q232" s="323"/>
      <c r="R232" s="323"/>
      <c r="S232" s="323"/>
      <c r="T232" s="323"/>
      <c r="U232" s="323"/>
    </row>
    <row r="233" spans="1:21" ht="16.5" x14ac:dyDescent="0.25">
      <c r="A233" s="922"/>
      <c r="B233" s="45"/>
      <c r="C233" s="326" t="s">
        <v>401</v>
      </c>
      <c r="D233" s="46" t="s">
        <v>111</v>
      </c>
      <c r="E233" s="47">
        <v>1.05</v>
      </c>
      <c r="F233" s="47">
        <f>F230*E233</f>
        <v>11.340000000000002</v>
      </c>
      <c r="G233" s="48"/>
      <c r="H233" s="48">
        <f t="shared" si="20"/>
        <v>0</v>
      </c>
      <c r="I233" s="48"/>
      <c r="J233" s="48"/>
      <c r="K233" s="48"/>
      <c r="L233" s="48"/>
      <c r="M233" s="48">
        <f t="shared" si="18"/>
        <v>0</v>
      </c>
      <c r="N233" s="309"/>
      <c r="O233" s="323"/>
      <c r="P233" s="323"/>
      <c r="Q233" s="323"/>
      <c r="R233" s="323"/>
      <c r="S233" s="323"/>
      <c r="T233" s="323"/>
      <c r="U233" s="323"/>
    </row>
    <row r="234" spans="1:21" ht="16.5" x14ac:dyDescent="0.25">
      <c r="A234" s="922"/>
      <c r="B234" s="45"/>
      <c r="C234" s="326" t="s">
        <v>402</v>
      </c>
      <c r="D234" s="46" t="s">
        <v>5</v>
      </c>
      <c r="E234" s="47">
        <v>5</v>
      </c>
      <c r="F234" s="47">
        <f>F230*E234</f>
        <v>54</v>
      </c>
      <c r="G234" s="48"/>
      <c r="H234" s="48">
        <f t="shared" si="20"/>
        <v>0</v>
      </c>
      <c r="I234" s="48"/>
      <c r="J234" s="48"/>
      <c r="K234" s="48"/>
      <c r="L234" s="48"/>
      <c r="M234" s="48">
        <f t="shared" si="18"/>
        <v>0</v>
      </c>
      <c r="N234" s="309"/>
      <c r="O234" s="323"/>
      <c r="P234" s="323"/>
      <c r="Q234" s="323"/>
      <c r="R234" s="323"/>
      <c r="S234" s="323"/>
      <c r="T234" s="323"/>
      <c r="U234" s="323"/>
    </row>
    <row r="235" spans="1:21" ht="16.5" x14ac:dyDescent="0.25">
      <c r="A235" s="922"/>
      <c r="B235" s="45"/>
      <c r="C235" s="344" t="s">
        <v>403</v>
      </c>
      <c r="D235" s="335" t="s">
        <v>276</v>
      </c>
      <c r="E235" s="376">
        <v>0.3</v>
      </c>
      <c r="F235" s="376">
        <f>F230*E235</f>
        <v>3.24</v>
      </c>
      <c r="G235" s="377"/>
      <c r="H235" s="48">
        <f t="shared" si="20"/>
        <v>0</v>
      </c>
      <c r="I235" s="377"/>
      <c r="J235" s="48"/>
      <c r="K235" s="377"/>
      <c r="L235" s="48"/>
      <c r="M235" s="48">
        <f t="shared" si="18"/>
        <v>0</v>
      </c>
      <c r="N235" s="309"/>
      <c r="O235" s="323"/>
      <c r="P235" s="323"/>
      <c r="Q235" s="323"/>
      <c r="R235" s="323"/>
      <c r="S235" s="323"/>
      <c r="T235" s="323"/>
      <c r="U235" s="323"/>
    </row>
    <row r="236" spans="1:21" ht="16.5" x14ac:dyDescent="0.25">
      <c r="A236" s="923"/>
      <c r="B236" s="45"/>
      <c r="C236" s="326" t="s">
        <v>10</v>
      </c>
      <c r="D236" s="46" t="s">
        <v>7</v>
      </c>
      <c r="E236" s="47">
        <v>4.6600000000000003E-2</v>
      </c>
      <c r="F236" s="47">
        <f>F230*E236</f>
        <v>0.50328000000000006</v>
      </c>
      <c r="G236" s="48"/>
      <c r="H236" s="48">
        <f t="shared" si="20"/>
        <v>0</v>
      </c>
      <c r="I236" s="48"/>
      <c r="J236" s="48"/>
      <c r="K236" s="48"/>
      <c r="L236" s="48"/>
      <c r="M236" s="48">
        <f t="shared" si="18"/>
        <v>0</v>
      </c>
      <c r="N236" s="309"/>
      <c r="O236" s="323"/>
      <c r="P236" s="323"/>
      <c r="Q236" s="323"/>
      <c r="R236" s="323"/>
      <c r="S236" s="323"/>
      <c r="T236" s="323"/>
      <c r="U236" s="323"/>
    </row>
    <row r="237" spans="1:21" ht="31.5" x14ac:dyDescent="0.25">
      <c r="A237" s="921" t="s">
        <v>404</v>
      </c>
      <c r="B237" s="38" t="s">
        <v>405</v>
      </c>
      <c r="C237" s="324" t="s">
        <v>406</v>
      </c>
      <c r="D237" s="40" t="s">
        <v>94</v>
      </c>
      <c r="E237" s="88"/>
      <c r="F237" s="88">
        <f>(1.5+1.8)*2*2+(1.7+3.1)*2</f>
        <v>22.799999999999997</v>
      </c>
      <c r="G237" s="48"/>
      <c r="H237" s="48"/>
      <c r="I237" s="48"/>
      <c r="J237" s="48"/>
      <c r="K237" s="48"/>
      <c r="L237" s="48"/>
      <c r="M237" s="48"/>
      <c r="N237" s="309"/>
      <c r="O237" s="323"/>
      <c r="P237" s="323"/>
      <c r="Q237" s="323"/>
      <c r="R237" s="323"/>
      <c r="S237" s="323"/>
      <c r="T237" s="323"/>
      <c r="U237" s="323"/>
    </row>
    <row r="238" spans="1:21" ht="27" x14ac:dyDescent="0.25">
      <c r="A238" s="922"/>
      <c r="B238" s="45"/>
      <c r="C238" s="374" t="s">
        <v>157</v>
      </c>
      <c r="D238" s="153" t="s">
        <v>9</v>
      </c>
      <c r="E238" s="375">
        <v>0.26900000000000002</v>
      </c>
      <c r="F238" s="47">
        <f>F237*E238</f>
        <v>6.1331999999999995</v>
      </c>
      <c r="G238" s="48"/>
      <c r="H238" s="48"/>
      <c r="I238" s="48"/>
      <c r="J238" s="48">
        <f t="shared" si="17"/>
        <v>0</v>
      </c>
      <c r="K238" s="48"/>
      <c r="L238" s="48"/>
      <c r="M238" s="48">
        <f t="shared" si="18"/>
        <v>0</v>
      </c>
      <c r="N238" s="309"/>
      <c r="O238" s="323"/>
      <c r="P238" s="323"/>
      <c r="Q238" s="323"/>
      <c r="R238" s="323"/>
      <c r="S238" s="323"/>
      <c r="T238" s="323"/>
      <c r="U238" s="323"/>
    </row>
    <row r="239" spans="1:21" ht="16.5" x14ac:dyDescent="0.25">
      <c r="A239" s="922"/>
      <c r="B239" s="45"/>
      <c r="C239" s="374" t="s">
        <v>318</v>
      </c>
      <c r="D239" s="161" t="s">
        <v>7</v>
      </c>
      <c r="E239" s="375">
        <v>1.1599999999999999E-2</v>
      </c>
      <c r="F239" s="47">
        <f>F237*E239</f>
        <v>0.26447999999999994</v>
      </c>
      <c r="G239" s="48"/>
      <c r="H239" s="48"/>
      <c r="I239" s="48"/>
      <c r="J239" s="48"/>
      <c r="K239" s="48"/>
      <c r="L239" s="48">
        <f t="shared" si="19"/>
        <v>0</v>
      </c>
      <c r="M239" s="48">
        <f t="shared" si="18"/>
        <v>0</v>
      </c>
      <c r="N239" s="309"/>
      <c r="O239" s="323"/>
      <c r="P239" s="323"/>
      <c r="Q239" s="323"/>
      <c r="R239" s="323"/>
      <c r="S239" s="323"/>
      <c r="T239" s="323"/>
      <c r="U239" s="323"/>
    </row>
    <row r="240" spans="1:21" ht="31.5" x14ac:dyDescent="0.25">
      <c r="A240" s="922"/>
      <c r="B240" s="45"/>
      <c r="C240" s="374" t="s">
        <v>407</v>
      </c>
      <c r="D240" s="161" t="s">
        <v>111</v>
      </c>
      <c r="E240" s="375">
        <v>0.157</v>
      </c>
      <c r="F240" s="47">
        <f>F237*E240</f>
        <v>3.5795999999999997</v>
      </c>
      <c r="G240" s="48"/>
      <c r="H240" s="48">
        <f t="shared" si="20"/>
        <v>0</v>
      </c>
      <c r="I240" s="48"/>
      <c r="J240" s="48"/>
      <c r="K240" s="48"/>
      <c r="L240" s="48"/>
      <c r="M240" s="48">
        <f t="shared" si="18"/>
        <v>0</v>
      </c>
      <c r="N240" s="309"/>
      <c r="O240" s="323"/>
      <c r="P240" s="323"/>
      <c r="Q240" s="323"/>
      <c r="R240" s="323"/>
      <c r="S240" s="323"/>
      <c r="T240" s="323"/>
      <c r="U240" s="323"/>
    </row>
    <row r="241" spans="1:21" ht="16.5" x14ac:dyDescent="0.25">
      <c r="A241" s="923"/>
      <c r="B241" s="45"/>
      <c r="C241" s="326" t="s">
        <v>397</v>
      </c>
      <c r="D241" s="161" t="s">
        <v>74</v>
      </c>
      <c r="E241" s="375">
        <v>1.8E-3</v>
      </c>
      <c r="F241" s="47">
        <f>F237*E241</f>
        <v>4.1039999999999993E-2</v>
      </c>
      <c r="G241" s="48"/>
      <c r="H241" s="48">
        <f t="shared" si="20"/>
        <v>0</v>
      </c>
      <c r="I241" s="48"/>
      <c r="J241" s="48"/>
      <c r="K241" s="48"/>
      <c r="L241" s="48"/>
      <c r="M241" s="48">
        <f t="shared" si="18"/>
        <v>0</v>
      </c>
      <c r="N241" s="309"/>
      <c r="O241" s="323"/>
      <c r="P241" s="323"/>
      <c r="Q241" s="323"/>
      <c r="R241" s="323"/>
      <c r="S241" s="323"/>
      <c r="T241" s="323"/>
      <c r="U241" s="323"/>
    </row>
    <row r="242" spans="1:21" ht="40.5" x14ac:dyDescent="0.25">
      <c r="A242" s="921" t="s">
        <v>277</v>
      </c>
      <c r="B242" s="38" t="s">
        <v>408</v>
      </c>
      <c r="C242" s="324" t="s">
        <v>409</v>
      </c>
      <c r="D242" s="40" t="s">
        <v>111</v>
      </c>
      <c r="E242" s="88"/>
      <c r="F242" s="88">
        <f>3*3.6</f>
        <v>10.8</v>
      </c>
      <c r="G242" s="48"/>
      <c r="H242" s="48"/>
      <c r="I242" s="48"/>
      <c r="J242" s="48"/>
      <c r="K242" s="48"/>
      <c r="L242" s="48"/>
      <c r="M242" s="48">
        <f t="shared" si="18"/>
        <v>0</v>
      </c>
      <c r="N242" s="309"/>
      <c r="O242" s="323"/>
      <c r="P242" s="323"/>
      <c r="Q242" s="323"/>
      <c r="R242" s="323"/>
      <c r="S242" s="323"/>
      <c r="T242" s="323"/>
      <c r="U242" s="323"/>
    </row>
    <row r="243" spans="1:21" ht="16.5" x14ac:dyDescent="0.25">
      <c r="A243" s="922"/>
      <c r="B243" s="45"/>
      <c r="C243" s="342" t="s">
        <v>77</v>
      </c>
      <c r="D243" s="72" t="s">
        <v>18</v>
      </c>
      <c r="E243" s="73">
        <f>(261+82.9)*0.01</f>
        <v>3.4390000000000001</v>
      </c>
      <c r="F243" s="73">
        <f>E243*F242</f>
        <v>37.141200000000005</v>
      </c>
      <c r="G243" s="48"/>
      <c r="H243" s="48"/>
      <c r="I243" s="48"/>
      <c r="J243" s="48">
        <f t="shared" si="17"/>
        <v>0</v>
      </c>
      <c r="K243" s="48"/>
      <c r="L243" s="48"/>
      <c r="M243" s="48">
        <f t="shared" si="18"/>
        <v>0</v>
      </c>
      <c r="N243" s="309"/>
      <c r="O243" s="323"/>
      <c r="P243" s="323"/>
      <c r="Q243" s="323"/>
      <c r="R243" s="323"/>
      <c r="S243" s="323"/>
      <c r="T243" s="323"/>
      <c r="U243" s="323"/>
    </row>
    <row r="244" spans="1:21" ht="16.5" x14ac:dyDescent="0.25">
      <c r="A244" s="922"/>
      <c r="B244" s="45"/>
      <c r="C244" s="374" t="s">
        <v>318</v>
      </c>
      <c r="D244" s="72" t="s">
        <v>7</v>
      </c>
      <c r="E244" s="73">
        <f>(3.5+0.39)*0.01</f>
        <v>3.8900000000000004E-2</v>
      </c>
      <c r="F244" s="73">
        <f>E244*F242</f>
        <v>0.42012000000000005</v>
      </c>
      <c r="G244" s="48"/>
      <c r="H244" s="48"/>
      <c r="I244" s="48"/>
      <c r="J244" s="48"/>
      <c r="K244" s="48"/>
      <c r="L244" s="48">
        <f t="shared" si="19"/>
        <v>0</v>
      </c>
      <c r="M244" s="48">
        <f t="shared" si="18"/>
        <v>0</v>
      </c>
      <c r="N244" s="309"/>
      <c r="O244" s="323"/>
      <c r="P244" s="323"/>
      <c r="Q244" s="323"/>
      <c r="R244" s="323"/>
      <c r="S244" s="323"/>
      <c r="T244" s="323"/>
      <c r="U244" s="323"/>
    </row>
    <row r="245" spans="1:21" ht="16.5" x14ac:dyDescent="0.25">
      <c r="A245" s="922"/>
      <c r="B245" s="45"/>
      <c r="C245" s="342" t="s">
        <v>410</v>
      </c>
      <c r="D245" s="72" t="s">
        <v>184</v>
      </c>
      <c r="E245" s="73">
        <v>6.6</v>
      </c>
      <c r="F245" s="73">
        <f>E245*F242</f>
        <v>71.28</v>
      </c>
      <c r="G245" s="48"/>
      <c r="H245" s="48">
        <f t="shared" si="20"/>
        <v>0</v>
      </c>
      <c r="I245" s="48"/>
      <c r="J245" s="48"/>
      <c r="K245" s="48"/>
      <c r="L245" s="48"/>
      <c r="M245" s="48">
        <f t="shared" si="18"/>
        <v>0</v>
      </c>
      <c r="N245" s="309"/>
      <c r="O245" s="323"/>
      <c r="P245" s="323"/>
      <c r="Q245" s="323"/>
      <c r="R245" s="323"/>
      <c r="S245" s="323"/>
      <c r="T245" s="323"/>
      <c r="U245" s="323"/>
    </row>
    <row r="246" spans="1:21" ht="16.5" x14ac:dyDescent="0.25">
      <c r="A246" s="922"/>
      <c r="B246" s="45"/>
      <c r="C246" s="342" t="s">
        <v>327</v>
      </c>
      <c r="D246" s="72" t="s">
        <v>276</v>
      </c>
      <c r="E246" s="73">
        <v>0.06</v>
      </c>
      <c r="F246" s="73">
        <f>E246*F242</f>
        <v>0.64800000000000002</v>
      </c>
      <c r="G246" s="48"/>
      <c r="H246" s="48">
        <f t="shared" si="20"/>
        <v>0</v>
      </c>
      <c r="I246" s="48"/>
      <c r="J246" s="48"/>
      <c r="K246" s="48"/>
      <c r="L246" s="48"/>
      <c r="M246" s="48">
        <f t="shared" si="18"/>
        <v>0</v>
      </c>
      <c r="N246" s="309"/>
      <c r="O246" s="323"/>
      <c r="P246" s="323"/>
      <c r="Q246" s="323"/>
      <c r="R246" s="323"/>
      <c r="S246" s="323"/>
      <c r="T246" s="323"/>
      <c r="U246" s="323"/>
    </row>
    <row r="247" spans="1:21" ht="16.5" x14ac:dyDescent="0.25">
      <c r="A247" s="923"/>
      <c r="B247" s="45"/>
      <c r="C247" s="342" t="s">
        <v>411</v>
      </c>
      <c r="D247" s="72" t="s">
        <v>80</v>
      </c>
      <c r="E247" s="73">
        <v>1.03</v>
      </c>
      <c r="F247" s="73">
        <f>E247*F242</f>
        <v>11.124000000000001</v>
      </c>
      <c r="G247" s="48"/>
      <c r="H247" s="48">
        <f t="shared" si="20"/>
        <v>0</v>
      </c>
      <c r="I247" s="48"/>
      <c r="J247" s="48"/>
      <c r="K247" s="48"/>
      <c r="L247" s="48"/>
      <c r="M247" s="48">
        <f t="shared" si="18"/>
        <v>0</v>
      </c>
      <c r="N247" s="309"/>
      <c r="O247" s="323"/>
      <c r="P247" s="323"/>
      <c r="Q247" s="323"/>
      <c r="R247" s="323"/>
      <c r="S247" s="323"/>
      <c r="T247" s="323"/>
      <c r="U247" s="323"/>
    </row>
    <row r="248" spans="1:21" ht="47.25" x14ac:dyDescent="0.25">
      <c r="A248" s="921" t="s">
        <v>90</v>
      </c>
      <c r="B248" s="38" t="s">
        <v>412</v>
      </c>
      <c r="C248" s="324" t="s">
        <v>413</v>
      </c>
      <c r="D248" s="40" t="s">
        <v>111</v>
      </c>
      <c r="E248" s="88"/>
      <c r="F248" s="88">
        <f>(   (1.5+1.8)*2*2+(1.7+3.1)*2   )*(2.5+3)/2   -  (0.9*2.1*3)+(0.9+2.1*2)*0.2*3</f>
        <v>60.089999999999989</v>
      </c>
      <c r="G248" s="48"/>
      <c r="H248" s="48"/>
      <c r="I248" s="48"/>
      <c r="J248" s="48"/>
      <c r="K248" s="48"/>
      <c r="L248" s="48"/>
      <c r="M248" s="48"/>
      <c r="N248" s="309"/>
      <c r="O248" s="323"/>
      <c r="P248" s="323"/>
      <c r="Q248" s="323"/>
      <c r="R248" s="323"/>
      <c r="S248" s="323"/>
      <c r="T248" s="323"/>
      <c r="U248" s="323"/>
    </row>
    <row r="249" spans="1:21" ht="27" x14ac:dyDescent="0.25">
      <c r="A249" s="922"/>
      <c r="B249" s="45"/>
      <c r="C249" s="326" t="s">
        <v>73</v>
      </c>
      <c r="D249" s="46" t="s">
        <v>9</v>
      </c>
      <c r="E249" s="47">
        <v>2.19</v>
      </c>
      <c r="F249" s="47">
        <f>F248*E249</f>
        <v>131.59709999999998</v>
      </c>
      <c r="G249" s="48"/>
      <c r="H249" s="48"/>
      <c r="I249" s="48"/>
      <c r="J249" s="48">
        <f t="shared" si="17"/>
        <v>0</v>
      </c>
      <c r="K249" s="48"/>
      <c r="L249" s="48"/>
      <c r="M249" s="48">
        <f t="shared" si="18"/>
        <v>0</v>
      </c>
      <c r="N249" s="309"/>
      <c r="O249" s="323"/>
      <c r="P249" s="323"/>
      <c r="Q249" s="323"/>
      <c r="R249" s="323"/>
      <c r="S249" s="323"/>
      <c r="T249" s="323"/>
      <c r="U249" s="323"/>
    </row>
    <row r="250" spans="1:21" ht="27" x14ac:dyDescent="0.25">
      <c r="A250" s="922"/>
      <c r="B250" s="45"/>
      <c r="C250" s="326" t="s">
        <v>8</v>
      </c>
      <c r="D250" s="46" t="s">
        <v>98</v>
      </c>
      <c r="E250" s="47">
        <v>0.02</v>
      </c>
      <c r="F250" s="47">
        <f>F248*E250</f>
        <v>1.2017999999999998</v>
      </c>
      <c r="G250" s="48"/>
      <c r="H250" s="48"/>
      <c r="I250" s="48"/>
      <c r="J250" s="48"/>
      <c r="K250" s="48"/>
      <c r="L250" s="48">
        <f t="shared" si="19"/>
        <v>0</v>
      </c>
      <c r="M250" s="48">
        <f t="shared" si="18"/>
        <v>0</v>
      </c>
      <c r="N250" s="309"/>
      <c r="O250" s="323"/>
      <c r="P250" s="323"/>
      <c r="Q250" s="323"/>
      <c r="R250" s="323"/>
      <c r="S250" s="323"/>
      <c r="T250" s="323"/>
      <c r="U250" s="323"/>
    </row>
    <row r="251" spans="1:21" ht="16.5" x14ac:dyDescent="0.25">
      <c r="A251" s="922"/>
      <c r="B251" s="45"/>
      <c r="C251" s="326" t="s">
        <v>414</v>
      </c>
      <c r="D251" s="46" t="s">
        <v>111</v>
      </c>
      <c r="E251" s="47">
        <v>1.05</v>
      </c>
      <c r="F251" s="47">
        <f>F248*E251</f>
        <v>63.094499999999989</v>
      </c>
      <c r="G251" s="48"/>
      <c r="H251" s="48">
        <f t="shared" si="20"/>
        <v>0</v>
      </c>
      <c r="I251" s="48"/>
      <c r="J251" s="48"/>
      <c r="K251" s="48"/>
      <c r="L251" s="48"/>
      <c r="M251" s="48">
        <f t="shared" si="18"/>
        <v>0</v>
      </c>
      <c r="N251" s="309"/>
      <c r="O251" s="323"/>
      <c r="P251" s="323"/>
      <c r="Q251" s="323"/>
      <c r="R251" s="323"/>
      <c r="S251" s="323"/>
      <c r="T251" s="323"/>
      <c r="U251" s="323"/>
    </row>
    <row r="252" spans="1:21" ht="16.5" x14ac:dyDescent="0.25">
      <c r="A252" s="922"/>
      <c r="B252" s="45"/>
      <c r="C252" s="326" t="s">
        <v>402</v>
      </c>
      <c r="D252" s="46" t="s">
        <v>5</v>
      </c>
      <c r="E252" s="47">
        <v>5</v>
      </c>
      <c r="F252" s="47">
        <f>F248*E252</f>
        <v>300.44999999999993</v>
      </c>
      <c r="G252" s="48"/>
      <c r="H252" s="48">
        <f t="shared" si="20"/>
        <v>0</v>
      </c>
      <c r="I252" s="48"/>
      <c r="J252" s="48"/>
      <c r="K252" s="48"/>
      <c r="L252" s="48"/>
      <c r="M252" s="48">
        <f t="shared" si="18"/>
        <v>0</v>
      </c>
      <c r="N252" s="309"/>
      <c r="O252" s="323"/>
      <c r="P252" s="323"/>
      <c r="Q252" s="323"/>
      <c r="R252" s="323"/>
      <c r="S252" s="323"/>
      <c r="T252" s="323"/>
      <c r="U252" s="323"/>
    </row>
    <row r="253" spans="1:21" ht="16.5" x14ac:dyDescent="0.25">
      <c r="A253" s="922"/>
      <c r="B253" s="45"/>
      <c r="C253" s="344" t="s">
        <v>403</v>
      </c>
      <c r="D253" s="107" t="s">
        <v>276</v>
      </c>
      <c r="E253" s="144">
        <v>0.3</v>
      </c>
      <c r="F253" s="144">
        <f>F248*E253</f>
        <v>18.026999999999997</v>
      </c>
      <c r="G253" s="48"/>
      <c r="H253" s="48">
        <f t="shared" si="20"/>
        <v>0</v>
      </c>
      <c r="I253" s="48"/>
      <c r="J253" s="48"/>
      <c r="K253" s="48"/>
      <c r="L253" s="48"/>
      <c r="M253" s="48">
        <f t="shared" si="18"/>
        <v>0</v>
      </c>
      <c r="N253" s="309"/>
      <c r="O253" s="323"/>
      <c r="P253" s="323"/>
      <c r="Q253" s="323"/>
      <c r="R253" s="323"/>
      <c r="S253" s="323"/>
      <c r="T253" s="323"/>
      <c r="U253" s="323"/>
    </row>
    <row r="254" spans="1:21" ht="16.5" x14ac:dyDescent="0.25">
      <c r="A254" s="923"/>
      <c r="B254" s="45"/>
      <c r="C254" s="326" t="s">
        <v>10</v>
      </c>
      <c r="D254" s="46" t="s">
        <v>7</v>
      </c>
      <c r="E254" s="47">
        <v>7.0000000000000001E-3</v>
      </c>
      <c r="F254" s="47">
        <f>F248*E254</f>
        <v>0.42062999999999995</v>
      </c>
      <c r="G254" s="48"/>
      <c r="H254" s="48">
        <f t="shared" si="20"/>
        <v>0</v>
      </c>
      <c r="I254" s="48"/>
      <c r="J254" s="48"/>
      <c r="K254" s="48"/>
      <c r="L254" s="48"/>
      <c r="M254" s="48">
        <f t="shared" si="18"/>
        <v>0</v>
      </c>
      <c r="N254" s="309"/>
      <c r="O254" s="323"/>
      <c r="P254" s="323"/>
      <c r="Q254" s="323"/>
      <c r="R254" s="323"/>
      <c r="S254" s="323"/>
      <c r="T254" s="323"/>
      <c r="U254" s="323"/>
    </row>
    <row r="255" spans="1:21" ht="47.25" x14ac:dyDescent="0.25">
      <c r="A255" s="924">
        <v>9.3000000000000007</v>
      </c>
      <c r="B255" s="66" t="s">
        <v>415</v>
      </c>
      <c r="C255" s="324" t="s">
        <v>416</v>
      </c>
      <c r="D255" s="40" t="s">
        <v>46</v>
      </c>
      <c r="E255" s="88"/>
      <c r="F255" s="88">
        <f>( (3.4+3.1)*2*(2.5+3)/2-0.9*2.1*3)*1</f>
        <v>30.08</v>
      </c>
      <c r="G255" s="48"/>
      <c r="H255" s="48"/>
      <c r="I255" s="48"/>
      <c r="J255" s="48"/>
      <c r="K255" s="48"/>
      <c r="L255" s="48"/>
      <c r="M255" s="48"/>
      <c r="N255" s="309"/>
      <c r="O255" s="323"/>
      <c r="P255" s="323"/>
      <c r="Q255" s="323"/>
      <c r="R255" s="323"/>
      <c r="S255" s="323"/>
      <c r="T255" s="323"/>
      <c r="U255" s="323"/>
    </row>
    <row r="256" spans="1:21" ht="16.5" x14ac:dyDescent="0.25">
      <c r="A256" s="924"/>
      <c r="B256" s="66"/>
      <c r="C256" s="342" t="s">
        <v>77</v>
      </c>
      <c r="D256" s="72" t="s">
        <v>18</v>
      </c>
      <c r="E256" s="73">
        <v>0.93</v>
      </c>
      <c r="F256" s="73">
        <f>E256*F255</f>
        <v>27.974399999999999</v>
      </c>
      <c r="G256" s="48"/>
      <c r="H256" s="48"/>
      <c r="I256" s="48"/>
      <c r="J256" s="48">
        <f t="shared" si="17"/>
        <v>0</v>
      </c>
      <c r="K256" s="48"/>
      <c r="L256" s="48"/>
      <c r="M256" s="48">
        <f t="shared" si="18"/>
        <v>0</v>
      </c>
      <c r="N256" s="309"/>
      <c r="O256" s="323"/>
      <c r="P256" s="323"/>
      <c r="Q256" s="323"/>
      <c r="R256" s="323"/>
      <c r="S256" s="323"/>
      <c r="T256" s="323"/>
      <c r="U256" s="323"/>
    </row>
    <row r="257" spans="1:21" ht="16.5" x14ac:dyDescent="0.25">
      <c r="A257" s="924"/>
      <c r="B257" s="66" t="s">
        <v>390</v>
      </c>
      <c r="C257" s="342" t="s">
        <v>417</v>
      </c>
      <c r="D257" s="72" t="s">
        <v>19</v>
      </c>
      <c r="E257" s="73">
        <v>2.4E-2</v>
      </c>
      <c r="F257" s="73">
        <f>E257*F255</f>
        <v>0.72192000000000001</v>
      </c>
      <c r="G257" s="48"/>
      <c r="H257" s="48"/>
      <c r="I257" s="48"/>
      <c r="J257" s="48"/>
      <c r="K257" s="48"/>
      <c r="L257" s="48">
        <f t="shared" ref="L257:L272" si="21">F257*K257</f>
        <v>0</v>
      </c>
      <c r="M257" s="48">
        <f t="shared" si="18"/>
        <v>0</v>
      </c>
      <c r="N257" s="309"/>
      <c r="O257" s="323"/>
      <c r="P257" s="323"/>
      <c r="Q257" s="323"/>
      <c r="R257" s="323"/>
      <c r="S257" s="323"/>
      <c r="T257" s="323"/>
      <c r="U257" s="323"/>
    </row>
    <row r="258" spans="1:21" ht="16.5" x14ac:dyDescent="0.25">
      <c r="A258" s="924"/>
      <c r="B258" s="66"/>
      <c r="C258" s="342" t="s">
        <v>8</v>
      </c>
      <c r="D258" s="72" t="s">
        <v>7</v>
      </c>
      <c r="E258" s="73">
        <v>2.5999999999999999E-2</v>
      </c>
      <c r="F258" s="73">
        <f>E258*F255</f>
        <v>0.78207999999999989</v>
      </c>
      <c r="G258" s="48"/>
      <c r="H258" s="48"/>
      <c r="I258" s="48"/>
      <c r="J258" s="48"/>
      <c r="K258" s="48"/>
      <c r="L258" s="48">
        <f t="shared" si="21"/>
        <v>0</v>
      </c>
      <c r="M258" s="48">
        <f t="shared" si="18"/>
        <v>0</v>
      </c>
      <c r="N258" s="309"/>
      <c r="O258" s="323"/>
      <c r="P258" s="323"/>
      <c r="Q258" s="323"/>
      <c r="R258" s="323"/>
      <c r="S258" s="323"/>
      <c r="T258" s="323"/>
      <c r="U258" s="323"/>
    </row>
    <row r="259" spans="1:21" ht="31.5" x14ac:dyDescent="0.25">
      <c r="A259" s="924"/>
      <c r="B259" s="71"/>
      <c r="C259" s="342" t="s">
        <v>392</v>
      </c>
      <c r="D259" s="72" t="s">
        <v>59</v>
      </c>
      <c r="E259" s="73">
        <v>2.5499999999999998E-2</v>
      </c>
      <c r="F259" s="73">
        <f>E259*F255</f>
        <v>0.76703999999999994</v>
      </c>
      <c r="G259" s="48"/>
      <c r="H259" s="48">
        <f t="shared" si="20"/>
        <v>0</v>
      </c>
      <c r="I259" s="48"/>
      <c r="J259" s="48"/>
      <c r="K259" s="48"/>
      <c r="L259" s="48"/>
      <c r="M259" s="48">
        <f t="shared" si="18"/>
        <v>0</v>
      </c>
      <c r="N259" s="309"/>
      <c r="O259" s="323"/>
      <c r="P259" s="323"/>
      <c r="Q259" s="323"/>
      <c r="R259" s="323"/>
      <c r="S259" s="323"/>
      <c r="T259" s="323"/>
      <c r="U259" s="323"/>
    </row>
    <row r="260" spans="1:21" ht="78.75" x14ac:dyDescent="0.25">
      <c r="A260" s="917">
        <v>9.4</v>
      </c>
      <c r="B260" s="66" t="s">
        <v>418</v>
      </c>
      <c r="C260" s="324" t="s">
        <v>419</v>
      </c>
      <c r="D260" s="40" t="s">
        <v>46</v>
      </c>
      <c r="E260" s="88"/>
      <c r="F260" s="88">
        <f>F255+(0.9+2.1*2)*0.2*3</f>
        <v>33.14</v>
      </c>
      <c r="G260" s="48"/>
      <c r="H260" s="48"/>
      <c r="I260" s="48"/>
      <c r="J260" s="48"/>
      <c r="K260" s="48"/>
      <c r="L260" s="48"/>
      <c r="M260" s="48"/>
      <c r="N260" s="309"/>
      <c r="O260" s="323"/>
      <c r="P260" s="323"/>
      <c r="Q260" s="323"/>
      <c r="R260" s="323"/>
      <c r="S260" s="323"/>
      <c r="T260" s="323"/>
      <c r="U260" s="323"/>
    </row>
    <row r="261" spans="1:21" ht="16.5" x14ac:dyDescent="0.25">
      <c r="A261" s="918"/>
      <c r="B261" s="66"/>
      <c r="C261" s="342" t="s">
        <v>77</v>
      </c>
      <c r="D261" s="72" t="s">
        <v>18</v>
      </c>
      <c r="E261" s="73">
        <v>0.65800000000000003</v>
      </c>
      <c r="F261" s="73">
        <f>E261*F260</f>
        <v>21.80612</v>
      </c>
      <c r="G261" s="48"/>
      <c r="H261" s="48"/>
      <c r="I261" s="48"/>
      <c r="J261" s="48">
        <f t="shared" ref="J261:J271" si="22">F261*I261</f>
        <v>0</v>
      </c>
      <c r="K261" s="48"/>
      <c r="L261" s="48"/>
      <c r="M261" s="48">
        <f t="shared" si="18"/>
        <v>0</v>
      </c>
      <c r="N261" s="309"/>
      <c r="O261" s="323"/>
      <c r="P261" s="323"/>
      <c r="Q261" s="323"/>
      <c r="R261" s="323"/>
      <c r="S261" s="323"/>
      <c r="T261" s="323"/>
      <c r="U261" s="323"/>
    </row>
    <row r="262" spans="1:21" ht="16.5" x14ac:dyDescent="0.25">
      <c r="A262" s="918"/>
      <c r="B262" s="66"/>
      <c r="C262" s="342" t="s">
        <v>8</v>
      </c>
      <c r="D262" s="72" t="s">
        <v>7</v>
      </c>
      <c r="E262" s="73">
        <v>0.01</v>
      </c>
      <c r="F262" s="73">
        <f>E262*F260</f>
        <v>0.33140000000000003</v>
      </c>
      <c r="G262" s="48"/>
      <c r="H262" s="48"/>
      <c r="I262" s="48"/>
      <c r="J262" s="48"/>
      <c r="K262" s="48"/>
      <c r="L262" s="48">
        <f>F262*K262</f>
        <v>0</v>
      </c>
      <c r="M262" s="48">
        <f t="shared" ref="M262:M272" si="23">H262+J262+L262</f>
        <v>0</v>
      </c>
      <c r="N262" s="309"/>
      <c r="O262" s="323"/>
      <c r="P262" s="323"/>
      <c r="Q262" s="323"/>
      <c r="R262" s="323"/>
      <c r="S262" s="323"/>
      <c r="T262" s="323"/>
      <c r="U262" s="323"/>
    </row>
    <row r="263" spans="1:21" ht="16.5" x14ac:dyDescent="0.25">
      <c r="A263" s="918"/>
      <c r="B263" s="71"/>
      <c r="C263" s="342" t="s">
        <v>420</v>
      </c>
      <c r="D263" s="72" t="s">
        <v>5</v>
      </c>
      <c r="E263" s="73">
        <v>0.5</v>
      </c>
      <c r="F263" s="73">
        <f>F260*E263</f>
        <v>16.57</v>
      </c>
      <c r="G263" s="48"/>
      <c r="H263" s="48">
        <f t="shared" ref="H263:H267" si="24">F263*G263</f>
        <v>0</v>
      </c>
      <c r="I263" s="48"/>
      <c r="J263" s="48"/>
      <c r="K263" s="48"/>
      <c r="L263" s="48"/>
      <c r="M263" s="48">
        <f t="shared" si="23"/>
        <v>0</v>
      </c>
      <c r="N263" s="309"/>
      <c r="O263" s="323"/>
      <c r="P263" s="323"/>
      <c r="Q263" s="323"/>
      <c r="R263" s="323"/>
      <c r="S263" s="323"/>
      <c r="T263" s="323"/>
      <c r="U263" s="323"/>
    </row>
    <row r="264" spans="1:21" ht="16.5" x14ac:dyDescent="0.25">
      <c r="A264" s="918"/>
      <c r="B264" s="71"/>
      <c r="C264" s="342" t="s">
        <v>152</v>
      </c>
      <c r="D264" s="72" t="s">
        <v>111</v>
      </c>
      <c r="E264" s="73">
        <v>0.05</v>
      </c>
      <c r="F264" s="73">
        <f>F260*E264</f>
        <v>1.657</v>
      </c>
      <c r="G264" s="48"/>
      <c r="H264" s="48">
        <f t="shared" si="24"/>
        <v>0</v>
      </c>
      <c r="I264" s="48"/>
      <c r="J264" s="48"/>
      <c r="K264" s="48"/>
      <c r="L264" s="48"/>
      <c r="M264" s="48">
        <f t="shared" si="23"/>
        <v>0</v>
      </c>
      <c r="N264" s="309"/>
      <c r="O264" s="323"/>
      <c r="P264" s="323"/>
      <c r="Q264" s="323"/>
      <c r="R264" s="323"/>
      <c r="S264" s="323"/>
      <c r="T264" s="323"/>
      <c r="U264" s="323"/>
    </row>
    <row r="265" spans="1:21" ht="16.5" x14ac:dyDescent="0.25">
      <c r="A265" s="918"/>
      <c r="B265" s="71"/>
      <c r="C265" s="342" t="s">
        <v>421</v>
      </c>
      <c r="D265" s="72" t="s">
        <v>5</v>
      </c>
      <c r="E265" s="73">
        <v>0.15</v>
      </c>
      <c r="F265" s="73">
        <f>F260*E265</f>
        <v>4.9710000000000001</v>
      </c>
      <c r="G265" s="48"/>
      <c r="H265" s="48">
        <f t="shared" si="24"/>
        <v>0</v>
      </c>
      <c r="I265" s="48"/>
      <c r="J265" s="48"/>
      <c r="K265" s="48"/>
      <c r="L265" s="48"/>
      <c r="M265" s="48">
        <f t="shared" si="23"/>
        <v>0</v>
      </c>
      <c r="N265" s="309"/>
      <c r="O265" s="323"/>
      <c r="P265" s="323"/>
      <c r="Q265" s="323"/>
      <c r="R265" s="323"/>
      <c r="S265" s="323"/>
      <c r="T265" s="323"/>
      <c r="U265" s="323"/>
    </row>
    <row r="266" spans="1:21" ht="16.5" x14ac:dyDescent="0.25">
      <c r="A266" s="918"/>
      <c r="B266" s="71"/>
      <c r="C266" s="342" t="s">
        <v>422</v>
      </c>
      <c r="D266" s="72" t="s">
        <v>276</v>
      </c>
      <c r="E266" s="73">
        <v>0.45</v>
      </c>
      <c r="F266" s="73">
        <f>E266*F260</f>
        <v>14.913</v>
      </c>
      <c r="G266" s="48"/>
      <c r="H266" s="48">
        <f t="shared" si="24"/>
        <v>0</v>
      </c>
      <c r="I266" s="48"/>
      <c r="J266" s="48"/>
      <c r="K266" s="48"/>
      <c r="L266" s="48"/>
      <c r="M266" s="48">
        <f t="shared" si="23"/>
        <v>0</v>
      </c>
      <c r="N266" s="309"/>
      <c r="O266" s="323"/>
      <c r="P266" s="323"/>
      <c r="Q266" s="323"/>
      <c r="R266" s="323"/>
      <c r="S266" s="323"/>
      <c r="T266" s="323"/>
      <c r="U266" s="323"/>
    </row>
    <row r="267" spans="1:21" ht="16.5" x14ac:dyDescent="0.25">
      <c r="A267" s="919"/>
      <c r="B267" s="66"/>
      <c r="C267" s="342" t="s">
        <v>10</v>
      </c>
      <c r="D267" s="72" t="s">
        <v>7</v>
      </c>
      <c r="E267" s="73">
        <v>1.2999999999999999E-3</v>
      </c>
      <c r="F267" s="73">
        <f>E267*F260</f>
        <v>4.3081999999999995E-2</v>
      </c>
      <c r="G267" s="48"/>
      <c r="H267" s="48">
        <f t="shared" si="24"/>
        <v>0</v>
      </c>
      <c r="I267" s="48"/>
      <c r="J267" s="48"/>
      <c r="K267" s="48"/>
      <c r="L267" s="48"/>
      <c r="M267" s="48">
        <f t="shared" si="23"/>
        <v>0</v>
      </c>
      <c r="N267" s="309"/>
      <c r="O267" s="323"/>
      <c r="P267" s="323"/>
      <c r="Q267" s="323"/>
      <c r="R267" s="323"/>
      <c r="S267" s="323"/>
      <c r="T267" s="323"/>
      <c r="U267" s="323"/>
    </row>
    <row r="268" spans="1:21" ht="63" x14ac:dyDescent="0.25">
      <c r="A268" s="920" t="s">
        <v>114</v>
      </c>
      <c r="B268" s="378" t="s">
        <v>423</v>
      </c>
      <c r="C268" s="324" t="s">
        <v>424</v>
      </c>
      <c r="D268" s="40" t="s">
        <v>83</v>
      </c>
      <c r="E268" s="88"/>
      <c r="F268" s="88">
        <v>3</v>
      </c>
      <c r="G268" s="48"/>
      <c r="H268" s="48"/>
      <c r="I268" s="48"/>
      <c r="J268" s="48"/>
      <c r="K268" s="48"/>
      <c r="L268" s="48"/>
      <c r="M268" s="48"/>
      <c r="N268" s="309"/>
      <c r="O268" s="308"/>
      <c r="P268" s="308"/>
      <c r="Q268" s="308"/>
      <c r="R268" s="308"/>
      <c r="S268" s="308"/>
      <c r="T268" s="308"/>
      <c r="U268" s="308"/>
    </row>
    <row r="269" spans="1:21" ht="27" x14ac:dyDescent="0.25">
      <c r="A269" s="920"/>
      <c r="B269" s="45"/>
      <c r="C269" s="374" t="s">
        <v>157</v>
      </c>
      <c r="D269" s="153" t="s">
        <v>9</v>
      </c>
      <c r="E269" s="375">
        <v>1.1000000000000001</v>
      </c>
      <c r="F269" s="154">
        <f>F268*E269</f>
        <v>3.3000000000000003</v>
      </c>
      <c r="G269" s="63"/>
      <c r="H269" s="48"/>
      <c r="I269" s="63"/>
      <c r="J269" s="48">
        <f t="shared" si="22"/>
        <v>0</v>
      </c>
      <c r="K269" s="48"/>
      <c r="L269" s="48"/>
      <c r="M269" s="48">
        <f t="shared" si="23"/>
        <v>0</v>
      </c>
      <c r="N269" s="309"/>
      <c r="O269" s="308"/>
      <c r="P269" s="308"/>
      <c r="Q269" s="308"/>
      <c r="R269" s="308"/>
      <c r="S269" s="308"/>
      <c r="T269" s="308"/>
      <c r="U269" s="308"/>
    </row>
    <row r="270" spans="1:21" ht="47.25" x14ac:dyDescent="0.25">
      <c r="A270" s="920"/>
      <c r="B270" s="378" t="s">
        <v>425</v>
      </c>
      <c r="C270" s="379" t="s">
        <v>158</v>
      </c>
      <c r="D270" s="40" t="s">
        <v>83</v>
      </c>
      <c r="E270" s="380"/>
      <c r="F270" s="381">
        <f>F268</f>
        <v>3</v>
      </c>
      <c r="G270" s="63"/>
      <c r="H270" s="48"/>
      <c r="I270" s="63"/>
      <c r="J270" s="48"/>
      <c r="K270" s="63"/>
      <c r="L270" s="48"/>
      <c r="M270" s="48"/>
      <c r="N270" s="309"/>
      <c r="O270" s="308"/>
      <c r="P270" s="308"/>
      <c r="Q270" s="308"/>
      <c r="R270" s="308"/>
      <c r="S270" s="308"/>
      <c r="T270" s="308"/>
      <c r="U270" s="308"/>
    </row>
    <row r="271" spans="1:21" ht="27" x14ac:dyDescent="0.25">
      <c r="A271" s="920"/>
      <c r="B271" s="155"/>
      <c r="C271" s="374" t="s">
        <v>159</v>
      </c>
      <c r="D271" s="153" t="s">
        <v>9</v>
      </c>
      <c r="E271" s="375">
        <v>0.53</v>
      </c>
      <c r="F271" s="154">
        <f>F270*E271</f>
        <v>1.59</v>
      </c>
      <c r="G271" s="63"/>
      <c r="H271" s="48"/>
      <c r="I271" s="63"/>
      <c r="J271" s="48">
        <f t="shared" si="22"/>
        <v>0</v>
      </c>
      <c r="K271" s="63"/>
      <c r="L271" s="48"/>
      <c r="M271" s="48">
        <f t="shared" si="23"/>
        <v>0</v>
      </c>
      <c r="N271" s="309"/>
      <c r="O271" s="308"/>
      <c r="P271" s="308"/>
      <c r="Q271" s="308"/>
      <c r="R271" s="308"/>
      <c r="S271" s="308"/>
      <c r="T271" s="308"/>
      <c r="U271" s="308"/>
    </row>
    <row r="272" spans="1:21" ht="31.5" x14ac:dyDescent="0.25">
      <c r="A272" s="920"/>
      <c r="B272" s="38" t="s">
        <v>160</v>
      </c>
      <c r="C272" s="351" t="s">
        <v>161</v>
      </c>
      <c r="D272" s="40" t="s">
        <v>83</v>
      </c>
      <c r="E272" s="380"/>
      <c r="F272" s="381">
        <f>F268</f>
        <v>3</v>
      </c>
      <c r="G272" s="63"/>
      <c r="H272" s="48"/>
      <c r="I272" s="63"/>
      <c r="J272" s="48"/>
      <c r="K272" s="63"/>
      <c r="L272" s="48">
        <f t="shared" si="21"/>
        <v>0</v>
      </c>
      <c r="M272" s="48">
        <f t="shared" si="23"/>
        <v>0</v>
      </c>
      <c r="N272" s="309"/>
      <c r="O272" s="308"/>
      <c r="P272" s="308"/>
      <c r="Q272" s="308"/>
      <c r="R272" s="308"/>
      <c r="S272" s="308"/>
      <c r="T272" s="308"/>
      <c r="U272" s="308"/>
    </row>
    <row r="273" spans="1:21" ht="16.5" x14ac:dyDescent="0.25">
      <c r="A273" s="382"/>
      <c r="B273" s="382"/>
      <c r="C273" s="237" t="s">
        <v>426</v>
      </c>
      <c r="D273" s="322"/>
      <c r="E273" s="237"/>
      <c r="F273" s="237"/>
      <c r="G273" s="383"/>
      <c r="H273" s="383">
        <f>SUM(H10:H272)</f>
        <v>0</v>
      </c>
      <c r="I273" s="383"/>
      <c r="J273" s="383">
        <f>SUM(J10:J272)</f>
        <v>0</v>
      </c>
      <c r="K273" s="383"/>
      <c r="L273" s="383">
        <f>SUM(L10:L272)</f>
        <v>0</v>
      </c>
      <c r="M273" s="383">
        <f>H273+J273+L273</f>
        <v>0</v>
      </c>
      <c r="N273" s="309"/>
      <c r="O273" s="308"/>
      <c r="P273" s="308"/>
      <c r="Q273" s="308"/>
      <c r="R273" s="308"/>
      <c r="S273" s="308"/>
      <c r="T273" s="308"/>
      <c r="U273" s="308"/>
    </row>
    <row r="274" spans="1:21" ht="40.5" x14ac:dyDescent="0.25">
      <c r="A274" s="38"/>
      <c r="B274" s="384"/>
      <c r="C274" s="167" t="s">
        <v>163</v>
      </c>
      <c r="D274" s="166"/>
      <c r="E274" s="168"/>
      <c r="F274" s="169"/>
      <c r="G274" s="170"/>
      <c r="H274" s="170"/>
      <c r="I274" s="170"/>
      <c r="J274" s="170"/>
      <c r="K274" s="170"/>
      <c r="L274" s="170"/>
      <c r="M274" s="385">
        <f>H273*F274</f>
        <v>0</v>
      </c>
      <c r="N274" s="309"/>
      <c r="O274" s="308"/>
      <c r="P274" s="308"/>
      <c r="Q274" s="308"/>
      <c r="R274" s="308"/>
      <c r="S274" s="308"/>
      <c r="T274" s="308"/>
      <c r="U274" s="308"/>
    </row>
    <row r="275" spans="1:21" ht="16.5" x14ac:dyDescent="0.25">
      <c r="A275" s="38"/>
      <c r="B275" s="384"/>
      <c r="C275" s="171"/>
      <c r="D275" s="166"/>
      <c r="E275" s="168"/>
      <c r="F275" s="172"/>
      <c r="G275" s="170"/>
      <c r="H275" s="170"/>
      <c r="I275" s="170"/>
      <c r="J275" s="170"/>
      <c r="K275" s="170"/>
      <c r="L275" s="170"/>
      <c r="M275" s="385">
        <f>M273+M274</f>
        <v>0</v>
      </c>
      <c r="N275" s="309"/>
      <c r="O275" s="308"/>
      <c r="P275" s="308"/>
      <c r="Q275" s="308"/>
      <c r="R275" s="308"/>
      <c r="S275" s="308"/>
      <c r="T275" s="308"/>
      <c r="U275" s="308"/>
    </row>
    <row r="276" spans="1:21" ht="16.5" x14ac:dyDescent="0.25">
      <c r="A276" s="38"/>
      <c r="B276" s="384"/>
      <c r="C276" s="386" t="s">
        <v>164</v>
      </c>
      <c r="D276" s="387"/>
      <c r="E276" s="243"/>
      <c r="F276" s="388"/>
      <c r="G276" s="377"/>
      <c r="H276" s="377"/>
      <c r="I276" s="377"/>
      <c r="J276" s="377"/>
      <c r="K276" s="377"/>
      <c r="L276" s="377"/>
      <c r="M276" s="377">
        <f>M275*F276</f>
        <v>0</v>
      </c>
      <c r="N276" s="309"/>
      <c r="O276" s="308"/>
      <c r="P276" s="308"/>
      <c r="Q276" s="308"/>
      <c r="R276" s="308"/>
      <c r="S276" s="308"/>
      <c r="T276" s="308"/>
      <c r="U276" s="308"/>
    </row>
    <row r="277" spans="1:21" ht="16.5" x14ac:dyDescent="0.25">
      <c r="A277" s="349"/>
      <c r="B277" s="389"/>
      <c r="C277" s="390"/>
      <c r="D277" s="391"/>
      <c r="E277" s="392"/>
      <c r="F277" s="376"/>
      <c r="G277" s="393"/>
      <c r="H277" s="393"/>
      <c r="I277" s="393"/>
      <c r="J277" s="393" t="s">
        <v>41</v>
      </c>
      <c r="K277" s="393"/>
      <c r="L277" s="393"/>
      <c r="M277" s="393">
        <f>M275+M276</f>
        <v>0</v>
      </c>
      <c r="N277" s="309"/>
      <c r="O277" s="308"/>
      <c r="P277" s="308"/>
      <c r="Q277" s="308"/>
      <c r="R277" s="308"/>
      <c r="S277" s="308"/>
      <c r="T277" s="308"/>
      <c r="U277" s="308"/>
    </row>
    <row r="278" spans="1:21" ht="16.5" x14ac:dyDescent="0.25">
      <c r="A278" s="349"/>
      <c r="B278" s="389"/>
      <c r="C278" s="390" t="s">
        <v>165</v>
      </c>
      <c r="D278" s="391"/>
      <c r="E278" s="392"/>
      <c r="F278" s="394"/>
      <c r="G278" s="393"/>
      <c r="H278" s="393"/>
      <c r="I278" s="393"/>
      <c r="J278" s="393"/>
      <c r="K278" s="393"/>
      <c r="L278" s="393"/>
      <c r="M278" s="393">
        <f>M277*F278</f>
        <v>0</v>
      </c>
      <c r="N278" s="309"/>
      <c r="O278" s="308"/>
      <c r="P278" s="308"/>
      <c r="Q278" s="308"/>
      <c r="R278" s="308"/>
      <c r="S278" s="308"/>
      <c r="T278" s="308"/>
      <c r="U278" s="308"/>
    </row>
    <row r="279" spans="1:21" ht="31.5" x14ac:dyDescent="0.25">
      <c r="A279" s="382"/>
      <c r="B279" s="382"/>
      <c r="C279" s="237" t="s">
        <v>427</v>
      </c>
      <c r="D279" s="322"/>
      <c r="E279" s="237"/>
      <c r="F279" s="237"/>
      <c r="G279" s="383"/>
      <c r="H279" s="383"/>
      <c r="I279" s="383"/>
      <c r="J279" s="383" t="s">
        <v>41</v>
      </c>
      <c r="K279" s="383"/>
      <c r="L279" s="383"/>
      <c r="M279" s="395">
        <f>M277+M278</f>
        <v>0</v>
      </c>
      <c r="N279" s="309"/>
      <c r="O279" s="308"/>
      <c r="P279" s="308"/>
      <c r="Q279" s="308"/>
      <c r="R279" s="308"/>
      <c r="S279" s="308"/>
      <c r="T279" s="308"/>
      <c r="U279" s="308"/>
    </row>
    <row r="280" spans="1:21" ht="31.5" x14ac:dyDescent="0.25">
      <c r="A280" s="349"/>
      <c r="B280" s="389"/>
      <c r="C280" s="396" t="s">
        <v>4</v>
      </c>
      <c r="D280" s="391"/>
      <c r="E280" s="392"/>
      <c r="F280" s="397" t="s">
        <v>167</v>
      </c>
      <c r="G280" s="393"/>
      <c r="H280" s="393"/>
      <c r="I280" s="393"/>
      <c r="J280" s="393"/>
      <c r="K280" s="393"/>
      <c r="L280" s="393"/>
      <c r="M280" s="393">
        <f>M279*F280</f>
        <v>0</v>
      </c>
      <c r="N280" s="309"/>
      <c r="O280" s="308"/>
      <c r="P280" s="308"/>
      <c r="Q280" s="308"/>
      <c r="R280" s="308"/>
      <c r="S280" s="308"/>
      <c r="T280" s="308"/>
      <c r="U280" s="308"/>
    </row>
    <row r="281" spans="1:21" ht="16.5" x14ac:dyDescent="0.25">
      <c r="A281" s="349"/>
      <c r="B281" s="389"/>
      <c r="C281" s="396"/>
      <c r="D281" s="391"/>
      <c r="E281" s="392"/>
      <c r="F281" s="392"/>
      <c r="G281" s="393"/>
      <c r="H281" s="393"/>
      <c r="I281" s="393"/>
      <c r="J281" s="393" t="s">
        <v>41</v>
      </c>
      <c r="K281" s="393"/>
      <c r="L281" s="393"/>
      <c r="M281" s="393">
        <f>M279+M280</f>
        <v>0</v>
      </c>
      <c r="N281" s="309"/>
      <c r="O281" s="308"/>
      <c r="P281" s="308"/>
      <c r="Q281" s="308"/>
      <c r="R281" s="308"/>
      <c r="S281" s="308"/>
      <c r="T281" s="308"/>
      <c r="U281" s="308"/>
    </row>
    <row r="282" spans="1:21" ht="16.5" x14ac:dyDescent="0.25">
      <c r="A282" s="349"/>
      <c r="B282" s="389"/>
      <c r="C282" s="396" t="s">
        <v>168</v>
      </c>
      <c r="D282" s="391"/>
      <c r="E282" s="392"/>
      <c r="F282" s="397" t="s">
        <v>169</v>
      </c>
      <c r="G282" s="393"/>
      <c r="H282" s="393"/>
      <c r="I282" s="393"/>
      <c r="J282" s="393"/>
      <c r="K282" s="393"/>
      <c r="L282" s="393"/>
      <c r="M282" s="393">
        <f>M281*F282</f>
        <v>0</v>
      </c>
      <c r="N282" s="309"/>
      <c r="O282" s="308"/>
      <c r="P282" s="308"/>
      <c r="Q282" s="308"/>
      <c r="R282" s="308"/>
      <c r="S282" s="308"/>
      <c r="T282" s="308"/>
      <c r="U282" s="308"/>
    </row>
    <row r="283" spans="1:21" ht="31.5" x14ac:dyDescent="0.25">
      <c r="A283" s="382"/>
      <c r="B283" s="382"/>
      <c r="C283" s="237" t="s">
        <v>427</v>
      </c>
      <c r="D283" s="322"/>
      <c r="E283" s="237"/>
      <c r="F283" s="237"/>
      <c r="G283" s="383"/>
      <c r="H283" s="383"/>
      <c r="I283" s="383"/>
      <c r="J283" s="383" t="s">
        <v>41</v>
      </c>
      <c r="K283" s="383"/>
      <c r="L283" s="383"/>
      <c r="M283" s="383">
        <f>M281+M282</f>
        <v>0</v>
      </c>
      <c r="N283" s="309"/>
      <c r="O283" s="308"/>
      <c r="P283" s="308"/>
      <c r="Q283" s="308"/>
      <c r="R283" s="308"/>
      <c r="S283" s="308"/>
      <c r="T283" s="308"/>
      <c r="U283" s="308"/>
    </row>
    <row r="284" spans="1:21" ht="16.5" x14ac:dyDescent="0.25">
      <c r="A284" s="311"/>
      <c r="B284" s="311"/>
      <c r="C284" s="312"/>
      <c r="D284" s="313"/>
      <c r="E284" s="312"/>
      <c r="F284" s="312"/>
      <c r="G284" s="398"/>
      <c r="H284" s="398"/>
      <c r="I284" s="398"/>
      <c r="J284" s="398"/>
      <c r="K284" s="398"/>
      <c r="L284" s="398"/>
      <c r="M284" s="398"/>
      <c r="N284" s="309"/>
      <c r="O284" s="308"/>
      <c r="P284" s="308"/>
      <c r="Q284" s="308"/>
      <c r="R284" s="308"/>
      <c r="S284" s="308"/>
      <c r="T284" s="308"/>
      <c r="U284" s="308"/>
    </row>
    <row r="285" spans="1:21" ht="16.5" x14ac:dyDescent="0.25">
      <c r="A285" s="311"/>
      <c r="B285" s="311"/>
      <c r="C285" s="312"/>
      <c r="D285" s="313"/>
      <c r="E285" s="312"/>
      <c r="F285" s="312"/>
      <c r="G285" s="398"/>
      <c r="H285" s="398"/>
      <c r="I285" s="398"/>
      <c r="J285" s="398"/>
      <c r="K285" s="398"/>
      <c r="L285" s="398"/>
      <c r="M285" s="398"/>
      <c r="N285" s="309"/>
      <c r="O285" s="308"/>
      <c r="P285" s="308"/>
      <c r="Q285" s="308"/>
      <c r="R285" s="308"/>
      <c r="S285" s="308"/>
      <c r="T285" s="308"/>
      <c r="U285" s="308"/>
    </row>
  </sheetData>
  <mergeCells count="54">
    <mergeCell ref="N12:U12"/>
    <mergeCell ref="A14:A18"/>
    <mergeCell ref="N18:N19"/>
    <mergeCell ref="A19:A23"/>
    <mergeCell ref="A1:M1"/>
    <mergeCell ref="A2:M2"/>
    <mergeCell ref="A3:M3"/>
    <mergeCell ref="A5:M5"/>
    <mergeCell ref="A7:A8"/>
    <mergeCell ref="B7:B8"/>
    <mergeCell ref="C7:C8"/>
    <mergeCell ref="D7:D8"/>
    <mergeCell ref="E7:F7"/>
    <mergeCell ref="G7:H7"/>
    <mergeCell ref="A62:A66"/>
    <mergeCell ref="I7:J7"/>
    <mergeCell ref="K7:L7"/>
    <mergeCell ref="M7:M8"/>
    <mergeCell ref="A12:A13"/>
    <mergeCell ref="A24:A31"/>
    <mergeCell ref="A32:A39"/>
    <mergeCell ref="A40:A49"/>
    <mergeCell ref="A50:A54"/>
    <mergeCell ref="A55:A61"/>
    <mergeCell ref="A168:A169"/>
    <mergeCell ref="A67:A74"/>
    <mergeCell ref="A75:A84"/>
    <mergeCell ref="A85:A94"/>
    <mergeCell ref="A95:A104"/>
    <mergeCell ref="A105:A113"/>
    <mergeCell ref="A115:A129"/>
    <mergeCell ref="A130:A136"/>
    <mergeCell ref="A137:A144"/>
    <mergeCell ref="A145:A153"/>
    <mergeCell ref="A154:A158"/>
    <mergeCell ref="A159:A166"/>
    <mergeCell ref="A230:A236"/>
    <mergeCell ref="A170:A171"/>
    <mergeCell ref="A173:A177"/>
    <mergeCell ref="A178:A184"/>
    <mergeCell ref="A185:A188"/>
    <mergeCell ref="A191:A197"/>
    <mergeCell ref="A198:A204"/>
    <mergeCell ref="A205:A208"/>
    <mergeCell ref="A209:A213"/>
    <mergeCell ref="A214:A217"/>
    <mergeCell ref="A218:A224"/>
    <mergeCell ref="A225:A229"/>
    <mergeCell ref="A260:A267"/>
    <mergeCell ref="A268:A272"/>
    <mergeCell ref="A237:A241"/>
    <mergeCell ref="A242:A247"/>
    <mergeCell ref="A248:A254"/>
    <mergeCell ref="A255:A259"/>
  </mergeCells>
  <pageMargins left="0.70866141732283472" right="0.26" top="0.43" bottom="0.46" header="0.31496062992125984" footer="0.31496062992125984"/>
  <pageSetup paperSize="9" orientation="landscape" horizontalDpi="1200" verticalDpi="1200" r:id="rId1"/>
  <headerFooter>
    <oddHeader>&amp;R&amp;P--&amp;N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65"/>
  <sheetViews>
    <sheetView topLeftCell="A38" zoomScale="90" zoomScaleNormal="90" workbookViewId="0">
      <selection activeCell="A65" sqref="A65:XFD65"/>
    </sheetView>
  </sheetViews>
  <sheetFormatPr defaultRowHeight="15" x14ac:dyDescent="0.25"/>
  <cols>
    <col min="1" max="1" width="6.85546875" customWidth="1"/>
    <col min="3" max="3" width="33" customWidth="1"/>
    <col min="4" max="4" width="6.85546875" customWidth="1"/>
    <col min="9" max="9" width="6.5703125" customWidth="1"/>
    <col min="11" max="11" width="7.5703125" customWidth="1"/>
    <col min="13" max="13" width="11" customWidth="1"/>
  </cols>
  <sheetData>
    <row r="1" spans="1:13" ht="33.75" customHeight="1" x14ac:dyDescent="0.25">
      <c r="A1" s="882" t="str">
        <f>krebsiti!A3</f>
        <v>dmanisis municipalitetis sofel javaxSi sportuli moednis, sazogadoebrivi daniSnulebis reteratisa da skveris mowyobis samuSaoebi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</row>
    <row r="2" spans="1:13" ht="16.5" x14ac:dyDescent="0.25">
      <c r="A2" s="935" t="s">
        <v>246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</row>
    <row r="3" spans="1:13" ht="16.5" x14ac:dyDescent="0.25">
      <c r="A3" s="882" t="s">
        <v>428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</row>
    <row r="4" spans="1:13" ht="15.75" x14ac:dyDescent="0.25">
      <c r="A4" s="311"/>
      <c r="B4" s="311"/>
      <c r="C4" s="312"/>
      <c r="D4" s="312"/>
      <c r="E4" s="312"/>
      <c r="F4" s="312"/>
      <c r="G4" s="314"/>
      <c r="H4" s="314"/>
      <c r="I4" s="314"/>
      <c r="J4" s="314"/>
      <c r="K4" s="314"/>
      <c r="L4" s="314"/>
      <c r="M4" s="314"/>
    </row>
    <row r="5" spans="1:13" ht="16.5" x14ac:dyDescent="0.25">
      <c r="A5" s="882" t="s">
        <v>429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</row>
    <row r="6" spans="1:13" x14ac:dyDescent="0.25">
      <c r="A6" s="399"/>
      <c r="B6" s="400"/>
      <c r="C6" s="401"/>
      <c r="D6" s="401"/>
      <c r="E6" s="401"/>
      <c r="F6" s="401"/>
      <c r="G6" s="402"/>
      <c r="H6" s="402"/>
      <c r="I6" s="402"/>
      <c r="J6" s="402"/>
      <c r="K6" s="402"/>
      <c r="L6" s="402"/>
      <c r="M6" s="402"/>
    </row>
    <row r="7" spans="1:13" ht="33" customHeight="1" x14ac:dyDescent="0.25">
      <c r="A7" s="943" t="s">
        <v>0</v>
      </c>
      <c r="B7" s="943" t="s">
        <v>34</v>
      </c>
      <c r="C7" s="945" t="s">
        <v>1</v>
      </c>
      <c r="D7" s="945" t="s">
        <v>2</v>
      </c>
      <c r="E7" s="945" t="s">
        <v>172</v>
      </c>
      <c r="F7" s="945" t="s">
        <v>3</v>
      </c>
      <c r="G7" s="929" t="s">
        <v>36</v>
      </c>
      <c r="H7" s="930"/>
      <c r="I7" s="929" t="s">
        <v>37</v>
      </c>
      <c r="J7" s="930"/>
      <c r="K7" s="929" t="s">
        <v>38</v>
      </c>
      <c r="L7" s="930"/>
      <c r="M7" s="947" t="s">
        <v>39</v>
      </c>
    </row>
    <row r="8" spans="1:13" ht="47.25" x14ac:dyDescent="0.25">
      <c r="A8" s="944"/>
      <c r="B8" s="944"/>
      <c r="C8" s="946"/>
      <c r="D8" s="946"/>
      <c r="E8" s="946"/>
      <c r="F8" s="946"/>
      <c r="G8" s="48" t="s">
        <v>40</v>
      </c>
      <c r="H8" s="48" t="s">
        <v>41</v>
      </c>
      <c r="I8" s="48" t="s">
        <v>40</v>
      </c>
      <c r="J8" s="48" t="s">
        <v>41</v>
      </c>
      <c r="K8" s="48" t="s">
        <v>40</v>
      </c>
      <c r="L8" s="48" t="s">
        <v>41</v>
      </c>
      <c r="M8" s="948"/>
    </row>
    <row r="9" spans="1:13" ht="15.75" x14ac:dyDescent="0.25">
      <c r="A9" s="403">
        <v>1</v>
      </c>
      <c r="B9" s="257">
        <v>2</v>
      </c>
      <c r="C9" s="88">
        <v>3</v>
      </c>
      <c r="D9" s="88">
        <v>4</v>
      </c>
      <c r="E9" s="88">
        <v>5</v>
      </c>
      <c r="F9" s="88">
        <v>6</v>
      </c>
      <c r="G9" s="315">
        <v>7</v>
      </c>
      <c r="H9" s="315">
        <v>8</v>
      </c>
      <c r="I9" s="315">
        <v>9</v>
      </c>
      <c r="J9" s="315">
        <v>10</v>
      </c>
      <c r="K9" s="315">
        <v>11</v>
      </c>
      <c r="L9" s="315">
        <v>12</v>
      </c>
      <c r="M9" s="315">
        <v>13</v>
      </c>
    </row>
    <row r="10" spans="1:13" x14ac:dyDescent="0.25">
      <c r="A10" s="29" t="s">
        <v>430</v>
      </c>
      <c r="B10" s="404"/>
      <c r="C10" s="29" t="s">
        <v>429</v>
      </c>
      <c r="D10" s="404"/>
      <c r="E10" s="404"/>
      <c r="F10" s="405"/>
      <c r="G10" s="406"/>
      <c r="H10" s="406"/>
      <c r="I10" s="406"/>
      <c r="J10" s="406"/>
      <c r="K10" s="406"/>
      <c r="L10" s="406"/>
      <c r="M10" s="406"/>
    </row>
    <row r="11" spans="1:13" ht="27" x14ac:dyDescent="0.25">
      <c r="A11" s="93" t="s">
        <v>431</v>
      </c>
      <c r="B11" s="150"/>
      <c r="C11" s="407" t="s">
        <v>432</v>
      </c>
      <c r="D11" s="45"/>
      <c r="E11" s="45"/>
      <c r="F11" s="107"/>
      <c r="G11" s="408"/>
      <c r="H11" s="406"/>
      <c r="I11" s="408"/>
      <c r="J11" s="406"/>
      <c r="K11" s="409"/>
      <c r="L11" s="406"/>
      <c r="M11" s="406"/>
    </row>
    <row r="12" spans="1:13" ht="27" x14ac:dyDescent="0.25">
      <c r="A12" s="872" t="s">
        <v>219</v>
      </c>
      <c r="B12" s="798" t="s">
        <v>433</v>
      </c>
      <c r="C12" s="410" t="s">
        <v>434</v>
      </c>
      <c r="D12" s="411" t="s">
        <v>26</v>
      </c>
      <c r="E12" s="411"/>
      <c r="F12" s="412">
        <v>3</v>
      </c>
      <c r="G12" s="413"/>
      <c r="H12" s="414"/>
      <c r="I12" s="415"/>
      <c r="J12" s="414"/>
      <c r="K12" s="413"/>
      <c r="L12" s="406"/>
      <c r="M12" s="406"/>
    </row>
    <row r="13" spans="1:13" x14ac:dyDescent="0.25">
      <c r="A13" s="872"/>
      <c r="B13" s="45"/>
      <c r="C13" s="416" t="s">
        <v>73</v>
      </c>
      <c r="D13" s="417" t="s">
        <v>9</v>
      </c>
      <c r="E13" s="417">
        <v>0.39200000000000002</v>
      </c>
      <c r="F13" s="418">
        <f>F12*E13</f>
        <v>1.1760000000000002</v>
      </c>
      <c r="G13" s="419"/>
      <c r="H13" s="414"/>
      <c r="I13" s="409"/>
      <c r="J13" s="414">
        <f t="shared" ref="J13:J33" si="0">F13*I13</f>
        <v>0</v>
      </c>
      <c r="K13" s="409"/>
      <c r="L13" s="406"/>
      <c r="M13" s="406">
        <f t="shared" ref="M13:M38" si="1">H13+J13+L13</f>
        <v>0</v>
      </c>
    </row>
    <row r="14" spans="1:13" ht="26.25" x14ac:dyDescent="0.25">
      <c r="A14" s="872"/>
      <c r="B14" s="45"/>
      <c r="C14" s="420" t="s">
        <v>435</v>
      </c>
      <c r="D14" s="417" t="s">
        <v>147</v>
      </c>
      <c r="E14" s="417"/>
      <c r="F14" s="418">
        <v>3</v>
      </c>
      <c r="G14" s="419"/>
      <c r="H14" s="414">
        <f t="shared" ref="H14:H38" si="2">F14*G14</f>
        <v>0</v>
      </c>
      <c r="I14" s="409"/>
      <c r="J14" s="414"/>
      <c r="K14" s="409"/>
      <c r="L14" s="406"/>
      <c r="M14" s="406">
        <f t="shared" si="1"/>
        <v>0</v>
      </c>
    </row>
    <row r="15" spans="1:13" x14ac:dyDescent="0.25">
      <c r="A15" s="872"/>
      <c r="B15" s="45"/>
      <c r="C15" s="416" t="s">
        <v>10</v>
      </c>
      <c r="D15" s="421" t="s">
        <v>7</v>
      </c>
      <c r="E15" s="422">
        <f>9.4/100</f>
        <v>9.4E-2</v>
      </c>
      <c r="F15" s="423">
        <f>F12*E15</f>
        <v>0.28200000000000003</v>
      </c>
      <c r="G15" s="409"/>
      <c r="H15" s="414">
        <f t="shared" si="2"/>
        <v>0</v>
      </c>
      <c r="I15" s="409"/>
      <c r="J15" s="414"/>
      <c r="K15" s="409"/>
      <c r="L15" s="406"/>
      <c r="M15" s="406">
        <f t="shared" si="1"/>
        <v>0</v>
      </c>
    </row>
    <row r="16" spans="1:13" x14ac:dyDescent="0.25">
      <c r="A16" s="938" t="s">
        <v>436</v>
      </c>
      <c r="B16" s="799" t="s">
        <v>437</v>
      </c>
      <c r="C16" s="410" t="s">
        <v>438</v>
      </c>
      <c r="D16" s="411" t="s">
        <v>26</v>
      </c>
      <c r="E16" s="411"/>
      <c r="F16" s="412">
        <v>3</v>
      </c>
      <c r="G16" s="413"/>
      <c r="H16" s="414"/>
      <c r="I16" s="415"/>
      <c r="J16" s="414"/>
      <c r="K16" s="413"/>
      <c r="L16" s="406"/>
      <c r="M16" s="406">
        <f t="shared" si="1"/>
        <v>0</v>
      </c>
    </row>
    <row r="17" spans="1:13" x14ac:dyDescent="0.25">
      <c r="A17" s="939"/>
      <c r="B17" s="118"/>
      <c r="C17" s="416" t="s">
        <v>73</v>
      </c>
      <c r="D17" s="417" t="s">
        <v>9</v>
      </c>
      <c r="E17" s="417">
        <v>0.372</v>
      </c>
      <c r="F17" s="418">
        <f>F16*E17</f>
        <v>1.1160000000000001</v>
      </c>
      <c r="G17" s="419"/>
      <c r="H17" s="414"/>
      <c r="I17" s="409"/>
      <c r="J17" s="414">
        <f t="shared" si="0"/>
        <v>0</v>
      </c>
      <c r="K17" s="409"/>
      <c r="L17" s="406"/>
      <c r="M17" s="406">
        <f t="shared" si="1"/>
        <v>0</v>
      </c>
    </row>
    <row r="18" spans="1:13" ht="27" x14ac:dyDescent="0.25">
      <c r="A18" s="939"/>
      <c r="B18" s="118"/>
      <c r="C18" s="416" t="s">
        <v>439</v>
      </c>
      <c r="D18" s="417"/>
      <c r="E18" s="417"/>
      <c r="F18" s="418">
        <v>3</v>
      </c>
      <c r="G18" s="419"/>
      <c r="H18" s="414">
        <f t="shared" si="2"/>
        <v>0</v>
      </c>
      <c r="I18" s="409"/>
      <c r="J18" s="414"/>
      <c r="K18" s="409"/>
      <c r="L18" s="406"/>
      <c r="M18" s="406">
        <f t="shared" si="1"/>
        <v>0</v>
      </c>
    </row>
    <row r="19" spans="1:13" x14ac:dyDescent="0.25">
      <c r="A19" s="940"/>
      <c r="B19" s="118"/>
      <c r="C19" s="416" t="s">
        <v>10</v>
      </c>
      <c r="D19" s="421" t="s">
        <v>7</v>
      </c>
      <c r="E19" s="422">
        <f>12.84/100</f>
        <v>0.12839999999999999</v>
      </c>
      <c r="F19" s="423">
        <f>F16*E19</f>
        <v>0.38519999999999999</v>
      </c>
      <c r="G19" s="409"/>
      <c r="H19" s="414">
        <f t="shared" si="2"/>
        <v>0</v>
      </c>
      <c r="I19" s="409"/>
      <c r="J19" s="414"/>
      <c r="K19" s="409"/>
      <c r="L19" s="406"/>
      <c r="M19" s="406">
        <f t="shared" si="1"/>
        <v>0</v>
      </c>
    </row>
    <row r="20" spans="1:13" ht="27" x14ac:dyDescent="0.25">
      <c r="A20" s="938" t="s">
        <v>394</v>
      </c>
      <c r="B20" s="843" t="s">
        <v>440</v>
      </c>
      <c r="C20" s="425" t="s">
        <v>441</v>
      </c>
      <c r="D20" s="424" t="s">
        <v>26</v>
      </c>
      <c r="E20" s="424"/>
      <c r="F20" s="426">
        <v>3</v>
      </c>
      <c r="G20" s="427"/>
      <c r="H20" s="414"/>
      <c r="I20" s="427"/>
      <c r="J20" s="414"/>
      <c r="K20" s="427"/>
      <c r="L20" s="406"/>
      <c r="M20" s="406">
        <f t="shared" si="1"/>
        <v>0</v>
      </c>
    </row>
    <row r="21" spans="1:13" ht="27" x14ac:dyDescent="0.25">
      <c r="A21" s="939"/>
      <c r="B21" s="424"/>
      <c r="C21" s="428" t="s">
        <v>17</v>
      </c>
      <c r="D21" s="424" t="s">
        <v>9</v>
      </c>
      <c r="E21" s="424">
        <v>1.35</v>
      </c>
      <c r="F21" s="429">
        <f>F20*E21</f>
        <v>4.0500000000000007</v>
      </c>
      <c r="G21" s="427"/>
      <c r="H21" s="414"/>
      <c r="I21" s="409"/>
      <c r="J21" s="414">
        <f t="shared" si="0"/>
        <v>0</v>
      </c>
      <c r="K21" s="427"/>
      <c r="L21" s="406"/>
      <c r="M21" s="406">
        <f t="shared" si="1"/>
        <v>0</v>
      </c>
    </row>
    <row r="22" spans="1:13" x14ac:dyDescent="0.25">
      <c r="A22" s="939"/>
      <c r="B22" s="424"/>
      <c r="C22" s="428" t="s">
        <v>21</v>
      </c>
      <c r="D22" s="424" t="s">
        <v>7</v>
      </c>
      <c r="E22" s="424">
        <v>3.1E-2</v>
      </c>
      <c r="F22" s="429">
        <f>F20*E22</f>
        <v>9.2999999999999999E-2</v>
      </c>
      <c r="G22" s="427"/>
      <c r="H22" s="414"/>
      <c r="I22" s="427"/>
      <c r="J22" s="414"/>
      <c r="K22" s="427"/>
      <c r="L22" s="406">
        <f t="shared" ref="L22:L28" si="3">F22*K22</f>
        <v>0</v>
      </c>
      <c r="M22" s="406">
        <f t="shared" si="1"/>
        <v>0</v>
      </c>
    </row>
    <row r="23" spans="1:13" x14ac:dyDescent="0.25">
      <c r="A23" s="939"/>
      <c r="B23" s="424"/>
      <c r="C23" s="428" t="s">
        <v>442</v>
      </c>
      <c r="D23" s="430" t="s">
        <v>26</v>
      </c>
      <c r="E23" s="430">
        <v>1</v>
      </c>
      <c r="F23" s="431">
        <v>3</v>
      </c>
      <c r="G23" s="432"/>
      <c r="H23" s="414">
        <f t="shared" si="2"/>
        <v>0</v>
      </c>
      <c r="I23" s="433"/>
      <c r="J23" s="414"/>
      <c r="K23" s="434"/>
      <c r="L23" s="406"/>
      <c r="M23" s="406">
        <f t="shared" si="1"/>
        <v>0</v>
      </c>
    </row>
    <row r="24" spans="1:13" x14ac:dyDescent="0.25">
      <c r="A24" s="939"/>
      <c r="B24" s="424"/>
      <c r="C24" s="416" t="s">
        <v>10</v>
      </c>
      <c r="D24" s="421" t="s">
        <v>7</v>
      </c>
      <c r="E24" s="424">
        <v>0.29099999999999998</v>
      </c>
      <c r="F24" s="429">
        <f>F20*E24</f>
        <v>0.873</v>
      </c>
      <c r="G24" s="427"/>
      <c r="H24" s="414">
        <f t="shared" si="2"/>
        <v>0</v>
      </c>
      <c r="I24" s="427"/>
      <c r="J24" s="414"/>
      <c r="K24" s="435"/>
      <c r="L24" s="406"/>
      <c r="M24" s="406">
        <f t="shared" si="1"/>
        <v>0</v>
      </c>
    </row>
    <row r="25" spans="1:13" ht="27" x14ac:dyDescent="0.25">
      <c r="A25" s="938" t="s">
        <v>398</v>
      </c>
      <c r="B25" s="841" t="s">
        <v>443</v>
      </c>
      <c r="C25" s="320" t="s">
        <v>444</v>
      </c>
      <c r="D25" s="150" t="s">
        <v>202</v>
      </c>
      <c r="E25" s="150"/>
      <c r="F25" s="436">
        <v>7</v>
      </c>
      <c r="G25" s="409"/>
      <c r="H25" s="414"/>
      <c r="I25" s="409"/>
      <c r="J25" s="414"/>
      <c r="K25" s="409"/>
      <c r="L25" s="406"/>
      <c r="M25" s="406">
        <f t="shared" si="1"/>
        <v>0</v>
      </c>
    </row>
    <row r="26" spans="1:13" x14ac:dyDescent="0.25">
      <c r="A26" s="939"/>
      <c r="B26" s="437"/>
      <c r="C26" s="89" t="s">
        <v>73</v>
      </c>
      <c r="D26" s="417" t="s">
        <v>9</v>
      </c>
      <c r="E26" s="422">
        <f>182/100</f>
        <v>1.82</v>
      </c>
      <c r="F26" s="423">
        <f>F25*E26</f>
        <v>12.74</v>
      </c>
      <c r="G26" s="409"/>
      <c r="H26" s="414"/>
      <c r="I26" s="409"/>
      <c r="J26" s="414">
        <f t="shared" si="0"/>
        <v>0</v>
      </c>
      <c r="K26" s="409"/>
      <c r="L26" s="406"/>
      <c r="M26" s="406">
        <f t="shared" si="1"/>
        <v>0</v>
      </c>
    </row>
    <row r="27" spans="1:13" ht="27" x14ac:dyDescent="0.25">
      <c r="A27" s="939"/>
      <c r="B27" s="842" t="s">
        <v>445</v>
      </c>
      <c r="C27" s="89" t="s">
        <v>446</v>
      </c>
      <c r="D27" s="417" t="s">
        <v>447</v>
      </c>
      <c r="E27" s="422">
        <f>6.5*0.01</f>
        <v>6.5000000000000002E-2</v>
      </c>
      <c r="F27" s="423">
        <f>F25*E27</f>
        <v>0.45500000000000002</v>
      </c>
      <c r="G27" s="409"/>
      <c r="H27" s="414"/>
      <c r="I27" s="409"/>
      <c r="J27" s="414"/>
      <c r="K27" s="409"/>
      <c r="L27" s="406">
        <f t="shared" si="3"/>
        <v>0</v>
      </c>
      <c r="M27" s="406">
        <f t="shared" si="1"/>
        <v>0</v>
      </c>
    </row>
    <row r="28" spans="1:13" x14ac:dyDescent="0.25">
      <c r="A28" s="939"/>
      <c r="B28" s="842" t="s">
        <v>448</v>
      </c>
      <c r="C28" s="89" t="s">
        <v>449</v>
      </c>
      <c r="D28" s="417" t="s">
        <v>447</v>
      </c>
      <c r="E28" s="422">
        <f>17.8*0.01</f>
        <v>0.17800000000000002</v>
      </c>
      <c r="F28" s="423">
        <f>F25*E28</f>
        <v>1.2460000000000002</v>
      </c>
      <c r="G28" s="409"/>
      <c r="H28" s="414"/>
      <c r="I28" s="409"/>
      <c r="J28" s="414"/>
      <c r="K28" s="409"/>
      <c r="L28" s="406">
        <f t="shared" si="3"/>
        <v>0</v>
      </c>
      <c r="M28" s="406">
        <f t="shared" si="1"/>
        <v>0</v>
      </c>
    </row>
    <row r="29" spans="1:13" x14ac:dyDescent="0.25">
      <c r="A29" s="939"/>
      <c r="B29" s="437"/>
      <c r="C29" s="438" t="s">
        <v>450</v>
      </c>
      <c r="D29" s="417" t="s">
        <v>147</v>
      </c>
      <c r="E29" s="422"/>
      <c r="F29" s="439">
        <v>7</v>
      </c>
      <c r="G29" s="409"/>
      <c r="H29" s="414">
        <f t="shared" si="2"/>
        <v>0</v>
      </c>
      <c r="I29" s="409"/>
      <c r="J29" s="414"/>
      <c r="K29" s="409"/>
      <c r="L29" s="406"/>
      <c r="M29" s="406">
        <f t="shared" si="1"/>
        <v>0</v>
      </c>
    </row>
    <row r="30" spans="1:13" x14ac:dyDescent="0.25">
      <c r="A30" s="940"/>
      <c r="B30" s="150"/>
      <c r="C30" s="438" t="s">
        <v>10</v>
      </c>
      <c r="D30" s="150" t="s">
        <v>7</v>
      </c>
      <c r="E30" s="437">
        <v>0.13200000000000001</v>
      </c>
      <c r="F30" s="423">
        <f>F25*E30</f>
        <v>0.92400000000000004</v>
      </c>
      <c r="G30" s="409"/>
      <c r="H30" s="414">
        <f t="shared" si="2"/>
        <v>0</v>
      </c>
      <c r="I30" s="409"/>
      <c r="J30" s="414"/>
      <c r="K30" s="409"/>
      <c r="L30" s="406"/>
      <c r="M30" s="406">
        <f t="shared" si="1"/>
        <v>0</v>
      </c>
    </row>
    <row r="31" spans="1:13" ht="27" x14ac:dyDescent="0.25">
      <c r="A31" s="938" t="s">
        <v>404</v>
      </c>
      <c r="B31" s="440"/>
      <c r="C31" s="320" t="s">
        <v>451</v>
      </c>
      <c r="D31" s="150"/>
      <c r="E31" s="424"/>
      <c r="F31" s="429"/>
      <c r="G31" s="413"/>
      <c r="H31" s="414"/>
      <c r="I31" s="427"/>
      <c r="J31" s="414"/>
      <c r="K31" s="435"/>
      <c r="L31" s="406"/>
      <c r="M31" s="406">
        <f t="shared" si="1"/>
        <v>0</v>
      </c>
    </row>
    <row r="32" spans="1:13" ht="27" x14ac:dyDescent="0.25">
      <c r="A32" s="939"/>
      <c r="B32" s="798" t="s">
        <v>452</v>
      </c>
      <c r="C32" s="441" t="s">
        <v>453</v>
      </c>
      <c r="D32" s="45" t="s">
        <v>454</v>
      </c>
      <c r="E32" s="45"/>
      <c r="F32" s="436">
        <f>F34+F35</f>
        <v>80</v>
      </c>
      <c r="G32" s="413"/>
      <c r="H32" s="414"/>
      <c r="I32" s="413"/>
      <c r="J32" s="414"/>
      <c r="K32" s="413"/>
      <c r="L32" s="406"/>
      <c r="M32" s="406">
        <f t="shared" si="1"/>
        <v>0</v>
      </c>
    </row>
    <row r="33" spans="1:13" x14ac:dyDescent="0.25">
      <c r="A33" s="939"/>
      <c r="B33" s="45"/>
      <c r="C33" s="372" t="s">
        <v>159</v>
      </c>
      <c r="D33" s="45" t="s">
        <v>24</v>
      </c>
      <c r="E33" s="45">
        <v>0.13900000000000001</v>
      </c>
      <c r="F33" s="46">
        <f>F32*E33</f>
        <v>11.120000000000001</v>
      </c>
      <c r="G33" s="409"/>
      <c r="H33" s="414"/>
      <c r="I33" s="409"/>
      <c r="J33" s="414">
        <f t="shared" si="0"/>
        <v>0</v>
      </c>
      <c r="K33" s="409"/>
      <c r="L33" s="406"/>
      <c r="M33" s="406">
        <f t="shared" si="1"/>
        <v>0</v>
      </c>
    </row>
    <row r="34" spans="1:13" x14ac:dyDescent="0.25">
      <c r="A34" s="939"/>
      <c r="B34" s="45"/>
      <c r="C34" s="442" t="s">
        <v>455</v>
      </c>
      <c r="D34" s="45" t="s">
        <v>211</v>
      </c>
      <c r="E34" s="45"/>
      <c r="F34" s="439">
        <v>30</v>
      </c>
      <c r="G34" s="409"/>
      <c r="H34" s="414">
        <f t="shared" si="2"/>
        <v>0</v>
      </c>
      <c r="I34" s="409"/>
      <c r="J34" s="414"/>
      <c r="K34" s="409"/>
      <c r="L34" s="406"/>
      <c r="M34" s="406">
        <f t="shared" si="1"/>
        <v>0</v>
      </c>
    </row>
    <row r="35" spans="1:13" x14ac:dyDescent="0.25">
      <c r="A35" s="939"/>
      <c r="B35" s="45"/>
      <c r="C35" s="442" t="s">
        <v>456</v>
      </c>
      <c r="D35" s="45" t="s">
        <v>211</v>
      </c>
      <c r="E35" s="45"/>
      <c r="F35" s="439">
        <v>50</v>
      </c>
      <c r="G35" s="409"/>
      <c r="H35" s="414">
        <f t="shared" si="2"/>
        <v>0</v>
      </c>
      <c r="I35" s="409"/>
      <c r="J35" s="414"/>
      <c r="K35" s="409"/>
      <c r="L35" s="406"/>
      <c r="M35" s="406">
        <f t="shared" si="1"/>
        <v>0</v>
      </c>
    </row>
    <row r="36" spans="1:13" ht="40.5" x14ac:dyDescent="0.25">
      <c r="A36" s="939"/>
      <c r="B36" s="45"/>
      <c r="C36" s="443" t="s">
        <v>457</v>
      </c>
      <c r="D36" s="160" t="s">
        <v>202</v>
      </c>
      <c r="E36" s="45"/>
      <c r="F36" s="46">
        <v>200</v>
      </c>
      <c r="G36" s="409"/>
      <c r="H36" s="414">
        <f t="shared" si="2"/>
        <v>0</v>
      </c>
      <c r="I36" s="409"/>
      <c r="J36" s="414"/>
      <c r="K36" s="409"/>
      <c r="L36" s="406"/>
      <c r="M36" s="406">
        <f t="shared" si="1"/>
        <v>0</v>
      </c>
    </row>
    <row r="37" spans="1:13" ht="40.5" x14ac:dyDescent="0.25">
      <c r="A37" s="939"/>
      <c r="B37" s="45"/>
      <c r="C37" s="372" t="s">
        <v>458</v>
      </c>
      <c r="D37" s="160" t="s">
        <v>94</v>
      </c>
      <c r="E37" s="45"/>
      <c r="F37" s="46">
        <v>80</v>
      </c>
      <c r="G37" s="409"/>
      <c r="H37" s="414">
        <f t="shared" si="2"/>
        <v>0</v>
      </c>
      <c r="I37" s="409"/>
      <c r="J37" s="414"/>
      <c r="K37" s="409"/>
      <c r="L37" s="406"/>
      <c r="M37" s="406">
        <f t="shared" si="1"/>
        <v>0</v>
      </c>
    </row>
    <row r="38" spans="1:13" x14ac:dyDescent="0.25">
      <c r="A38" s="940"/>
      <c r="B38" s="150"/>
      <c r="C38" s="372" t="s">
        <v>459</v>
      </c>
      <c r="D38" s="45" t="s">
        <v>25</v>
      </c>
      <c r="E38" s="45">
        <v>9.7000000000000003E-2</v>
      </c>
      <c r="F38" s="46">
        <f>F32*E38</f>
        <v>7.76</v>
      </c>
      <c r="G38" s="409"/>
      <c r="H38" s="414">
        <f t="shared" si="2"/>
        <v>0</v>
      </c>
      <c r="I38" s="409"/>
      <c r="J38" s="414"/>
      <c r="K38" s="409"/>
      <c r="L38" s="406"/>
      <c r="M38" s="406">
        <f t="shared" si="1"/>
        <v>0</v>
      </c>
    </row>
    <row r="39" spans="1:13" x14ac:dyDescent="0.25">
      <c r="A39" s="158"/>
      <c r="B39" s="150"/>
      <c r="C39" s="416"/>
      <c r="D39" s="150"/>
      <c r="E39" s="437"/>
      <c r="F39" s="423"/>
      <c r="G39" s="444"/>
      <c r="H39" s="406"/>
      <c r="I39" s="409"/>
      <c r="J39" s="406"/>
      <c r="K39" s="445"/>
      <c r="L39" s="406"/>
      <c r="M39" s="406"/>
    </row>
    <row r="40" spans="1:13" x14ac:dyDescent="0.25">
      <c r="A40" s="874" t="s">
        <v>214</v>
      </c>
      <c r="B40" s="38" t="s">
        <v>215</v>
      </c>
      <c r="C40" s="410" t="s">
        <v>460</v>
      </c>
      <c r="D40" s="45" t="s">
        <v>147</v>
      </c>
      <c r="E40" s="46"/>
      <c r="F40" s="436">
        <f>F43</f>
        <v>3</v>
      </c>
      <c r="G40" s="409"/>
      <c r="H40" s="409"/>
      <c r="I40" s="446"/>
      <c r="J40" s="409"/>
      <c r="K40" s="409"/>
      <c r="L40" s="409"/>
      <c r="M40" s="409"/>
    </row>
    <row r="41" spans="1:13" x14ac:dyDescent="0.25">
      <c r="A41" s="874"/>
      <c r="B41" s="45"/>
      <c r="C41" s="447" t="s">
        <v>204</v>
      </c>
      <c r="D41" s="259" t="s">
        <v>205</v>
      </c>
      <c r="E41" s="448">
        <v>1.69</v>
      </c>
      <c r="F41" s="448">
        <f>F40*E41</f>
        <v>5.07</v>
      </c>
      <c r="G41" s="446"/>
      <c r="H41" s="409"/>
      <c r="I41" s="446"/>
      <c r="J41" s="409">
        <f>F41*I41</f>
        <v>0</v>
      </c>
      <c r="K41" s="449"/>
      <c r="L41" s="409"/>
      <c r="M41" s="409">
        <f>J41</f>
        <v>0</v>
      </c>
    </row>
    <row r="42" spans="1:13" x14ac:dyDescent="0.25">
      <c r="A42" s="874"/>
      <c r="B42" s="45"/>
      <c r="C42" s="447" t="s">
        <v>8</v>
      </c>
      <c r="D42" s="259" t="s">
        <v>7</v>
      </c>
      <c r="E42" s="448">
        <v>2.3E-2</v>
      </c>
      <c r="F42" s="448">
        <f>F40*E42</f>
        <v>6.9000000000000006E-2</v>
      </c>
      <c r="G42" s="446"/>
      <c r="H42" s="409"/>
      <c r="I42" s="446"/>
      <c r="J42" s="409"/>
      <c r="K42" s="449"/>
      <c r="L42" s="409">
        <f>F42*K42</f>
        <v>0</v>
      </c>
      <c r="M42" s="409">
        <f>L42</f>
        <v>0</v>
      </c>
    </row>
    <row r="43" spans="1:13" x14ac:dyDescent="0.25">
      <c r="A43" s="874"/>
      <c r="B43" s="45"/>
      <c r="C43" s="450" t="s">
        <v>461</v>
      </c>
      <c r="D43" s="45" t="s">
        <v>147</v>
      </c>
      <c r="E43" s="46">
        <v>1</v>
      </c>
      <c r="F43" s="46">
        <v>3</v>
      </c>
      <c r="G43" s="409"/>
      <c r="H43" s="409">
        <f>F43*G43</f>
        <v>0</v>
      </c>
      <c r="I43" s="446"/>
      <c r="J43" s="409"/>
      <c r="K43" s="409"/>
      <c r="L43" s="409"/>
      <c r="M43" s="409">
        <f>H43</f>
        <v>0</v>
      </c>
    </row>
    <row r="44" spans="1:13" x14ac:dyDescent="0.25">
      <c r="A44" s="874"/>
      <c r="B44" s="45"/>
      <c r="C44" s="450" t="s">
        <v>218</v>
      </c>
      <c r="D44" s="45" t="s">
        <v>147</v>
      </c>
      <c r="E44" s="46">
        <v>1</v>
      </c>
      <c r="F44" s="46">
        <v>1</v>
      </c>
      <c r="G44" s="409"/>
      <c r="H44" s="409">
        <f>F44*G44</f>
        <v>0</v>
      </c>
      <c r="I44" s="446"/>
      <c r="J44" s="409"/>
      <c r="K44" s="409"/>
      <c r="L44" s="409"/>
      <c r="M44" s="409">
        <f>H44</f>
        <v>0</v>
      </c>
    </row>
    <row r="45" spans="1:13" x14ac:dyDescent="0.25">
      <c r="A45" s="874"/>
      <c r="B45" s="45"/>
      <c r="C45" s="450" t="s">
        <v>122</v>
      </c>
      <c r="D45" s="45" t="s">
        <v>7</v>
      </c>
      <c r="E45" s="46">
        <v>1.01E-2</v>
      </c>
      <c r="F45" s="46">
        <f>F40*E45</f>
        <v>3.0300000000000001E-2</v>
      </c>
      <c r="G45" s="409"/>
      <c r="H45" s="409">
        <f>F45*G45</f>
        <v>0</v>
      </c>
      <c r="I45" s="446"/>
      <c r="J45" s="409"/>
      <c r="K45" s="409"/>
      <c r="L45" s="409"/>
      <c r="M45" s="409">
        <f>H45</f>
        <v>0</v>
      </c>
    </row>
    <row r="46" spans="1:13" x14ac:dyDescent="0.25">
      <c r="A46" s="118"/>
      <c r="B46" s="45"/>
      <c r="C46" s="450"/>
      <c r="D46" s="45"/>
      <c r="E46" s="107"/>
      <c r="F46" s="107"/>
      <c r="G46" s="409"/>
      <c r="H46" s="409"/>
      <c r="I46" s="446"/>
      <c r="J46" s="409"/>
      <c r="K46" s="409"/>
      <c r="L46" s="409"/>
      <c r="M46" s="409"/>
    </row>
    <row r="47" spans="1:13" x14ac:dyDescent="0.25">
      <c r="A47" s="941" t="s">
        <v>404</v>
      </c>
      <c r="B47" s="844" t="s">
        <v>462</v>
      </c>
      <c r="C47" s="451" t="s">
        <v>463</v>
      </c>
      <c r="D47" s="452" t="s">
        <v>147</v>
      </c>
      <c r="E47" s="453"/>
      <c r="F47" s="436">
        <f>F50</f>
        <v>2</v>
      </c>
      <c r="G47" s="454"/>
      <c r="H47" s="414"/>
      <c r="I47" s="454"/>
      <c r="J47" s="414"/>
      <c r="K47" s="454"/>
      <c r="L47" s="414"/>
      <c r="M47" s="406"/>
    </row>
    <row r="48" spans="1:13" x14ac:dyDescent="0.25">
      <c r="A48" s="941"/>
      <c r="B48" s="455"/>
      <c r="C48" s="456" t="s">
        <v>17</v>
      </c>
      <c r="D48" s="455" t="s">
        <v>9</v>
      </c>
      <c r="E48" s="457">
        <v>10.199999999999999</v>
      </c>
      <c r="F48" s="458">
        <f>F47*E48</f>
        <v>20.399999999999999</v>
      </c>
      <c r="G48" s="459"/>
      <c r="H48" s="414"/>
      <c r="I48" s="460"/>
      <c r="J48" s="414">
        <f t="shared" ref="J48" si="4">F48*I48</f>
        <v>0</v>
      </c>
      <c r="K48" s="459"/>
      <c r="L48" s="414"/>
      <c r="M48" s="406">
        <f t="shared" ref="M48:M51" si="5">H48+J48+L48</f>
        <v>0</v>
      </c>
    </row>
    <row r="49" spans="1:13" x14ac:dyDescent="0.25">
      <c r="A49" s="941"/>
      <c r="B49" s="461"/>
      <c r="C49" s="462" t="s">
        <v>8</v>
      </c>
      <c r="D49" s="461" t="s">
        <v>7</v>
      </c>
      <c r="E49" s="463">
        <v>0.25</v>
      </c>
      <c r="F49" s="464">
        <f>F47*E49</f>
        <v>0.5</v>
      </c>
      <c r="G49" s="465"/>
      <c r="H49" s="414"/>
      <c r="I49" s="465"/>
      <c r="J49" s="414"/>
      <c r="K49" s="465"/>
      <c r="L49" s="414">
        <f t="shared" ref="L49" si="6">F49*K49</f>
        <v>0</v>
      </c>
      <c r="M49" s="406">
        <f t="shared" si="5"/>
        <v>0</v>
      </c>
    </row>
    <row r="50" spans="1:13" ht="27" x14ac:dyDescent="0.25">
      <c r="A50" s="941"/>
      <c r="B50" s="461"/>
      <c r="C50" s="466" t="s">
        <v>464</v>
      </c>
      <c r="D50" s="461" t="s">
        <v>147</v>
      </c>
      <c r="E50" s="463"/>
      <c r="F50" s="423">
        <v>2</v>
      </c>
      <c r="G50" s="454"/>
      <c r="H50" s="414">
        <f t="shared" ref="H50:H51" si="7">F50*G50</f>
        <v>0</v>
      </c>
      <c r="I50" s="465"/>
      <c r="J50" s="414"/>
      <c r="K50" s="454"/>
      <c r="L50" s="414"/>
      <c r="M50" s="406">
        <f t="shared" si="5"/>
        <v>0</v>
      </c>
    </row>
    <row r="51" spans="1:13" x14ac:dyDescent="0.25">
      <c r="A51" s="942"/>
      <c r="B51" s="455"/>
      <c r="C51" s="450" t="s">
        <v>459</v>
      </c>
      <c r="D51" s="467" t="s">
        <v>25</v>
      </c>
      <c r="E51" s="457">
        <v>1.1399999999999999</v>
      </c>
      <c r="F51" s="458">
        <f>F47*E51</f>
        <v>2.2799999999999998</v>
      </c>
      <c r="G51" s="459"/>
      <c r="H51" s="414">
        <f t="shared" si="7"/>
        <v>0</v>
      </c>
      <c r="I51" s="459"/>
      <c r="J51" s="414"/>
      <c r="K51" s="459"/>
      <c r="L51" s="414"/>
      <c r="M51" s="406">
        <f t="shared" si="5"/>
        <v>0</v>
      </c>
    </row>
    <row r="52" spans="1:13" x14ac:dyDescent="0.25">
      <c r="A52" s="158"/>
      <c r="B52" s="150"/>
      <c r="C52" s="416"/>
      <c r="D52" s="150"/>
      <c r="E52" s="437"/>
      <c r="F52" s="423"/>
      <c r="G52" s="444"/>
      <c r="H52" s="406"/>
      <c r="I52" s="409"/>
      <c r="J52" s="406"/>
      <c r="K52" s="445"/>
      <c r="L52" s="406"/>
      <c r="M52" s="406"/>
    </row>
    <row r="53" spans="1:13" ht="15.75" x14ac:dyDescent="0.25">
      <c r="A53" s="382"/>
      <c r="B53" s="382"/>
      <c r="C53" s="237" t="s">
        <v>465</v>
      </c>
      <c r="D53" s="237"/>
      <c r="E53" s="237"/>
      <c r="F53" s="237"/>
      <c r="G53" s="383"/>
      <c r="H53" s="383">
        <f>SUM(H10:H52)</f>
        <v>0</v>
      </c>
      <c r="I53" s="383"/>
      <c r="J53" s="383">
        <f>SUM(J10:J52)</f>
        <v>0</v>
      </c>
      <c r="K53" s="383"/>
      <c r="L53" s="383">
        <f>SUM(L10:L52)</f>
        <v>0</v>
      </c>
      <c r="M53" s="383">
        <f>H53+J53+L53</f>
        <v>0</v>
      </c>
    </row>
    <row r="54" spans="1:13" ht="27" x14ac:dyDescent="0.25">
      <c r="A54" s="38"/>
      <c r="B54" s="38"/>
      <c r="C54" s="281" t="s">
        <v>466</v>
      </c>
      <c r="D54" s="88"/>
      <c r="E54" s="88"/>
      <c r="F54" s="283"/>
      <c r="G54" s="42"/>
      <c r="H54" s="42"/>
      <c r="I54" s="42"/>
      <c r="J54" s="42"/>
      <c r="K54" s="42"/>
      <c r="L54" s="42"/>
      <c r="M54" s="42">
        <f>H53*F54</f>
        <v>0</v>
      </c>
    </row>
    <row r="55" spans="1:13" ht="15.75" x14ac:dyDescent="0.25">
      <c r="A55" s="38"/>
      <c r="B55" s="38"/>
      <c r="C55" s="468"/>
      <c r="D55" s="88"/>
      <c r="E55" s="88"/>
      <c r="F55" s="47"/>
      <c r="G55" s="42"/>
      <c r="H55" s="42"/>
      <c r="I55" s="42"/>
      <c r="J55" s="42"/>
      <c r="K55" s="42"/>
      <c r="L55" s="42"/>
      <c r="M55" s="42"/>
    </row>
    <row r="56" spans="1:13" ht="40.5" x14ac:dyDescent="0.25">
      <c r="A56" s="45"/>
      <c r="B56" s="38"/>
      <c r="C56" s="281" t="s">
        <v>234</v>
      </c>
      <c r="D56" s="88"/>
      <c r="E56" s="88"/>
      <c r="F56" s="283"/>
      <c r="G56" s="48"/>
      <c r="H56" s="48"/>
      <c r="I56" s="48"/>
      <c r="J56" s="48"/>
      <c r="K56" s="48"/>
      <c r="L56" s="48"/>
      <c r="M56" s="48">
        <f>J53*F56</f>
        <v>0</v>
      </c>
    </row>
    <row r="57" spans="1:13" ht="15.75" x14ac:dyDescent="0.25">
      <c r="A57" s="45"/>
      <c r="B57" s="38"/>
      <c r="C57" s="469"/>
      <c r="D57" s="88"/>
      <c r="E57" s="88"/>
      <c r="F57" s="47"/>
      <c r="G57" s="48"/>
      <c r="H57" s="48"/>
      <c r="I57" s="48"/>
      <c r="J57" s="48" t="s">
        <v>41</v>
      </c>
      <c r="K57" s="48"/>
      <c r="L57" s="48"/>
      <c r="M57" s="48">
        <f>M53+M54+M56</f>
        <v>0</v>
      </c>
    </row>
    <row r="58" spans="1:13" ht="15.75" x14ac:dyDescent="0.25">
      <c r="A58" s="45"/>
      <c r="B58" s="38"/>
      <c r="C58" s="469" t="s">
        <v>237</v>
      </c>
      <c r="D58" s="88"/>
      <c r="E58" s="88"/>
      <c r="F58" s="283"/>
      <c r="G58" s="48"/>
      <c r="H58" s="48"/>
      <c r="I58" s="48"/>
      <c r="J58" s="48"/>
      <c r="K58" s="48"/>
      <c r="L58" s="48"/>
      <c r="M58" s="48">
        <f>M57*F58</f>
        <v>0</v>
      </c>
    </row>
    <row r="59" spans="1:13" ht="31.5" x14ac:dyDescent="0.25">
      <c r="A59" s="470"/>
      <c r="B59" s="382"/>
      <c r="C59" s="237" t="s">
        <v>467</v>
      </c>
      <c r="D59" s="237"/>
      <c r="E59" s="237"/>
      <c r="F59" s="237"/>
      <c r="G59" s="371"/>
      <c r="H59" s="371"/>
      <c r="I59" s="371"/>
      <c r="J59" s="371" t="s">
        <v>41</v>
      </c>
      <c r="K59" s="371"/>
      <c r="L59" s="371"/>
      <c r="M59" s="395">
        <f>M57+M58</f>
        <v>0</v>
      </c>
    </row>
    <row r="60" spans="1:13" ht="15.75" x14ac:dyDescent="0.25">
      <c r="A60" s="45"/>
      <c r="B60" s="38"/>
      <c r="C60" s="469" t="s">
        <v>4</v>
      </c>
      <c r="D60" s="88"/>
      <c r="E60" s="88"/>
      <c r="F60" s="471">
        <v>0.03</v>
      </c>
      <c r="G60" s="48"/>
      <c r="H60" s="48"/>
      <c r="I60" s="48"/>
      <c r="J60" s="48"/>
      <c r="K60" s="48"/>
      <c r="L60" s="48"/>
      <c r="M60" s="48">
        <f>M59*F60</f>
        <v>0</v>
      </c>
    </row>
    <row r="61" spans="1:13" ht="15.75" x14ac:dyDescent="0.25">
      <c r="A61" s="45"/>
      <c r="B61" s="38"/>
      <c r="C61" s="469"/>
      <c r="D61" s="88"/>
      <c r="E61" s="88"/>
      <c r="F61" s="88"/>
      <c r="G61" s="48"/>
      <c r="H61" s="48"/>
      <c r="I61" s="48"/>
      <c r="J61" s="48" t="s">
        <v>41</v>
      </c>
      <c r="K61" s="48"/>
      <c r="L61" s="48"/>
      <c r="M61" s="48">
        <f>M59+M60</f>
        <v>0</v>
      </c>
    </row>
    <row r="62" spans="1:13" ht="15.75" x14ac:dyDescent="0.25">
      <c r="A62" s="45"/>
      <c r="B62" s="38"/>
      <c r="C62" s="469" t="s">
        <v>168</v>
      </c>
      <c r="D62" s="88"/>
      <c r="E62" s="88"/>
      <c r="F62" s="471">
        <v>0.18</v>
      </c>
      <c r="G62" s="48"/>
      <c r="H62" s="48"/>
      <c r="I62" s="48"/>
      <c r="J62" s="48"/>
      <c r="K62" s="48"/>
      <c r="L62" s="48"/>
      <c r="M62" s="48">
        <f>M61*F62</f>
        <v>0</v>
      </c>
    </row>
    <row r="63" spans="1:13" ht="31.5" x14ac:dyDescent="0.25">
      <c r="A63" s="470"/>
      <c r="B63" s="382"/>
      <c r="C63" s="237" t="s">
        <v>467</v>
      </c>
      <c r="D63" s="237"/>
      <c r="E63" s="237"/>
      <c r="F63" s="237"/>
      <c r="G63" s="371"/>
      <c r="H63" s="371"/>
      <c r="I63" s="371"/>
      <c r="J63" s="371" t="s">
        <v>41</v>
      </c>
      <c r="K63" s="371"/>
      <c r="L63" s="371"/>
      <c r="M63" s="383">
        <f>M61+M62</f>
        <v>0</v>
      </c>
    </row>
    <row r="64" spans="1:13" ht="15.75" x14ac:dyDescent="0.25">
      <c r="A64" s="472"/>
      <c r="B64" s="311"/>
      <c r="C64" s="312"/>
      <c r="D64" s="312"/>
      <c r="E64" s="312"/>
      <c r="F64" s="312"/>
      <c r="G64" s="398"/>
      <c r="H64" s="398"/>
      <c r="I64" s="398"/>
      <c r="J64" s="398"/>
      <c r="K64" s="398"/>
      <c r="L64" s="398"/>
      <c r="M64" s="398"/>
    </row>
    <row r="65" spans="1:13" ht="15.75" x14ac:dyDescent="0.25">
      <c r="A65" s="472"/>
      <c r="B65" s="311"/>
      <c r="C65" s="312"/>
      <c r="D65" s="473"/>
      <c r="E65" s="473"/>
      <c r="F65" s="312"/>
      <c r="G65" s="398"/>
      <c r="H65" s="398"/>
      <c r="I65" s="398"/>
      <c r="J65" s="398"/>
      <c r="K65" s="398"/>
      <c r="L65" s="398"/>
      <c r="M65" s="398"/>
    </row>
  </sheetData>
  <mergeCells count="21">
    <mergeCell ref="A16:A19"/>
    <mergeCell ref="A1:M1"/>
    <mergeCell ref="A2:M2"/>
    <mergeCell ref="A3:M3"/>
    <mergeCell ref="A5:M5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M8"/>
    <mergeCell ref="A12:A15"/>
    <mergeCell ref="A20:A24"/>
    <mergeCell ref="A25:A30"/>
    <mergeCell ref="A31:A38"/>
    <mergeCell ref="A40:A45"/>
    <mergeCell ref="A47:A51"/>
  </mergeCells>
  <pageMargins left="0.70866141732283472" right="0.21" top="0.41" bottom="0.39" header="0.31496062992125984" footer="0.31496062992125984"/>
  <pageSetup paperSize="9" orientation="landscape" horizontalDpi="1200" verticalDpi="1200" r:id="rId1"/>
  <headerFooter>
    <oddHeader>&amp;R&amp;P--&amp;N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6"/>
  <sheetViews>
    <sheetView topLeftCell="A206" zoomScale="90" zoomScaleNormal="90" workbookViewId="0">
      <selection activeCell="A226" sqref="A226:XFD226"/>
    </sheetView>
  </sheetViews>
  <sheetFormatPr defaultRowHeight="15" x14ac:dyDescent="0.25"/>
  <cols>
    <col min="1" max="1" width="5.85546875" customWidth="1"/>
    <col min="3" max="3" width="31.7109375" customWidth="1"/>
    <col min="4" max="4" width="7.28515625" customWidth="1"/>
    <col min="8" max="8" width="10.5703125" customWidth="1"/>
    <col min="9" max="9" width="7" customWidth="1"/>
    <col min="11" max="11" width="7.42578125" customWidth="1"/>
    <col min="13" max="13" width="11" customWidth="1"/>
  </cols>
  <sheetData>
    <row r="1" spans="1:13" ht="35.25" customHeight="1" x14ac:dyDescent="0.25">
      <c r="A1" s="882" t="str">
        <f>krebsiti!A3</f>
        <v>dmanisis municipalitetis sofel javaxSi sportuli moednis, sazogadoebrivi daniSnulebis reteratisa da skveris mowyobis samuSaoebi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</row>
    <row r="2" spans="1:13" ht="16.5" x14ac:dyDescent="0.25">
      <c r="A2" s="935" t="s">
        <v>246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</row>
    <row r="3" spans="1:13" ht="16.5" x14ac:dyDescent="0.25">
      <c r="A3" s="882" t="s">
        <v>468</v>
      </c>
      <c r="B3" s="882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</row>
    <row r="4" spans="1:13" ht="15.75" x14ac:dyDescent="0.25">
      <c r="A4" s="311"/>
      <c r="B4" s="311"/>
      <c r="C4" s="312"/>
      <c r="D4" s="312"/>
      <c r="E4" s="312"/>
      <c r="F4" s="312"/>
      <c r="G4" s="314"/>
      <c r="H4" s="314"/>
      <c r="I4" s="314"/>
      <c r="J4" s="314"/>
      <c r="K4" s="314"/>
      <c r="L4" s="314"/>
      <c r="M4" s="314"/>
    </row>
    <row r="5" spans="1:13" ht="16.5" x14ac:dyDescent="0.25">
      <c r="A5" s="882" t="s">
        <v>469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</row>
    <row r="6" spans="1:13" x14ac:dyDescent="0.25">
      <c r="A6" s="399"/>
      <c r="B6" s="400"/>
      <c r="C6" s="401"/>
      <c r="D6" s="401"/>
      <c r="E6" s="401"/>
      <c r="F6" s="401"/>
      <c r="G6" s="402"/>
      <c r="H6" s="402"/>
      <c r="I6" s="402"/>
      <c r="J6" s="402"/>
      <c r="K6" s="402"/>
      <c r="L6" s="402"/>
      <c r="M6" s="402"/>
    </row>
    <row r="7" spans="1:13" ht="31.5" customHeight="1" x14ac:dyDescent="0.25">
      <c r="A7" s="936" t="s">
        <v>0</v>
      </c>
      <c r="B7" s="936" t="s">
        <v>34</v>
      </c>
      <c r="C7" s="937" t="s">
        <v>1</v>
      </c>
      <c r="D7" s="937" t="s">
        <v>2</v>
      </c>
      <c r="E7" s="937" t="s">
        <v>172</v>
      </c>
      <c r="F7" s="937" t="s">
        <v>3</v>
      </c>
      <c r="G7" s="928" t="s">
        <v>36</v>
      </c>
      <c r="H7" s="928"/>
      <c r="I7" s="928" t="s">
        <v>37</v>
      </c>
      <c r="J7" s="928"/>
      <c r="K7" s="928" t="s">
        <v>38</v>
      </c>
      <c r="L7" s="928"/>
      <c r="M7" s="928" t="s">
        <v>39</v>
      </c>
    </row>
    <row r="8" spans="1:13" ht="31.5" x14ac:dyDescent="0.25">
      <c r="A8" s="936"/>
      <c r="B8" s="936"/>
      <c r="C8" s="937"/>
      <c r="D8" s="937"/>
      <c r="E8" s="937"/>
      <c r="F8" s="937"/>
      <c r="G8" s="48" t="s">
        <v>40</v>
      </c>
      <c r="H8" s="48" t="s">
        <v>41</v>
      </c>
      <c r="I8" s="48" t="s">
        <v>40</v>
      </c>
      <c r="J8" s="48" t="s">
        <v>41</v>
      </c>
      <c r="K8" s="48" t="s">
        <v>40</v>
      </c>
      <c r="L8" s="48" t="s">
        <v>41</v>
      </c>
      <c r="M8" s="928"/>
    </row>
    <row r="9" spans="1:13" ht="15.75" x14ac:dyDescent="0.25">
      <c r="A9" s="403">
        <v>1</v>
      </c>
      <c r="B9" s="257">
        <v>2</v>
      </c>
      <c r="C9" s="88">
        <v>3</v>
      </c>
      <c r="D9" s="88">
        <v>4</v>
      </c>
      <c r="E9" s="88">
        <v>5</v>
      </c>
      <c r="F9" s="88">
        <v>6</v>
      </c>
      <c r="G9" s="315">
        <v>7</v>
      </c>
      <c r="H9" s="315">
        <v>8</v>
      </c>
      <c r="I9" s="315">
        <v>9</v>
      </c>
      <c r="J9" s="315">
        <v>10</v>
      </c>
      <c r="K9" s="315">
        <v>11</v>
      </c>
      <c r="L9" s="315">
        <v>12</v>
      </c>
      <c r="M9" s="315">
        <v>13</v>
      </c>
    </row>
    <row r="10" spans="1:13" ht="63" x14ac:dyDescent="0.25">
      <c r="A10" s="474"/>
      <c r="B10" s="316"/>
      <c r="C10" s="284" t="s">
        <v>469</v>
      </c>
      <c r="D10" s="284"/>
      <c r="E10" s="284"/>
      <c r="F10" s="284"/>
      <c r="G10" s="48"/>
      <c r="H10" s="48"/>
      <c r="I10" s="48"/>
      <c r="J10" s="48"/>
      <c r="K10" s="48"/>
      <c r="L10" s="48"/>
      <c r="M10" s="48"/>
    </row>
    <row r="11" spans="1:13" ht="47.25" x14ac:dyDescent="0.25">
      <c r="A11" s="382" t="s">
        <v>11</v>
      </c>
      <c r="B11" s="382"/>
      <c r="C11" s="237" t="s">
        <v>470</v>
      </c>
      <c r="D11" s="237"/>
      <c r="E11" s="237"/>
      <c r="F11" s="237"/>
      <c r="G11" s="48"/>
      <c r="H11" s="48"/>
      <c r="I11" s="48"/>
      <c r="J11" s="48"/>
      <c r="K11" s="48"/>
      <c r="L11" s="48"/>
      <c r="M11" s="48"/>
    </row>
    <row r="12" spans="1:13" ht="15.75" x14ac:dyDescent="0.25">
      <c r="A12" s="962" t="s">
        <v>431</v>
      </c>
      <c r="B12" s="479" t="s">
        <v>473</v>
      </c>
      <c r="C12" s="119" t="s">
        <v>474</v>
      </c>
      <c r="D12" s="45" t="s">
        <v>26</v>
      </c>
      <c r="E12" s="46"/>
      <c r="F12" s="477">
        <f>F15</f>
        <v>2</v>
      </c>
      <c r="G12" s="478"/>
      <c r="H12" s="33"/>
      <c r="I12" s="480"/>
      <c r="J12" s="33"/>
      <c r="K12" s="480"/>
      <c r="L12" s="33"/>
      <c r="M12" s="33"/>
    </row>
    <row r="13" spans="1:13" ht="15.75" x14ac:dyDescent="0.25">
      <c r="A13" s="963"/>
      <c r="B13" s="479"/>
      <c r="C13" s="44" t="s">
        <v>73</v>
      </c>
      <c r="D13" s="45" t="s">
        <v>9</v>
      </c>
      <c r="E13" s="46">
        <v>3.66</v>
      </c>
      <c r="F13" s="47">
        <f>F12*E13</f>
        <v>7.32</v>
      </c>
      <c r="G13" s="480"/>
      <c r="H13" s="33"/>
      <c r="I13" s="480"/>
      <c r="J13" s="33">
        <f>F13*I13</f>
        <v>0</v>
      </c>
      <c r="K13" s="480"/>
      <c r="L13" s="33"/>
      <c r="M13" s="33">
        <f>H13+J13+L13</f>
        <v>0</v>
      </c>
    </row>
    <row r="14" spans="1:13" ht="15.75" x14ac:dyDescent="0.25">
      <c r="A14" s="963"/>
      <c r="B14" s="479"/>
      <c r="C14" s="44" t="s">
        <v>342</v>
      </c>
      <c r="D14" s="45" t="s">
        <v>7</v>
      </c>
      <c r="E14" s="46">
        <v>0.28000000000000003</v>
      </c>
      <c r="F14" s="47">
        <f>F12*E14</f>
        <v>0.56000000000000005</v>
      </c>
      <c r="G14" s="480"/>
      <c r="H14" s="33"/>
      <c r="I14" s="480"/>
      <c r="J14" s="33"/>
      <c r="K14" s="480"/>
      <c r="L14" s="33">
        <f>F14*K14</f>
        <v>0</v>
      </c>
      <c r="M14" s="33">
        <f>H14+J14+L14</f>
        <v>0</v>
      </c>
    </row>
    <row r="15" spans="1:13" ht="15.75" x14ac:dyDescent="0.25">
      <c r="A15" s="963"/>
      <c r="B15" s="479"/>
      <c r="C15" s="44" t="s">
        <v>475</v>
      </c>
      <c r="D15" s="45" t="s">
        <v>26</v>
      </c>
      <c r="E15" s="46">
        <v>1</v>
      </c>
      <c r="F15" s="47">
        <v>2</v>
      </c>
      <c r="G15" s="480"/>
      <c r="H15" s="33">
        <f>F15*G15</f>
        <v>0</v>
      </c>
      <c r="I15" s="480"/>
      <c r="J15" s="33"/>
      <c r="K15" s="480"/>
      <c r="L15" s="33"/>
      <c r="M15" s="33">
        <f>H15+J15+L15</f>
        <v>0</v>
      </c>
    </row>
    <row r="16" spans="1:13" ht="15.75" x14ac:dyDescent="0.25">
      <c r="A16" s="964"/>
      <c r="B16" s="479"/>
      <c r="C16" s="44" t="s">
        <v>122</v>
      </c>
      <c r="D16" s="45" t="s">
        <v>7</v>
      </c>
      <c r="E16" s="46">
        <v>1.24</v>
      </c>
      <c r="F16" s="47">
        <f>F12*E16</f>
        <v>2.48</v>
      </c>
      <c r="G16" s="480"/>
      <c r="H16" s="33">
        <f>F16*G16</f>
        <v>0</v>
      </c>
      <c r="I16" s="480"/>
      <c r="J16" s="33"/>
      <c r="K16" s="480"/>
      <c r="L16" s="33"/>
      <c r="M16" s="33">
        <f>H16+J16+L16</f>
        <v>0</v>
      </c>
    </row>
    <row r="17" spans="1:13" ht="15.75" x14ac:dyDescent="0.25">
      <c r="A17" s="962">
        <v>2</v>
      </c>
      <c r="B17" s="475" t="s">
        <v>476</v>
      </c>
      <c r="C17" s="476" t="s">
        <v>477</v>
      </c>
      <c r="D17" s="304" t="s">
        <v>26</v>
      </c>
      <c r="E17" s="304"/>
      <c r="F17" s="477">
        <f>F20</f>
        <v>2</v>
      </c>
      <c r="G17" s="478"/>
      <c r="H17" s="48"/>
      <c r="I17" s="478"/>
      <c r="J17" s="48"/>
      <c r="K17" s="478"/>
      <c r="L17" s="48"/>
      <c r="M17" s="48">
        <f t="shared" ref="M17:M55" si="0">H17+J17+L17</f>
        <v>0</v>
      </c>
    </row>
    <row r="18" spans="1:13" ht="31.5" x14ac:dyDescent="0.25">
      <c r="A18" s="963"/>
      <c r="B18" s="479"/>
      <c r="C18" s="469" t="s">
        <v>73</v>
      </c>
      <c r="D18" s="47" t="s">
        <v>9</v>
      </c>
      <c r="E18" s="47">
        <v>2.19</v>
      </c>
      <c r="F18" s="47">
        <f>F17*E18</f>
        <v>4.38</v>
      </c>
      <c r="G18" s="480"/>
      <c r="H18" s="48"/>
      <c r="I18" s="480"/>
      <c r="J18" s="48">
        <f t="shared" ref="J18:J28" si="1">F18*I18</f>
        <v>0</v>
      </c>
      <c r="K18" s="480"/>
      <c r="L18" s="48"/>
      <c r="M18" s="48">
        <f t="shared" si="0"/>
        <v>0</v>
      </c>
    </row>
    <row r="19" spans="1:13" ht="15.75" x14ac:dyDescent="0.25">
      <c r="A19" s="963"/>
      <c r="B19" s="479"/>
      <c r="C19" s="469" t="s">
        <v>342</v>
      </c>
      <c r="D19" s="47" t="s">
        <v>471</v>
      </c>
      <c r="E19" s="47">
        <v>7.0000000000000007E-2</v>
      </c>
      <c r="F19" s="47">
        <f>F17*E19</f>
        <v>0.14000000000000001</v>
      </c>
      <c r="G19" s="480"/>
      <c r="H19" s="48"/>
      <c r="I19" s="480"/>
      <c r="J19" s="48"/>
      <c r="K19" s="480"/>
      <c r="L19" s="48">
        <f t="shared" ref="L19:L24" si="2">F19*K19</f>
        <v>0</v>
      </c>
      <c r="M19" s="48">
        <f t="shared" si="0"/>
        <v>0</v>
      </c>
    </row>
    <row r="20" spans="1:13" ht="15.75" x14ac:dyDescent="0.25">
      <c r="A20" s="963"/>
      <c r="B20" s="479"/>
      <c r="C20" s="469" t="s">
        <v>478</v>
      </c>
      <c r="D20" s="47" t="s">
        <v>472</v>
      </c>
      <c r="E20" s="47">
        <v>1</v>
      </c>
      <c r="F20" s="47">
        <v>2</v>
      </c>
      <c r="G20" s="480"/>
      <c r="H20" s="48">
        <f t="shared" ref="H20:H27" si="3">F20*G20</f>
        <v>0</v>
      </c>
      <c r="I20" s="480"/>
      <c r="J20" s="48"/>
      <c r="K20" s="480"/>
      <c r="L20" s="48"/>
      <c r="M20" s="48">
        <f t="shared" si="0"/>
        <v>0</v>
      </c>
    </row>
    <row r="21" spans="1:13" ht="15.75" x14ac:dyDescent="0.25">
      <c r="A21" s="964"/>
      <c r="B21" s="479"/>
      <c r="C21" s="469" t="s">
        <v>122</v>
      </c>
      <c r="D21" s="47" t="s">
        <v>471</v>
      </c>
      <c r="E21" s="47">
        <v>0.37</v>
      </c>
      <c r="F21" s="47">
        <f>F17*E21</f>
        <v>0.74</v>
      </c>
      <c r="G21" s="480"/>
      <c r="H21" s="48">
        <f t="shared" si="3"/>
        <v>0</v>
      </c>
      <c r="I21" s="480"/>
      <c r="J21" s="48"/>
      <c r="K21" s="480"/>
      <c r="L21" s="48"/>
      <c r="M21" s="48">
        <f t="shared" si="0"/>
        <v>0</v>
      </c>
    </row>
    <row r="22" spans="1:13" ht="31.5" x14ac:dyDescent="0.25">
      <c r="A22" s="962">
        <v>6</v>
      </c>
      <c r="B22" s="475" t="s">
        <v>479</v>
      </c>
      <c r="C22" s="476" t="s">
        <v>480</v>
      </c>
      <c r="D22" s="304" t="s">
        <v>26</v>
      </c>
      <c r="E22" s="304"/>
      <c r="F22" s="477">
        <v>2</v>
      </c>
      <c r="G22" s="478"/>
      <c r="H22" s="48"/>
      <c r="I22" s="478"/>
      <c r="J22" s="48"/>
      <c r="K22" s="478"/>
      <c r="L22" s="48"/>
      <c r="M22" s="48">
        <f t="shared" si="0"/>
        <v>0</v>
      </c>
    </row>
    <row r="23" spans="1:13" ht="31.5" x14ac:dyDescent="0.25">
      <c r="A23" s="963"/>
      <c r="B23" s="479"/>
      <c r="C23" s="469" t="s">
        <v>73</v>
      </c>
      <c r="D23" s="47" t="s">
        <v>9</v>
      </c>
      <c r="E23" s="47">
        <v>0.82</v>
      </c>
      <c r="F23" s="47">
        <f>F22*E23</f>
        <v>1.64</v>
      </c>
      <c r="G23" s="480"/>
      <c r="H23" s="48"/>
      <c r="I23" s="480"/>
      <c r="J23" s="48">
        <f t="shared" si="1"/>
        <v>0</v>
      </c>
      <c r="K23" s="480"/>
      <c r="L23" s="48"/>
      <c r="M23" s="48">
        <f t="shared" si="0"/>
        <v>0</v>
      </c>
    </row>
    <row r="24" spans="1:13" ht="15.75" x14ac:dyDescent="0.25">
      <c r="A24" s="963"/>
      <c r="B24" s="479"/>
      <c r="C24" s="469" t="s">
        <v>342</v>
      </c>
      <c r="D24" s="47" t="s">
        <v>471</v>
      </c>
      <c r="E24" s="47">
        <v>0.01</v>
      </c>
      <c r="F24" s="47">
        <f>F22*E24</f>
        <v>0.02</v>
      </c>
      <c r="G24" s="480"/>
      <c r="H24" s="48"/>
      <c r="I24" s="480"/>
      <c r="J24" s="48"/>
      <c r="K24" s="480"/>
      <c r="L24" s="48">
        <f t="shared" si="2"/>
        <v>0</v>
      </c>
      <c r="M24" s="48">
        <f t="shared" si="0"/>
        <v>0</v>
      </c>
    </row>
    <row r="25" spans="1:13" ht="15.75" x14ac:dyDescent="0.25">
      <c r="A25" s="963"/>
      <c r="B25" s="479"/>
      <c r="C25" s="469" t="s">
        <v>481</v>
      </c>
      <c r="D25" s="47" t="s">
        <v>472</v>
      </c>
      <c r="E25" s="47">
        <v>1</v>
      </c>
      <c r="F25" s="47">
        <v>2</v>
      </c>
      <c r="G25" s="480"/>
      <c r="H25" s="48">
        <f t="shared" si="3"/>
        <v>0</v>
      </c>
      <c r="I25" s="480"/>
      <c r="J25" s="48"/>
      <c r="K25" s="480"/>
      <c r="L25" s="48"/>
      <c r="M25" s="48">
        <f t="shared" si="0"/>
        <v>0</v>
      </c>
    </row>
    <row r="26" spans="1:13" ht="15.75" x14ac:dyDescent="0.25">
      <c r="A26" s="964"/>
      <c r="B26" s="479"/>
      <c r="C26" s="469" t="s">
        <v>122</v>
      </c>
      <c r="D26" s="47" t="s">
        <v>471</v>
      </c>
      <c r="E26" s="47">
        <v>7.0000000000000007E-2</v>
      </c>
      <c r="F26" s="47">
        <f>F22*E26</f>
        <v>0.14000000000000001</v>
      </c>
      <c r="G26" s="480"/>
      <c r="H26" s="48">
        <f t="shared" si="3"/>
        <v>0</v>
      </c>
      <c r="I26" s="480"/>
      <c r="J26" s="48"/>
      <c r="K26" s="480"/>
      <c r="L26" s="48"/>
      <c r="M26" s="48">
        <f t="shared" si="0"/>
        <v>0</v>
      </c>
    </row>
    <row r="27" spans="1:13" ht="47.25" x14ac:dyDescent="0.25">
      <c r="A27" s="45">
        <v>9</v>
      </c>
      <c r="B27" s="38" t="s">
        <v>22</v>
      </c>
      <c r="C27" s="468" t="s">
        <v>482</v>
      </c>
      <c r="D27" s="88" t="s">
        <v>242</v>
      </c>
      <c r="E27" s="88"/>
      <c r="F27" s="41">
        <v>2</v>
      </c>
      <c r="G27" s="48"/>
      <c r="H27" s="48">
        <f t="shared" si="3"/>
        <v>0</v>
      </c>
      <c r="I27" s="48"/>
      <c r="J27" s="48"/>
      <c r="K27" s="48"/>
      <c r="L27" s="48"/>
      <c r="M27" s="48">
        <f t="shared" si="0"/>
        <v>0</v>
      </c>
    </row>
    <row r="28" spans="1:13" ht="31.5" x14ac:dyDescent="0.25">
      <c r="A28" s="372"/>
      <c r="B28" s="45"/>
      <c r="C28" s="469" t="s">
        <v>73</v>
      </c>
      <c r="D28" s="47" t="s">
        <v>9</v>
      </c>
      <c r="E28" s="47">
        <v>1</v>
      </c>
      <c r="F28" s="47">
        <f>F27*E28</f>
        <v>2</v>
      </c>
      <c r="G28" s="480"/>
      <c r="H28" s="48"/>
      <c r="I28" s="480"/>
      <c r="J28" s="48">
        <f t="shared" si="1"/>
        <v>0</v>
      </c>
      <c r="K28" s="480"/>
      <c r="L28" s="48"/>
      <c r="M28" s="48">
        <f t="shared" si="0"/>
        <v>0</v>
      </c>
    </row>
    <row r="29" spans="1:13" ht="31.5" x14ac:dyDescent="0.25">
      <c r="A29" s="382" t="s">
        <v>430</v>
      </c>
      <c r="B29" s="382"/>
      <c r="C29" s="237" t="s">
        <v>483</v>
      </c>
      <c r="D29" s="237"/>
      <c r="E29" s="237"/>
      <c r="F29" s="237"/>
      <c r="G29" s="48"/>
      <c r="H29" s="48"/>
      <c r="I29" s="48"/>
      <c r="J29" s="48"/>
      <c r="K29" s="48"/>
      <c r="L29" s="48"/>
      <c r="M29" s="48">
        <f t="shared" si="0"/>
        <v>0</v>
      </c>
    </row>
    <row r="30" spans="1:13" ht="63" x14ac:dyDescent="0.25">
      <c r="A30" s="878">
        <v>1.2</v>
      </c>
      <c r="B30" s="38" t="s">
        <v>484</v>
      </c>
      <c r="C30" s="468" t="s">
        <v>485</v>
      </c>
      <c r="D30" s="88" t="s">
        <v>94</v>
      </c>
      <c r="E30" s="88"/>
      <c r="F30" s="41">
        <f>12*4</f>
        <v>48</v>
      </c>
      <c r="G30" s="42"/>
      <c r="H30" s="48"/>
      <c r="I30" s="42"/>
      <c r="J30" s="48"/>
      <c r="K30" s="42"/>
      <c r="L30" s="48"/>
      <c r="M30" s="48">
        <f t="shared" si="0"/>
        <v>0</v>
      </c>
    </row>
    <row r="31" spans="1:13" ht="15.75" x14ac:dyDescent="0.25">
      <c r="A31" s="879"/>
      <c r="B31" s="45"/>
      <c r="C31" s="111" t="s">
        <v>486</v>
      </c>
      <c r="D31" s="45" t="s">
        <v>205</v>
      </c>
      <c r="E31" s="46">
        <f>143*0.01</f>
        <v>1.43</v>
      </c>
      <c r="F31" s="47">
        <f>F30*E31</f>
        <v>68.64</v>
      </c>
      <c r="G31" s="48"/>
      <c r="H31" s="33"/>
      <c r="I31" s="48"/>
      <c r="J31" s="33">
        <f t="shared" ref="J31" si="4">F31*I31</f>
        <v>0</v>
      </c>
      <c r="K31" s="48"/>
      <c r="L31" s="33"/>
      <c r="M31" s="33">
        <f t="shared" si="0"/>
        <v>0</v>
      </c>
    </row>
    <row r="32" spans="1:13" ht="15.75" x14ac:dyDescent="0.25">
      <c r="A32" s="879"/>
      <c r="B32" s="45"/>
      <c r="C32" s="111" t="s">
        <v>487</v>
      </c>
      <c r="D32" s="45" t="s">
        <v>25</v>
      </c>
      <c r="E32" s="46">
        <f>2.57*0.01</f>
        <v>2.5700000000000001E-2</v>
      </c>
      <c r="F32" s="47">
        <f>F30*E32</f>
        <v>1.2336</v>
      </c>
      <c r="G32" s="48"/>
      <c r="H32" s="33"/>
      <c r="I32" s="48"/>
      <c r="J32" s="33"/>
      <c r="K32" s="48"/>
      <c r="L32" s="33">
        <f t="shared" ref="L32" si="5">F32*K32</f>
        <v>0</v>
      </c>
      <c r="M32" s="33">
        <f t="shared" si="0"/>
        <v>0</v>
      </c>
    </row>
    <row r="33" spans="1:13" ht="47.25" x14ac:dyDescent="0.25">
      <c r="A33" s="879"/>
      <c r="B33" s="45"/>
      <c r="C33" s="111" t="s">
        <v>973</v>
      </c>
      <c r="D33" s="45" t="s">
        <v>488</v>
      </c>
      <c r="E33" s="46">
        <v>1</v>
      </c>
      <c r="F33" s="47">
        <f>F30*E33</f>
        <v>48</v>
      </c>
      <c r="G33" s="48"/>
      <c r="H33" s="33">
        <f t="shared" ref="H33:H35" si="6">F33*G33</f>
        <v>0</v>
      </c>
      <c r="I33" s="48"/>
      <c r="J33" s="33"/>
      <c r="K33" s="48"/>
      <c r="L33" s="33"/>
      <c r="M33" s="33">
        <f t="shared" si="0"/>
        <v>0</v>
      </c>
    </row>
    <row r="34" spans="1:13" ht="31.5" x14ac:dyDescent="0.25">
      <c r="A34" s="879"/>
      <c r="B34" s="45"/>
      <c r="C34" s="111" t="s">
        <v>489</v>
      </c>
      <c r="D34" s="45" t="s">
        <v>202</v>
      </c>
      <c r="E34" s="46">
        <v>0.152</v>
      </c>
      <c r="F34" s="47">
        <f>F30*E34</f>
        <v>7.2959999999999994</v>
      </c>
      <c r="G34" s="48"/>
      <c r="H34" s="33">
        <f t="shared" si="6"/>
        <v>0</v>
      </c>
      <c r="I34" s="48"/>
      <c r="J34" s="33"/>
      <c r="K34" s="48"/>
      <c r="L34" s="33"/>
      <c r="M34" s="33">
        <f t="shared" si="0"/>
        <v>0</v>
      </c>
    </row>
    <row r="35" spans="1:13" ht="15.75" x14ac:dyDescent="0.25">
      <c r="A35" s="895"/>
      <c r="B35" s="45"/>
      <c r="C35" s="111" t="s">
        <v>459</v>
      </c>
      <c r="D35" s="45" t="s">
        <v>25</v>
      </c>
      <c r="E35" s="46">
        <f>4.57*0.01</f>
        <v>4.5700000000000005E-2</v>
      </c>
      <c r="F35" s="47">
        <f>F30*E35</f>
        <v>2.1936</v>
      </c>
      <c r="G35" s="48"/>
      <c r="H35" s="33">
        <f t="shared" si="6"/>
        <v>0</v>
      </c>
      <c r="I35" s="48"/>
      <c r="J35" s="33"/>
      <c r="K35" s="48"/>
      <c r="L35" s="33"/>
      <c r="M35" s="33">
        <f t="shared" si="0"/>
        <v>0</v>
      </c>
    </row>
    <row r="36" spans="1:13" ht="31.5" x14ac:dyDescent="0.25">
      <c r="A36" s="874">
        <v>2</v>
      </c>
      <c r="B36" s="38" t="s">
        <v>492</v>
      </c>
      <c r="C36" s="468" t="s">
        <v>493</v>
      </c>
      <c r="D36" s="88" t="s">
        <v>202</v>
      </c>
      <c r="E36" s="88"/>
      <c r="F36" s="41">
        <f>F39</f>
        <v>1</v>
      </c>
      <c r="G36" s="42"/>
      <c r="H36" s="48"/>
      <c r="I36" s="42"/>
      <c r="J36" s="48"/>
      <c r="K36" s="42"/>
      <c r="L36" s="48"/>
      <c r="M36" s="48">
        <f t="shared" si="0"/>
        <v>0</v>
      </c>
    </row>
    <row r="37" spans="1:13" ht="31.5" x14ac:dyDescent="0.25">
      <c r="A37" s="874"/>
      <c r="B37" s="45"/>
      <c r="C37" s="469" t="s">
        <v>486</v>
      </c>
      <c r="D37" s="47" t="s">
        <v>205</v>
      </c>
      <c r="E37" s="47">
        <v>1.51</v>
      </c>
      <c r="F37" s="47">
        <f>F36*E37</f>
        <v>1.51</v>
      </c>
      <c r="G37" s="48"/>
      <c r="H37" s="48"/>
      <c r="I37" s="48"/>
      <c r="J37" s="48">
        <f t="shared" ref="J37:J42" si="7">F37*I37</f>
        <v>0</v>
      </c>
      <c r="K37" s="48"/>
      <c r="L37" s="48"/>
      <c r="M37" s="48">
        <f t="shared" si="0"/>
        <v>0</v>
      </c>
    </row>
    <row r="38" spans="1:13" ht="15.75" x14ac:dyDescent="0.25">
      <c r="A38" s="874"/>
      <c r="B38" s="45"/>
      <c r="C38" s="469" t="s">
        <v>491</v>
      </c>
      <c r="D38" s="47" t="s">
        <v>25</v>
      </c>
      <c r="E38" s="47">
        <v>0.13</v>
      </c>
      <c r="F38" s="47">
        <f>F36*E38</f>
        <v>0.13</v>
      </c>
      <c r="G38" s="48"/>
      <c r="H38" s="48"/>
      <c r="I38" s="48"/>
      <c r="J38" s="48"/>
      <c r="K38" s="48"/>
      <c r="L38" s="48">
        <f t="shared" ref="L38:L43" si="8">F38*K38</f>
        <v>0</v>
      </c>
      <c r="M38" s="48">
        <f t="shared" si="0"/>
        <v>0</v>
      </c>
    </row>
    <row r="39" spans="1:13" ht="31.5" x14ac:dyDescent="0.25">
      <c r="A39" s="874"/>
      <c r="B39" s="45"/>
      <c r="C39" s="469" t="s">
        <v>494</v>
      </c>
      <c r="D39" s="47" t="s">
        <v>202</v>
      </c>
      <c r="E39" s="47">
        <v>1</v>
      </c>
      <c r="F39" s="47">
        <v>1</v>
      </c>
      <c r="G39" s="48"/>
      <c r="H39" s="48">
        <f t="shared" ref="H39:H84" si="9">F39*G39</f>
        <v>0</v>
      </c>
      <c r="I39" s="48"/>
      <c r="J39" s="48"/>
      <c r="K39" s="48"/>
      <c r="L39" s="48"/>
      <c r="M39" s="48">
        <f t="shared" si="0"/>
        <v>0</v>
      </c>
    </row>
    <row r="40" spans="1:13" ht="15.75" x14ac:dyDescent="0.25">
      <c r="A40" s="874"/>
      <c r="B40" s="45"/>
      <c r="C40" s="469" t="s">
        <v>459</v>
      </c>
      <c r="D40" s="47" t="s">
        <v>25</v>
      </c>
      <c r="E40" s="47">
        <v>7.0000000000000007E-2</v>
      </c>
      <c r="F40" s="47">
        <f>F36*E40</f>
        <v>7.0000000000000007E-2</v>
      </c>
      <c r="G40" s="48"/>
      <c r="H40" s="48">
        <f t="shared" si="9"/>
        <v>0</v>
      </c>
      <c r="I40" s="48"/>
      <c r="J40" s="48"/>
      <c r="K40" s="48"/>
      <c r="L40" s="48"/>
      <c r="M40" s="48">
        <f t="shared" si="0"/>
        <v>0</v>
      </c>
    </row>
    <row r="41" spans="1:13" ht="47.25" x14ac:dyDescent="0.25">
      <c r="A41" s="874">
        <v>3</v>
      </c>
      <c r="B41" s="38" t="s">
        <v>495</v>
      </c>
      <c r="C41" s="468" t="s">
        <v>496</v>
      </c>
      <c r="D41" s="88" t="s">
        <v>202</v>
      </c>
      <c r="E41" s="88"/>
      <c r="F41" s="41">
        <f>F44+F45+F46+F47+F48+F49</f>
        <v>47</v>
      </c>
      <c r="G41" s="42"/>
      <c r="H41" s="48"/>
      <c r="I41" s="42"/>
      <c r="J41" s="48"/>
      <c r="K41" s="42"/>
      <c r="L41" s="48"/>
      <c r="M41" s="48">
        <f t="shared" si="0"/>
        <v>0</v>
      </c>
    </row>
    <row r="42" spans="1:13" ht="31.5" x14ac:dyDescent="0.25">
      <c r="A42" s="874"/>
      <c r="B42" s="45"/>
      <c r="C42" s="469" t="s">
        <v>486</v>
      </c>
      <c r="D42" s="47" t="s">
        <v>205</v>
      </c>
      <c r="E42" s="47">
        <v>0.64600000000000002</v>
      </c>
      <c r="F42" s="47">
        <f>F41*E42</f>
        <v>30.362000000000002</v>
      </c>
      <c r="G42" s="48"/>
      <c r="H42" s="48"/>
      <c r="I42" s="48"/>
      <c r="J42" s="48">
        <f t="shared" si="7"/>
        <v>0</v>
      </c>
      <c r="K42" s="48"/>
      <c r="L42" s="48"/>
      <c r="M42" s="48">
        <f t="shared" si="0"/>
        <v>0</v>
      </c>
    </row>
    <row r="43" spans="1:13" ht="15.75" x14ac:dyDescent="0.25">
      <c r="A43" s="874"/>
      <c r="B43" s="45"/>
      <c r="C43" s="469" t="s">
        <v>491</v>
      </c>
      <c r="D43" s="47" t="s">
        <v>25</v>
      </c>
      <c r="E43" s="47">
        <v>2.5999999999999999E-3</v>
      </c>
      <c r="F43" s="47">
        <f>F41*E43</f>
        <v>0.12219999999999999</v>
      </c>
      <c r="G43" s="48"/>
      <c r="H43" s="48"/>
      <c r="I43" s="48"/>
      <c r="J43" s="48"/>
      <c r="K43" s="48"/>
      <c r="L43" s="48">
        <f t="shared" si="8"/>
        <v>0</v>
      </c>
      <c r="M43" s="48">
        <f t="shared" si="0"/>
        <v>0</v>
      </c>
    </row>
    <row r="44" spans="1:13" ht="15.75" x14ac:dyDescent="0.25">
      <c r="A44" s="874"/>
      <c r="B44" s="38"/>
      <c r="C44" s="469" t="s">
        <v>497</v>
      </c>
      <c r="D44" s="47" t="s">
        <v>147</v>
      </c>
      <c r="E44" s="47"/>
      <c r="F44" s="47">
        <v>7</v>
      </c>
      <c r="G44" s="48"/>
      <c r="H44" s="48">
        <f t="shared" si="9"/>
        <v>0</v>
      </c>
      <c r="I44" s="48"/>
      <c r="J44" s="48"/>
      <c r="K44" s="48"/>
      <c r="L44" s="48"/>
      <c r="M44" s="48">
        <f t="shared" si="0"/>
        <v>0</v>
      </c>
    </row>
    <row r="45" spans="1:13" ht="18" x14ac:dyDescent="0.25">
      <c r="A45" s="874"/>
      <c r="B45" s="38"/>
      <c r="C45" s="481" t="s">
        <v>498</v>
      </c>
      <c r="D45" s="355" t="s">
        <v>147</v>
      </c>
      <c r="E45" s="47"/>
      <c r="F45" s="47">
        <v>12</v>
      </c>
      <c r="G45" s="48"/>
      <c r="H45" s="48">
        <f t="shared" si="9"/>
        <v>0</v>
      </c>
      <c r="I45" s="48"/>
      <c r="J45" s="48"/>
      <c r="K45" s="48"/>
      <c r="L45" s="48"/>
      <c r="M45" s="48">
        <f t="shared" si="0"/>
        <v>0</v>
      </c>
    </row>
    <row r="46" spans="1:13" ht="15.75" x14ac:dyDescent="0.25">
      <c r="A46" s="874"/>
      <c r="B46" s="38"/>
      <c r="C46" s="469" t="s">
        <v>499</v>
      </c>
      <c r="D46" s="47" t="s">
        <v>147</v>
      </c>
      <c r="E46" s="47"/>
      <c r="F46" s="47">
        <v>12</v>
      </c>
      <c r="G46" s="48"/>
      <c r="H46" s="48">
        <f t="shared" si="9"/>
        <v>0</v>
      </c>
      <c r="I46" s="48"/>
      <c r="J46" s="48"/>
      <c r="K46" s="48"/>
      <c r="L46" s="48"/>
      <c r="M46" s="48">
        <f t="shared" si="0"/>
        <v>0</v>
      </c>
    </row>
    <row r="47" spans="1:13" ht="15.75" x14ac:dyDescent="0.25">
      <c r="A47" s="874"/>
      <c r="B47" s="38"/>
      <c r="C47" s="481" t="s">
        <v>500</v>
      </c>
      <c r="D47" s="355" t="s">
        <v>147</v>
      </c>
      <c r="E47" s="47"/>
      <c r="F47" s="47">
        <v>8</v>
      </c>
      <c r="G47" s="48"/>
      <c r="H47" s="48">
        <f t="shared" si="9"/>
        <v>0</v>
      </c>
      <c r="I47" s="48"/>
      <c r="J47" s="48"/>
      <c r="K47" s="48"/>
      <c r="L47" s="48"/>
      <c r="M47" s="48">
        <f t="shared" si="0"/>
        <v>0</v>
      </c>
    </row>
    <row r="48" spans="1:13" ht="15.75" x14ac:dyDescent="0.25">
      <c r="A48" s="874"/>
      <c r="B48" s="38"/>
      <c r="C48" s="469" t="s">
        <v>501</v>
      </c>
      <c r="D48" s="47" t="s">
        <v>147</v>
      </c>
      <c r="E48" s="47"/>
      <c r="F48" s="47">
        <v>6</v>
      </c>
      <c r="G48" s="48"/>
      <c r="H48" s="48">
        <f t="shared" si="9"/>
        <v>0</v>
      </c>
      <c r="I48" s="48"/>
      <c r="J48" s="48"/>
      <c r="K48" s="48"/>
      <c r="L48" s="48"/>
      <c r="M48" s="48">
        <f t="shared" si="0"/>
        <v>0</v>
      </c>
    </row>
    <row r="49" spans="1:13" ht="15.75" x14ac:dyDescent="0.25">
      <c r="A49" s="874"/>
      <c r="B49" s="38"/>
      <c r="C49" s="469" t="s">
        <v>502</v>
      </c>
      <c r="D49" s="47" t="s">
        <v>147</v>
      </c>
      <c r="E49" s="482"/>
      <c r="F49" s="482">
        <v>2</v>
      </c>
      <c r="G49" s="483"/>
      <c r="H49" s="48">
        <f t="shared" si="9"/>
        <v>0</v>
      </c>
      <c r="I49" s="48"/>
      <c r="J49" s="48"/>
      <c r="K49" s="48"/>
      <c r="L49" s="48"/>
      <c r="M49" s="48">
        <f t="shared" si="0"/>
        <v>0</v>
      </c>
    </row>
    <row r="50" spans="1:13" ht="15.75" x14ac:dyDescent="0.25">
      <c r="A50" s="874"/>
      <c r="B50" s="38"/>
      <c r="C50" s="481" t="s">
        <v>503</v>
      </c>
      <c r="D50" s="355" t="s">
        <v>147</v>
      </c>
      <c r="E50" s="47"/>
      <c r="F50" s="47">
        <v>50</v>
      </c>
      <c r="G50" s="48"/>
      <c r="H50" s="48">
        <f t="shared" si="9"/>
        <v>0</v>
      </c>
      <c r="I50" s="48"/>
      <c r="J50" s="48"/>
      <c r="K50" s="48"/>
      <c r="L50" s="48"/>
      <c r="M50" s="48">
        <f t="shared" si="0"/>
        <v>0</v>
      </c>
    </row>
    <row r="51" spans="1:13" ht="15.75" x14ac:dyDescent="0.25">
      <c r="A51" s="874"/>
      <c r="B51" s="45"/>
      <c r="C51" s="469" t="s">
        <v>504</v>
      </c>
      <c r="D51" s="47" t="s">
        <v>25</v>
      </c>
      <c r="E51" s="47">
        <v>0.12</v>
      </c>
      <c r="F51" s="47">
        <f>F41*E51</f>
        <v>5.64</v>
      </c>
      <c r="G51" s="48"/>
      <c r="H51" s="48">
        <f t="shared" si="9"/>
        <v>0</v>
      </c>
      <c r="I51" s="48"/>
      <c r="J51" s="48"/>
      <c r="K51" s="48"/>
      <c r="L51" s="48"/>
      <c r="M51" s="48">
        <f t="shared" si="0"/>
        <v>0</v>
      </c>
    </row>
    <row r="52" spans="1:13" ht="31.5" x14ac:dyDescent="0.25">
      <c r="A52" s="878">
        <v>4</v>
      </c>
      <c r="B52" s="38" t="s">
        <v>505</v>
      </c>
      <c r="C52" s="468" t="s">
        <v>506</v>
      </c>
      <c r="D52" s="88" t="s">
        <v>507</v>
      </c>
      <c r="E52" s="88"/>
      <c r="F52" s="41">
        <f>(F30)/100</f>
        <v>0.48</v>
      </c>
      <c r="G52" s="48"/>
      <c r="H52" s="48"/>
      <c r="I52" s="48"/>
      <c r="J52" s="48"/>
      <c r="K52" s="48"/>
      <c r="L52" s="48"/>
      <c r="M52" s="48">
        <f t="shared" si="0"/>
        <v>0</v>
      </c>
    </row>
    <row r="53" spans="1:13" ht="31.5" x14ac:dyDescent="0.25">
      <c r="A53" s="879"/>
      <c r="B53" s="45"/>
      <c r="C53" s="469" t="s">
        <v>486</v>
      </c>
      <c r="D53" s="47" t="s">
        <v>205</v>
      </c>
      <c r="E53" s="47">
        <v>5.16</v>
      </c>
      <c r="F53" s="47">
        <f>F52*E53</f>
        <v>2.4767999999999999</v>
      </c>
      <c r="G53" s="48"/>
      <c r="H53" s="48"/>
      <c r="I53" s="48"/>
      <c r="J53" s="48">
        <f t="shared" ref="J53:J75" si="10">F53*I53</f>
        <v>0</v>
      </c>
      <c r="K53" s="48"/>
      <c r="L53" s="48"/>
      <c r="M53" s="48">
        <f t="shared" si="0"/>
        <v>0</v>
      </c>
    </row>
    <row r="54" spans="1:13" ht="15.75" x14ac:dyDescent="0.25">
      <c r="A54" s="879"/>
      <c r="B54" s="45"/>
      <c r="C54" s="469" t="s">
        <v>508</v>
      </c>
      <c r="D54" s="47" t="s">
        <v>74</v>
      </c>
      <c r="E54" s="47">
        <v>1</v>
      </c>
      <c r="F54" s="47">
        <f>F52*E54</f>
        <v>0.48</v>
      </c>
      <c r="G54" s="48"/>
      <c r="H54" s="48">
        <f t="shared" si="9"/>
        <v>0</v>
      </c>
      <c r="I54" s="48"/>
      <c r="J54" s="48"/>
      <c r="K54" s="48"/>
      <c r="L54" s="48"/>
      <c r="M54" s="48">
        <f t="shared" si="0"/>
        <v>0</v>
      </c>
    </row>
    <row r="55" spans="1:13" ht="15.75" x14ac:dyDescent="0.25">
      <c r="A55" s="895"/>
      <c r="B55" s="45"/>
      <c r="C55" s="469" t="s">
        <v>122</v>
      </c>
      <c r="D55" s="47" t="s">
        <v>7</v>
      </c>
      <c r="E55" s="47">
        <v>0.11</v>
      </c>
      <c r="F55" s="47">
        <f>F52*E55</f>
        <v>5.28E-2</v>
      </c>
      <c r="G55" s="48"/>
      <c r="H55" s="48">
        <f t="shared" si="9"/>
        <v>0</v>
      </c>
      <c r="I55" s="48"/>
      <c r="J55" s="48"/>
      <c r="K55" s="48"/>
      <c r="L55" s="48"/>
      <c r="M55" s="48">
        <f t="shared" si="0"/>
        <v>0</v>
      </c>
    </row>
    <row r="56" spans="1:13" ht="31.5" x14ac:dyDescent="0.25">
      <c r="A56" s="382" t="s">
        <v>509</v>
      </c>
      <c r="B56" s="382"/>
      <c r="C56" s="237" t="s">
        <v>510</v>
      </c>
      <c r="D56" s="237"/>
      <c r="E56" s="237"/>
      <c r="F56" s="237"/>
      <c r="G56" s="48"/>
      <c r="H56" s="48"/>
      <c r="I56" s="48"/>
      <c r="J56" s="48"/>
      <c r="K56" s="48"/>
      <c r="L56" s="48"/>
      <c r="M56" s="48"/>
    </row>
    <row r="57" spans="1:13" ht="47.25" x14ac:dyDescent="0.25">
      <c r="A57" s="878">
        <v>1</v>
      </c>
      <c r="B57" s="475" t="s">
        <v>511</v>
      </c>
      <c r="C57" s="484" t="s">
        <v>512</v>
      </c>
      <c r="D57" s="304" t="s">
        <v>94</v>
      </c>
      <c r="E57" s="304"/>
      <c r="F57" s="477">
        <f>2*1+2*2+2*3</f>
        <v>12</v>
      </c>
      <c r="G57" s="478"/>
      <c r="H57" s="48"/>
      <c r="I57" s="478"/>
      <c r="J57" s="48"/>
      <c r="K57" s="478"/>
      <c r="L57" s="48"/>
      <c r="M57" s="48"/>
    </row>
    <row r="58" spans="1:13" ht="15.75" x14ac:dyDescent="0.25">
      <c r="A58" s="879"/>
      <c r="B58" s="479"/>
      <c r="C58" s="326" t="s">
        <v>73</v>
      </c>
      <c r="D58" s="47" t="s">
        <v>18</v>
      </c>
      <c r="E58" s="47">
        <v>0.60899999999999999</v>
      </c>
      <c r="F58" s="47">
        <f>F57*E58</f>
        <v>7.3079999999999998</v>
      </c>
      <c r="G58" s="480"/>
      <c r="H58" s="48"/>
      <c r="I58" s="480"/>
      <c r="J58" s="48">
        <f t="shared" si="10"/>
        <v>0</v>
      </c>
      <c r="K58" s="480"/>
      <c r="L58" s="48"/>
      <c r="M58" s="48">
        <f t="shared" ref="M58:M85" si="11">H58+J58+L58</f>
        <v>0</v>
      </c>
    </row>
    <row r="59" spans="1:13" ht="15.75" x14ac:dyDescent="0.25">
      <c r="A59" s="879"/>
      <c r="B59" s="479"/>
      <c r="C59" s="326" t="s">
        <v>342</v>
      </c>
      <c r="D59" s="47" t="s">
        <v>471</v>
      </c>
      <c r="E59" s="47">
        <v>2.0999999999999999E-3</v>
      </c>
      <c r="F59" s="47">
        <f>F57*E59</f>
        <v>2.52E-2</v>
      </c>
      <c r="G59" s="480"/>
      <c r="H59" s="48"/>
      <c r="I59" s="480"/>
      <c r="J59" s="48"/>
      <c r="K59" s="480"/>
      <c r="L59" s="48">
        <f t="shared" ref="L59:L76" si="12">F59*K59</f>
        <v>0</v>
      </c>
      <c r="M59" s="48">
        <f t="shared" si="11"/>
        <v>0</v>
      </c>
    </row>
    <row r="60" spans="1:13" ht="15.75" x14ac:dyDescent="0.25">
      <c r="A60" s="879"/>
      <c r="B60" s="479"/>
      <c r="C60" s="326" t="s">
        <v>513</v>
      </c>
      <c r="D60" s="47" t="s">
        <v>514</v>
      </c>
      <c r="E60" s="47">
        <v>1</v>
      </c>
      <c r="F60" s="47">
        <f>F57*E60</f>
        <v>12</v>
      </c>
      <c r="G60" s="480"/>
      <c r="H60" s="48">
        <f t="shared" si="9"/>
        <v>0</v>
      </c>
      <c r="I60" s="480"/>
      <c r="J60" s="48"/>
      <c r="K60" s="480"/>
      <c r="L60" s="48"/>
      <c r="M60" s="48">
        <f t="shared" si="11"/>
        <v>0</v>
      </c>
    </row>
    <row r="61" spans="1:13" ht="15.75" x14ac:dyDescent="0.25">
      <c r="A61" s="879"/>
      <c r="B61" s="479"/>
      <c r="C61" s="485" t="s">
        <v>515</v>
      </c>
      <c r="D61" s="486" t="s">
        <v>516</v>
      </c>
      <c r="E61" s="486">
        <f>14*0.01</f>
        <v>0.14000000000000001</v>
      </c>
      <c r="F61" s="486">
        <f>E61*F57</f>
        <v>1.6800000000000002</v>
      </c>
      <c r="G61" s="487"/>
      <c r="H61" s="48">
        <f t="shared" si="9"/>
        <v>0</v>
      </c>
      <c r="I61" s="487"/>
      <c r="J61" s="48"/>
      <c r="K61" s="487"/>
      <c r="L61" s="48"/>
      <c r="M61" s="48">
        <f t="shared" si="11"/>
        <v>0</v>
      </c>
    </row>
    <row r="62" spans="1:13" ht="15.75" x14ac:dyDescent="0.25">
      <c r="A62" s="895"/>
      <c r="B62" s="479"/>
      <c r="C62" s="326" t="s">
        <v>122</v>
      </c>
      <c r="D62" s="47" t="s">
        <v>471</v>
      </c>
      <c r="E62" s="47">
        <v>0.156</v>
      </c>
      <c r="F62" s="47">
        <f>F57*E62</f>
        <v>1.8719999999999999</v>
      </c>
      <c r="G62" s="480"/>
      <c r="H62" s="48">
        <f t="shared" si="9"/>
        <v>0</v>
      </c>
      <c r="I62" s="480"/>
      <c r="J62" s="48"/>
      <c r="K62" s="480"/>
      <c r="L62" s="48"/>
      <c r="M62" s="48">
        <f t="shared" si="11"/>
        <v>0</v>
      </c>
    </row>
    <row r="63" spans="1:13" ht="47.25" x14ac:dyDescent="0.25">
      <c r="A63" s="878">
        <v>2</v>
      </c>
      <c r="B63" s="475" t="s">
        <v>517</v>
      </c>
      <c r="C63" s="484" t="s">
        <v>518</v>
      </c>
      <c r="D63" s="304" t="s">
        <v>94</v>
      </c>
      <c r="E63" s="304"/>
      <c r="F63" s="477">
        <f>-2*1+4*2+4*4</f>
        <v>22</v>
      </c>
      <c r="G63" s="478"/>
      <c r="H63" s="48"/>
      <c r="I63" s="478"/>
      <c r="J63" s="48"/>
      <c r="K63" s="478"/>
      <c r="L63" s="48"/>
      <c r="M63" s="48"/>
    </row>
    <row r="64" spans="1:13" ht="15.75" x14ac:dyDescent="0.25">
      <c r="A64" s="879"/>
      <c r="B64" s="479"/>
      <c r="C64" s="326" t="s">
        <v>73</v>
      </c>
      <c r="D64" s="47" t="s">
        <v>18</v>
      </c>
      <c r="E64" s="47">
        <f>58.3*0.01</f>
        <v>0.58299999999999996</v>
      </c>
      <c r="F64" s="47">
        <f>F63*E64</f>
        <v>12.825999999999999</v>
      </c>
      <c r="G64" s="480"/>
      <c r="H64" s="48"/>
      <c r="I64" s="480"/>
      <c r="J64" s="48">
        <f t="shared" si="10"/>
        <v>0</v>
      </c>
      <c r="K64" s="480"/>
      <c r="L64" s="48"/>
      <c r="M64" s="48">
        <f t="shared" si="11"/>
        <v>0</v>
      </c>
    </row>
    <row r="65" spans="1:13" ht="15.75" x14ac:dyDescent="0.25">
      <c r="A65" s="879"/>
      <c r="B65" s="479"/>
      <c r="C65" s="326" t="s">
        <v>342</v>
      </c>
      <c r="D65" s="47" t="s">
        <v>471</v>
      </c>
      <c r="E65" s="47">
        <f>0.46*0.01</f>
        <v>4.5999999999999999E-3</v>
      </c>
      <c r="F65" s="47">
        <f>F63*E65</f>
        <v>0.1012</v>
      </c>
      <c r="G65" s="480"/>
      <c r="H65" s="48"/>
      <c r="I65" s="480"/>
      <c r="J65" s="48"/>
      <c r="K65" s="480"/>
      <c r="L65" s="48">
        <f t="shared" si="12"/>
        <v>0</v>
      </c>
      <c r="M65" s="48">
        <f t="shared" si="11"/>
        <v>0</v>
      </c>
    </row>
    <row r="66" spans="1:13" ht="15.75" x14ac:dyDescent="0.25">
      <c r="A66" s="879"/>
      <c r="B66" s="479"/>
      <c r="C66" s="326" t="s">
        <v>519</v>
      </c>
      <c r="D66" s="47" t="s">
        <v>514</v>
      </c>
      <c r="E66" s="47">
        <v>1</v>
      </c>
      <c r="F66" s="47">
        <f>F63*E66</f>
        <v>22</v>
      </c>
      <c r="G66" s="480"/>
      <c r="H66" s="48">
        <f t="shared" si="9"/>
        <v>0</v>
      </c>
      <c r="I66" s="480"/>
      <c r="J66" s="48"/>
      <c r="K66" s="480"/>
      <c r="L66" s="48"/>
      <c r="M66" s="48">
        <f t="shared" si="11"/>
        <v>0</v>
      </c>
    </row>
    <row r="67" spans="1:13" ht="15.75" x14ac:dyDescent="0.25">
      <c r="A67" s="879"/>
      <c r="B67" s="479"/>
      <c r="C67" s="485" t="s">
        <v>515</v>
      </c>
      <c r="D67" s="486" t="s">
        <v>516</v>
      </c>
      <c r="E67" s="486">
        <f>23*0.01</f>
        <v>0.23</v>
      </c>
      <c r="F67" s="486">
        <f>E67*F63</f>
        <v>5.0600000000000005</v>
      </c>
      <c r="G67" s="487"/>
      <c r="H67" s="48">
        <f t="shared" si="9"/>
        <v>0</v>
      </c>
      <c r="I67" s="487"/>
      <c r="J67" s="48"/>
      <c r="K67" s="487"/>
      <c r="L67" s="48"/>
      <c r="M67" s="48">
        <f t="shared" si="11"/>
        <v>0</v>
      </c>
    </row>
    <row r="68" spans="1:13" ht="15.75" x14ac:dyDescent="0.25">
      <c r="A68" s="895"/>
      <c r="B68" s="475"/>
      <c r="C68" s="326" t="s">
        <v>122</v>
      </c>
      <c r="D68" s="47" t="s">
        <v>471</v>
      </c>
      <c r="E68" s="47">
        <f>20.8*0.01</f>
        <v>0.20800000000000002</v>
      </c>
      <c r="F68" s="47">
        <f>F63*E68</f>
        <v>4.5760000000000005</v>
      </c>
      <c r="G68" s="480"/>
      <c r="H68" s="48">
        <f t="shared" si="9"/>
        <v>0</v>
      </c>
      <c r="I68" s="480"/>
      <c r="J68" s="48"/>
      <c r="K68" s="480"/>
      <c r="L68" s="48"/>
      <c r="M68" s="48">
        <f t="shared" si="11"/>
        <v>0</v>
      </c>
    </row>
    <row r="69" spans="1:13" ht="15.75" x14ac:dyDescent="0.25">
      <c r="A69" s="962">
        <v>3.2</v>
      </c>
      <c r="B69" s="475" t="s">
        <v>521</v>
      </c>
      <c r="C69" s="488" t="s">
        <v>520</v>
      </c>
      <c r="D69" s="479" t="s">
        <v>26</v>
      </c>
      <c r="E69" s="489"/>
      <c r="F69" s="477">
        <f>F72</f>
        <v>2</v>
      </c>
      <c r="G69" s="478"/>
      <c r="H69" s="33"/>
      <c r="I69" s="478"/>
      <c r="J69" s="33"/>
      <c r="K69" s="478"/>
      <c r="L69" s="33"/>
      <c r="M69" s="33">
        <f t="shared" ref="M69:M73" si="13">H69+J69+L69</f>
        <v>0</v>
      </c>
    </row>
    <row r="70" spans="1:13" ht="15.75" x14ac:dyDescent="0.25">
      <c r="A70" s="963"/>
      <c r="B70" s="479"/>
      <c r="C70" s="111" t="s">
        <v>73</v>
      </c>
      <c r="D70" s="45" t="s">
        <v>9</v>
      </c>
      <c r="E70" s="46">
        <v>0.46</v>
      </c>
      <c r="F70" s="47">
        <f>F69*E70</f>
        <v>0.92</v>
      </c>
      <c r="G70" s="480"/>
      <c r="H70" s="33"/>
      <c r="I70" s="480"/>
      <c r="J70" s="33">
        <f>F70*I70</f>
        <v>0</v>
      </c>
      <c r="K70" s="480"/>
      <c r="L70" s="33"/>
      <c r="M70" s="33">
        <f t="shared" si="13"/>
        <v>0</v>
      </c>
    </row>
    <row r="71" spans="1:13" ht="15.75" x14ac:dyDescent="0.25">
      <c r="A71" s="963"/>
      <c r="B71" s="479"/>
      <c r="C71" s="111" t="s">
        <v>342</v>
      </c>
      <c r="D71" s="45" t="s">
        <v>471</v>
      </c>
      <c r="E71" s="46">
        <v>0.02</v>
      </c>
      <c r="F71" s="47">
        <f>F69*E71</f>
        <v>0.04</v>
      </c>
      <c r="G71" s="480"/>
      <c r="H71" s="33"/>
      <c r="I71" s="480"/>
      <c r="J71" s="33"/>
      <c r="K71" s="480"/>
      <c r="L71" s="33">
        <f>F71*K71</f>
        <v>0</v>
      </c>
      <c r="M71" s="33">
        <f t="shared" si="13"/>
        <v>0</v>
      </c>
    </row>
    <row r="72" spans="1:13" ht="15.75" x14ac:dyDescent="0.25">
      <c r="A72" s="963"/>
      <c r="B72" s="479"/>
      <c r="C72" s="111" t="s">
        <v>522</v>
      </c>
      <c r="D72" s="45" t="s">
        <v>26</v>
      </c>
      <c r="E72" s="46">
        <v>1</v>
      </c>
      <c r="F72" s="47">
        <v>2</v>
      </c>
      <c r="G72" s="480"/>
      <c r="H72" s="33">
        <f t="shared" ref="H72:H73" si="14">F72*G72</f>
        <v>0</v>
      </c>
      <c r="I72" s="480"/>
      <c r="J72" s="33"/>
      <c r="K72" s="480"/>
      <c r="L72" s="33"/>
      <c r="M72" s="33">
        <f t="shared" si="13"/>
        <v>0</v>
      </c>
    </row>
    <row r="73" spans="1:13" ht="15.75" x14ac:dyDescent="0.25">
      <c r="A73" s="964"/>
      <c r="B73" s="479"/>
      <c r="C73" s="111" t="s">
        <v>122</v>
      </c>
      <c r="D73" s="45" t="s">
        <v>471</v>
      </c>
      <c r="E73" s="46">
        <v>0.11</v>
      </c>
      <c r="F73" s="47">
        <f>F69*E73</f>
        <v>0.22</v>
      </c>
      <c r="G73" s="480"/>
      <c r="H73" s="33">
        <f t="shared" si="14"/>
        <v>0</v>
      </c>
      <c r="I73" s="480"/>
      <c r="J73" s="33"/>
      <c r="K73" s="480"/>
      <c r="L73" s="33"/>
      <c r="M73" s="33">
        <f t="shared" si="13"/>
        <v>0</v>
      </c>
    </row>
    <row r="74" spans="1:13" ht="15.75" x14ac:dyDescent="0.25">
      <c r="A74" s="962">
        <v>3</v>
      </c>
      <c r="B74" s="475" t="s">
        <v>523</v>
      </c>
      <c r="C74" s="484" t="s">
        <v>524</v>
      </c>
      <c r="D74" s="304" t="s">
        <v>26</v>
      </c>
      <c r="E74" s="304"/>
      <c r="F74" s="477">
        <f>F77+F78+F79+F80+F81+F82+F83</f>
        <v>20</v>
      </c>
      <c r="G74" s="478"/>
      <c r="H74" s="48"/>
      <c r="I74" s="478"/>
      <c r="J74" s="48"/>
      <c r="K74" s="478"/>
      <c r="L74" s="48"/>
      <c r="M74" s="48">
        <f t="shared" si="11"/>
        <v>0</v>
      </c>
    </row>
    <row r="75" spans="1:13" ht="15.75" x14ac:dyDescent="0.25">
      <c r="A75" s="963"/>
      <c r="B75" s="479"/>
      <c r="C75" s="326" t="s">
        <v>73</v>
      </c>
      <c r="D75" s="47" t="s">
        <v>18</v>
      </c>
      <c r="E75" s="47">
        <v>2.67</v>
      </c>
      <c r="F75" s="47">
        <f>F74*E75</f>
        <v>53.4</v>
      </c>
      <c r="G75" s="480"/>
      <c r="H75" s="48"/>
      <c r="I75" s="480"/>
      <c r="J75" s="48">
        <f t="shared" si="10"/>
        <v>0</v>
      </c>
      <c r="K75" s="480"/>
      <c r="L75" s="48"/>
      <c r="M75" s="48">
        <f t="shared" si="11"/>
        <v>0</v>
      </c>
    </row>
    <row r="76" spans="1:13" ht="15.75" x14ac:dyDescent="0.25">
      <c r="A76" s="963"/>
      <c r="B76" s="479"/>
      <c r="C76" s="326" t="s">
        <v>342</v>
      </c>
      <c r="D76" s="47" t="s">
        <v>471</v>
      </c>
      <c r="E76" s="47">
        <v>0.28999999999999998</v>
      </c>
      <c r="F76" s="47">
        <f>F74*E76</f>
        <v>5.8</v>
      </c>
      <c r="G76" s="480"/>
      <c r="H76" s="48"/>
      <c r="I76" s="480"/>
      <c r="J76" s="48"/>
      <c r="K76" s="480"/>
      <c r="L76" s="48">
        <f t="shared" si="12"/>
        <v>0</v>
      </c>
      <c r="M76" s="48">
        <f t="shared" si="11"/>
        <v>0</v>
      </c>
    </row>
    <row r="77" spans="1:13" ht="15.75" x14ac:dyDescent="0.25">
      <c r="A77" s="963"/>
      <c r="B77" s="475"/>
      <c r="C77" s="326" t="s">
        <v>525</v>
      </c>
      <c r="D77" s="47" t="s">
        <v>147</v>
      </c>
      <c r="E77" s="47"/>
      <c r="F77" s="47">
        <v>4</v>
      </c>
      <c r="G77" s="480"/>
      <c r="H77" s="48">
        <f t="shared" si="9"/>
        <v>0</v>
      </c>
      <c r="I77" s="480"/>
      <c r="J77" s="48"/>
      <c r="K77" s="480"/>
      <c r="L77" s="48"/>
      <c r="M77" s="48">
        <f t="shared" si="11"/>
        <v>0</v>
      </c>
    </row>
    <row r="78" spans="1:13" ht="15.75" x14ac:dyDescent="0.25">
      <c r="A78" s="963"/>
      <c r="B78" s="475"/>
      <c r="C78" s="354" t="s">
        <v>526</v>
      </c>
      <c r="D78" s="355" t="s">
        <v>147</v>
      </c>
      <c r="E78" s="47"/>
      <c r="F78" s="47">
        <v>2</v>
      </c>
      <c r="G78" s="480"/>
      <c r="H78" s="48">
        <f t="shared" si="9"/>
        <v>0</v>
      </c>
      <c r="I78" s="480"/>
      <c r="J78" s="48"/>
      <c r="K78" s="480"/>
      <c r="L78" s="48"/>
      <c r="M78" s="48">
        <f t="shared" si="11"/>
        <v>0</v>
      </c>
    </row>
    <row r="79" spans="1:13" ht="18" x14ac:dyDescent="0.25">
      <c r="A79" s="963"/>
      <c r="B79" s="475"/>
      <c r="C79" s="354" t="s">
        <v>527</v>
      </c>
      <c r="D79" s="355" t="s">
        <v>147</v>
      </c>
      <c r="E79" s="47"/>
      <c r="F79" s="47">
        <v>4</v>
      </c>
      <c r="G79" s="480"/>
      <c r="H79" s="48">
        <f t="shared" si="9"/>
        <v>0</v>
      </c>
      <c r="I79" s="480"/>
      <c r="J79" s="48"/>
      <c r="K79" s="480"/>
      <c r="L79" s="48"/>
      <c r="M79" s="48">
        <f t="shared" si="11"/>
        <v>0</v>
      </c>
    </row>
    <row r="80" spans="1:13" ht="18" x14ac:dyDescent="0.25">
      <c r="A80" s="963"/>
      <c r="B80" s="475"/>
      <c r="C80" s="354" t="s">
        <v>528</v>
      </c>
      <c r="D80" s="355" t="s">
        <v>147</v>
      </c>
      <c r="E80" s="47"/>
      <c r="F80" s="47">
        <v>4</v>
      </c>
      <c r="G80" s="480"/>
      <c r="H80" s="48">
        <f t="shared" si="9"/>
        <v>0</v>
      </c>
      <c r="I80" s="480"/>
      <c r="J80" s="48"/>
      <c r="K80" s="480"/>
      <c r="L80" s="48"/>
      <c r="M80" s="48">
        <f t="shared" si="11"/>
        <v>0</v>
      </c>
    </row>
    <row r="81" spans="1:13" ht="15.75" x14ac:dyDescent="0.25">
      <c r="A81" s="963"/>
      <c r="B81" s="475"/>
      <c r="C81" s="354" t="s">
        <v>529</v>
      </c>
      <c r="D81" s="355" t="s">
        <v>147</v>
      </c>
      <c r="E81" s="47"/>
      <c r="F81" s="47">
        <v>2</v>
      </c>
      <c r="G81" s="480"/>
      <c r="H81" s="48">
        <f t="shared" si="9"/>
        <v>0</v>
      </c>
      <c r="I81" s="480"/>
      <c r="J81" s="48"/>
      <c r="K81" s="480"/>
      <c r="L81" s="48"/>
      <c r="M81" s="48">
        <f t="shared" si="11"/>
        <v>0</v>
      </c>
    </row>
    <row r="82" spans="1:13" ht="15.75" x14ac:dyDescent="0.25">
      <c r="A82" s="963"/>
      <c r="B82" s="475"/>
      <c r="C82" s="354" t="s">
        <v>530</v>
      </c>
      <c r="D82" s="355" t="s">
        <v>147</v>
      </c>
      <c r="E82" s="47"/>
      <c r="F82" s="47">
        <v>2</v>
      </c>
      <c r="G82" s="480"/>
      <c r="H82" s="48">
        <f t="shared" si="9"/>
        <v>0</v>
      </c>
      <c r="I82" s="480"/>
      <c r="J82" s="48"/>
      <c r="K82" s="480"/>
      <c r="L82" s="48"/>
      <c r="M82" s="48">
        <f t="shared" si="11"/>
        <v>0</v>
      </c>
    </row>
    <row r="83" spans="1:13" ht="15.75" x14ac:dyDescent="0.25">
      <c r="A83" s="963"/>
      <c r="B83" s="475"/>
      <c r="C83" s="354" t="s">
        <v>531</v>
      </c>
      <c r="D83" s="355" t="s">
        <v>147</v>
      </c>
      <c r="E83" s="47"/>
      <c r="F83" s="47">
        <v>2</v>
      </c>
      <c r="G83" s="480"/>
      <c r="H83" s="48">
        <f t="shared" si="9"/>
        <v>0</v>
      </c>
      <c r="I83" s="480"/>
      <c r="J83" s="48"/>
      <c r="K83" s="480"/>
      <c r="L83" s="48"/>
      <c r="M83" s="48">
        <f t="shared" si="11"/>
        <v>0</v>
      </c>
    </row>
    <row r="84" spans="1:13" ht="15.75" x14ac:dyDescent="0.25">
      <c r="A84" s="964"/>
      <c r="B84" s="479"/>
      <c r="C84" s="326" t="s">
        <v>122</v>
      </c>
      <c r="D84" s="47" t="s">
        <v>471</v>
      </c>
      <c r="E84" s="47">
        <v>0.2</v>
      </c>
      <c r="F84" s="47">
        <f>F74*E84</f>
        <v>4</v>
      </c>
      <c r="G84" s="480"/>
      <c r="H84" s="48">
        <f t="shared" si="9"/>
        <v>0</v>
      </c>
      <c r="I84" s="480"/>
      <c r="J84" s="48"/>
      <c r="K84" s="480"/>
      <c r="L84" s="48"/>
      <c r="M84" s="48">
        <f t="shared" si="11"/>
        <v>0</v>
      </c>
    </row>
    <row r="85" spans="1:13" ht="31.5" x14ac:dyDescent="0.25">
      <c r="A85" s="382" t="s">
        <v>12</v>
      </c>
      <c r="B85" s="382"/>
      <c r="C85" s="237" t="s">
        <v>532</v>
      </c>
      <c r="D85" s="237" t="s">
        <v>94</v>
      </c>
      <c r="E85" s="237"/>
      <c r="F85" s="237">
        <v>50</v>
      </c>
      <c r="G85" s="138"/>
      <c r="H85" s="48"/>
      <c r="I85" s="126"/>
      <c r="J85" s="48"/>
      <c r="K85" s="126"/>
      <c r="L85" s="48"/>
      <c r="M85" s="48">
        <f t="shared" si="11"/>
        <v>0</v>
      </c>
    </row>
    <row r="86" spans="1:13" ht="47.25" x14ac:dyDescent="0.25">
      <c r="A86" s="953">
        <v>1</v>
      </c>
      <c r="B86" s="45" t="s">
        <v>174</v>
      </c>
      <c r="C86" s="265" t="s">
        <v>533</v>
      </c>
      <c r="D86" s="38" t="s">
        <v>66</v>
      </c>
      <c r="E86" s="88"/>
      <c r="F86" s="436">
        <f>F85*0.5*1</f>
        <v>25</v>
      </c>
      <c r="G86" s="42"/>
      <c r="H86" s="48"/>
      <c r="I86" s="42"/>
      <c r="J86" s="48"/>
      <c r="K86" s="42"/>
      <c r="L86" s="48"/>
      <c r="M86" s="48"/>
    </row>
    <row r="87" spans="1:13" ht="15.75" x14ac:dyDescent="0.25">
      <c r="A87" s="954"/>
      <c r="B87" s="45"/>
      <c r="C87" s="111" t="s">
        <v>17</v>
      </c>
      <c r="D87" s="45" t="s">
        <v>18</v>
      </c>
      <c r="E87" s="47">
        <v>2.06</v>
      </c>
      <c r="F87" s="263">
        <f>E87*F86</f>
        <v>51.5</v>
      </c>
      <c r="G87" s="48"/>
      <c r="H87" s="48"/>
      <c r="I87" s="48"/>
      <c r="J87" s="48">
        <f>F87*I87</f>
        <v>0</v>
      </c>
      <c r="K87" s="48"/>
      <c r="L87" s="48"/>
      <c r="M87" s="48">
        <f>H87+J87+L87</f>
        <v>0</v>
      </c>
    </row>
    <row r="88" spans="1:13" ht="47.25" x14ac:dyDescent="0.25">
      <c r="A88" s="953">
        <v>2</v>
      </c>
      <c r="B88" s="45" t="s">
        <v>534</v>
      </c>
      <c r="C88" s="490" t="s">
        <v>535</v>
      </c>
      <c r="D88" s="38" t="s">
        <v>66</v>
      </c>
      <c r="E88" s="88"/>
      <c r="F88" s="436">
        <f>F85*0.5*0.2</f>
        <v>5</v>
      </c>
      <c r="G88" s="491"/>
      <c r="H88" s="48"/>
      <c r="I88" s="126"/>
      <c r="J88" s="48"/>
      <c r="K88" s="126"/>
      <c r="L88" s="48"/>
      <c r="M88" s="48"/>
    </row>
    <row r="89" spans="1:13" ht="15.75" x14ac:dyDescent="0.25">
      <c r="A89" s="954"/>
      <c r="B89" s="45"/>
      <c r="C89" s="111" t="s">
        <v>17</v>
      </c>
      <c r="D89" s="45" t="s">
        <v>9</v>
      </c>
      <c r="E89" s="47">
        <f>18/10</f>
        <v>1.8</v>
      </c>
      <c r="F89" s="263">
        <f>E89*F88</f>
        <v>9</v>
      </c>
      <c r="G89" s="48"/>
      <c r="H89" s="48"/>
      <c r="I89" s="48"/>
      <c r="J89" s="48">
        <f>F89*I89</f>
        <v>0</v>
      </c>
      <c r="K89" s="48"/>
      <c r="L89" s="48"/>
      <c r="M89" s="48">
        <f>H89+J89+L89</f>
        <v>0</v>
      </c>
    </row>
    <row r="90" spans="1:13" ht="15.75" x14ac:dyDescent="0.25">
      <c r="A90" s="955"/>
      <c r="B90" s="45"/>
      <c r="C90" s="111" t="s">
        <v>536</v>
      </c>
      <c r="D90" s="45" t="s">
        <v>59</v>
      </c>
      <c r="E90" s="47">
        <v>1.1000000000000001</v>
      </c>
      <c r="F90" s="263">
        <f>F88*E90</f>
        <v>5.5</v>
      </c>
      <c r="G90" s="48"/>
      <c r="H90" s="48">
        <f>F90*G90</f>
        <v>0</v>
      </c>
      <c r="I90" s="483"/>
      <c r="J90" s="48"/>
      <c r="K90" s="48"/>
      <c r="L90" s="48"/>
      <c r="M90" s="48">
        <f>H90+J90+L90</f>
        <v>0</v>
      </c>
    </row>
    <row r="91" spans="1:13" ht="63" x14ac:dyDescent="0.25">
      <c r="A91" s="953">
        <v>3</v>
      </c>
      <c r="B91" s="45" t="s">
        <v>490</v>
      </c>
      <c r="C91" s="265" t="s">
        <v>485</v>
      </c>
      <c r="D91" s="38" t="s">
        <v>94</v>
      </c>
      <c r="E91" s="88"/>
      <c r="F91" s="436">
        <f>F85</f>
        <v>50</v>
      </c>
      <c r="G91" s="42"/>
      <c r="H91" s="48"/>
      <c r="I91" s="42"/>
      <c r="J91" s="48"/>
      <c r="K91" s="42"/>
      <c r="L91" s="48"/>
      <c r="M91" s="48"/>
    </row>
    <row r="92" spans="1:13" ht="15.75" x14ac:dyDescent="0.25">
      <c r="A92" s="954"/>
      <c r="B92" s="45"/>
      <c r="C92" s="111" t="s">
        <v>486</v>
      </c>
      <c r="D92" s="45" t="s">
        <v>205</v>
      </c>
      <c r="E92" s="46">
        <f>117*0.01</f>
        <v>1.17</v>
      </c>
      <c r="F92" s="47">
        <f>F91*E92</f>
        <v>58.5</v>
      </c>
      <c r="G92" s="48"/>
      <c r="H92" s="33"/>
      <c r="I92" s="48"/>
      <c r="J92" s="33">
        <f t="shared" ref="J92" si="15">F92*I92</f>
        <v>0</v>
      </c>
      <c r="K92" s="48"/>
      <c r="L92" s="33"/>
      <c r="M92" s="33">
        <f t="shared" ref="M92:M96" si="16">H92+J92+L92</f>
        <v>0</v>
      </c>
    </row>
    <row r="93" spans="1:13" ht="15.75" x14ac:dyDescent="0.25">
      <c r="A93" s="954"/>
      <c r="B93" s="45"/>
      <c r="C93" s="111" t="s">
        <v>491</v>
      </c>
      <c r="D93" s="45" t="s">
        <v>25</v>
      </c>
      <c r="E93" s="46">
        <f>1.72*0.01</f>
        <v>1.72E-2</v>
      </c>
      <c r="F93" s="47">
        <f>F91*E93</f>
        <v>0.86</v>
      </c>
      <c r="G93" s="48"/>
      <c r="H93" s="33"/>
      <c r="I93" s="48"/>
      <c r="J93" s="33"/>
      <c r="K93" s="48"/>
      <c r="L93" s="33">
        <f t="shared" ref="L93" si="17">F93*K93</f>
        <v>0</v>
      </c>
      <c r="M93" s="33">
        <f t="shared" si="16"/>
        <v>0</v>
      </c>
    </row>
    <row r="94" spans="1:13" ht="30.75" x14ac:dyDescent="0.25">
      <c r="A94" s="954"/>
      <c r="B94" s="45"/>
      <c r="C94" s="111" t="s">
        <v>972</v>
      </c>
      <c r="D94" s="45" t="s">
        <v>488</v>
      </c>
      <c r="E94" s="46">
        <v>1</v>
      </c>
      <c r="F94" s="47">
        <f>F91*E94</f>
        <v>50</v>
      </c>
      <c r="G94" s="48"/>
      <c r="H94" s="33">
        <f t="shared" ref="H94:H96" si="18">F94*G94</f>
        <v>0</v>
      </c>
      <c r="I94" s="48"/>
      <c r="J94" s="33"/>
      <c r="K94" s="48"/>
      <c r="L94" s="33"/>
      <c r="M94" s="33">
        <f t="shared" si="16"/>
        <v>0</v>
      </c>
    </row>
    <row r="95" spans="1:13" ht="31.5" x14ac:dyDescent="0.25">
      <c r="A95" s="954"/>
      <c r="B95" s="45"/>
      <c r="C95" s="111" t="s">
        <v>489</v>
      </c>
      <c r="D95" s="45" t="s">
        <v>202</v>
      </c>
      <c r="E95" s="46">
        <v>0.152</v>
      </c>
      <c r="F95" s="47">
        <f>F91*E95</f>
        <v>7.6</v>
      </c>
      <c r="G95" s="48"/>
      <c r="H95" s="33">
        <f t="shared" si="18"/>
        <v>0</v>
      </c>
      <c r="I95" s="48"/>
      <c r="J95" s="33"/>
      <c r="K95" s="48"/>
      <c r="L95" s="33"/>
      <c r="M95" s="33">
        <f t="shared" si="16"/>
        <v>0</v>
      </c>
    </row>
    <row r="96" spans="1:13" ht="15.75" x14ac:dyDescent="0.25">
      <c r="A96" s="955"/>
      <c r="B96" s="45"/>
      <c r="C96" s="111" t="s">
        <v>459</v>
      </c>
      <c r="D96" s="45" t="s">
        <v>25</v>
      </c>
      <c r="E96" s="46">
        <f>3.93*0.01</f>
        <v>3.9300000000000002E-2</v>
      </c>
      <c r="F96" s="47">
        <f>F91*E96</f>
        <v>1.9650000000000001</v>
      </c>
      <c r="G96" s="48"/>
      <c r="H96" s="33">
        <f t="shared" si="18"/>
        <v>0</v>
      </c>
      <c r="I96" s="48"/>
      <c r="J96" s="33"/>
      <c r="K96" s="48"/>
      <c r="L96" s="33"/>
      <c r="M96" s="33">
        <f t="shared" si="16"/>
        <v>0</v>
      </c>
    </row>
    <row r="97" spans="1:13" ht="15.75" x14ac:dyDescent="0.25">
      <c r="A97" s="953" t="s">
        <v>394</v>
      </c>
      <c r="B97" s="45" t="s">
        <v>187</v>
      </c>
      <c r="C97" s="265" t="s">
        <v>538</v>
      </c>
      <c r="D97" s="45" t="s">
        <v>74</v>
      </c>
      <c r="E97" s="47"/>
      <c r="F97" s="436">
        <f>F85*0.5*0.8</f>
        <v>20</v>
      </c>
      <c r="G97" s="48"/>
      <c r="H97" s="48"/>
      <c r="I97" s="48"/>
      <c r="J97" s="48"/>
      <c r="K97" s="48"/>
      <c r="L97" s="48"/>
      <c r="M97" s="48"/>
    </row>
    <row r="98" spans="1:13" ht="15.75" x14ac:dyDescent="0.25">
      <c r="A98" s="955"/>
      <c r="B98" s="45"/>
      <c r="C98" s="111" t="s">
        <v>486</v>
      </c>
      <c r="D98" s="45" t="s">
        <v>205</v>
      </c>
      <c r="E98" s="47">
        <v>1.21</v>
      </c>
      <c r="F98" s="263">
        <f>F97*E98</f>
        <v>24.2</v>
      </c>
      <c r="G98" s="48"/>
      <c r="H98" s="48"/>
      <c r="I98" s="48"/>
      <c r="J98" s="48">
        <f>F98*I98</f>
        <v>0</v>
      </c>
      <c r="K98" s="48"/>
      <c r="L98" s="48"/>
      <c r="M98" s="48">
        <f>H98+J98+L98</f>
        <v>0</v>
      </c>
    </row>
    <row r="99" spans="1:13" ht="27" x14ac:dyDescent="0.25">
      <c r="A99" s="878" t="s">
        <v>398</v>
      </c>
      <c r="B99" s="467" t="s">
        <v>174</v>
      </c>
      <c r="C99" s="495" t="s">
        <v>541</v>
      </c>
      <c r="D99" s="496"/>
      <c r="E99" s="497"/>
      <c r="F99" s="436">
        <f>F85*0.5*0.2*1.65</f>
        <v>8.25</v>
      </c>
      <c r="G99" s="409"/>
      <c r="H99" s="414"/>
      <c r="I99" s="409"/>
      <c r="J99" s="414"/>
      <c r="K99" s="498"/>
      <c r="L99" s="414"/>
      <c r="M99" s="414"/>
    </row>
    <row r="100" spans="1:13" ht="15.75" x14ac:dyDescent="0.25">
      <c r="A100" s="895"/>
      <c r="B100" s="38"/>
      <c r="C100" s="111" t="s">
        <v>17</v>
      </c>
      <c r="D100" s="45" t="s">
        <v>18</v>
      </c>
      <c r="E100" s="47">
        <v>2.06</v>
      </c>
      <c r="F100" s="263">
        <f>E100*F99</f>
        <v>16.995000000000001</v>
      </c>
      <c r="G100" s="48"/>
      <c r="H100" s="48"/>
      <c r="I100" s="48"/>
      <c r="J100" s="48">
        <f>F100*I100</f>
        <v>0</v>
      </c>
      <c r="K100" s="48"/>
      <c r="L100" s="48"/>
      <c r="M100" s="48">
        <f>H100+J100+L100</f>
        <v>0</v>
      </c>
    </row>
    <row r="101" spans="1:13" ht="15.75" x14ac:dyDescent="0.25">
      <c r="A101" s="120"/>
      <c r="B101" s="38"/>
      <c r="C101" s="111"/>
      <c r="D101" s="45"/>
      <c r="E101" s="47"/>
      <c r="F101" s="263"/>
      <c r="G101" s="48"/>
      <c r="H101" s="48"/>
      <c r="I101" s="48"/>
      <c r="J101" s="48"/>
      <c r="K101" s="48"/>
      <c r="L101" s="48"/>
      <c r="M101" s="48"/>
    </row>
    <row r="102" spans="1:13" ht="31.5" x14ac:dyDescent="0.25">
      <c r="A102" s="878" t="s">
        <v>404</v>
      </c>
      <c r="B102" s="38" t="s">
        <v>505</v>
      </c>
      <c r="C102" s="324" t="s">
        <v>506</v>
      </c>
      <c r="D102" s="88" t="s">
        <v>507</v>
      </c>
      <c r="E102" s="88"/>
      <c r="F102" s="436">
        <f>F85/100</f>
        <v>0.5</v>
      </c>
      <c r="G102" s="48"/>
      <c r="H102" s="48"/>
      <c r="I102" s="48"/>
      <c r="J102" s="48"/>
      <c r="K102" s="48"/>
      <c r="L102" s="48"/>
      <c r="M102" s="48">
        <f>H102+J102+L102</f>
        <v>0</v>
      </c>
    </row>
    <row r="103" spans="1:13" ht="31.5" x14ac:dyDescent="0.25">
      <c r="A103" s="879"/>
      <c r="B103" s="45"/>
      <c r="C103" s="326" t="s">
        <v>486</v>
      </c>
      <c r="D103" s="47" t="s">
        <v>205</v>
      </c>
      <c r="E103" s="47">
        <v>5.16</v>
      </c>
      <c r="F103" s="47">
        <f>F102*E103</f>
        <v>2.58</v>
      </c>
      <c r="G103" s="48"/>
      <c r="H103" s="48"/>
      <c r="I103" s="48"/>
      <c r="J103" s="48">
        <f>F103*I103</f>
        <v>0</v>
      </c>
      <c r="K103" s="48"/>
      <c r="L103" s="48"/>
      <c r="M103" s="48">
        <f>H103+J103+L103</f>
        <v>0</v>
      </c>
    </row>
    <row r="104" spans="1:13" ht="15.75" x14ac:dyDescent="0.25">
      <c r="A104" s="879"/>
      <c r="B104" s="862"/>
      <c r="C104" s="326"/>
      <c r="D104" s="864"/>
      <c r="E104" s="864"/>
      <c r="F104" s="864"/>
      <c r="G104" s="863"/>
      <c r="H104" s="863"/>
      <c r="I104" s="863"/>
      <c r="J104" s="863"/>
      <c r="K104" s="863"/>
      <c r="L104" s="863"/>
      <c r="M104" s="863"/>
    </row>
    <row r="105" spans="1:13" ht="15.75" x14ac:dyDescent="0.25">
      <c r="A105" s="879"/>
      <c r="B105" s="45"/>
      <c r="C105" s="326" t="s">
        <v>487</v>
      </c>
      <c r="D105" s="47" t="s">
        <v>25</v>
      </c>
      <c r="E105" s="47">
        <v>0</v>
      </c>
      <c r="F105" s="47">
        <f>F102*E105</f>
        <v>0</v>
      </c>
      <c r="G105" s="48"/>
      <c r="H105" s="48"/>
      <c r="I105" s="48"/>
      <c r="J105" s="48"/>
      <c r="K105" s="48"/>
      <c r="L105" s="48"/>
      <c r="M105" s="48">
        <f>H105+J105+L105</f>
        <v>0</v>
      </c>
    </row>
    <row r="106" spans="1:13" ht="15.75" x14ac:dyDescent="0.25">
      <c r="A106" s="879"/>
      <c r="B106" s="45"/>
      <c r="C106" s="326" t="s">
        <v>508</v>
      </c>
      <c r="D106" s="47" t="s">
        <v>74</v>
      </c>
      <c r="E106" s="47">
        <v>1</v>
      </c>
      <c r="F106" s="47">
        <f>F102*E106</f>
        <v>0.5</v>
      </c>
      <c r="G106" s="48"/>
      <c r="H106" s="48">
        <f t="shared" ref="H106" si="19">F106*G106</f>
        <v>0</v>
      </c>
      <c r="I106" s="48"/>
      <c r="J106" s="48"/>
      <c r="K106" s="48"/>
      <c r="L106" s="48"/>
      <c r="M106" s="48">
        <f>H106+J106+L106</f>
        <v>0</v>
      </c>
    </row>
    <row r="107" spans="1:13" ht="15.75" x14ac:dyDescent="0.25">
      <c r="A107" s="895"/>
      <c r="B107" s="45"/>
      <c r="C107" s="326" t="s">
        <v>122</v>
      </c>
      <c r="D107" s="47" t="s">
        <v>7</v>
      </c>
      <c r="E107" s="47">
        <v>0.11</v>
      </c>
      <c r="F107" s="47">
        <f>F102*E107</f>
        <v>5.5E-2</v>
      </c>
      <c r="G107" s="48"/>
      <c r="H107" s="48"/>
      <c r="I107" s="48"/>
      <c r="J107" s="48"/>
      <c r="K107" s="48"/>
      <c r="L107" s="48"/>
      <c r="M107" s="48">
        <f>H107+J107+L107</f>
        <v>0</v>
      </c>
    </row>
    <row r="108" spans="1:13" ht="15.75" x14ac:dyDescent="0.25">
      <c r="A108" s="499"/>
      <c r="B108" s="360"/>
      <c r="C108" s="500"/>
      <c r="D108" s="88"/>
      <c r="E108" s="493"/>
      <c r="F108" s="88"/>
      <c r="G108" s="491"/>
      <c r="H108" s="48"/>
      <c r="I108" s="491"/>
      <c r="J108" s="48"/>
      <c r="K108" s="491"/>
      <c r="L108" s="48"/>
      <c r="M108" s="114"/>
    </row>
    <row r="109" spans="1:13" ht="27" x14ac:dyDescent="0.25">
      <c r="A109" s="501" t="s">
        <v>104</v>
      </c>
      <c r="B109" s="502"/>
      <c r="C109" s="503" t="s">
        <v>542</v>
      </c>
      <c r="D109" s="467" t="s">
        <v>242</v>
      </c>
      <c r="E109" s="504"/>
      <c r="F109" s="505">
        <v>1</v>
      </c>
      <c r="G109" s="506"/>
      <c r="H109" s="414"/>
      <c r="I109" s="409"/>
      <c r="J109" s="414"/>
      <c r="K109" s="409"/>
      <c r="L109" s="414"/>
      <c r="M109" s="406"/>
    </row>
    <row r="110" spans="1:13" ht="40.5" x14ac:dyDescent="0.25">
      <c r="A110" s="953" t="s">
        <v>543</v>
      </c>
      <c r="B110" s="507" t="s">
        <v>64</v>
      </c>
      <c r="C110" s="508" t="s">
        <v>544</v>
      </c>
      <c r="D110" s="507" t="s">
        <v>74</v>
      </c>
      <c r="E110" s="509"/>
      <c r="F110" s="436">
        <f>3.14*0.65*0.65*1.2*F109</f>
        <v>1.5919800000000004</v>
      </c>
      <c r="G110" s="510"/>
      <c r="H110" s="414"/>
      <c r="I110" s="510"/>
      <c r="J110" s="414"/>
      <c r="K110" s="510"/>
      <c r="L110" s="414"/>
      <c r="M110" s="406"/>
    </row>
    <row r="111" spans="1:13" x14ac:dyDescent="0.25">
      <c r="A111" s="955"/>
      <c r="B111" s="507"/>
      <c r="C111" s="511" t="s">
        <v>73</v>
      </c>
      <c r="D111" s="507" t="s">
        <v>545</v>
      </c>
      <c r="E111" s="512">
        <v>3.88</v>
      </c>
      <c r="F111" s="513">
        <f>E111*F110</f>
        <v>6.1768824000000011</v>
      </c>
      <c r="G111" s="510"/>
      <c r="H111" s="414"/>
      <c r="I111" s="510"/>
      <c r="J111" s="414">
        <f>F111*I111</f>
        <v>0</v>
      </c>
      <c r="K111" s="510"/>
      <c r="L111" s="414"/>
      <c r="M111" s="406">
        <f t="shared" ref="M111" si="20">H111+J111+L111</f>
        <v>0</v>
      </c>
    </row>
    <row r="112" spans="1:13" ht="47.25" x14ac:dyDescent="0.25">
      <c r="A112" s="960">
        <v>9.1999999999999993</v>
      </c>
      <c r="B112" s="936" t="s">
        <v>546</v>
      </c>
      <c r="C112" s="514" t="s">
        <v>547</v>
      </c>
      <c r="D112" s="515" t="s">
        <v>147</v>
      </c>
      <c r="E112" s="47"/>
      <c r="F112" s="436">
        <f>F109</f>
        <v>1</v>
      </c>
      <c r="G112" s="48"/>
      <c r="H112" s="48"/>
      <c r="I112" s="48"/>
      <c r="J112" s="48"/>
      <c r="K112" s="48"/>
      <c r="L112" s="48"/>
      <c r="M112" s="48"/>
    </row>
    <row r="113" spans="1:13" ht="31.5" x14ac:dyDescent="0.25">
      <c r="A113" s="960"/>
      <c r="B113" s="936"/>
      <c r="C113" s="516" t="s">
        <v>73</v>
      </c>
      <c r="D113" s="515" t="s">
        <v>9</v>
      </c>
      <c r="E113" s="47">
        <v>17.2</v>
      </c>
      <c r="F113" s="47">
        <f>F112*E113</f>
        <v>17.2</v>
      </c>
      <c r="G113" s="48"/>
      <c r="H113" s="48"/>
      <c r="I113" s="48"/>
      <c r="J113" s="48">
        <f>F113*I113</f>
        <v>0</v>
      </c>
      <c r="K113" s="48"/>
      <c r="L113" s="48"/>
      <c r="M113" s="48">
        <f>H113+J113+L113</f>
        <v>0</v>
      </c>
    </row>
    <row r="114" spans="1:13" ht="15.75" x14ac:dyDescent="0.25">
      <c r="A114" s="960"/>
      <c r="B114" s="936"/>
      <c r="C114" s="516" t="s">
        <v>342</v>
      </c>
      <c r="D114" s="515" t="s">
        <v>7</v>
      </c>
      <c r="E114" s="47">
        <v>8.66</v>
      </c>
      <c r="F114" s="47">
        <f>F112*E114</f>
        <v>8.66</v>
      </c>
      <c r="G114" s="517"/>
      <c r="H114" s="517"/>
      <c r="I114" s="48"/>
      <c r="J114" s="48"/>
      <c r="K114" s="48"/>
      <c r="L114" s="48">
        <f>F114*K114</f>
        <v>0</v>
      </c>
      <c r="M114" s="48">
        <f>H114+J114+L114</f>
        <v>0</v>
      </c>
    </row>
    <row r="115" spans="1:13" ht="31.5" x14ac:dyDescent="0.25">
      <c r="A115" s="960"/>
      <c r="B115" s="936"/>
      <c r="C115" s="516" t="s">
        <v>548</v>
      </c>
      <c r="D115" s="515" t="s">
        <v>147</v>
      </c>
      <c r="E115" s="47">
        <v>1</v>
      </c>
      <c r="F115" s="47">
        <f>F112*E115</f>
        <v>1</v>
      </c>
      <c r="G115" s="48"/>
      <c r="H115" s="48">
        <f t="shared" ref="H115:H126" si="21">F115*G115</f>
        <v>0</v>
      </c>
      <c r="I115" s="48"/>
      <c r="J115" s="48"/>
      <c r="K115" s="48"/>
      <c r="L115" s="48"/>
      <c r="M115" s="48">
        <f t="shared" ref="M115:M126" si="22">H115+J115+L115</f>
        <v>0</v>
      </c>
    </row>
    <row r="116" spans="1:13" ht="31.5" x14ac:dyDescent="0.25">
      <c r="A116" s="960"/>
      <c r="B116" s="936"/>
      <c r="C116" s="516" t="s">
        <v>549</v>
      </c>
      <c r="D116" s="515" t="s">
        <v>147</v>
      </c>
      <c r="E116" s="47">
        <v>1</v>
      </c>
      <c r="F116" s="47">
        <f>F112*E116</f>
        <v>1</v>
      </c>
      <c r="G116" s="48"/>
      <c r="H116" s="48">
        <f t="shared" si="21"/>
        <v>0</v>
      </c>
      <c r="I116" s="48"/>
      <c r="J116" s="48"/>
      <c r="K116" s="48"/>
      <c r="L116" s="48"/>
      <c r="M116" s="48">
        <f t="shared" si="22"/>
        <v>0</v>
      </c>
    </row>
    <row r="117" spans="1:13" ht="47.25" x14ac:dyDescent="0.25">
      <c r="A117" s="960"/>
      <c r="B117" s="936"/>
      <c r="C117" s="516" t="s">
        <v>550</v>
      </c>
      <c r="D117" s="515" t="s">
        <v>242</v>
      </c>
      <c r="E117" s="47">
        <v>1</v>
      </c>
      <c r="F117" s="47">
        <f>F112*E117</f>
        <v>1</v>
      </c>
      <c r="G117" s="48"/>
      <c r="H117" s="48">
        <f>F117*G117</f>
        <v>0</v>
      </c>
      <c r="I117" s="48"/>
      <c r="J117" s="48"/>
      <c r="K117" s="48"/>
      <c r="L117" s="48"/>
      <c r="M117" s="48">
        <f>H117+J117+L117</f>
        <v>0</v>
      </c>
    </row>
    <row r="118" spans="1:13" ht="15.75" x14ac:dyDescent="0.25">
      <c r="A118" s="960"/>
      <c r="B118" s="936"/>
      <c r="C118" s="516" t="s">
        <v>974</v>
      </c>
      <c r="D118" s="515" t="s">
        <v>14</v>
      </c>
      <c r="E118" s="47">
        <f>0.258+0.117</f>
        <v>0.375</v>
      </c>
      <c r="F118" s="47">
        <f>F112*E118</f>
        <v>0.375</v>
      </c>
      <c r="G118" s="48"/>
      <c r="H118" s="48">
        <f t="shared" si="21"/>
        <v>0</v>
      </c>
      <c r="I118" s="48"/>
      <c r="J118" s="48"/>
      <c r="K118" s="48"/>
      <c r="L118" s="48"/>
      <c r="M118" s="48">
        <f t="shared" si="22"/>
        <v>0</v>
      </c>
    </row>
    <row r="119" spans="1:13" ht="15.75" x14ac:dyDescent="0.25">
      <c r="A119" s="960"/>
      <c r="B119" s="936"/>
      <c r="C119" s="516" t="s">
        <v>551</v>
      </c>
      <c r="D119" s="515" t="s">
        <v>5</v>
      </c>
      <c r="E119" s="47">
        <v>61</v>
      </c>
      <c r="F119" s="47">
        <f>F112*E119</f>
        <v>61</v>
      </c>
      <c r="G119" s="809"/>
      <c r="H119" s="48">
        <f t="shared" si="21"/>
        <v>0</v>
      </c>
      <c r="I119" s="48"/>
      <c r="J119" s="48"/>
      <c r="K119" s="48"/>
      <c r="L119" s="48"/>
      <c r="M119" s="48">
        <f t="shared" si="22"/>
        <v>0</v>
      </c>
    </row>
    <row r="120" spans="1:13" ht="15.75" x14ac:dyDescent="0.25">
      <c r="A120" s="960"/>
      <c r="B120" s="936"/>
      <c r="C120" s="516" t="s">
        <v>552</v>
      </c>
      <c r="D120" s="515" t="s">
        <v>5</v>
      </c>
      <c r="E120" s="47">
        <v>5.0599999999999996</v>
      </c>
      <c r="F120" s="47">
        <f>F112*E120</f>
        <v>5.0599999999999996</v>
      </c>
      <c r="G120" s="800"/>
      <c r="H120" s="48">
        <f t="shared" si="21"/>
        <v>0</v>
      </c>
      <c r="I120" s="48"/>
      <c r="J120" s="48"/>
      <c r="K120" s="48"/>
      <c r="L120" s="48"/>
      <c r="M120" s="48">
        <f t="shared" si="22"/>
        <v>0</v>
      </c>
    </row>
    <row r="121" spans="1:13" ht="15.75" x14ac:dyDescent="0.25">
      <c r="A121" s="960"/>
      <c r="B121" s="936"/>
      <c r="C121" s="516" t="s">
        <v>122</v>
      </c>
      <c r="D121" s="515" t="s">
        <v>7</v>
      </c>
      <c r="E121" s="47">
        <v>7.39</v>
      </c>
      <c r="F121" s="47">
        <f>F112*E121</f>
        <v>7.39</v>
      </c>
      <c r="G121" s="48"/>
      <c r="H121" s="48">
        <f t="shared" si="21"/>
        <v>0</v>
      </c>
      <c r="I121" s="48"/>
      <c r="J121" s="48"/>
      <c r="K121" s="48"/>
      <c r="L121" s="48"/>
      <c r="M121" s="48">
        <f t="shared" si="22"/>
        <v>0</v>
      </c>
    </row>
    <row r="122" spans="1:13" ht="40.5" x14ac:dyDescent="0.25">
      <c r="A122" s="956">
        <v>5.3</v>
      </c>
      <c r="B122" s="518" t="s">
        <v>273</v>
      </c>
      <c r="C122" s="519" t="s">
        <v>553</v>
      </c>
      <c r="D122" s="520" t="s">
        <v>111</v>
      </c>
      <c r="E122" s="231"/>
      <c r="F122" s="521">
        <f>3.14*1.3*1*F109</f>
        <v>4.0820000000000007</v>
      </c>
      <c r="G122" s="522"/>
      <c r="H122" s="33"/>
      <c r="I122" s="523"/>
      <c r="J122" s="33"/>
      <c r="K122" s="523"/>
      <c r="L122" s="33"/>
      <c r="M122" s="26"/>
    </row>
    <row r="123" spans="1:13" ht="16.5" x14ac:dyDescent="0.25">
      <c r="A123" s="957"/>
      <c r="B123" s="520"/>
      <c r="C123" s="524" t="s">
        <v>157</v>
      </c>
      <c r="D123" s="520" t="s">
        <v>9</v>
      </c>
      <c r="E123" s="231">
        <v>0.33600000000000002</v>
      </c>
      <c r="F123" s="231">
        <f>F122*E123</f>
        <v>1.3715520000000003</v>
      </c>
      <c r="G123" s="525"/>
      <c r="H123" s="33"/>
      <c r="I123" s="523"/>
      <c r="J123" s="33">
        <f t="shared" ref="J123" si="23">F123*I123</f>
        <v>0</v>
      </c>
      <c r="K123" s="523"/>
      <c r="L123" s="33"/>
      <c r="M123" s="26">
        <f t="shared" si="22"/>
        <v>0</v>
      </c>
    </row>
    <row r="124" spans="1:13" ht="16.5" x14ac:dyDescent="0.25">
      <c r="A124" s="957"/>
      <c r="B124" s="520"/>
      <c r="C124" s="524" t="s">
        <v>8</v>
      </c>
      <c r="D124" s="520" t="s">
        <v>7</v>
      </c>
      <c r="E124" s="231">
        <v>1.4999999999999999E-2</v>
      </c>
      <c r="F124" s="231">
        <f>F122*E124</f>
        <v>6.1230000000000007E-2</v>
      </c>
      <c r="G124" s="523"/>
      <c r="H124" s="33"/>
      <c r="I124" s="523"/>
      <c r="J124" s="33"/>
      <c r="K124" s="523"/>
      <c r="L124" s="33">
        <f t="shared" ref="L124" si="24">F124*K124</f>
        <v>0</v>
      </c>
      <c r="M124" s="26">
        <f t="shared" si="22"/>
        <v>0</v>
      </c>
    </row>
    <row r="125" spans="1:13" ht="16.5" x14ac:dyDescent="0.25">
      <c r="A125" s="957"/>
      <c r="B125" s="520"/>
      <c r="C125" s="524" t="s">
        <v>275</v>
      </c>
      <c r="D125" s="520" t="s">
        <v>5</v>
      </c>
      <c r="E125" s="231">
        <v>2.4</v>
      </c>
      <c r="F125" s="231">
        <f>F122*E125</f>
        <v>9.7968000000000011</v>
      </c>
      <c r="G125" s="522"/>
      <c r="H125" s="33">
        <f t="shared" si="21"/>
        <v>0</v>
      </c>
      <c r="I125" s="523"/>
      <c r="J125" s="33"/>
      <c r="K125" s="523"/>
      <c r="L125" s="33"/>
      <c r="M125" s="26">
        <f t="shared" si="22"/>
        <v>0</v>
      </c>
    </row>
    <row r="126" spans="1:13" ht="16.5" x14ac:dyDescent="0.25">
      <c r="A126" s="958"/>
      <c r="B126" s="520"/>
      <c r="C126" s="524" t="s">
        <v>10</v>
      </c>
      <c r="D126" s="520" t="s">
        <v>7</v>
      </c>
      <c r="E126" s="231">
        <v>2.2800000000000001E-2</v>
      </c>
      <c r="F126" s="231">
        <f>F122*E126</f>
        <v>9.3069600000000016E-2</v>
      </c>
      <c r="G126" s="523"/>
      <c r="H126" s="33">
        <f t="shared" si="21"/>
        <v>0</v>
      </c>
      <c r="I126" s="523"/>
      <c r="J126" s="33"/>
      <c r="K126" s="523"/>
      <c r="L126" s="33"/>
      <c r="M126" s="26">
        <f t="shared" si="22"/>
        <v>0</v>
      </c>
    </row>
    <row r="127" spans="1:13" x14ac:dyDescent="0.25">
      <c r="A127" s="526"/>
      <c r="B127" s="507"/>
      <c r="C127" s="499"/>
      <c r="D127" s="507"/>
      <c r="E127" s="509"/>
      <c r="F127" s="527"/>
      <c r="G127" s="454"/>
      <c r="H127" s="414"/>
      <c r="I127" s="454"/>
      <c r="J127" s="414"/>
      <c r="K127" s="454"/>
      <c r="L127" s="414"/>
      <c r="M127" s="406"/>
    </row>
    <row r="128" spans="1:13" ht="31.5" x14ac:dyDescent="0.25">
      <c r="A128" s="953" t="s">
        <v>404</v>
      </c>
      <c r="B128" s="45" t="s">
        <v>187</v>
      </c>
      <c r="C128" s="119" t="s">
        <v>554</v>
      </c>
      <c r="D128" s="45" t="s">
        <v>74</v>
      </c>
      <c r="E128" s="47"/>
      <c r="F128" s="436">
        <f>F110</f>
        <v>1.5919800000000004</v>
      </c>
      <c r="G128" s="48"/>
      <c r="H128" s="48"/>
      <c r="I128" s="48"/>
      <c r="J128" s="48"/>
      <c r="K128" s="48"/>
      <c r="L128" s="48"/>
      <c r="M128" s="48"/>
    </row>
    <row r="129" spans="1:13" ht="15.75" x14ac:dyDescent="0.25">
      <c r="A129" s="955"/>
      <c r="B129" s="45"/>
      <c r="C129" s="111" t="s">
        <v>486</v>
      </c>
      <c r="D129" s="45" t="s">
        <v>205</v>
      </c>
      <c r="E129" s="47">
        <v>1.21</v>
      </c>
      <c r="F129" s="263">
        <f>F128*E129</f>
        <v>1.9262958000000003</v>
      </c>
      <c r="G129" s="48"/>
      <c r="H129" s="48"/>
      <c r="I129" s="48"/>
      <c r="J129" s="48">
        <f>F129*I129</f>
        <v>0</v>
      </c>
      <c r="K129" s="48"/>
      <c r="L129" s="48"/>
      <c r="M129" s="48">
        <f>H129+J129+L129</f>
        <v>0</v>
      </c>
    </row>
    <row r="130" spans="1:13" ht="15.75" x14ac:dyDescent="0.25">
      <c r="A130" s="511"/>
      <c r="B130" s="38"/>
      <c r="C130" s="500"/>
      <c r="D130" s="88"/>
      <c r="E130" s="493"/>
      <c r="F130" s="88"/>
      <c r="G130" s="491"/>
      <c r="H130" s="48"/>
      <c r="I130" s="491"/>
      <c r="J130" s="48"/>
      <c r="K130" s="491"/>
      <c r="L130" s="48"/>
      <c r="M130" s="48"/>
    </row>
    <row r="131" spans="1:13" ht="47.25" x14ac:dyDescent="0.25">
      <c r="A131" s="878" t="s">
        <v>90</v>
      </c>
      <c r="B131" s="529" t="s">
        <v>555</v>
      </c>
      <c r="C131" s="468" t="s">
        <v>556</v>
      </c>
      <c r="D131" s="88" t="s">
        <v>557</v>
      </c>
      <c r="E131" s="88"/>
      <c r="F131" s="41">
        <v>1</v>
      </c>
      <c r="G131" s="48"/>
      <c r="H131" s="48"/>
      <c r="I131" s="48"/>
      <c r="J131" s="48"/>
      <c r="K131" s="48"/>
      <c r="L131" s="48"/>
      <c r="M131" s="48">
        <f>H131+J131+L131</f>
        <v>0</v>
      </c>
    </row>
    <row r="132" spans="1:13" ht="15.75" x14ac:dyDescent="0.25">
      <c r="A132" s="879"/>
      <c r="B132" s="529"/>
      <c r="C132" s="111" t="s">
        <v>73</v>
      </c>
      <c r="D132" s="45" t="s">
        <v>9</v>
      </c>
      <c r="E132" s="47">
        <v>3.15</v>
      </c>
      <c r="F132" s="263">
        <f>F131*E132</f>
        <v>3.15</v>
      </c>
      <c r="G132" s="126"/>
      <c r="H132" s="48"/>
      <c r="I132" s="126"/>
      <c r="J132" s="48">
        <f>F132*I132</f>
        <v>0</v>
      </c>
      <c r="K132" s="126"/>
      <c r="L132" s="48"/>
      <c r="M132" s="48">
        <f>H132+J132+L132</f>
        <v>0</v>
      </c>
    </row>
    <row r="133" spans="1:13" ht="15.75" x14ac:dyDescent="0.25">
      <c r="A133" s="879"/>
      <c r="B133" s="529"/>
      <c r="C133" s="530" t="s">
        <v>8</v>
      </c>
      <c r="D133" s="529" t="s">
        <v>7</v>
      </c>
      <c r="E133" s="522">
        <v>0.84</v>
      </c>
      <c r="F133" s="531">
        <f>F131*E133</f>
        <v>0.84</v>
      </c>
      <c r="G133" s="126"/>
      <c r="H133" s="48"/>
      <c r="I133" s="126"/>
      <c r="J133" s="48"/>
      <c r="K133" s="126"/>
      <c r="L133" s="48">
        <f>F133*K133</f>
        <v>0</v>
      </c>
      <c r="M133" s="48">
        <f>H133+J133+L133</f>
        <v>0</v>
      </c>
    </row>
    <row r="134" spans="1:13" ht="15.75" x14ac:dyDescent="0.25">
      <c r="A134" s="879"/>
      <c r="B134" s="529"/>
      <c r="C134" s="530" t="s">
        <v>558</v>
      </c>
      <c r="D134" s="529" t="s">
        <v>516</v>
      </c>
      <c r="E134" s="522">
        <v>20</v>
      </c>
      <c r="F134" s="532">
        <f>E134*F131</f>
        <v>20</v>
      </c>
      <c r="G134" s="126"/>
      <c r="H134" s="48">
        <f>F134*G134</f>
        <v>0</v>
      </c>
      <c r="I134" s="126"/>
      <c r="J134" s="48"/>
      <c r="K134" s="126"/>
      <c r="L134" s="48"/>
      <c r="M134" s="48">
        <f>H134+J134+L134</f>
        <v>0</v>
      </c>
    </row>
    <row r="135" spans="1:13" ht="15.75" x14ac:dyDescent="0.25">
      <c r="A135" s="895"/>
      <c r="B135" s="529"/>
      <c r="C135" s="530" t="s">
        <v>10</v>
      </c>
      <c r="D135" s="529" t="s">
        <v>7</v>
      </c>
      <c r="E135" s="522">
        <v>0.47</v>
      </c>
      <c r="F135" s="531">
        <f>F131*E135</f>
        <v>0.47</v>
      </c>
      <c r="G135" s="126"/>
      <c r="H135" s="48">
        <f>F135*G135</f>
        <v>0</v>
      </c>
      <c r="I135" s="126"/>
      <c r="J135" s="48"/>
      <c r="K135" s="126"/>
      <c r="L135" s="48"/>
      <c r="M135" s="48">
        <f>H135+J135+L135</f>
        <v>0</v>
      </c>
    </row>
    <row r="136" spans="1:13" ht="15.75" x14ac:dyDescent="0.25">
      <c r="A136" s="118"/>
      <c r="B136" s="529"/>
      <c r="C136" s="530"/>
      <c r="D136" s="529"/>
      <c r="E136" s="522"/>
      <c r="F136" s="531"/>
      <c r="G136" s="138"/>
      <c r="H136" s="48"/>
      <c r="I136" s="126"/>
      <c r="J136" s="48"/>
      <c r="K136" s="126"/>
      <c r="L136" s="48"/>
      <c r="M136" s="48"/>
    </row>
    <row r="137" spans="1:13" ht="33" x14ac:dyDescent="0.25">
      <c r="A137" s="533" t="s">
        <v>559</v>
      </c>
      <c r="B137" s="534"/>
      <c r="C137" s="535" t="s">
        <v>560</v>
      </c>
      <c r="D137" s="536" t="s">
        <v>94</v>
      </c>
      <c r="E137" s="533"/>
      <c r="F137" s="537">
        <v>30</v>
      </c>
      <c r="G137" s="538"/>
      <c r="H137" s="48"/>
      <c r="I137" s="126"/>
      <c r="J137" s="48"/>
      <c r="K137" s="126"/>
      <c r="L137" s="48"/>
      <c r="M137" s="48"/>
    </row>
    <row r="138" spans="1:13" ht="47.25" x14ac:dyDescent="0.25">
      <c r="A138" s="953">
        <v>1</v>
      </c>
      <c r="B138" s="529" t="s">
        <v>174</v>
      </c>
      <c r="C138" s="539" t="s">
        <v>561</v>
      </c>
      <c r="D138" s="540" t="s">
        <v>66</v>
      </c>
      <c r="E138" s="541"/>
      <c r="F138" s="436">
        <f>F137*0.7*1</f>
        <v>21</v>
      </c>
      <c r="G138" s="538"/>
      <c r="H138" s="48"/>
      <c r="I138" s="538"/>
      <c r="J138" s="48"/>
      <c r="K138" s="538"/>
      <c r="L138" s="48"/>
      <c r="M138" s="48"/>
    </row>
    <row r="139" spans="1:13" ht="15.75" x14ac:dyDescent="0.25">
      <c r="A139" s="955"/>
      <c r="B139" s="542"/>
      <c r="C139" s="530" t="s">
        <v>73</v>
      </c>
      <c r="D139" s="529" t="s">
        <v>59</v>
      </c>
      <c r="E139" s="541">
        <v>2.06</v>
      </c>
      <c r="F139" s="532">
        <f>E139*F138</f>
        <v>43.26</v>
      </c>
      <c r="G139" s="138"/>
      <c r="H139" s="48"/>
      <c r="I139" s="138"/>
      <c r="J139" s="48">
        <f>F139*I139</f>
        <v>0</v>
      </c>
      <c r="K139" s="126"/>
      <c r="L139" s="48"/>
      <c r="M139" s="48">
        <f>H139+J139+L139</f>
        <v>0</v>
      </c>
    </row>
    <row r="140" spans="1:13" ht="31.5" x14ac:dyDescent="0.25">
      <c r="A140" s="961">
        <v>2</v>
      </c>
      <c r="B140" s="45" t="s">
        <v>534</v>
      </c>
      <c r="C140" s="490" t="s">
        <v>562</v>
      </c>
      <c r="D140" s="38" t="s">
        <v>66</v>
      </c>
      <c r="E140" s="88"/>
      <c r="F140" s="436">
        <f>0.7*0.35*F137-3.14*0.075*0.075*F137</f>
        <v>6.8201249999999991</v>
      </c>
      <c r="G140" s="138"/>
      <c r="H140" s="48"/>
      <c r="I140" s="138"/>
      <c r="J140" s="48"/>
      <c r="K140" s="126"/>
      <c r="L140" s="48"/>
      <c r="M140" s="48"/>
    </row>
    <row r="141" spans="1:13" ht="15.75" x14ac:dyDescent="0.25">
      <c r="A141" s="961"/>
      <c r="B141" s="45"/>
      <c r="C141" s="111" t="s">
        <v>17</v>
      </c>
      <c r="D141" s="45" t="s">
        <v>9</v>
      </c>
      <c r="E141" s="47">
        <f>18/10</f>
        <v>1.8</v>
      </c>
      <c r="F141" s="263">
        <f>E141*F140</f>
        <v>12.276224999999998</v>
      </c>
      <c r="G141" s="138"/>
      <c r="H141" s="48"/>
      <c r="I141" s="138"/>
      <c r="J141" s="48">
        <f>F141*I141</f>
        <v>0</v>
      </c>
      <c r="K141" s="126"/>
      <c r="L141" s="48"/>
      <c r="M141" s="48">
        <f>H141+J141+L141</f>
        <v>0</v>
      </c>
    </row>
    <row r="142" spans="1:13" ht="15.75" x14ac:dyDescent="0.25">
      <c r="A142" s="961"/>
      <c r="B142" s="45"/>
      <c r="C142" s="111" t="s">
        <v>536</v>
      </c>
      <c r="D142" s="45" t="s">
        <v>59</v>
      </c>
      <c r="E142" s="47">
        <v>1.1499999999999999</v>
      </c>
      <c r="F142" s="263">
        <f>F140*E142</f>
        <v>7.8431437499999985</v>
      </c>
      <c r="G142" s="138"/>
      <c r="H142" s="48">
        <f>F142*G142</f>
        <v>0</v>
      </c>
      <c r="I142" s="138"/>
      <c r="J142" s="48"/>
      <c r="K142" s="126"/>
      <c r="L142" s="48"/>
      <c r="M142" s="48">
        <f>H142+J142+L142</f>
        <v>0</v>
      </c>
    </row>
    <row r="143" spans="1:13" ht="31.5" x14ac:dyDescent="0.25">
      <c r="A143" s="953">
        <v>3</v>
      </c>
      <c r="B143" s="45" t="s">
        <v>563</v>
      </c>
      <c r="C143" s="490" t="s">
        <v>564</v>
      </c>
      <c r="D143" s="540" t="s">
        <v>94</v>
      </c>
      <c r="E143" s="232"/>
      <c r="F143" s="436">
        <f>F137</f>
        <v>30</v>
      </c>
      <c r="G143" s="491"/>
      <c r="H143" s="48"/>
      <c r="I143" s="126"/>
      <c r="J143" s="48"/>
      <c r="K143" s="126"/>
      <c r="L143" s="48"/>
      <c r="M143" s="48"/>
    </row>
    <row r="144" spans="1:13" ht="15.75" x14ac:dyDescent="0.25">
      <c r="A144" s="954"/>
      <c r="B144" s="529"/>
      <c r="C144" s="111" t="s">
        <v>73</v>
      </c>
      <c r="D144" s="45" t="s">
        <v>9</v>
      </c>
      <c r="E144" s="522">
        <f>95.9*0.001</f>
        <v>9.5900000000000013E-2</v>
      </c>
      <c r="F144" s="531">
        <f>F143*E144</f>
        <v>2.8770000000000002</v>
      </c>
      <c r="G144" s="126"/>
      <c r="H144" s="48"/>
      <c r="I144" s="126"/>
      <c r="J144" s="48">
        <f>F144*I144</f>
        <v>0</v>
      </c>
      <c r="K144" s="126"/>
      <c r="L144" s="48"/>
      <c r="M144" s="48">
        <f>H144+J144+L144</f>
        <v>0</v>
      </c>
    </row>
    <row r="145" spans="1:13" ht="15.75" x14ac:dyDescent="0.25">
      <c r="A145" s="954"/>
      <c r="B145" s="529"/>
      <c r="C145" s="530" t="s">
        <v>8</v>
      </c>
      <c r="D145" s="529" t="s">
        <v>7</v>
      </c>
      <c r="E145" s="522">
        <f>45.2/1000</f>
        <v>4.5200000000000004E-2</v>
      </c>
      <c r="F145" s="531">
        <f>F143*E145</f>
        <v>1.3560000000000001</v>
      </c>
      <c r="G145" s="543"/>
      <c r="H145" s="48"/>
      <c r="I145" s="543"/>
      <c r="J145" s="48"/>
      <c r="K145" s="543"/>
      <c r="L145" s="48">
        <f>F145*K145</f>
        <v>0</v>
      </c>
      <c r="M145" s="48">
        <f>H145+J145+L145</f>
        <v>0</v>
      </c>
    </row>
    <row r="146" spans="1:13" ht="31.5" x14ac:dyDescent="0.25">
      <c r="A146" s="954"/>
      <c r="B146" s="529"/>
      <c r="C146" s="530" t="s">
        <v>565</v>
      </c>
      <c r="D146" s="529" t="str">
        <f>D143</f>
        <v>g/m</v>
      </c>
      <c r="E146" s="522">
        <f>1010*0.001</f>
        <v>1.01</v>
      </c>
      <c r="F146" s="531">
        <f>F143*E146</f>
        <v>30.3</v>
      </c>
      <c r="G146" s="126"/>
      <c r="H146" s="48">
        <f>F146*G146</f>
        <v>0</v>
      </c>
      <c r="I146" s="126"/>
      <c r="J146" s="48"/>
      <c r="K146" s="126"/>
      <c r="L146" s="48"/>
      <c r="M146" s="48">
        <f>H146+J146+L146</f>
        <v>0</v>
      </c>
    </row>
    <row r="147" spans="1:13" ht="15.75" x14ac:dyDescent="0.25">
      <c r="A147" s="954"/>
      <c r="B147" s="529"/>
      <c r="C147" s="356" t="s">
        <v>566</v>
      </c>
      <c r="D147" s="160" t="s">
        <v>147</v>
      </c>
      <c r="E147" s="522"/>
      <c r="F147" s="531">
        <v>5</v>
      </c>
      <c r="G147" s="126"/>
      <c r="H147" s="48">
        <f>F147*G147</f>
        <v>0</v>
      </c>
      <c r="I147" s="126"/>
      <c r="J147" s="48"/>
      <c r="K147" s="126"/>
      <c r="L147" s="48"/>
      <c r="M147" s="48">
        <f>H147+J147+L147</f>
        <v>0</v>
      </c>
    </row>
    <row r="148" spans="1:13" ht="15.75" x14ac:dyDescent="0.25">
      <c r="A148" s="955"/>
      <c r="B148" s="529"/>
      <c r="C148" s="530" t="s">
        <v>10</v>
      </c>
      <c r="D148" s="529" t="s">
        <v>7</v>
      </c>
      <c r="E148" s="522">
        <f>0.6*0.001</f>
        <v>5.9999999999999995E-4</v>
      </c>
      <c r="F148" s="531">
        <f>F143*E148</f>
        <v>1.7999999999999999E-2</v>
      </c>
      <c r="G148" s="126"/>
      <c r="H148" s="48">
        <f>F148*G148</f>
        <v>0</v>
      </c>
      <c r="I148" s="126"/>
      <c r="J148" s="48"/>
      <c r="K148" s="126"/>
      <c r="L148" s="48"/>
      <c r="M148" s="48">
        <f>H148+J148+L148</f>
        <v>0</v>
      </c>
    </row>
    <row r="149" spans="1:13" ht="15.75" x14ac:dyDescent="0.25">
      <c r="A149" s="953" t="s">
        <v>394</v>
      </c>
      <c r="B149" s="45" t="s">
        <v>187</v>
      </c>
      <c r="C149" s="265" t="s">
        <v>538</v>
      </c>
      <c r="D149" s="45" t="s">
        <v>74</v>
      </c>
      <c r="E149" s="47"/>
      <c r="F149" s="436">
        <f>F137*0.7*(1-0.35)</f>
        <v>13.65</v>
      </c>
      <c r="G149" s="48"/>
      <c r="H149" s="48"/>
      <c r="I149" s="48"/>
      <c r="J149" s="48"/>
      <c r="K149" s="48"/>
      <c r="L149" s="48"/>
      <c r="M149" s="48"/>
    </row>
    <row r="150" spans="1:13" ht="15.75" x14ac:dyDescent="0.25">
      <c r="A150" s="955"/>
      <c r="B150" s="45"/>
      <c r="C150" s="111" t="s">
        <v>486</v>
      </c>
      <c r="D150" s="45" t="s">
        <v>205</v>
      </c>
      <c r="E150" s="47">
        <v>1.21</v>
      </c>
      <c r="F150" s="263">
        <f>F149*E150</f>
        <v>16.516500000000001</v>
      </c>
      <c r="G150" s="48"/>
      <c r="H150" s="48"/>
      <c r="I150" s="48"/>
      <c r="J150" s="48">
        <f>F150*I150</f>
        <v>0</v>
      </c>
      <c r="K150" s="48"/>
      <c r="L150" s="48"/>
      <c r="M150" s="48">
        <f>H150+J150+L150</f>
        <v>0</v>
      </c>
    </row>
    <row r="151" spans="1:13" ht="27" x14ac:dyDescent="0.25">
      <c r="A151" s="545" t="s">
        <v>398</v>
      </c>
      <c r="B151" s="502"/>
      <c r="C151" s="503" t="s">
        <v>568</v>
      </c>
      <c r="D151" s="467" t="s">
        <v>242</v>
      </c>
      <c r="E151" s="504"/>
      <c r="F151" s="505">
        <v>1</v>
      </c>
      <c r="G151" s="506"/>
      <c r="H151" s="414"/>
      <c r="I151" s="409"/>
      <c r="J151" s="414"/>
      <c r="K151" s="409"/>
      <c r="L151" s="414"/>
      <c r="M151" s="406"/>
    </row>
    <row r="152" spans="1:13" ht="40.5" x14ac:dyDescent="0.25">
      <c r="A152" s="953" t="s">
        <v>569</v>
      </c>
      <c r="B152" s="507" t="s">
        <v>64</v>
      </c>
      <c r="C152" s="508" t="s">
        <v>544</v>
      </c>
      <c r="D152" s="507" t="s">
        <v>74</v>
      </c>
      <c r="E152" s="509"/>
      <c r="F152" s="436">
        <f>3.14*0.65*0.65*1.2*F151</f>
        <v>1.5919800000000004</v>
      </c>
      <c r="G152" s="510"/>
      <c r="H152" s="414"/>
      <c r="I152" s="510"/>
      <c r="J152" s="414"/>
      <c r="K152" s="510"/>
      <c r="L152" s="414"/>
      <c r="M152" s="406"/>
    </row>
    <row r="153" spans="1:13" x14ac:dyDescent="0.25">
      <c r="A153" s="955"/>
      <c r="B153" s="507"/>
      <c r="C153" s="511" t="s">
        <v>73</v>
      </c>
      <c r="D153" s="507" t="s">
        <v>545</v>
      </c>
      <c r="E153" s="512">
        <v>3.88</v>
      </c>
      <c r="F153" s="513">
        <f>E153*F152</f>
        <v>6.1768824000000011</v>
      </c>
      <c r="G153" s="510"/>
      <c r="H153" s="414"/>
      <c r="I153" s="510"/>
      <c r="J153" s="414">
        <f>F153*I153</f>
        <v>0</v>
      </c>
      <c r="K153" s="510"/>
      <c r="L153" s="414"/>
      <c r="M153" s="406">
        <f t="shared" ref="M153:M168" si="25">H153+J153+L153</f>
        <v>0</v>
      </c>
    </row>
    <row r="154" spans="1:13" ht="27" x14ac:dyDescent="0.25">
      <c r="A154" s="953" t="s">
        <v>570</v>
      </c>
      <c r="B154" s="507" t="s">
        <v>571</v>
      </c>
      <c r="C154" s="546" t="s">
        <v>572</v>
      </c>
      <c r="D154" s="547" t="s">
        <v>26</v>
      </c>
      <c r="E154" s="548"/>
      <c r="F154" s="436">
        <f>F151</f>
        <v>1</v>
      </c>
      <c r="G154" s="549"/>
      <c r="H154" s="414"/>
      <c r="I154" s="454"/>
      <c r="J154" s="414"/>
      <c r="K154" s="454"/>
      <c r="L154" s="414"/>
      <c r="M154" s="406"/>
    </row>
    <row r="155" spans="1:13" x14ac:dyDescent="0.25">
      <c r="A155" s="954"/>
      <c r="B155" s="507"/>
      <c r="C155" s="511" t="s">
        <v>157</v>
      </c>
      <c r="D155" s="507" t="s">
        <v>9</v>
      </c>
      <c r="E155" s="509">
        <v>14.6</v>
      </c>
      <c r="F155" s="527">
        <f>F154*E155</f>
        <v>14.6</v>
      </c>
      <c r="G155" s="550"/>
      <c r="H155" s="414"/>
      <c r="I155" s="454"/>
      <c r="J155" s="414">
        <f>F155*I155</f>
        <v>0</v>
      </c>
      <c r="K155" s="454"/>
      <c r="L155" s="414"/>
      <c r="M155" s="406">
        <f t="shared" si="25"/>
        <v>0</v>
      </c>
    </row>
    <row r="156" spans="1:13" x14ac:dyDescent="0.25">
      <c r="A156" s="954"/>
      <c r="B156" s="507"/>
      <c r="C156" s="511" t="s">
        <v>8</v>
      </c>
      <c r="D156" s="507" t="s">
        <v>7</v>
      </c>
      <c r="E156" s="509">
        <v>5.5</v>
      </c>
      <c r="F156" s="527">
        <f>F154*E156</f>
        <v>5.5</v>
      </c>
      <c r="G156" s="454"/>
      <c r="H156" s="414"/>
      <c r="I156" s="454"/>
      <c r="J156" s="414"/>
      <c r="K156" s="454"/>
      <c r="L156" s="414">
        <f>F156*K156</f>
        <v>0</v>
      </c>
      <c r="M156" s="406">
        <f t="shared" si="25"/>
        <v>0</v>
      </c>
    </row>
    <row r="157" spans="1:13" ht="27" x14ac:dyDescent="0.25">
      <c r="A157" s="954"/>
      <c r="B157" s="507"/>
      <c r="C157" s="511" t="s">
        <v>573</v>
      </c>
      <c r="D157" s="507" t="s">
        <v>26</v>
      </c>
      <c r="E157" s="509">
        <v>1</v>
      </c>
      <c r="F157" s="527">
        <f>F154</f>
        <v>1</v>
      </c>
      <c r="G157" s="454"/>
      <c r="H157" s="414">
        <f t="shared" ref="H157:H168" si="26">F157*G157</f>
        <v>0</v>
      </c>
      <c r="I157" s="454"/>
      <c r="J157" s="414"/>
      <c r="K157" s="409"/>
      <c r="L157" s="414"/>
      <c r="M157" s="406">
        <f t="shared" si="25"/>
        <v>0</v>
      </c>
    </row>
    <row r="158" spans="1:13" ht="31.5" x14ac:dyDescent="0.25">
      <c r="A158" s="954"/>
      <c r="B158" s="507"/>
      <c r="C158" s="516" t="s">
        <v>549</v>
      </c>
      <c r="D158" s="507" t="s">
        <v>26</v>
      </c>
      <c r="E158" s="509">
        <v>1</v>
      </c>
      <c r="F158" s="527">
        <f>F154*E158</f>
        <v>1</v>
      </c>
      <c r="G158" s="454"/>
      <c r="H158" s="414">
        <f t="shared" si="26"/>
        <v>0</v>
      </c>
      <c r="I158" s="454"/>
      <c r="J158" s="414"/>
      <c r="K158" s="409"/>
      <c r="L158" s="414"/>
      <c r="M158" s="406">
        <f t="shared" si="25"/>
        <v>0</v>
      </c>
    </row>
    <row r="159" spans="1:13" ht="47.25" x14ac:dyDescent="0.25">
      <c r="A159" s="954"/>
      <c r="B159" s="507"/>
      <c r="C159" s="516" t="s">
        <v>550</v>
      </c>
      <c r="D159" s="507" t="s">
        <v>26</v>
      </c>
      <c r="E159" s="509">
        <v>1</v>
      </c>
      <c r="F159" s="527">
        <f>F154*E159</f>
        <v>1</v>
      </c>
      <c r="G159" s="454"/>
      <c r="H159" s="414">
        <f t="shared" si="26"/>
        <v>0</v>
      </c>
      <c r="I159" s="454"/>
      <c r="J159" s="414"/>
      <c r="K159" s="409"/>
      <c r="L159" s="414"/>
      <c r="M159" s="406">
        <f t="shared" si="25"/>
        <v>0</v>
      </c>
    </row>
    <row r="160" spans="1:13" x14ac:dyDescent="0.25">
      <c r="A160" s="954"/>
      <c r="B160" s="507"/>
      <c r="C160" s="511" t="s">
        <v>574</v>
      </c>
      <c r="D160" s="507" t="s">
        <v>545</v>
      </c>
      <c r="E160" s="509">
        <f>(4.13+1.24)/10</f>
        <v>0.53700000000000003</v>
      </c>
      <c r="F160" s="513">
        <f>F154*E160</f>
        <v>0.53700000000000003</v>
      </c>
      <c r="G160" s="454"/>
      <c r="H160" s="414">
        <f t="shared" si="26"/>
        <v>0</v>
      </c>
      <c r="I160" s="454"/>
      <c r="J160" s="414"/>
      <c r="K160" s="409"/>
      <c r="L160" s="414"/>
      <c r="M160" s="406">
        <f t="shared" si="25"/>
        <v>0</v>
      </c>
    </row>
    <row r="161" spans="1:13" x14ac:dyDescent="0.25">
      <c r="A161" s="954"/>
      <c r="B161" s="507"/>
      <c r="C161" s="511" t="s">
        <v>275</v>
      </c>
      <c r="D161" s="507" t="s">
        <v>83</v>
      </c>
      <c r="E161" s="509">
        <v>7.0000000000000001E-3</v>
      </c>
      <c r="F161" s="513">
        <f>F154*E161</f>
        <v>7.0000000000000001E-3</v>
      </c>
      <c r="G161" s="454"/>
      <c r="H161" s="414">
        <f t="shared" si="26"/>
        <v>0</v>
      </c>
      <c r="I161" s="454"/>
      <c r="J161" s="414"/>
      <c r="K161" s="409"/>
      <c r="L161" s="414"/>
      <c r="M161" s="406">
        <f t="shared" si="25"/>
        <v>0</v>
      </c>
    </row>
    <row r="162" spans="1:13" x14ac:dyDescent="0.25">
      <c r="A162" s="954"/>
      <c r="B162" s="507"/>
      <c r="C162" s="372" t="s">
        <v>552</v>
      </c>
      <c r="D162" s="467" t="s">
        <v>5</v>
      </c>
      <c r="E162" s="509">
        <v>7.85</v>
      </c>
      <c r="F162" s="513">
        <f>F154*E162</f>
        <v>7.85</v>
      </c>
      <c r="G162" s="454"/>
      <c r="H162" s="414">
        <f t="shared" si="26"/>
        <v>0</v>
      </c>
      <c r="I162" s="454"/>
      <c r="J162" s="414"/>
      <c r="K162" s="409"/>
      <c r="L162" s="414"/>
      <c r="M162" s="406">
        <f t="shared" si="25"/>
        <v>0</v>
      </c>
    </row>
    <row r="163" spans="1:13" x14ac:dyDescent="0.25">
      <c r="A163" s="955"/>
      <c r="B163" s="507"/>
      <c r="C163" s="511" t="s">
        <v>10</v>
      </c>
      <c r="D163" s="507" t="s">
        <v>7</v>
      </c>
      <c r="E163" s="509">
        <v>6.77</v>
      </c>
      <c r="F163" s="527">
        <f>F154*E163</f>
        <v>6.77</v>
      </c>
      <c r="G163" s="454"/>
      <c r="H163" s="414">
        <f t="shared" si="26"/>
        <v>0</v>
      </c>
      <c r="I163" s="454"/>
      <c r="J163" s="414"/>
      <c r="K163" s="454"/>
      <c r="L163" s="414"/>
      <c r="M163" s="406">
        <f t="shared" si="25"/>
        <v>0</v>
      </c>
    </row>
    <row r="164" spans="1:13" ht="40.5" x14ac:dyDescent="0.25">
      <c r="A164" s="956">
        <v>5.3</v>
      </c>
      <c r="B164" s="518" t="s">
        <v>273</v>
      </c>
      <c r="C164" s="519" t="s">
        <v>553</v>
      </c>
      <c r="D164" s="520" t="s">
        <v>111</v>
      </c>
      <c r="E164" s="231"/>
      <c r="F164" s="521">
        <f>3.14*1.3*1*F151</f>
        <v>4.0820000000000007</v>
      </c>
      <c r="G164" s="231"/>
      <c r="H164" s="33"/>
      <c r="I164" s="551"/>
      <c r="J164" s="33"/>
      <c r="K164" s="551"/>
      <c r="L164" s="33"/>
      <c r="M164" s="26"/>
    </row>
    <row r="165" spans="1:13" ht="16.5" x14ac:dyDescent="0.25">
      <c r="A165" s="957"/>
      <c r="B165" s="520"/>
      <c r="C165" s="524" t="s">
        <v>157</v>
      </c>
      <c r="D165" s="520" t="s">
        <v>9</v>
      </c>
      <c r="E165" s="231">
        <v>0.33600000000000002</v>
      </c>
      <c r="F165" s="231">
        <f>F164*E165</f>
        <v>1.3715520000000003</v>
      </c>
      <c r="G165" s="525"/>
      <c r="H165" s="33"/>
      <c r="I165" s="523"/>
      <c r="J165" s="33">
        <f t="shared" ref="J165" si="27">F165*I165</f>
        <v>0</v>
      </c>
      <c r="K165" s="523"/>
      <c r="L165" s="33"/>
      <c r="M165" s="26">
        <f t="shared" si="25"/>
        <v>0</v>
      </c>
    </row>
    <row r="166" spans="1:13" ht="16.5" x14ac:dyDescent="0.25">
      <c r="A166" s="957"/>
      <c r="B166" s="520"/>
      <c r="C166" s="524" t="s">
        <v>8</v>
      </c>
      <c r="D166" s="520" t="s">
        <v>7</v>
      </c>
      <c r="E166" s="231">
        <v>1.4999999999999999E-2</v>
      </c>
      <c r="F166" s="231">
        <f>F164*E166</f>
        <v>6.1230000000000007E-2</v>
      </c>
      <c r="G166" s="523"/>
      <c r="H166" s="33"/>
      <c r="I166" s="523"/>
      <c r="J166" s="33"/>
      <c r="K166" s="523"/>
      <c r="L166" s="33">
        <f t="shared" ref="L166" si="28">F166*K166</f>
        <v>0</v>
      </c>
      <c r="M166" s="26">
        <f t="shared" si="25"/>
        <v>0</v>
      </c>
    </row>
    <row r="167" spans="1:13" ht="16.5" x14ac:dyDescent="0.25">
      <c r="A167" s="957"/>
      <c r="B167" s="520"/>
      <c r="C167" s="524" t="s">
        <v>275</v>
      </c>
      <c r="D167" s="520" t="s">
        <v>5</v>
      </c>
      <c r="E167" s="231">
        <v>2.4</v>
      </c>
      <c r="F167" s="231">
        <f>F164*E167</f>
        <v>9.7968000000000011</v>
      </c>
      <c r="G167" s="522"/>
      <c r="H167" s="33">
        <f t="shared" si="26"/>
        <v>0</v>
      </c>
      <c r="I167" s="523"/>
      <c r="J167" s="33"/>
      <c r="K167" s="523"/>
      <c r="L167" s="33"/>
      <c r="M167" s="26">
        <f t="shared" si="25"/>
        <v>0</v>
      </c>
    </row>
    <row r="168" spans="1:13" ht="16.5" x14ac:dyDescent="0.25">
      <c r="A168" s="958"/>
      <c r="B168" s="520"/>
      <c r="C168" s="524" t="s">
        <v>10</v>
      </c>
      <c r="D168" s="520" t="s">
        <v>7</v>
      </c>
      <c r="E168" s="231">
        <v>2.2800000000000001E-2</v>
      </c>
      <c r="F168" s="231">
        <f>F164*E168</f>
        <v>9.3069600000000016E-2</v>
      </c>
      <c r="G168" s="523"/>
      <c r="H168" s="33">
        <f t="shared" si="26"/>
        <v>0</v>
      </c>
      <c r="I168" s="523"/>
      <c r="J168" s="33"/>
      <c r="K168" s="523"/>
      <c r="L168" s="33"/>
      <c r="M168" s="26">
        <f t="shared" si="25"/>
        <v>0</v>
      </c>
    </row>
    <row r="169" spans="1:13" x14ac:dyDescent="0.25">
      <c r="A169" s="526"/>
      <c r="B169" s="507"/>
      <c r="C169" s="499"/>
      <c r="D169" s="507"/>
      <c r="E169" s="509"/>
      <c r="F169" s="527"/>
      <c r="G169" s="454"/>
      <c r="H169" s="414"/>
      <c r="I169" s="454"/>
      <c r="J169" s="414"/>
      <c r="K169" s="454"/>
      <c r="L169" s="414"/>
      <c r="M169" s="406"/>
    </row>
    <row r="170" spans="1:13" ht="31.5" x14ac:dyDescent="0.25">
      <c r="A170" s="953" t="s">
        <v>404</v>
      </c>
      <c r="B170" s="45" t="s">
        <v>187</v>
      </c>
      <c r="C170" s="119" t="s">
        <v>554</v>
      </c>
      <c r="D170" s="45" t="s">
        <v>74</v>
      </c>
      <c r="E170" s="47"/>
      <c r="F170" s="436">
        <f>F152</f>
        <v>1.5919800000000004</v>
      </c>
      <c r="G170" s="48"/>
      <c r="H170" s="48"/>
      <c r="I170" s="48"/>
      <c r="J170" s="48"/>
      <c r="K170" s="48"/>
      <c r="L170" s="48"/>
      <c r="M170" s="48"/>
    </row>
    <row r="171" spans="1:13" ht="15.75" x14ac:dyDescent="0.25">
      <c r="A171" s="955"/>
      <c r="B171" s="45"/>
      <c r="C171" s="111" t="s">
        <v>486</v>
      </c>
      <c r="D171" s="45" t="s">
        <v>205</v>
      </c>
      <c r="E171" s="47">
        <v>1.21</v>
      </c>
      <c r="F171" s="263">
        <f>F170*E171</f>
        <v>1.9262958000000003</v>
      </c>
      <c r="G171" s="48"/>
      <c r="H171" s="48"/>
      <c r="I171" s="48"/>
      <c r="J171" s="48">
        <f>F171*I171</f>
        <v>0</v>
      </c>
      <c r="K171" s="48"/>
      <c r="L171" s="48"/>
      <c r="M171" s="48">
        <f>H171+J171+L171</f>
        <v>0</v>
      </c>
    </row>
    <row r="172" spans="1:13" ht="63" x14ac:dyDescent="0.25">
      <c r="A172" s="544">
        <v>7</v>
      </c>
      <c r="B172" s="552" t="s">
        <v>575</v>
      </c>
      <c r="C172" s="492" t="s">
        <v>576</v>
      </c>
      <c r="D172" s="552" t="s">
        <v>577</v>
      </c>
      <c r="E172" s="493"/>
      <c r="F172" s="436">
        <v>1</v>
      </c>
      <c r="G172" s="553"/>
      <c r="H172" s="48"/>
      <c r="I172" s="553"/>
      <c r="J172" s="48"/>
      <c r="K172" s="553"/>
      <c r="L172" s="48"/>
      <c r="M172" s="48"/>
    </row>
    <row r="173" spans="1:13" ht="15.75" x14ac:dyDescent="0.25">
      <c r="A173" s="45"/>
      <c r="B173" s="554"/>
      <c r="C173" s="111" t="s">
        <v>17</v>
      </c>
      <c r="D173" s="45" t="s">
        <v>9</v>
      </c>
      <c r="E173" s="47">
        <v>17</v>
      </c>
      <c r="F173" s="263">
        <f>F172*E173</f>
        <v>17</v>
      </c>
      <c r="G173" s="48"/>
      <c r="H173" s="48"/>
      <c r="I173" s="48"/>
      <c r="J173" s="48">
        <f>F173*I173</f>
        <v>0</v>
      </c>
      <c r="K173" s="48"/>
      <c r="L173" s="48"/>
      <c r="M173" s="48">
        <f>H173+J173+L173</f>
        <v>0</v>
      </c>
    </row>
    <row r="174" spans="1:13" ht="15.75" x14ac:dyDescent="0.25">
      <c r="A174" s="555"/>
      <c r="B174" s="45"/>
      <c r="C174" s="111" t="s">
        <v>578</v>
      </c>
      <c r="D174" s="45" t="s">
        <v>14</v>
      </c>
      <c r="E174" s="47">
        <v>0.05</v>
      </c>
      <c r="F174" s="263">
        <f>E174*F172</f>
        <v>0.05</v>
      </c>
      <c r="G174" s="126"/>
      <c r="H174" s="48">
        <f>F174*G174</f>
        <v>0</v>
      </c>
      <c r="I174" s="126"/>
      <c r="J174" s="48"/>
      <c r="K174" s="126"/>
      <c r="L174" s="48"/>
      <c r="M174" s="48">
        <f>H174+J174+L174</f>
        <v>0</v>
      </c>
    </row>
    <row r="175" spans="1:13" ht="15.75" x14ac:dyDescent="0.25">
      <c r="A175" s="555"/>
      <c r="B175" s="45"/>
      <c r="C175" s="111" t="s">
        <v>579</v>
      </c>
      <c r="D175" s="45" t="s">
        <v>59</v>
      </c>
      <c r="E175" s="47">
        <v>0.2</v>
      </c>
      <c r="F175" s="263">
        <f>E175*F173</f>
        <v>3.4000000000000004</v>
      </c>
      <c r="G175" s="126"/>
      <c r="H175" s="48">
        <f>F175*G175</f>
        <v>0</v>
      </c>
      <c r="I175" s="126"/>
      <c r="J175" s="48"/>
      <c r="K175" s="126"/>
      <c r="L175" s="48"/>
      <c r="M175" s="48">
        <f>H175+J175+L175</f>
        <v>0</v>
      </c>
    </row>
    <row r="176" spans="1:13" ht="15.75" x14ac:dyDescent="0.25">
      <c r="A176" s="45"/>
      <c r="B176" s="554"/>
      <c r="C176" s="111" t="s">
        <v>552</v>
      </c>
      <c r="D176" s="45" t="s">
        <v>5</v>
      </c>
      <c r="E176" s="47">
        <v>7.8</v>
      </c>
      <c r="F176" s="263">
        <f>E176*F172</f>
        <v>7.8</v>
      </c>
      <c r="G176" s="48"/>
      <c r="H176" s="48">
        <f>F176*G176</f>
        <v>0</v>
      </c>
      <c r="I176" s="48"/>
      <c r="J176" s="48"/>
      <c r="K176" s="126"/>
      <c r="L176" s="48"/>
      <c r="M176" s="48">
        <f>H176+J176+L176</f>
        <v>0</v>
      </c>
    </row>
    <row r="177" spans="1:13" ht="15.75" x14ac:dyDescent="0.25">
      <c r="A177" s="45"/>
      <c r="B177" s="554"/>
      <c r="C177" s="111" t="s">
        <v>122</v>
      </c>
      <c r="D177" s="45" t="s">
        <v>7</v>
      </c>
      <c r="E177" s="47">
        <v>1.08</v>
      </c>
      <c r="F177" s="263">
        <f>E177*F172</f>
        <v>1.08</v>
      </c>
      <c r="G177" s="48"/>
      <c r="H177" s="48">
        <f>F177*G177</f>
        <v>0</v>
      </c>
      <c r="I177" s="48"/>
      <c r="J177" s="48"/>
      <c r="K177" s="126"/>
      <c r="L177" s="48"/>
      <c r="M177" s="48">
        <f>H177+J177+L177</f>
        <v>0</v>
      </c>
    </row>
    <row r="178" spans="1:13" ht="49.5" x14ac:dyDescent="0.25">
      <c r="A178" s="533" t="s">
        <v>13</v>
      </c>
      <c r="B178" s="534"/>
      <c r="C178" s="535" t="s">
        <v>580</v>
      </c>
      <c r="D178" s="536" t="s">
        <v>147</v>
      </c>
      <c r="E178" s="533"/>
      <c r="F178" s="537">
        <v>1</v>
      </c>
      <c r="G178" s="480"/>
      <c r="H178" s="33"/>
      <c r="I178" s="480"/>
      <c r="J178" s="33"/>
      <c r="K178" s="480"/>
      <c r="L178" s="33"/>
      <c r="M178" s="26"/>
    </row>
    <row r="179" spans="1:13" ht="49.5" x14ac:dyDescent="0.25">
      <c r="A179" s="949">
        <v>1</v>
      </c>
      <c r="B179" s="302" t="s">
        <v>57</v>
      </c>
      <c r="C179" s="556" t="s">
        <v>581</v>
      </c>
      <c r="D179" s="46" t="s">
        <v>74</v>
      </c>
      <c r="E179" s="47"/>
      <c r="F179" s="258">
        <f>3*2*2+1*0.5*2</f>
        <v>13</v>
      </c>
      <c r="G179" s="480"/>
      <c r="H179" s="33"/>
      <c r="I179" s="480"/>
      <c r="J179" s="33"/>
      <c r="K179" s="480"/>
      <c r="L179" s="33"/>
      <c r="M179" s="26"/>
    </row>
    <row r="180" spans="1:13" ht="16.5" x14ac:dyDescent="0.25">
      <c r="A180" s="950"/>
      <c r="B180" s="38"/>
      <c r="C180" s="557" t="s">
        <v>17</v>
      </c>
      <c r="D180" s="45" t="s">
        <v>18</v>
      </c>
      <c r="E180" s="47">
        <f>20/1000</f>
        <v>0.02</v>
      </c>
      <c r="F180" s="47">
        <v>49.4</v>
      </c>
      <c r="G180" s="48"/>
      <c r="H180" s="33"/>
      <c r="I180" s="48"/>
      <c r="J180" s="33">
        <f t="shared" ref="J180:J212" si="29">F180*I180</f>
        <v>0</v>
      </c>
      <c r="K180" s="48"/>
      <c r="L180" s="33"/>
      <c r="M180" s="26">
        <f t="shared" ref="M180:M212" si="30">H180+J180+L180</f>
        <v>0</v>
      </c>
    </row>
    <row r="181" spans="1:13" ht="20.25" x14ac:dyDescent="0.25">
      <c r="A181" s="950"/>
      <c r="B181" s="38" t="s">
        <v>61</v>
      </c>
      <c r="C181" s="557" t="s">
        <v>582</v>
      </c>
      <c r="D181" s="45" t="s">
        <v>19</v>
      </c>
      <c r="E181" s="47">
        <f>44.8*0.001</f>
        <v>4.48E-2</v>
      </c>
      <c r="F181" s="47">
        <v>4.3</v>
      </c>
      <c r="G181" s="48"/>
      <c r="H181" s="33"/>
      <c r="I181" s="48"/>
      <c r="J181" s="33"/>
      <c r="K181" s="48"/>
      <c r="L181" s="33">
        <f t="shared" ref="L181:L209" si="31">F181*K181</f>
        <v>0</v>
      </c>
      <c r="M181" s="26">
        <f t="shared" si="30"/>
        <v>0</v>
      </c>
    </row>
    <row r="182" spans="1:13" ht="16.5" x14ac:dyDescent="0.25">
      <c r="A182" s="950"/>
      <c r="B182" s="38"/>
      <c r="C182" s="524" t="s">
        <v>8</v>
      </c>
      <c r="D182" s="558" t="s">
        <v>7</v>
      </c>
      <c r="E182" s="47">
        <f>2.1/1000</f>
        <v>2.1000000000000003E-3</v>
      </c>
      <c r="F182" s="47">
        <f>F179*E182</f>
        <v>2.7300000000000005E-2</v>
      </c>
      <c r="G182" s="48"/>
      <c r="H182" s="33"/>
      <c r="I182" s="48"/>
      <c r="J182" s="33"/>
      <c r="K182" s="48"/>
      <c r="L182" s="33">
        <f t="shared" si="31"/>
        <v>0</v>
      </c>
      <c r="M182" s="26">
        <f t="shared" si="30"/>
        <v>0</v>
      </c>
    </row>
    <row r="183" spans="1:13" ht="16.5" x14ac:dyDescent="0.25">
      <c r="A183" s="951"/>
      <c r="B183" s="45" t="s">
        <v>583</v>
      </c>
      <c r="C183" s="557" t="s">
        <v>63</v>
      </c>
      <c r="D183" s="45" t="s">
        <v>59</v>
      </c>
      <c r="E183" s="47">
        <f>0.05/1000</f>
        <v>5.0000000000000002E-5</v>
      </c>
      <c r="F183" s="47">
        <v>0.17</v>
      </c>
      <c r="G183" s="48"/>
      <c r="H183" s="33">
        <f t="shared" ref="H183:H212" si="32">F183*G183</f>
        <v>0</v>
      </c>
      <c r="I183" s="48"/>
      <c r="J183" s="33"/>
      <c r="K183" s="48"/>
      <c r="L183" s="33"/>
      <c r="M183" s="26">
        <f t="shared" si="30"/>
        <v>0</v>
      </c>
    </row>
    <row r="184" spans="1:13" ht="49.5" x14ac:dyDescent="0.25">
      <c r="A184" s="959">
        <v>2</v>
      </c>
      <c r="B184" s="38" t="s">
        <v>584</v>
      </c>
      <c r="C184" s="559" t="s">
        <v>585</v>
      </c>
      <c r="D184" s="38" t="s">
        <v>66</v>
      </c>
      <c r="E184" s="257"/>
      <c r="F184" s="258">
        <f>F179*0.1</f>
        <v>1.3</v>
      </c>
      <c r="G184" s="42"/>
      <c r="H184" s="33"/>
      <c r="I184" s="42"/>
      <c r="J184" s="33"/>
      <c r="K184" s="42"/>
      <c r="L184" s="33"/>
      <c r="M184" s="26"/>
    </row>
    <row r="185" spans="1:13" ht="16.5" x14ac:dyDescent="0.25">
      <c r="A185" s="959"/>
      <c r="B185" s="38"/>
      <c r="C185" s="557" t="s">
        <v>17</v>
      </c>
      <c r="D185" s="45" t="s">
        <v>18</v>
      </c>
      <c r="E185" s="403">
        <v>3.37</v>
      </c>
      <c r="F185" s="47">
        <f>E185*F184</f>
        <v>4.3810000000000002</v>
      </c>
      <c r="G185" s="48"/>
      <c r="H185" s="33"/>
      <c r="I185" s="48"/>
      <c r="J185" s="33">
        <f t="shared" si="29"/>
        <v>0</v>
      </c>
      <c r="K185" s="48"/>
      <c r="L185" s="33"/>
      <c r="M185" s="26">
        <f t="shared" si="30"/>
        <v>0</v>
      </c>
    </row>
    <row r="186" spans="1:13" ht="49.5" x14ac:dyDescent="0.25">
      <c r="A186" s="949">
        <v>3</v>
      </c>
      <c r="B186" s="257" t="s">
        <v>71</v>
      </c>
      <c r="C186" s="556" t="s">
        <v>586</v>
      </c>
      <c r="D186" s="46" t="s">
        <v>74</v>
      </c>
      <c r="E186" s="47"/>
      <c r="F186" s="258">
        <v>2</v>
      </c>
      <c r="G186" s="480"/>
      <c r="H186" s="33"/>
      <c r="I186" s="480"/>
      <c r="J186" s="33"/>
      <c r="K186" s="480"/>
      <c r="L186" s="33"/>
      <c r="M186" s="26"/>
    </row>
    <row r="187" spans="1:13" ht="16.5" x14ac:dyDescent="0.25">
      <c r="A187" s="950"/>
      <c r="B187" s="27"/>
      <c r="C187" s="560" t="s">
        <v>73</v>
      </c>
      <c r="D187" s="27" t="s">
        <v>9</v>
      </c>
      <c r="E187" s="19">
        <v>3.52</v>
      </c>
      <c r="F187" s="47">
        <f>F186*E187</f>
        <v>7.04</v>
      </c>
      <c r="G187" s="33"/>
      <c r="H187" s="33"/>
      <c r="I187" s="33"/>
      <c r="J187" s="33">
        <f t="shared" si="29"/>
        <v>0</v>
      </c>
      <c r="K187" s="33"/>
      <c r="L187" s="33"/>
      <c r="M187" s="26">
        <f t="shared" si="30"/>
        <v>0</v>
      </c>
    </row>
    <row r="188" spans="1:13" ht="16.5" x14ac:dyDescent="0.25">
      <c r="A188" s="950"/>
      <c r="B188" s="27"/>
      <c r="C188" s="560" t="s">
        <v>21</v>
      </c>
      <c r="D188" s="27" t="s">
        <v>7</v>
      </c>
      <c r="E188" s="19">
        <v>1.06</v>
      </c>
      <c r="F188" s="47">
        <f>F186*E188</f>
        <v>2.12</v>
      </c>
      <c r="G188" s="33"/>
      <c r="H188" s="33"/>
      <c r="I188" s="33"/>
      <c r="J188" s="33"/>
      <c r="K188" s="33"/>
      <c r="L188" s="33">
        <f t="shared" si="31"/>
        <v>0</v>
      </c>
      <c r="M188" s="26">
        <f t="shared" si="30"/>
        <v>0</v>
      </c>
    </row>
    <row r="189" spans="1:13" ht="16.5" x14ac:dyDescent="0.25">
      <c r="A189" s="950"/>
      <c r="B189" s="27" t="s">
        <v>583</v>
      </c>
      <c r="C189" s="560" t="s">
        <v>63</v>
      </c>
      <c r="D189" s="27" t="s">
        <v>74</v>
      </c>
      <c r="E189" s="19">
        <f>0.18+0.09+0.97</f>
        <v>1.24</v>
      </c>
      <c r="F189" s="47">
        <f>F186*E189</f>
        <v>2.48</v>
      </c>
      <c r="G189" s="33"/>
      <c r="H189" s="33">
        <f t="shared" si="32"/>
        <v>0</v>
      </c>
      <c r="I189" s="33"/>
      <c r="J189" s="33"/>
      <c r="K189" s="33"/>
      <c r="L189" s="33"/>
      <c r="M189" s="26">
        <f t="shared" si="30"/>
        <v>0</v>
      </c>
    </row>
    <row r="190" spans="1:13" ht="16.5" x14ac:dyDescent="0.25">
      <c r="A190" s="951"/>
      <c r="B190" s="27"/>
      <c r="C190" s="560" t="s">
        <v>10</v>
      </c>
      <c r="D190" s="27" t="s">
        <v>7</v>
      </c>
      <c r="E190" s="19">
        <v>0.02</v>
      </c>
      <c r="F190" s="47">
        <f>F186*E190</f>
        <v>0.04</v>
      </c>
      <c r="G190" s="33"/>
      <c r="H190" s="33">
        <f t="shared" si="32"/>
        <v>0</v>
      </c>
      <c r="I190" s="33"/>
      <c r="J190" s="33"/>
      <c r="K190" s="33"/>
      <c r="L190" s="33"/>
      <c r="M190" s="26">
        <f t="shared" si="30"/>
        <v>0</v>
      </c>
    </row>
    <row r="191" spans="1:13" ht="66" x14ac:dyDescent="0.25">
      <c r="A191" s="949">
        <v>4</v>
      </c>
      <c r="B191" s="257" t="s">
        <v>587</v>
      </c>
      <c r="C191" s="556" t="s">
        <v>588</v>
      </c>
      <c r="D191" s="46" t="s">
        <v>74</v>
      </c>
      <c r="E191" s="47"/>
      <c r="F191" s="258">
        <v>6</v>
      </c>
      <c r="G191" s="480"/>
      <c r="H191" s="33"/>
      <c r="I191" s="480"/>
      <c r="J191" s="33"/>
      <c r="K191" s="480"/>
      <c r="L191" s="33"/>
      <c r="M191" s="26"/>
    </row>
    <row r="192" spans="1:13" ht="16.5" x14ac:dyDescent="0.25">
      <c r="A192" s="950"/>
      <c r="B192" s="302"/>
      <c r="C192" s="560" t="s">
        <v>73</v>
      </c>
      <c r="D192" s="27" t="s">
        <v>9</v>
      </c>
      <c r="E192" s="19">
        <v>8.44</v>
      </c>
      <c r="F192" s="47">
        <f>F191*E192</f>
        <v>50.64</v>
      </c>
      <c r="G192" s="33"/>
      <c r="H192" s="33"/>
      <c r="I192" s="33"/>
      <c r="J192" s="33">
        <f t="shared" si="29"/>
        <v>0</v>
      </c>
      <c r="K192" s="33"/>
      <c r="L192" s="33"/>
      <c r="M192" s="26">
        <f t="shared" si="30"/>
        <v>0</v>
      </c>
    </row>
    <row r="193" spans="1:13" ht="16.5" x14ac:dyDescent="0.25">
      <c r="A193" s="950"/>
      <c r="B193" s="302"/>
      <c r="C193" s="560" t="s">
        <v>21</v>
      </c>
      <c r="D193" s="27" t="s">
        <v>7</v>
      </c>
      <c r="E193" s="19">
        <v>1.1000000000000001</v>
      </c>
      <c r="F193" s="47">
        <f>F191*E193</f>
        <v>6.6000000000000005</v>
      </c>
      <c r="G193" s="33"/>
      <c r="H193" s="33"/>
      <c r="I193" s="33"/>
      <c r="J193" s="33"/>
      <c r="K193" s="33"/>
      <c r="L193" s="33">
        <f t="shared" si="31"/>
        <v>0</v>
      </c>
      <c r="M193" s="26">
        <f t="shared" si="30"/>
        <v>0</v>
      </c>
    </row>
    <row r="194" spans="1:13" ht="16.5" x14ac:dyDescent="0.25">
      <c r="A194" s="950"/>
      <c r="B194" s="302" t="s">
        <v>589</v>
      </c>
      <c r="C194" s="561" t="s">
        <v>590</v>
      </c>
      <c r="D194" s="46" t="s">
        <v>74</v>
      </c>
      <c r="E194" s="47">
        <v>1.0149999999999999</v>
      </c>
      <c r="F194" s="47">
        <f>F191*E194</f>
        <v>6.09</v>
      </c>
      <c r="G194" s="480"/>
      <c r="H194" s="33">
        <f t="shared" si="32"/>
        <v>0</v>
      </c>
      <c r="I194" s="480"/>
      <c r="J194" s="33"/>
      <c r="K194" s="480"/>
      <c r="L194" s="33"/>
      <c r="M194" s="26">
        <f t="shared" si="30"/>
        <v>0</v>
      </c>
    </row>
    <row r="195" spans="1:13" ht="16.5" x14ac:dyDescent="0.25">
      <c r="A195" s="950"/>
      <c r="B195" s="302"/>
      <c r="C195" s="561" t="s">
        <v>591</v>
      </c>
      <c r="D195" s="46" t="s">
        <v>111</v>
      </c>
      <c r="E195" s="47">
        <v>1.84</v>
      </c>
      <c r="F195" s="47">
        <f>F191*E195</f>
        <v>11.040000000000001</v>
      </c>
      <c r="G195" s="480"/>
      <c r="H195" s="33">
        <f t="shared" si="32"/>
        <v>0</v>
      </c>
      <c r="I195" s="480"/>
      <c r="J195" s="33"/>
      <c r="K195" s="480"/>
      <c r="L195" s="33"/>
      <c r="M195" s="26">
        <f t="shared" si="30"/>
        <v>0</v>
      </c>
    </row>
    <row r="196" spans="1:13" ht="16.5" x14ac:dyDescent="0.25">
      <c r="A196" s="950"/>
      <c r="B196" s="302" t="s">
        <v>592</v>
      </c>
      <c r="C196" s="561" t="s">
        <v>81</v>
      </c>
      <c r="D196" s="46" t="s">
        <v>74</v>
      </c>
      <c r="E196" s="47">
        <f>(0.34+3.91)/100</f>
        <v>4.2500000000000003E-2</v>
      </c>
      <c r="F196" s="47">
        <f>F191*E196</f>
        <v>0.255</v>
      </c>
      <c r="G196" s="480"/>
      <c r="H196" s="33">
        <f t="shared" si="32"/>
        <v>0</v>
      </c>
      <c r="I196" s="480"/>
      <c r="J196" s="33"/>
      <c r="K196" s="480"/>
      <c r="L196" s="33"/>
      <c r="M196" s="26">
        <f t="shared" si="30"/>
        <v>0</v>
      </c>
    </row>
    <row r="197" spans="1:13" ht="16.5" x14ac:dyDescent="0.25">
      <c r="A197" s="950"/>
      <c r="B197" s="302" t="s">
        <v>593</v>
      </c>
      <c r="C197" s="561" t="s">
        <v>594</v>
      </c>
      <c r="D197" s="46" t="s">
        <v>5</v>
      </c>
      <c r="E197" s="47">
        <f>0.22/100</f>
        <v>2.2000000000000001E-3</v>
      </c>
      <c r="F197" s="47">
        <f>F191*E197</f>
        <v>1.32E-2</v>
      </c>
      <c r="G197" s="480"/>
      <c r="H197" s="33">
        <f t="shared" si="32"/>
        <v>0</v>
      </c>
      <c r="I197" s="480"/>
      <c r="J197" s="33"/>
      <c r="K197" s="480"/>
      <c r="L197" s="33"/>
      <c r="M197" s="26">
        <f t="shared" si="30"/>
        <v>0</v>
      </c>
    </row>
    <row r="198" spans="1:13" ht="16.5" x14ac:dyDescent="0.25">
      <c r="A198" s="950"/>
      <c r="B198" s="302" t="s">
        <v>595</v>
      </c>
      <c r="C198" s="561" t="s">
        <v>102</v>
      </c>
      <c r="D198" s="46" t="s">
        <v>5</v>
      </c>
      <c r="E198" s="48">
        <f>0.1*1000/100</f>
        <v>1</v>
      </c>
      <c r="F198" s="47">
        <f>F191*E198</f>
        <v>6</v>
      </c>
      <c r="G198" s="480"/>
      <c r="H198" s="33">
        <f t="shared" si="32"/>
        <v>0</v>
      </c>
      <c r="I198" s="480"/>
      <c r="J198" s="33"/>
      <c r="K198" s="480"/>
      <c r="L198" s="33"/>
      <c r="M198" s="26">
        <f t="shared" si="30"/>
        <v>0</v>
      </c>
    </row>
    <row r="199" spans="1:13" ht="16.5" x14ac:dyDescent="0.25">
      <c r="A199" s="950"/>
      <c r="B199" s="302" t="s">
        <v>592</v>
      </c>
      <c r="C199" s="561" t="s">
        <v>122</v>
      </c>
      <c r="D199" s="46" t="s">
        <v>7</v>
      </c>
      <c r="E199" s="47">
        <f>46/100</f>
        <v>0.46</v>
      </c>
      <c r="F199" s="47">
        <f>F191*E199</f>
        <v>2.7600000000000002</v>
      </c>
      <c r="G199" s="480"/>
      <c r="H199" s="33">
        <f t="shared" si="32"/>
        <v>0</v>
      </c>
      <c r="I199" s="480"/>
      <c r="J199" s="33"/>
      <c r="K199" s="480"/>
      <c r="L199" s="33"/>
      <c r="M199" s="26">
        <f t="shared" si="30"/>
        <v>0</v>
      </c>
    </row>
    <row r="200" spans="1:13" ht="15.75" x14ac:dyDescent="0.25">
      <c r="A200" s="950"/>
      <c r="B200" s="562" t="s">
        <v>596</v>
      </c>
      <c r="C200" s="563" t="s">
        <v>597</v>
      </c>
      <c r="D200" s="71" t="s">
        <v>70</v>
      </c>
      <c r="E200" s="73"/>
      <c r="F200" s="73">
        <f>0.381+0.121</f>
        <v>0.502</v>
      </c>
      <c r="G200" s="74"/>
      <c r="H200" s="33">
        <f t="shared" si="32"/>
        <v>0</v>
      </c>
      <c r="I200" s="480"/>
      <c r="J200" s="33"/>
      <c r="K200" s="480"/>
      <c r="L200" s="33"/>
      <c r="M200" s="26">
        <f t="shared" si="30"/>
        <v>0</v>
      </c>
    </row>
    <row r="201" spans="1:13" ht="15.75" x14ac:dyDescent="0.25">
      <c r="A201" s="951"/>
      <c r="B201" s="562" t="s">
        <v>598</v>
      </c>
      <c r="C201" s="563" t="s">
        <v>599</v>
      </c>
      <c r="D201" s="71" t="s">
        <v>70</v>
      </c>
      <c r="E201" s="73"/>
      <c r="F201" s="73">
        <v>2.1999999999999999E-2</v>
      </c>
      <c r="G201" s="74"/>
      <c r="H201" s="33">
        <f t="shared" si="32"/>
        <v>0</v>
      </c>
      <c r="I201" s="480"/>
      <c r="J201" s="33"/>
      <c r="K201" s="480"/>
      <c r="L201" s="33"/>
      <c r="M201" s="26">
        <f t="shared" si="30"/>
        <v>0</v>
      </c>
    </row>
    <row r="202" spans="1:13" ht="115.5" x14ac:dyDescent="0.25">
      <c r="A202" s="952">
        <v>5</v>
      </c>
      <c r="B202" s="66" t="s">
        <v>273</v>
      </c>
      <c r="C202" s="564" t="s">
        <v>600</v>
      </c>
      <c r="D202" s="66" t="s">
        <v>46</v>
      </c>
      <c r="E202" s="565"/>
      <c r="F202" s="69">
        <f>(3+2)*2*2 + 2*(0.8+0.2+0.8)</f>
        <v>23.6</v>
      </c>
      <c r="G202" s="42"/>
      <c r="H202" s="33"/>
      <c r="I202" s="42"/>
      <c r="J202" s="33"/>
      <c r="K202" s="42"/>
      <c r="L202" s="33"/>
      <c r="M202" s="26"/>
    </row>
    <row r="203" spans="1:13" ht="16.5" x14ac:dyDescent="0.25">
      <c r="A203" s="952"/>
      <c r="B203" s="66"/>
      <c r="C203" s="557" t="s">
        <v>77</v>
      </c>
      <c r="D203" s="45" t="s">
        <v>18</v>
      </c>
      <c r="E203" s="403">
        <v>0.33600000000000002</v>
      </c>
      <c r="F203" s="47">
        <f>F202*E203</f>
        <v>7.9296000000000006</v>
      </c>
      <c r="G203" s="48"/>
      <c r="H203" s="33"/>
      <c r="I203" s="48"/>
      <c r="J203" s="33">
        <f t="shared" si="29"/>
        <v>0</v>
      </c>
      <c r="K203" s="48"/>
      <c r="L203" s="33"/>
      <c r="M203" s="26">
        <f t="shared" si="30"/>
        <v>0</v>
      </c>
    </row>
    <row r="204" spans="1:13" ht="16.5" x14ac:dyDescent="0.25">
      <c r="A204" s="952"/>
      <c r="B204" s="66"/>
      <c r="C204" s="566" t="s">
        <v>8</v>
      </c>
      <c r="D204" s="50" t="s">
        <v>7</v>
      </c>
      <c r="E204" s="403">
        <v>1.4999999999999999E-2</v>
      </c>
      <c r="F204" s="47">
        <f>F202*E204</f>
        <v>0.35399999999999998</v>
      </c>
      <c r="G204" s="48"/>
      <c r="H204" s="33"/>
      <c r="I204" s="48"/>
      <c r="J204" s="33"/>
      <c r="K204" s="48"/>
      <c r="L204" s="33">
        <f t="shared" si="31"/>
        <v>0</v>
      </c>
      <c r="M204" s="26">
        <f t="shared" si="30"/>
        <v>0</v>
      </c>
    </row>
    <row r="205" spans="1:13" ht="16.5" x14ac:dyDescent="0.25">
      <c r="A205" s="952"/>
      <c r="B205" s="71" t="s">
        <v>601</v>
      </c>
      <c r="C205" s="557" t="s">
        <v>275</v>
      </c>
      <c r="D205" s="45" t="s">
        <v>276</v>
      </c>
      <c r="E205" s="403">
        <v>2.4</v>
      </c>
      <c r="F205" s="47">
        <f>F202*E205</f>
        <v>56.64</v>
      </c>
      <c r="G205" s="48"/>
      <c r="H205" s="33">
        <f t="shared" si="32"/>
        <v>0</v>
      </c>
      <c r="I205" s="48"/>
      <c r="J205" s="33"/>
      <c r="K205" s="48"/>
      <c r="L205" s="33"/>
      <c r="M205" s="26">
        <f t="shared" si="30"/>
        <v>0</v>
      </c>
    </row>
    <row r="206" spans="1:13" ht="16.5" x14ac:dyDescent="0.25">
      <c r="A206" s="952"/>
      <c r="B206" s="66"/>
      <c r="C206" s="566" t="s">
        <v>10</v>
      </c>
      <c r="D206" s="76" t="s">
        <v>7</v>
      </c>
      <c r="E206" s="403">
        <v>2.2800000000000001E-2</v>
      </c>
      <c r="F206" s="47">
        <f>E206*F202</f>
        <v>0.53808</v>
      </c>
      <c r="G206" s="48"/>
      <c r="H206" s="33">
        <f t="shared" si="32"/>
        <v>0</v>
      </c>
      <c r="I206" s="48"/>
      <c r="J206" s="33"/>
      <c r="K206" s="48"/>
      <c r="L206" s="33"/>
      <c r="M206" s="26">
        <f t="shared" si="30"/>
        <v>0</v>
      </c>
    </row>
    <row r="207" spans="1:13" ht="49.5" x14ac:dyDescent="0.25">
      <c r="A207" s="949">
        <v>6</v>
      </c>
      <c r="B207" s="257" t="s">
        <v>71</v>
      </c>
      <c r="C207" s="556" t="s">
        <v>602</v>
      </c>
      <c r="D207" s="46"/>
      <c r="E207" s="47"/>
      <c r="F207" s="41">
        <f>0.65*2*1.2</f>
        <v>1.56</v>
      </c>
      <c r="G207" s="480"/>
      <c r="H207" s="33"/>
      <c r="I207" s="480"/>
      <c r="J207" s="33"/>
      <c r="K207" s="480"/>
      <c r="L207" s="33"/>
      <c r="M207" s="26"/>
    </row>
    <row r="208" spans="1:13" ht="16.5" x14ac:dyDescent="0.25">
      <c r="A208" s="950"/>
      <c r="B208" s="27"/>
      <c r="C208" s="560" t="s">
        <v>73</v>
      </c>
      <c r="D208" s="27" t="s">
        <v>9</v>
      </c>
      <c r="E208" s="19">
        <v>3.52</v>
      </c>
      <c r="F208" s="47">
        <f>F207*E208</f>
        <v>5.4912000000000001</v>
      </c>
      <c r="G208" s="33"/>
      <c r="H208" s="33"/>
      <c r="I208" s="33"/>
      <c r="J208" s="33">
        <f t="shared" si="29"/>
        <v>0</v>
      </c>
      <c r="K208" s="33"/>
      <c r="L208" s="33"/>
      <c r="M208" s="26">
        <f t="shared" si="30"/>
        <v>0</v>
      </c>
    </row>
    <row r="209" spans="1:13" ht="16.5" x14ac:dyDescent="0.25">
      <c r="A209" s="950"/>
      <c r="B209" s="27"/>
      <c r="C209" s="560" t="s">
        <v>21</v>
      </c>
      <c r="D209" s="27" t="s">
        <v>7</v>
      </c>
      <c r="E209" s="19">
        <v>1.06</v>
      </c>
      <c r="F209" s="47">
        <f>F207*E209</f>
        <v>1.6536000000000002</v>
      </c>
      <c r="G209" s="33"/>
      <c r="H209" s="33"/>
      <c r="I209" s="33"/>
      <c r="J209" s="33"/>
      <c r="K209" s="33"/>
      <c r="L209" s="33">
        <f t="shared" si="31"/>
        <v>0</v>
      </c>
      <c r="M209" s="26">
        <f t="shared" si="30"/>
        <v>0</v>
      </c>
    </row>
    <row r="210" spans="1:13" ht="16.5" x14ac:dyDescent="0.25">
      <c r="A210" s="950"/>
      <c r="B210" s="27" t="s">
        <v>583</v>
      </c>
      <c r="C210" s="560" t="s">
        <v>63</v>
      </c>
      <c r="D210" s="27" t="s">
        <v>74</v>
      </c>
      <c r="E210" s="19">
        <f>0.18+0.09+0.97</f>
        <v>1.24</v>
      </c>
      <c r="F210" s="47">
        <f>F207*E210</f>
        <v>1.9344000000000001</v>
      </c>
      <c r="G210" s="33"/>
      <c r="H210" s="33">
        <f t="shared" si="32"/>
        <v>0</v>
      </c>
      <c r="I210" s="33"/>
      <c r="J210" s="33"/>
      <c r="K210" s="33"/>
      <c r="L210" s="33"/>
      <c r="M210" s="26">
        <f t="shared" si="30"/>
        <v>0</v>
      </c>
    </row>
    <row r="211" spans="1:13" ht="16.5" x14ac:dyDescent="0.25">
      <c r="A211" s="951"/>
      <c r="B211" s="27"/>
      <c r="C211" s="560" t="s">
        <v>10</v>
      </c>
      <c r="D211" s="27" t="s">
        <v>7</v>
      </c>
      <c r="E211" s="19">
        <v>0.02</v>
      </c>
      <c r="F211" s="47">
        <f>F207*E211</f>
        <v>3.1200000000000002E-2</v>
      </c>
      <c r="G211" s="33"/>
      <c r="H211" s="33">
        <f t="shared" si="32"/>
        <v>0</v>
      </c>
      <c r="I211" s="33"/>
      <c r="J211" s="33"/>
      <c r="K211" s="33"/>
      <c r="L211" s="33"/>
      <c r="M211" s="26">
        <f t="shared" si="30"/>
        <v>0</v>
      </c>
    </row>
    <row r="212" spans="1:13" ht="33" x14ac:dyDescent="0.25">
      <c r="A212" s="567">
        <v>7</v>
      </c>
      <c r="B212" s="520"/>
      <c r="C212" s="568" t="s">
        <v>603</v>
      </c>
      <c r="D212" s="520" t="s">
        <v>26</v>
      </c>
      <c r="E212" s="231"/>
      <c r="F212" s="521">
        <v>2</v>
      </c>
      <c r="G212" s="523"/>
      <c r="H212" s="33">
        <f t="shared" si="32"/>
        <v>0</v>
      </c>
      <c r="I212" s="33"/>
      <c r="J212" s="33">
        <f t="shared" si="29"/>
        <v>0</v>
      </c>
      <c r="K212" s="480"/>
      <c r="L212" s="33"/>
      <c r="M212" s="26">
        <f t="shared" si="30"/>
        <v>0</v>
      </c>
    </row>
    <row r="213" spans="1:13" ht="15.75" x14ac:dyDescent="0.25">
      <c r="A213" s="382"/>
      <c r="B213" s="382"/>
      <c r="C213" s="237" t="s">
        <v>39</v>
      </c>
      <c r="D213" s="237"/>
      <c r="E213" s="237"/>
      <c r="F213" s="237"/>
      <c r="G213" s="383"/>
      <c r="H213" s="383">
        <f>SUM(H10:H212)</f>
        <v>0</v>
      </c>
      <c r="I213" s="383"/>
      <c r="J213" s="383">
        <f>SUM(J10:J212)</f>
        <v>0</v>
      </c>
      <c r="K213" s="383"/>
      <c r="L213" s="383">
        <f>SUM(L10:L212)</f>
        <v>0</v>
      </c>
      <c r="M213" s="383">
        <f>H213+J213+L213</f>
        <v>0</v>
      </c>
    </row>
    <row r="214" spans="1:13" ht="27" x14ac:dyDescent="0.25">
      <c r="A214" s="38"/>
      <c r="B214" s="38"/>
      <c r="C214" s="281" t="s">
        <v>466</v>
      </c>
      <c r="D214" s="88"/>
      <c r="E214" s="88"/>
      <c r="F214" s="569"/>
      <c r="G214" s="42"/>
      <c r="H214" s="42"/>
      <c r="I214" s="42"/>
      <c r="J214" s="42"/>
      <c r="K214" s="42"/>
      <c r="L214" s="42"/>
      <c r="M214" s="48">
        <f>H213*F214</f>
        <v>0</v>
      </c>
    </row>
    <row r="215" spans="1:13" ht="15.75" x14ac:dyDescent="0.25">
      <c r="A215" s="38"/>
      <c r="B215" s="38"/>
      <c r="C215" s="468"/>
      <c r="D215" s="88"/>
      <c r="E215" s="88"/>
      <c r="F215" s="88"/>
      <c r="G215" s="42"/>
      <c r="H215" s="42"/>
      <c r="I215" s="42"/>
      <c r="J215" s="42"/>
      <c r="K215" s="42"/>
      <c r="L215" s="42"/>
      <c r="M215" s="48">
        <f>M213+M214</f>
        <v>0</v>
      </c>
    </row>
    <row r="216" spans="1:13" ht="15.75" x14ac:dyDescent="0.25">
      <c r="A216" s="45"/>
      <c r="B216" s="38"/>
      <c r="C216" s="281" t="s">
        <v>29</v>
      </c>
      <c r="D216" s="88"/>
      <c r="E216" s="88"/>
      <c r="F216" s="569"/>
      <c r="G216" s="48"/>
      <c r="H216" s="48"/>
      <c r="I216" s="48"/>
      <c r="J216" s="48"/>
      <c r="K216" s="48"/>
      <c r="L216" s="48"/>
      <c r="M216" s="48">
        <f>M215*F216</f>
        <v>0</v>
      </c>
    </row>
    <row r="217" spans="1:13" ht="15.75" x14ac:dyDescent="0.25">
      <c r="A217" s="45"/>
      <c r="B217" s="38"/>
      <c r="C217" s="469"/>
      <c r="D217" s="88"/>
      <c r="E217" s="88"/>
      <c r="F217" s="88"/>
      <c r="G217" s="48"/>
      <c r="H217" s="48"/>
      <c r="I217" s="48"/>
      <c r="J217" s="48" t="s">
        <v>41</v>
      </c>
      <c r="K217" s="48"/>
      <c r="L217" s="48"/>
      <c r="M217" s="48">
        <f>M215+M216</f>
        <v>0</v>
      </c>
    </row>
    <row r="218" spans="1:13" ht="15.75" x14ac:dyDescent="0.25">
      <c r="A218" s="45"/>
      <c r="B218" s="38"/>
      <c r="C218" s="469" t="s">
        <v>604</v>
      </c>
      <c r="D218" s="88"/>
      <c r="E218" s="88"/>
      <c r="F218" s="88"/>
      <c r="G218" s="48"/>
      <c r="H218" s="42"/>
      <c r="I218" s="48"/>
      <c r="J218" s="48"/>
      <c r="K218" s="48"/>
      <c r="L218" s="48"/>
      <c r="M218" s="48"/>
    </row>
    <row r="219" spans="1:13" ht="15.75" x14ac:dyDescent="0.25">
      <c r="A219" s="45"/>
      <c r="B219" s="38"/>
      <c r="C219" s="469" t="s">
        <v>237</v>
      </c>
      <c r="D219" s="88"/>
      <c r="E219" s="88"/>
      <c r="F219" s="569"/>
      <c r="G219" s="48"/>
      <c r="H219" s="48"/>
      <c r="I219" s="48"/>
      <c r="J219" s="48"/>
      <c r="K219" s="48"/>
      <c r="L219" s="48"/>
      <c r="M219" s="48">
        <f>(M217-H218)*F219</f>
        <v>0</v>
      </c>
    </row>
    <row r="220" spans="1:13" ht="31.5" x14ac:dyDescent="0.25">
      <c r="A220" s="382"/>
      <c r="B220" s="382"/>
      <c r="C220" s="237" t="s">
        <v>605</v>
      </c>
      <c r="D220" s="237"/>
      <c r="E220" s="237"/>
      <c r="F220" s="237"/>
      <c r="G220" s="383"/>
      <c r="H220" s="383"/>
      <c r="I220" s="383"/>
      <c r="J220" s="383" t="s">
        <v>41</v>
      </c>
      <c r="K220" s="383"/>
      <c r="L220" s="383"/>
      <c r="M220" s="395">
        <f>M217+M219</f>
        <v>0</v>
      </c>
    </row>
    <row r="221" spans="1:13" ht="31.5" x14ac:dyDescent="0.25">
      <c r="A221" s="45"/>
      <c r="B221" s="38"/>
      <c r="C221" s="469" t="s">
        <v>4</v>
      </c>
      <c r="D221" s="88"/>
      <c r="E221" s="88"/>
      <c r="F221" s="471">
        <v>0.03</v>
      </c>
      <c r="G221" s="48"/>
      <c r="H221" s="48"/>
      <c r="I221" s="48"/>
      <c r="J221" s="48"/>
      <c r="K221" s="48"/>
      <c r="L221" s="48"/>
      <c r="M221" s="48">
        <f>M220*F221</f>
        <v>0</v>
      </c>
    </row>
    <row r="222" spans="1:13" ht="15.75" x14ac:dyDescent="0.25">
      <c r="A222" s="45"/>
      <c r="B222" s="38"/>
      <c r="C222" s="469"/>
      <c r="D222" s="88"/>
      <c r="E222" s="88"/>
      <c r="F222" s="88"/>
      <c r="G222" s="48"/>
      <c r="H222" s="48"/>
      <c r="I222" s="48"/>
      <c r="J222" s="48" t="s">
        <v>41</v>
      </c>
      <c r="K222" s="48"/>
      <c r="L222" s="48"/>
      <c r="M222" s="48">
        <f>M220+M221</f>
        <v>0</v>
      </c>
    </row>
    <row r="223" spans="1:13" ht="15.75" x14ac:dyDescent="0.25">
      <c r="A223" s="45"/>
      <c r="B223" s="38"/>
      <c r="C223" s="469" t="s">
        <v>168</v>
      </c>
      <c r="D223" s="88"/>
      <c r="E223" s="88"/>
      <c r="F223" s="471">
        <v>0.18</v>
      </c>
      <c r="G223" s="48"/>
      <c r="H223" s="48"/>
      <c r="I223" s="48"/>
      <c r="J223" s="48"/>
      <c r="K223" s="48"/>
      <c r="L223" s="48"/>
      <c r="M223" s="48">
        <f>M222*F223</f>
        <v>0</v>
      </c>
    </row>
    <row r="224" spans="1:13" ht="31.5" x14ac:dyDescent="0.25">
      <c r="A224" s="382"/>
      <c r="B224" s="382"/>
      <c r="C224" s="237" t="s">
        <v>606</v>
      </c>
      <c r="D224" s="237"/>
      <c r="E224" s="237"/>
      <c r="F224" s="237"/>
      <c r="G224" s="383"/>
      <c r="H224" s="383"/>
      <c r="I224" s="383"/>
      <c r="J224" s="383" t="s">
        <v>41</v>
      </c>
      <c r="K224" s="383"/>
      <c r="L224" s="383"/>
      <c r="M224" s="383">
        <f>M222+M223</f>
        <v>0</v>
      </c>
    </row>
    <row r="225" spans="1:13" x14ac:dyDescent="0.25">
      <c r="A225" s="399"/>
      <c r="B225" s="400"/>
      <c r="C225" s="401"/>
      <c r="D225" s="401"/>
      <c r="E225" s="401"/>
      <c r="F225" s="401"/>
      <c r="G225" s="402"/>
      <c r="H225" s="402"/>
      <c r="I225" s="402"/>
      <c r="J225" s="402"/>
      <c r="K225" s="402"/>
      <c r="L225" s="402"/>
      <c r="M225" s="402"/>
    </row>
    <row r="226" spans="1:13" ht="15.75" x14ac:dyDescent="0.25">
      <c r="A226" s="399"/>
      <c r="B226" s="311"/>
      <c r="C226" s="312"/>
      <c r="D226" s="473"/>
      <c r="E226" s="473"/>
      <c r="F226" s="401"/>
      <c r="G226" s="402"/>
      <c r="H226" s="402"/>
      <c r="I226" s="402"/>
      <c r="J226" s="402"/>
      <c r="K226" s="402"/>
      <c r="L226" s="402"/>
      <c r="M226" s="402"/>
    </row>
  </sheetData>
  <mergeCells count="51">
    <mergeCell ref="A1:M1"/>
    <mergeCell ref="A2:M2"/>
    <mergeCell ref="A3:M3"/>
    <mergeCell ref="A5:M5"/>
    <mergeCell ref="A7:A8"/>
    <mergeCell ref="B7:B8"/>
    <mergeCell ref="C7:C8"/>
    <mergeCell ref="D7:D8"/>
    <mergeCell ref="E7:E8"/>
    <mergeCell ref="F7:F8"/>
    <mergeCell ref="A36:A40"/>
    <mergeCell ref="G7:H7"/>
    <mergeCell ref="I7:J7"/>
    <mergeCell ref="K7:L7"/>
    <mergeCell ref="M7:M8"/>
    <mergeCell ref="A12:A16"/>
    <mergeCell ref="A17:A21"/>
    <mergeCell ref="A22:A26"/>
    <mergeCell ref="A30:A35"/>
    <mergeCell ref="A99:A100"/>
    <mergeCell ref="A102:A107"/>
    <mergeCell ref="A110:A111"/>
    <mergeCell ref="A97:A98"/>
    <mergeCell ref="A41:A51"/>
    <mergeCell ref="A52:A55"/>
    <mergeCell ref="A57:A62"/>
    <mergeCell ref="A63:A68"/>
    <mergeCell ref="A69:A73"/>
    <mergeCell ref="A74:A84"/>
    <mergeCell ref="A86:A87"/>
    <mergeCell ref="A88:A90"/>
    <mergeCell ref="A91:A96"/>
    <mergeCell ref="A152:A153"/>
    <mergeCell ref="B112:B121"/>
    <mergeCell ref="A122:A126"/>
    <mergeCell ref="A128:A129"/>
    <mergeCell ref="A131:A135"/>
    <mergeCell ref="A138:A139"/>
    <mergeCell ref="A112:A121"/>
    <mergeCell ref="A140:A142"/>
    <mergeCell ref="A143:A148"/>
    <mergeCell ref="A149:A150"/>
    <mergeCell ref="A186:A190"/>
    <mergeCell ref="A191:A201"/>
    <mergeCell ref="A202:A206"/>
    <mergeCell ref="A207:A211"/>
    <mergeCell ref="A154:A163"/>
    <mergeCell ref="A164:A168"/>
    <mergeCell ref="A170:A171"/>
    <mergeCell ref="A179:A183"/>
    <mergeCell ref="A184:A185"/>
  </mergeCells>
  <pageMargins left="0.70866141732283472" right="0.28999999999999998" top="0.45" bottom="0.28000000000000003" header="0.31496062992125984" footer="0.22"/>
  <pageSetup paperSize="9" orientation="landscape" horizontalDpi="1200" verticalDpi="1200" r:id="rId1"/>
  <headerFooter>
    <oddHeader>&amp;R&amp;P--&amp;N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90"/>
  <sheetViews>
    <sheetView topLeftCell="A373" zoomScale="90" zoomScaleNormal="90" workbookViewId="0">
      <selection activeCell="O402" sqref="O402"/>
    </sheetView>
  </sheetViews>
  <sheetFormatPr defaultRowHeight="15" x14ac:dyDescent="0.25"/>
  <cols>
    <col min="1" max="1" width="5.5703125" customWidth="1"/>
    <col min="2" max="2" width="7.7109375" customWidth="1"/>
    <col min="3" max="3" width="31.85546875" customWidth="1"/>
    <col min="4" max="4" width="7.140625" customWidth="1"/>
    <col min="6" max="6" width="13.140625" customWidth="1"/>
    <col min="8" max="8" width="11.85546875" customWidth="1"/>
    <col min="9" max="9" width="7.42578125" customWidth="1"/>
    <col min="10" max="10" width="10.85546875" customWidth="1"/>
    <col min="11" max="11" width="6" customWidth="1"/>
    <col min="12" max="12" width="10.140625" customWidth="1"/>
    <col min="13" max="13" width="11.7109375" customWidth="1"/>
    <col min="14" max="14" width="45.140625" hidden="1" customWidth="1"/>
    <col min="15" max="15" width="45.140625" customWidth="1"/>
  </cols>
  <sheetData>
    <row r="1" spans="1:14" s="318" customFormat="1" ht="39.75" customHeight="1" x14ac:dyDescent="0.25">
      <c r="A1" s="993" t="str">
        <f>krebsiti!A3</f>
        <v>dmanisis municipalitetis sofel javaxSi sportuli moednis, sazogadoebrivi daniSnulebis reteratisa da skveris mowyobis samuSaoebi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</row>
    <row r="2" spans="1:14" s="318" customFormat="1" ht="21" x14ac:dyDescent="0.25">
      <c r="A2" s="994" t="s">
        <v>607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</row>
    <row r="3" spans="1:14" s="318" customFormat="1" ht="15.75" x14ac:dyDescent="0.25">
      <c r="A3" s="993" t="s">
        <v>608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</row>
    <row r="4" spans="1:14" s="318" customFormat="1" ht="15.75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4" s="318" customFormat="1" ht="15.75" x14ac:dyDescent="0.25">
      <c r="A5" s="993" t="s">
        <v>33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</row>
    <row r="6" spans="1:14" s="318" customFormat="1" ht="15.75" x14ac:dyDescent="0.25">
      <c r="A6" s="570"/>
      <c r="B6" s="570"/>
      <c r="C6" s="571"/>
      <c r="D6" s="572"/>
      <c r="E6" s="312"/>
      <c r="F6" s="312"/>
      <c r="G6" s="314"/>
      <c r="H6" s="314"/>
      <c r="I6" s="314"/>
      <c r="J6" s="314"/>
      <c r="K6" s="314"/>
      <c r="L6" s="314"/>
      <c r="M6" s="314"/>
    </row>
    <row r="7" spans="1:14" s="318" customFormat="1" ht="38.25" customHeight="1" x14ac:dyDescent="0.25">
      <c r="A7" s="936" t="s">
        <v>0</v>
      </c>
      <c r="B7" s="936" t="s">
        <v>34</v>
      </c>
      <c r="C7" s="943" t="s">
        <v>1</v>
      </c>
      <c r="D7" s="995" t="s">
        <v>2</v>
      </c>
      <c r="E7" s="937" t="s">
        <v>35</v>
      </c>
      <c r="F7" s="937"/>
      <c r="G7" s="928" t="s">
        <v>36</v>
      </c>
      <c r="H7" s="928"/>
      <c r="I7" s="928" t="s">
        <v>37</v>
      </c>
      <c r="J7" s="928"/>
      <c r="K7" s="929" t="s">
        <v>38</v>
      </c>
      <c r="L7" s="930"/>
      <c r="M7" s="928" t="s">
        <v>39</v>
      </c>
    </row>
    <row r="8" spans="1:14" s="318" customFormat="1" ht="47.25" x14ac:dyDescent="0.25">
      <c r="A8" s="936"/>
      <c r="B8" s="936"/>
      <c r="C8" s="944"/>
      <c r="D8" s="995"/>
      <c r="E8" s="47" t="s">
        <v>16</v>
      </c>
      <c r="F8" s="47" t="s">
        <v>6</v>
      </c>
      <c r="G8" s="48" t="s">
        <v>40</v>
      </c>
      <c r="H8" s="48" t="s">
        <v>41</v>
      </c>
      <c r="I8" s="48" t="s">
        <v>40</v>
      </c>
      <c r="J8" s="48" t="s">
        <v>41</v>
      </c>
      <c r="K8" s="48" t="s">
        <v>40</v>
      </c>
      <c r="L8" s="48" t="s">
        <v>41</v>
      </c>
      <c r="M8" s="928"/>
    </row>
    <row r="9" spans="1:14" s="308" customFormat="1" ht="16.5" x14ac:dyDescent="0.25">
      <c r="A9" s="45">
        <v>1</v>
      </c>
      <c r="B9" s="45">
        <v>2</v>
      </c>
      <c r="C9" s="403">
        <v>3</v>
      </c>
      <c r="D9" s="38">
        <v>4</v>
      </c>
      <c r="E9" s="47">
        <v>5</v>
      </c>
      <c r="F9" s="40">
        <v>6</v>
      </c>
      <c r="G9" s="47">
        <v>7</v>
      </c>
      <c r="H9" s="38">
        <v>8</v>
      </c>
      <c r="I9" s="47">
        <v>9</v>
      </c>
      <c r="J9" s="38">
        <v>10</v>
      </c>
      <c r="K9" s="47">
        <v>11</v>
      </c>
      <c r="L9" s="88">
        <v>12</v>
      </c>
      <c r="M9" s="47">
        <v>13</v>
      </c>
    </row>
    <row r="10" spans="1:14" s="318" customFormat="1" ht="78.75" x14ac:dyDescent="0.25">
      <c r="A10" s="576"/>
      <c r="B10" s="576"/>
      <c r="C10" s="577" t="s">
        <v>610</v>
      </c>
      <c r="D10" s="578"/>
      <c r="E10" s="579"/>
      <c r="F10" s="579"/>
      <c r="G10" s="409"/>
      <c r="H10" s="409"/>
      <c r="I10" s="409"/>
      <c r="J10" s="48"/>
      <c r="K10" s="63"/>
      <c r="L10" s="48"/>
      <c r="M10" s="48"/>
    </row>
    <row r="11" spans="1:14" s="318" customFormat="1" ht="15.75" x14ac:dyDescent="0.25">
      <c r="A11" s="45"/>
      <c r="B11" s="45"/>
      <c r="C11" s="584" t="s">
        <v>613</v>
      </c>
      <c r="D11" s="38"/>
      <c r="E11" s="47"/>
      <c r="F11" s="47"/>
      <c r="G11" s="48"/>
      <c r="H11" s="48"/>
      <c r="I11" s="48"/>
      <c r="J11" s="48"/>
      <c r="K11" s="48"/>
      <c r="L11" s="48"/>
      <c r="M11" s="48"/>
    </row>
    <row r="12" spans="1:14" s="323" customFormat="1" ht="78.75" x14ac:dyDescent="0.25">
      <c r="A12" s="883" t="s">
        <v>126</v>
      </c>
      <c r="B12" s="45" t="s">
        <v>44</v>
      </c>
      <c r="C12" s="119" t="s">
        <v>45</v>
      </c>
      <c r="D12" s="38" t="s">
        <v>46</v>
      </c>
      <c r="E12" s="585"/>
      <c r="F12" s="41">
        <v>2200</v>
      </c>
      <c r="G12" s="42"/>
      <c r="H12" s="48"/>
      <c r="I12" s="42"/>
      <c r="J12" s="48"/>
      <c r="K12" s="42"/>
      <c r="L12" s="48"/>
      <c r="M12" s="48"/>
      <c r="N12" s="318">
        <f>50*60-20*40</f>
        <v>2200</v>
      </c>
    </row>
    <row r="13" spans="1:14" s="323" customFormat="1" ht="15.75" x14ac:dyDescent="0.25">
      <c r="A13" s="883"/>
      <c r="B13" s="45"/>
      <c r="C13" s="44" t="s">
        <v>17</v>
      </c>
      <c r="D13" s="45" t="s">
        <v>18</v>
      </c>
      <c r="E13" s="47">
        <v>3.2099999999999997E-2</v>
      </c>
      <c r="F13" s="47">
        <f>E13*F12</f>
        <v>70.61999999999999</v>
      </c>
      <c r="G13" s="48"/>
      <c r="H13" s="48"/>
      <c r="I13" s="48"/>
      <c r="J13" s="48">
        <f>F13*I13</f>
        <v>0</v>
      </c>
      <c r="K13" s="48"/>
      <c r="L13" s="48"/>
      <c r="M13" s="48">
        <f t="shared" ref="M13:M28" si="0">H13+J13+L13</f>
        <v>0</v>
      </c>
      <c r="N13" s="318"/>
    </row>
    <row r="14" spans="1:14" s="323" customFormat="1" ht="31.5" x14ac:dyDescent="0.25">
      <c r="A14" s="883"/>
      <c r="B14" s="45" t="s">
        <v>47</v>
      </c>
      <c r="C14" s="44" t="s">
        <v>48</v>
      </c>
      <c r="D14" s="45" t="s">
        <v>19</v>
      </c>
      <c r="E14" s="47">
        <v>2.65E-3</v>
      </c>
      <c r="F14" s="47">
        <f>E14*F12</f>
        <v>5.83</v>
      </c>
      <c r="G14" s="48"/>
      <c r="H14" s="48"/>
      <c r="I14" s="48"/>
      <c r="J14" s="48"/>
      <c r="K14" s="48"/>
      <c r="L14" s="48">
        <f t="shared" ref="L14:L19" si="1">F14*K14</f>
        <v>0</v>
      </c>
      <c r="M14" s="48">
        <f t="shared" si="0"/>
        <v>0</v>
      </c>
      <c r="N14" s="318"/>
    </row>
    <row r="15" spans="1:14" s="323" customFormat="1" ht="31.5" x14ac:dyDescent="0.25">
      <c r="A15" s="883"/>
      <c r="B15" s="45" t="s">
        <v>614</v>
      </c>
      <c r="C15" s="44" t="s">
        <v>50</v>
      </c>
      <c r="D15" s="45" t="s">
        <v>19</v>
      </c>
      <c r="E15" s="47">
        <v>6.1599999999999997E-3</v>
      </c>
      <c r="F15" s="47">
        <f>E15*F12</f>
        <v>13.552</v>
      </c>
      <c r="G15" s="48"/>
      <c r="H15" s="48"/>
      <c r="I15" s="48"/>
      <c r="J15" s="48"/>
      <c r="K15" s="48"/>
      <c r="L15" s="48">
        <f t="shared" si="1"/>
        <v>0</v>
      </c>
      <c r="M15" s="48">
        <f t="shared" si="0"/>
        <v>0</v>
      </c>
      <c r="N15" s="318"/>
    </row>
    <row r="16" spans="1:14" s="323" customFormat="1" ht="31.5" x14ac:dyDescent="0.25">
      <c r="A16" s="883"/>
      <c r="B16" s="45" t="s">
        <v>615</v>
      </c>
      <c r="C16" s="44" t="s">
        <v>52</v>
      </c>
      <c r="D16" s="45" t="s">
        <v>19</v>
      </c>
      <c r="E16" s="47">
        <v>4.5300000000000002E-3</v>
      </c>
      <c r="F16" s="47">
        <f>E16*F12</f>
        <v>9.9660000000000011</v>
      </c>
      <c r="G16" s="48"/>
      <c r="H16" s="48"/>
      <c r="I16" s="48"/>
      <c r="J16" s="48"/>
      <c r="K16" s="48"/>
      <c r="L16" s="48">
        <f t="shared" si="1"/>
        <v>0</v>
      </c>
      <c r="M16" s="48">
        <f t="shared" si="0"/>
        <v>0</v>
      </c>
      <c r="N16" s="586"/>
    </row>
    <row r="17" spans="1:14" s="323" customFormat="1" ht="31.5" x14ac:dyDescent="0.25">
      <c r="A17" s="883"/>
      <c r="B17" s="45" t="s">
        <v>53</v>
      </c>
      <c r="C17" s="44" t="s">
        <v>54</v>
      </c>
      <c r="D17" s="45" t="s">
        <v>19</v>
      </c>
      <c r="E17" s="47">
        <v>7.1000000000000002E-4</v>
      </c>
      <c r="F17" s="47">
        <f>E17*F12</f>
        <v>1.5620000000000001</v>
      </c>
      <c r="G17" s="48"/>
      <c r="H17" s="48"/>
      <c r="I17" s="48"/>
      <c r="J17" s="48"/>
      <c r="K17" s="48"/>
      <c r="L17" s="48">
        <f t="shared" si="1"/>
        <v>0</v>
      </c>
      <c r="M17" s="48">
        <f t="shared" si="0"/>
        <v>0</v>
      </c>
      <c r="N17" s="586"/>
    </row>
    <row r="18" spans="1:14" s="323" customFormat="1" ht="31.5" x14ac:dyDescent="0.25">
      <c r="A18" s="883"/>
      <c r="B18" s="45" t="s">
        <v>55</v>
      </c>
      <c r="C18" s="44" t="s">
        <v>56</v>
      </c>
      <c r="D18" s="45" t="s">
        <v>19</v>
      </c>
      <c r="E18" s="47">
        <v>2.0699999999999998E-3</v>
      </c>
      <c r="F18" s="47">
        <f>E18*F12</f>
        <v>4.5539999999999994</v>
      </c>
      <c r="G18" s="48"/>
      <c r="H18" s="48"/>
      <c r="I18" s="48"/>
      <c r="J18" s="48"/>
      <c r="K18" s="48"/>
      <c r="L18" s="48">
        <f t="shared" si="1"/>
        <v>0</v>
      </c>
      <c r="M18" s="48">
        <f t="shared" si="0"/>
        <v>0</v>
      </c>
      <c r="N18" s="586"/>
    </row>
    <row r="19" spans="1:14" s="323" customFormat="1" ht="15.75" x14ac:dyDescent="0.25">
      <c r="A19" s="883"/>
      <c r="B19" s="45"/>
      <c r="C19" s="44" t="s">
        <v>8</v>
      </c>
      <c r="D19" s="587" t="s">
        <v>7</v>
      </c>
      <c r="E19" s="47">
        <v>1.0200000000000001E-3</v>
      </c>
      <c r="F19" s="47">
        <f>E19*F12</f>
        <v>2.2440000000000002</v>
      </c>
      <c r="G19" s="48"/>
      <c r="H19" s="48"/>
      <c r="I19" s="48"/>
      <c r="J19" s="48"/>
      <c r="K19" s="48"/>
      <c r="L19" s="48">
        <f t="shared" si="1"/>
        <v>0</v>
      </c>
      <c r="M19" s="48">
        <f t="shared" si="0"/>
        <v>0</v>
      </c>
      <c r="N19" s="586"/>
    </row>
    <row r="20" spans="1:14" s="323" customFormat="1" ht="47.25" x14ac:dyDescent="0.25">
      <c r="A20" s="588" t="s">
        <v>219</v>
      </c>
      <c r="B20" s="45"/>
      <c r="C20" s="119" t="s">
        <v>616</v>
      </c>
      <c r="D20" s="587"/>
      <c r="E20" s="47"/>
      <c r="F20" s="47"/>
      <c r="G20" s="48"/>
      <c r="H20" s="48"/>
      <c r="I20" s="48"/>
      <c r="J20" s="48"/>
      <c r="K20" s="48"/>
      <c r="L20" s="48"/>
      <c r="M20" s="48"/>
      <c r="N20" s="318" t="s">
        <v>952</v>
      </c>
    </row>
    <row r="21" spans="1:14" s="323" customFormat="1" ht="15.75" x14ac:dyDescent="0.25">
      <c r="A21" s="990" t="s">
        <v>221</v>
      </c>
      <c r="B21" s="589" t="s">
        <v>425</v>
      </c>
      <c r="C21" s="590" t="s">
        <v>617</v>
      </c>
      <c r="D21" s="591" t="s">
        <v>83</v>
      </c>
      <c r="E21" s="592"/>
      <c r="F21" s="436">
        <f>75*1.65</f>
        <v>123.75</v>
      </c>
      <c r="G21" s="446"/>
      <c r="H21" s="409"/>
      <c r="I21" s="409"/>
      <c r="J21" s="409"/>
      <c r="K21" s="449"/>
      <c r="L21" s="409"/>
      <c r="M21" s="409"/>
      <c r="N21" s="593"/>
    </row>
    <row r="22" spans="1:14" s="323" customFormat="1" x14ac:dyDescent="0.25">
      <c r="A22" s="991"/>
      <c r="B22" s="45"/>
      <c r="C22" s="594" t="s">
        <v>17</v>
      </c>
      <c r="D22" s="45" t="s">
        <v>18</v>
      </c>
      <c r="E22" s="46">
        <f>0.53</f>
        <v>0.53</v>
      </c>
      <c r="F22" s="46">
        <f>E22*F21</f>
        <v>65.587500000000006</v>
      </c>
      <c r="G22" s="409"/>
      <c r="H22" s="409"/>
      <c r="I22" s="409"/>
      <c r="J22" s="409">
        <f>F22*I22</f>
        <v>0</v>
      </c>
      <c r="K22" s="409"/>
      <c r="L22" s="409"/>
      <c r="M22" s="409">
        <f t="shared" ref="M22" si="2">H22+J22+L22</f>
        <v>0</v>
      </c>
      <c r="N22" s="586"/>
    </row>
    <row r="23" spans="1:14" s="323" customFormat="1" ht="47.25" x14ac:dyDescent="0.25">
      <c r="A23" s="595" t="s">
        <v>228</v>
      </c>
      <c r="B23" s="596" t="s">
        <v>618</v>
      </c>
      <c r="C23" s="597" t="s">
        <v>619</v>
      </c>
      <c r="D23" s="598" t="s">
        <v>83</v>
      </c>
      <c r="E23" s="599"/>
      <c r="F23" s="600">
        <f>F21</f>
        <v>123.75</v>
      </c>
      <c r="G23" s="58"/>
      <c r="H23" s="48"/>
      <c r="I23" s="48"/>
      <c r="J23" s="48"/>
      <c r="K23" s="59"/>
      <c r="L23" s="48">
        <f>F23*K23</f>
        <v>0</v>
      </c>
      <c r="M23" s="48">
        <f t="shared" si="0"/>
        <v>0</v>
      </c>
      <c r="N23" s="586"/>
    </row>
    <row r="24" spans="1:14" s="323" customFormat="1" ht="47.25" x14ac:dyDescent="0.25">
      <c r="A24" s="990" t="s">
        <v>291</v>
      </c>
      <c r="B24" s="596" t="s">
        <v>187</v>
      </c>
      <c r="C24" s="601" t="s">
        <v>620</v>
      </c>
      <c r="D24" s="598" t="s">
        <v>74</v>
      </c>
      <c r="E24" s="599"/>
      <c r="F24" s="41">
        <f>F21</f>
        <v>123.75</v>
      </c>
      <c r="G24" s="58"/>
      <c r="H24" s="48"/>
      <c r="I24" s="48"/>
      <c r="J24" s="48"/>
      <c r="K24" s="59"/>
      <c r="L24" s="48"/>
      <c r="M24" s="48"/>
      <c r="N24" s="593"/>
    </row>
    <row r="25" spans="1:14" s="323" customFormat="1" ht="15.75" x14ac:dyDescent="0.25">
      <c r="A25" s="991"/>
      <c r="B25" s="596"/>
      <c r="C25" s="602" t="s">
        <v>67</v>
      </c>
      <c r="D25" s="596" t="s">
        <v>68</v>
      </c>
      <c r="E25" s="599">
        <v>1.21</v>
      </c>
      <c r="F25" s="599">
        <f>F24*E25</f>
        <v>149.73749999999998</v>
      </c>
      <c r="G25" s="58"/>
      <c r="H25" s="48"/>
      <c r="I25" s="58"/>
      <c r="J25" s="48">
        <f>F25*I25</f>
        <v>0</v>
      </c>
      <c r="K25" s="59"/>
      <c r="L25" s="48"/>
      <c r="M25" s="48">
        <f t="shared" si="0"/>
        <v>0</v>
      </c>
      <c r="N25" s="586"/>
    </row>
    <row r="26" spans="1:14" s="308" customFormat="1" ht="63" x14ac:dyDescent="0.25">
      <c r="A26" s="883" t="s">
        <v>436</v>
      </c>
      <c r="B26" s="596" t="s">
        <v>187</v>
      </c>
      <c r="C26" s="859" t="s">
        <v>621</v>
      </c>
      <c r="D26" s="603" t="s">
        <v>111</v>
      </c>
      <c r="E26" s="599"/>
      <c r="F26" s="604">
        <v>2200</v>
      </c>
      <c r="G26" s="42"/>
      <c r="H26" s="48"/>
      <c r="I26" s="42"/>
      <c r="J26" s="48"/>
      <c r="K26" s="42"/>
      <c r="L26" s="48"/>
      <c r="M26" s="48"/>
      <c r="N26" s="586"/>
    </row>
    <row r="27" spans="1:14" s="308" customFormat="1" ht="16.5" x14ac:dyDescent="0.25">
      <c r="A27" s="883"/>
      <c r="B27" s="596"/>
      <c r="C27" s="860"/>
      <c r="D27" s="38" t="s">
        <v>74</v>
      </c>
      <c r="E27" s="88"/>
      <c r="F27" s="41">
        <f>F26*0.05</f>
        <v>110</v>
      </c>
      <c r="G27" s="42"/>
      <c r="H27" s="48"/>
      <c r="I27" s="42"/>
      <c r="J27" s="48"/>
      <c r="K27" s="42"/>
      <c r="L27" s="48"/>
      <c r="M27" s="48"/>
      <c r="N27" s="586"/>
    </row>
    <row r="28" spans="1:14" s="308" customFormat="1" ht="16.5" x14ac:dyDescent="0.25">
      <c r="A28" s="883"/>
      <c r="B28" s="596"/>
      <c r="C28" s="602" t="s">
        <v>67</v>
      </c>
      <c r="D28" s="596" t="s">
        <v>68</v>
      </c>
      <c r="E28" s="599">
        <v>1.21</v>
      </c>
      <c r="F28" s="599">
        <f>F27*E28</f>
        <v>133.1</v>
      </c>
      <c r="G28" s="58"/>
      <c r="H28" s="48"/>
      <c r="I28" s="58"/>
      <c r="J28" s="48">
        <f>F28*I28</f>
        <v>0</v>
      </c>
      <c r="K28" s="59"/>
      <c r="L28" s="48"/>
      <c r="M28" s="48">
        <f t="shared" si="0"/>
        <v>0</v>
      </c>
      <c r="N28" s="586"/>
    </row>
    <row r="29" spans="1:14" s="308" customFormat="1" ht="47.25" x14ac:dyDescent="0.25">
      <c r="A29" s="45" t="s">
        <v>394</v>
      </c>
      <c r="B29" s="45"/>
      <c r="C29" s="584" t="s">
        <v>625</v>
      </c>
      <c r="D29" s="38"/>
      <c r="E29" s="47"/>
      <c r="F29" s="41">
        <v>162</v>
      </c>
      <c r="G29" s="48"/>
      <c r="H29" s="48"/>
      <c r="I29" s="48"/>
      <c r="J29" s="48"/>
      <c r="K29" s="48"/>
      <c r="L29" s="48"/>
      <c r="M29" s="48"/>
      <c r="N29" s="586"/>
    </row>
    <row r="30" spans="1:14" s="308" customFormat="1" ht="78.75" x14ac:dyDescent="0.25">
      <c r="A30" s="990" t="s">
        <v>626</v>
      </c>
      <c r="B30" s="596" t="s">
        <v>174</v>
      </c>
      <c r="C30" s="265" t="s">
        <v>627</v>
      </c>
      <c r="D30" s="38" t="s">
        <v>66</v>
      </c>
      <c r="E30" s="88"/>
      <c r="F30" s="41">
        <f>0.4*0.6*F29</f>
        <v>38.879999999999995</v>
      </c>
      <c r="G30" s="42"/>
      <c r="H30" s="48"/>
      <c r="I30" s="42"/>
      <c r="J30" s="48"/>
      <c r="K30" s="42"/>
      <c r="L30" s="48"/>
      <c r="M30" s="48"/>
    </row>
    <row r="31" spans="1:14" s="308" customFormat="1" ht="16.5" x14ac:dyDescent="0.25">
      <c r="A31" s="991"/>
      <c r="B31" s="596"/>
      <c r="C31" s="602" t="s">
        <v>67</v>
      </c>
      <c r="D31" s="596" t="s">
        <v>68</v>
      </c>
      <c r="E31" s="599">
        <v>2.06</v>
      </c>
      <c r="F31" s="599">
        <f>F30*E31</f>
        <v>80.092799999999997</v>
      </c>
      <c r="G31" s="58"/>
      <c r="H31" s="48"/>
      <c r="I31" s="58"/>
      <c r="J31" s="48">
        <f>F31*I31</f>
        <v>0</v>
      </c>
      <c r="K31" s="59"/>
      <c r="L31" s="48"/>
      <c r="M31" s="48">
        <f t="shared" ref="M31:M36" si="3">H31+J31+L31</f>
        <v>0</v>
      </c>
    </row>
    <row r="32" spans="1:14" s="308" customFormat="1" ht="63" x14ac:dyDescent="0.25">
      <c r="A32" s="990" t="s">
        <v>629</v>
      </c>
      <c r="B32" s="596" t="s">
        <v>71</v>
      </c>
      <c r="C32" s="601" t="s">
        <v>630</v>
      </c>
      <c r="D32" s="598" t="s">
        <v>74</v>
      </c>
      <c r="E32" s="599"/>
      <c r="F32" s="41">
        <f>0.4*0.1*F29</f>
        <v>6.4800000000000013</v>
      </c>
      <c r="G32" s="58"/>
      <c r="H32" s="48"/>
      <c r="I32" s="48"/>
      <c r="J32" s="48"/>
      <c r="K32" s="59"/>
      <c r="L32" s="48"/>
      <c r="M32" s="48"/>
      <c r="N32" s="308" t="s">
        <v>628</v>
      </c>
    </row>
    <row r="33" spans="1:14" s="308" customFormat="1" ht="16.5" x14ac:dyDescent="0.25">
      <c r="A33" s="992"/>
      <c r="B33" s="596"/>
      <c r="C33" s="602" t="s">
        <v>67</v>
      </c>
      <c r="D33" s="596" t="s">
        <v>68</v>
      </c>
      <c r="E33" s="599">
        <v>3.52</v>
      </c>
      <c r="F33" s="599">
        <f>F32*E33</f>
        <v>22.809600000000003</v>
      </c>
      <c r="G33" s="58"/>
      <c r="H33" s="48"/>
      <c r="I33" s="58"/>
      <c r="J33" s="48">
        <f>F33*I33</f>
        <v>0</v>
      </c>
      <c r="K33" s="59"/>
      <c r="L33" s="48"/>
      <c r="M33" s="48">
        <f t="shared" si="3"/>
        <v>0</v>
      </c>
    </row>
    <row r="34" spans="1:14" s="308" customFormat="1" ht="16.5" x14ac:dyDescent="0.25">
      <c r="A34" s="992"/>
      <c r="B34" s="596"/>
      <c r="C34" s="602" t="s">
        <v>21</v>
      </c>
      <c r="D34" s="596" t="s">
        <v>7</v>
      </c>
      <c r="E34" s="599">
        <v>1.06</v>
      </c>
      <c r="F34" s="599">
        <f>F32*E34</f>
        <v>6.868800000000002</v>
      </c>
      <c r="G34" s="58"/>
      <c r="H34" s="48"/>
      <c r="I34" s="48"/>
      <c r="J34" s="48"/>
      <c r="K34" s="59"/>
      <c r="L34" s="48">
        <f>F34*K34</f>
        <v>0</v>
      </c>
      <c r="M34" s="48">
        <f t="shared" si="3"/>
        <v>0</v>
      </c>
    </row>
    <row r="35" spans="1:14" s="308" customFormat="1" ht="16.5" x14ac:dyDescent="0.25">
      <c r="A35" s="992"/>
      <c r="B35" s="596"/>
      <c r="C35" s="602" t="s">
        <v>631</v>
      </c>
      <c r="D35" s="596" t="s">
        <v>74</v>
      </c>
      <c r="E35" s="599">
        <f>0.18+0.09+0.97</f>
        <v>1.24</v>
      </c>
      <c r="F35" s="599">
        <f>F32*E35</f>
        <v>8.0352000000000015</v>
      </c>
      <c r="G35" s="58"/>
      <c r="H35" s="48">
        <f>F35*G35</f>
        <v>0</v>
      </c>
      <c r="I35" s="48"/>
      <c r="J35" s="48"/>
      <c r="K35" s="59"/>
      <c r="L35" s="48"/>
      <c r="M35" s="48">
        <f t="shared" si="3"/>
        <v>0</v>
      </c>
    </row>
    <row r="36" spans="1:14" s="308" customFormat="1" ht="16.5" x14ac:dyDescent="0.25">
      <c r="A36" s="991"/>
      <c r="B36" s="596"/>
      <c r="C36" s="602" t="s">
        <v>122</v>
      </c>
      <c r="D36" s="596" t="s">
        <v>7</v>
      </c>
      <c r="E36" s="599">
        <v>0.02</v>
      </c>
      <c r="F36" s="599">
        <f>F32*E36</f>
        <v>0.12960000000000002</v>
      </c>
      <c r="G36" s="58"/>
      <c r="H36" s="48">
        <f>F36*G36</f>
        <v>0</v>
      </c>
      <c r="I36" s="48"/>
      <c r="J36" s="48"/>
      <c r="K36" s="59"/>
      <c r="L36" s="48"/>
      <c r="M36" s="48">
        <f t="shared" si="3"/>
        <v>0</v>
      </c>
    </row>
    <row r="37" spans="1:14" s="308" customFormat="1" ht="47.25" x14ac:dyDescent="0.25">
      <c r="A37" s="878" t="s">
        <v>632</v>
      </c>
      <c r="B37" s="45" t="s">
        <v>266</v>
      </c>
      <c r="C37" s="265" t="s">
        <v>1007</v>
      </c>
      <c r="D37" s="38" t="s">
        <v>74</v>
      </c>
      <c r="E37" s="47"/>
      <c r="F37" s="41">
        <f>0.3*0.7*F29</f>
        <v>34.019999999999996</v>
      </c>
      <c r="G37" s="607"/>
      <c r="H37" s="48"/>
      <c r="I37" s="607"/>
      <c r="J37" s="48"/>
      <c r="K37" s="607"/>
      <c r="L37" s="48"/>
      <c r="M37" s="48"/>
      <c r="N37" s="308" t="s">
        <v>628</v>
      </c>
    </row>
    <row r="38" spans="1:14" s="308" customFormat="1" ht="16.5" x14ac:dyDescent="0.25">
      <c r="A38" s="879"/>
      <c r="B38" s="45"/>
      <c r="C38" s="149" t="s">
        <v>77</v>
      </c>
      <c r="D38" s="71" t="s">
        <v>18</v>
      </c>
      <c r="E38" s="73">
        <v>3.78</v>
      </c>
      <c r="F38" s="608">
        <f>E38*F37</f>
        <v>128.59559999999999</v>
      </c>
      <c r="G38" s="48"/>
      <c r="H38" s="48"/>
      <c r="I38" s="48"/>
      <c r="J38" s="48">
        <f>F38*I38</f>
        <v>0</v>
      </c>
      <c r="K38" s="48"/>
      <c r="L38" s="48"/>
      <c r="M38" s="48">
        <f t="shared" ref="M38:M45" si="4">H38+J38+L38</f>
        <v>0</v>
      </c>
    </row>
    <row r="39" spans="1:14" s="308" customFormat="1" ht="16.5" x14ac:dyDescent="0.25">
      <c r="A39" s="879"/>
      <c r="B39" s="45"/>
      <c r="C39" s="149" t="s">
        <v>8</v>
      </c>
      <c r="D39" s="71" t="s">
        <v>7</v>
      </c>
      <c r="E39" s="73">
        <v>0.92</v>
      </c>
      <c r="F39" s="608">
        <f>E39*F37</f>
        <v>31.298399999999997</v>
      </c>
      <c r="G39" s="48"/>
      <c r="H39" s="48"/>
      <c r="I39" s="48"/>
      <c r="J39" s="48"/>
      <c r="K39" s="48"/>
      <c r="L39" s="48">
        <f>F39*K39</f>
        <v>0</v>
      </c>
      <c r="M39" s="48">
        <f t="shared" si="4"/>
        <v>0</v>
      </c>
    </row>
    <row r="40" spans="1:14" s="308" customFormat="1" ht="16.5" x14ac:dyDescent="0.25">
      <c r="A40" s="879"/>
      <c r="B40" s="45"/>
      <c r="C40" s="149" t="s">
        <v>633</v>
      </c>
      <c r="D40" s="71" t="s">
        <v>59</v>
      </c>
      <c r="E40" s="73">
        <v>1.0149999999999999</v>
      </c>
      <c r="F40" s="608">
        <f>E40*F37</f>
        <v>34.53029999999999</v>
      </c>
      <c r="G40" s="48"/>
      <c r="H40" s="48">
        <f t="shared" ref="H40:H45" si="5">F40*G40</f>
        <v>0</v>
      </c>
      <c r="I40" s="48"/>
      <c r="J40" s="48"/>
      <c r="K40" s="48"/>
      <c r="L40" s="48"/>
      <c r="M40" s="48">
        <f t="shared" si="4"/>
        <v>0</v>
      </c>
    </row>
    <row r="41" spans="1:14" s="308" customFormat="1" ht="16.5" x14ac:dyDescent="0.25">
      <c r="A41" s="879"/>
      <c r="B41" s="45"/>
      <c r="C41" s="149" t="s">
        <v>79</v>
      </c>
      <c r="D41" s="71" t="s">
        <v>80</v>
      </c>
      <c r="E41" s="73">
        <v>0.70299999999999996</v>
      </c>
      <c r="F41" s="608">
        <f>E41*F37</f>
        <v>23.916059999999995</v>
      </c>
      <c r="G41" s="48"/>
      <c r="H41" s="48">
        <f t="shared" si="5"/>
        <v>0</v>
      </c>
      <c r="I41" s="48"/>
      <c r="J41" s="48"/>
      <c r="K41" s="48"/>
      <c r="L41" s="48"/>
      <c r="M41" s="48">
        <f t="shared" si="4"/>
        <v>0</v>
      </c>
    </row>
    <row r="42" spans="1:14" s="308" customFormat="1" ht="16.5" x14ac:dyDescent="0.25">
      <c r="A42" s="879"/>
      <c r="B42" s="45"/>
      <c r="C42" s="149" t="s">
        <v>81</v>
      </c>
      <c r="D42" s="71" t="s">
        <v>59</v>
      </c>
      <c r="E42" s="73">
        <v>1.14E-2</v>
      </c>
      <c r="F42" s="608">
        <f>E42*F37</f>
        <v>0.38782799999999995</v>
      </c>
      <c r="G42" s="48"/>
      <c r="H42" s="48">
        <f t="shared" si="5"/>
        <v>0</v>
      </c>
      <c r="I42" s="48"/>
      <c r="J42" s="48"/>
      <c r="K42" s="48"/>
      <c r="L42" s="48"/>
      <c r="M42" s="48">
        <f t="shared" si="4"/>
        <v>0</v>
      </c>
    </row>
    <row r="43" spans="1:14" s="308" customFormat="1" ht="16.5" x14ac:dyDescent="0.25">
      <c r="A43" s="879"/>
      <c r="B43" s="45"/>
      <c r="C43" s="149" t="s">
        <v>634</v>
      </c>
      <c r="D43" s="71" t="s">
        <v>70</v>
      </c>
      <c r="E43" s="73">
        <v>1.03</v>
      </c>
      <c r="F43" s="608">
        <f>(3*F29+(F29/0.15+1)*0.3)*0.395/1000*E43</f>
        <v>0.32967055499999998</v>
      </c>
      <c r="G43" s="48"/>
      <c r="H43" s="48">
        <f t="shared" si="5"/>
        <v>0</v>
      </c>
      <c r="I43" s="48"/>
      <c r="J43" s="48"/>
      <c r="K43" s="48"/>
      <c r="L43" s="48"/>
      <c r="M43" s="48">
        <f t="shared" si="4"/>
        <v>0</v>
      </c>
      <c r="N43" s="308" t="s">
        <v>628</v>
      </c>
    </row>
    <row r="44" spans="1:14" s="308" customFormat="1" ht="16.5" x14ac:dyDescent="0.25">
      <c r="A44" s="879"/>
      <c r="B44" s="45"/>
      <c r="C44" s="149" t="s">
        <v>635</v>
      </c>
      <c r="D44" s="71" t="s">
        <v>70</v>
      </c>
      <c r="E44" s="73">
        <v>1.03</v>
      </c>
      <c r="F44" s="608">
        <v>0</v>
      </c>
      <c r="G44" s="48"/>
      <c r="H44" s="48">
        <f t="shared" si="5"/>
        <v>0</v>
      </c>
      <c r="I44" s="48"/>
      <c r="J44" s="48"/>
      <c r="K44" s="48"/>
      <c r="L44" s="48"/>
      <c r="M44" s="48">
        <f t="shared" si="4"/>
        <v>0</v>
      </c>
    </row>
    <row r="45" spans="1:14" s="308" customFormat="1" ht="16.5" x14ac:dyDescent="0.25">
      <c r="A45" s="895"/>
      <c r="B45" s="45"/>
      <c r="C45" s="149" t="s">
        <v>10</v>
      </c>
      <c r="D45" s="71" t="s">
        <v>7</v>
      </c>
      <c r="E45" s="73">
        <v>0.6</v>
      </c>
      <c r="F45" s="608">
        <f>E45*F37</f>
        <v>20.411999999999995</v>
      </c>
      <c r="G45" s="48"/>
      <c r="H45" s="48">
        <f t="shared" si="5"/>
        <v>0</v>
      </c>
      <c r="I45" s="48"/>
      <c r="J45" s="48"/>
      <c r="K45" s="48"/>
      <c r="L45" s="48"/>
      <c r="M45" s="48">
        <f t="shared" si="4"/>
        <v>0</v>
      </c>
    </row>
    <row r="46" spans="1:14" x14ac:dyDescent="0.25">
      <c r="A46" s="850"/>
      <c r="B46" s="850"/>
      <c r="C46" s="850"/>
      <c r="D46" s="850"/>
      <c r="E46" s="850"/>
      <c r="F46" s="850"/>
      <c r="G46" s="850"/>
      <c r="H46" s="850"/>
      <c r="I46" s="850"/>
      <c r="J46" s="850"/>
      <c r="K46" s="850"/>
      <c r="L46" s="850"/>
      <c r="M46" s="850"/>
    </row>
    <row r="47" spans="1:14" s="308" customFormat="1" ht="63" x14ac:dyDescent="0.25">
      <c r="A47" s="878" t="s">
        <v>986</v>
      </c>
      <c r="B47" s="849" t="s">
        <v>989</v>
      </c>
      <c r="C47" s="539" t="s">
        <v>987</v>
      </c>
      <c r="D47" s="849" t="s">
        <v>111</v>
      </c>
      <c r="E47" s="541"/>
      <c r="F47" s="521">
        <f>(0.3+0.35+0.3)*F29</f>
        <v>153.9</v>
      </c>
      <c r="G47" s="847"/>
      <c r="H47" s="847"/>
      <c r="I47" s="847"/>
      <c r="J47" s="847"/>
      <c r="K47" s="847"/>
      <c r="L47" s="847"/>
      <c r="M47" s="847"/>
    </row>
    <row r="48" spans="1:14" s="308" customFormat="1" ht="16.5" x14ac:dyDescent="0.25">
      <c r="A48" s="879"/>
      <c r="B48" s="849"/>
      <c r="C48" s="605" t="s">
        <v>73</v>
      </c>
      <c r="D48" s="141" t="s">
        <v>9</v>
      </c>
      <c r="E48" s="848">
        <v>6</v>
      </c>
      <c r="F48" s="142">
        <f>F47*E48</f>
        <v>923.40000000000009</v>
      </c>
      <c r="G48" s="847"/>
      <c r="H48" s="847"/>
      <c r="I48" s="847"/>
      <c r="J48" s="847">
        <f>F48*I48</f>
        <v>0</v>
      </c>
      <c r="K48" s="847"/>
      <c r="L48" s="847"/>
      <c r="M48" s="847">
        <f t="shared" ref="M48:M50" si="6">H48+J48+L48</f>
        <v>0</v>
      </c>
    </row>
    <row r="49" spans="1:14" s="308" customFormat="1" ht="16.5" x14ac:dyDescent="0.25">
      <c r="A49" s="879"/>
      <c r="B49" s="849"/>
      <c r="C49" s="530" t="s">
        <v>21</v>
      </c>
      <c r="D49" s="849" t="s">
        <v>7</v>
      </c>
      <c r="E49" s="541">
        <v>0.18</v>
      </c>
      <c r="F49" s="522">
        <f>F47*E49</f>
        <v>27.702000000000002</v>
      </c>
      <c r="G49" s="847"/>
      <c r="H49" s="847"/>
      <c r="I49" s="847"/>
      <c r="J49" s="847"/>
      <c r="K49" s="847"/>
      <c r="L49" s="847">
        <f>F49*K49</f>
        <v>0</v>
      </c>
      <c r="M49" s="847">
        <f t="shared" si="6"/>
        <v>0</v>
      </c>
    </row>
    <row r="50" spans="1:14" s="308" customFormat="1" ht="31.5" x14ac:dyDescent="0.25">
      <c r="A50" s="879"/>
      <c r="B50" s="849"/>
      <c r="C50" s="530" t="s">
        <v>988</v>
      </c>
      <c r="D50" s="849" t="s">
        <v>111</v>
      </c>
      <c r="E50" s="541">
        <v>1.03</v>
      </c>
      <c r="F50" s="541">
        <f>F47*E50</f>
        <v>158.517</v>
      </c>
      <c r="G50" s="847"/>
      <c r="H50" s="847">
        <f>F50*G50</f>
        <v>0</v>
      </c>
      <c r="I50" s="847"/>
      <c r="J50" s="847"/>
      <c r="K50" s="847"/>
      <c r="L50" s="847"/>
      <c r="M50" s="847">
        <f t="shared" si="6"/>
        <v>0</v>
      </c>
    </row>
    <row r="51" spans="1:14" s="308" customFormat="1" ht="16.5" x14ac:dyDescent="0.25">
      <c r="A51" s="879"/>
      <c r="B51" s="849"/>
      <c r="C51" s="530" t="s">
        <v>397</v>
      </c>
      <c r="D51" s="849" t="s">
        <v>74</v>
      </c>
      <c r="E51" s="541">
        <v>3.5999999999999997E-2</v>
      </c>
      <c r="F51" s="541">
        <f>F47*E51</f>
        <v>5.5404</v>
      </c>
      <c r="G51" s="847"/>
      <c r="H51" s="847">
        <f t="shared" ref="H51:H52" si="7">F51*G51</f>
        <v>0</v>
      </c>
      <c r="I51" s="847"/>
      <c r="J51" s="847"/>
      <c r="K51" s="847"/>
      <c r="L51" s="847"/>
      <c r="M51" s="847">
        <f t="shared" ref="M51:M52" si="8">H51+J51+L51</f>
        <v>0</v>
      </c>
    </row>
    <row r="52" spans="1:14" s="308" customFormat="1" ht="16.5" x14ac:dyDescent="0.25">
      <c r="A52" s="895"/>
      <c r="B52" s="849"/>
      <c r="C52" s="530" t="s">
        <v>122</v>
      </c>
      <c r="D52" s="849" t="s">
        <v>7</v>
      </c>
      <c r="E52" s="541">
        <v>0.08</v>
      </c>
      <c r="F52" s="541">
        <f>F47*E52</f>
        <v>12.312000000000001</v>
      </c>
      <c r="G52" s="847"/>
      <c r="H52" s="847">
        <f t="shared" si="7"/>
        <v>0</v>
      </c>
      <c r="I52" s="847"/>
      <c r="J52" s="847"/>
      <c r="K52" s="847"/>
      <c r="L52" s="847"/>
      <c r="M52" s="847">
        <f t="shared" si="8"/>
        <v>0</v>
      </c>
    </row>
    <row r="53" spans="1:14" s="308" customFormat="1" ht="16.5" x14ac:dyDescent="0.25">
      <c r="A53" s="846"/>
      <c r="B53" s="849"/>
      <c r="C53" s="530"/>
      <c r="D53" s="849"/>
      <c r="E53" s="541"/>
      <c r="F53" s="541"/>
      <c r="G53" s="847"/>
      <c r="H53" s="847"/>
      <c r="I53" s="847"/>
      <c r="J53" s="847"/>
      <c r="K53" s="847"/>
      <c r="L53" s="847"/>
      <c r="M53" s="847"/>
    </row>
    <row r="54" spans="1:14" s="308" customFormat="1" ht="63" x14ac:dyDescent="0.25">
      <c r="A54" s="878" t="s">
        <v>636</v>
      </c>
      <c r="B54" s="529" t="s">
        <v>637</v>
      </c>
      <c r="C54" s="539" t="s">
        <v>638</v>
      </c>
      <c r="D54" s="540" t="s">
        <v>184</v>
      </c>
      <c r="E54" s="522"/>
      <c r="F54" s="521">
        <f>F29</f>
        <v>162</v>
      </c>
      <c r="G54" s="48"/>
      <c r="H54" s="48"/>
      <c r="I54" s="48"/>
      <c r="J54" s="48"/>
      <c r="K54" s="48"/>
      <c r="L54" s="48"/>
      <c r="M54" s="48"/>
      <c r="N54" s="308" t="s">
        <v>639</v>
      </c>
    </row>
    <row r="55" spans="1:14" s="308" customFormat="1" ht="16.5" x14ac:dyDescent="0.25">
      <c r="A55" s="879"/>
      <c r="B55" s="529"/>
      <c r="C55" s="530" t="s">
        <v>73</v>
      </c>
      <c r="D55" s="45" t="s">
        <v>9</v>
      </c>
      <c r="E55" s="522">
        <v>1.58</v>
      </c>
      <c r="F55" s="522">
        <f>F54*E55</f>
        <v>255.96</v>
      </c>
      <c r="G55" s="48"/>
      <c r="H55" s="48"/>
      <c r="I55" s="48"/>
      <c r="J55" s="48">
        <f>F55*I55</f>
        <v>0</v>
      </c>
      <c r="K55" s="48"/>
      <c r="L55" s="48"/>
      <c r="M55" s="48">
        <f>H55+J55+L55</f>
        <v>0</v>
      </c>
    </row>
    <row r="56" spans="1:14" s="308" customFormat="1" ht="31.5" x14ac:dyDescent="0.25">
      <c r="A56" s="879"/>
      <c r="B56" s="45" t="s">
        <v>640</v>
      </c>
      <c r="C56" s="111" t="s">
        <v>641</v>
      </c>
      <c r="D56" s="45" t="s">
        <v>19</v>
      </c>
      <c r="E56" s="144">
        <f>20.5/100</f>
        <v>0.20499999999999999</v>
      </c>
      <c r="F56" s="144">
        <f>F54*E56</f>
        <v>33.21</v>
      </c>
      <c r="G56" s="48"/>
      <c r="H56" s="48"/>
      <c r="I56" s="48"/>
      <c r="J56" s="48"/>
      <c r="K56" s="48"/>
      <c r="L56" s="48">
        <f>F56*K56</f>
        <v>0</v>
      </c>
      <c r="M56" s="48">
        <f>H56+J56+L56</f>
        <v>0</v>
      </c>
    </row>
    <row r="57" spans="1:14" s="308" customFormat="1" ht="16.5" x14ac:dyDescent="0.25">
      <c r="A57" s="879"/>
      <c r="B57" s="45"/>
      <c r="C57" s="111" t="s">
        <v>8</v>
      </c>
      <c r="D57" s="45" t="s">
        <v>7</v>
      </c>
      <c r="E57" s="144">
        <f>4*0.01</f>
        <v>0.04</v>
      </c>
      <c r="F57" s="144">
        <f>F54*E57</f>
        <v>6.48</v>
      </c>
      <c r="G57" s="48"/>
      <c r="H57" s="48"/>
      <c r="I57" s="48"/>
      <c r="J57" s="48"/>
      <c r="K57" s="48"/>
      <c r="L57" s="48">
        <f>F57*K57</f>
        <v>0</v>
      </c>
      <c r="M57" s="48">
        <f>H57+J57+L57</f>
        <v>0</v>
      </c>
    </row>
    <row r="58" spans="1:14" s="308" customFormat="1" ht="16.5" x14ac:dyDescent="0.25">
      <c r="A58" s="879"/>
      <c r="B58" s="45"/>
      <c r="C58" s="111" t="s">
        <v>642</v>
      </c>
      <c r="D58" s="45" t="s">
        <v>147</v>
      </c>
      <c r="E58" s="144">
        <f>33.3*0.01</f>
        <v>0.33299999999999996</v>
      </c>
      <c r="F58" s="144">
        <f>F54*E58</f>
        <v>53.945999999999991</v>
      </c>
      <c r="G58" s="48"/>
      <c r="H58" s="48"/>
      <c r="I58" s="48"/>
      <c r="J58" s="48"/>
      <c r="K58" s="48"/>
      <c r="L58" s="48"/>
      <c r="M58" s="48"/>
    </row>
    <row r="59" spans="1:14" s="308" customFormat="1" ht="16.5" x14ac:dyDescent="0.25">
      <c r="A59" s="879"/>
      <c r="B59" s="45"/>
      <c r="C59" s="140" t="s">
        <v>643</v>
      </c>
      <c r="D59" s="118" t="s">
        <v>59</v>
      </c>
      <c r="E59" s="144">
        <f>1.41*0.01</f>
        <v>1.41E-2</v>
      </c>
      <c r="F59" s="144">
        <f>F54*E59</f>
        <v>2.2841999999999998</v>
      </c>
      <c r="G59" s="48"/>
      <c r="H59" s="48">
        <f>F59*G59</f>
        <v>0</v>
      </c>
      <c r="I59" s="48"/>
      <c r="J59" s="48"/>
      <c r="K59" s="48"/>
      <c r="L59" s="48"/>
      <c r="M59" s="48">
        <f>H59+J59+L59</f>
        <v>0</v>
      </c>
    </row>
    <row r="60" spans="1:14" s="308" customFormat="1" ht="16.5" x14ac:dyDescent="0.25">
      <c r="A60" s="879"/>
      <c r="B60" s="529"/>
      <c r="C60" s="530" t="s">
        <v>644</v>
      </c>
      <c r="D60" s="529" t="str">
        <f>D54</f>
        <v>grZ.m.</v>
      </c>
      <c r="E60" s="541">
        <v>1</v>
      </c>
      <c r="F60" s="522">
        <f>F54*E60</f>
        <v>162</v>
      </c>
      <c r="G60" s="48"/>
      <c r="H60" s="48">
        <f>F60*G60</f>
        <v>0</v>
      </c>
      <c r="I60" s="48"/>
      <c r="J60" s="48"/>
      <c r="K60" s="48"/>
      <c r="L60" s="48"/>
      <c r="M60" s="48">
        <f>H60+J60+L60</f>
        <v>0</v>
      </c>
    </row>
    <row r="61" spans="1:14" s="308" customFormat="1" ht="31.5" x14ac:dyDescent="0.25">
      <c r="A61" s="879"/>
      <c r="B61" s="45"/>
      <c r="C61" s="140" t="s">
        <v>645</v>
      </c>
      <c r="D61" s="45" t="s">
        <v>276</v>
      </c>
      <c r="E61" s="144">
        <f>0.002*1000*0.01</f>
        <v>0.02</v>
      </c>
      <c r="F61" s="144">
        <f>F54*E61</f>
        <v>3.24</v>
      </c>
      <c r="G61" s="48"/>
      <c r="H61" s="48">
        <f>F61*G61</f>
        <v>0</v>
      </c>
      <c r="I61" s="48"/>
      <c r="J61" s="48"/>
      <c r="K61" s="48"/>
      <c r="L61" s="48"/>
      <c r="M61" s="48">
        <f>H61+J61+L61</f>
        <v>0</v>
      </c>
    </row>
    <row r="62" spans="1:14" s="308" customFormat="1" ht="16.5" x14ac:dyDescent="0.25">
      <c r="A62" s="895"/>
      <c r="B62" s="45"/>
      <c r="C62" s="111" t="s">
        <v>10</v>
      </c>
      <c r="D62" s="45" t="s">
        <v>7</v>
      </c>
      <c r="E62" s="144">
        <f>6*0.01</f>
        <v>0.06</v>
      </c>
      <c r="F62" s="144">
        <f>F54*E62</f>
        <v>9.7199999999999989</v>
      </c>
      <c r="G62" s="48"/>
      <c r="H62" s="48">
        <f>F62*G62</f>
        <v>0</v>
      </c>
      <c r="I62" s="48"/>
      <c r="J62" s="48"/>
      <c r="K62" s="48"/>
      <c r="L62" s="48"/>
      <c r="M62" s="48">
        <f>H62+J62+L62</f>
        <v>0</v>
      </c>
    </row>
    <row r="63" spans="1:14" s="308" customFormat="1" ht="27" x14ac:dyDescent="0.25">
      <c r="A63" s="878" t="s">
        <v>636</v>
      </c>
      <c r="B63" s="38" t="s">
        <v>646</v>
      </c>
      <c r="C63" s="410" t="s">
        <v>647</v>
      </c>
      <c r="D63" s="38" t="s">
        <v>147</v>
      </c>
      <c r="E63" s="46"/>
      <c r="F63" s="610">
        <v>2</v>
      </c>
      <c r="G63" s="409"/>
      <c r="H63" s="409"/>
      <c r="I63" s="409"/>
      <c r="J63" s="409"/>
      <c r="K63" s="409"/>
      <c r="L63" s="409"/>
      <c r="M63" s="409">
        <f t="shared" ref="M63:M69" si="9">H63+J63+L63</f>
        <v>0</v>
      </c>
    </row>
    <row r="64" spans="1:14" s="308" customFormat="1" ht="16.5" x14ac:dyDescent="0.25">
      <c r="A64" s="879"/>
      <c r="B64" s="118"/>
      <c r="C64" s="611" t="s">
        <v>73</v>
      </c>
      <c r="D64" s="45" t="s">
        <v>9</v>
      </c>
      <c r="E64" s="107">
        <f>733*0.01</f>
        <v>7.33</v>
      </c>
      <c r="F64" s="46">
        <f>F63*E64</f>
        <v>14.66</v>
      </c>
      <c r="G64" s="409"/>
      <c r="H64" s="409"/>
      <c r="I64" s="409"/>
      <c r="J64" s="409">
        <f>F64*I64</f>
        <v>0</v>
      </c>
      <c r="K64" s="409"/>
      <c r="L64" s="409"/>
      <c r="M64" s="409">
        <f t="shared" si="9"/>
        <v>0</v>
      </c>
    </row>
    <row r="65" spans="1:13" s="308" customFormat="1" ht="16.5" x14ac:dyDescent="0.25">
      <c r="A65" s="879"/>
      <c r="B65" s="45"/>
      <c r="C65" s="450" t="s">
        <v>8</v>
      </c>
      <c r="D65" s="45" t="s">
        <v>7</v>
      </c>
      <c r="E65" s="107">
        <f>11*0.01</f>
        <v>0.11</v>
      </c>
      <c r="F65" s="107">
        <f>F63*E65</f>
        <v>0.22</v>
      </c>
      <c r="G65" s="409"/>
      <c r="H65" s="409"/>
      <c r="I65" s="409"/>
      <c r="J65" s="409"/>
      <c r="K65" s="409"/>
      <c r="L65" s="409">
        <f>F65*K65</f>
        <v>0</v>
      </c>
      <c r="M65" s="409">
        <f t="shared" si="9"/>
        <v>0</v>
      </c>
    </row>
    <row r="66" spans="1:13" s="308" customFormat="1" ht="16.5" x14ac:dyDescent="0.25">
      <c r="A66" s="879"/>
      <c r="B66" s="118"/>
      <c r="C66" s="611" t="s">
        <v>648</v>
      </c>
      <c r="D66" s="349" t="s">
        <v>46</v>
      </c>
      <c r="E66" s="107"/>
      <c r="F66" s="40">
        <f>1*1.6*F63</f>
        <v>3.2</v>
      </c>
      <c r="G66" s="409"/>
      <c r="H66" s="409">
        <f>F66*G66</f>
        <v>0</v>
      </c>
      <c r="I66" s="409"/>
      <c r="J66" s="409"/>
      <c r="K66" s="409"/>
      <c r="L66" s="409"/>
      <c r="M66" s="409">
        <f t="shared" si="9"/>
        <v>0</v>
      </c>
    </row>
    <row r="67" spans="1:13" s="308" customFormat="1" ht="16.5" x14ac:dyDescent="0.25">
      <c r="A67" s="879"/>
      <c r="B67" s="45"/>
      <c r="C67" s="611" t="s">
        <v>649</v>
      </c>
      <c r="D67" s="118" t="s">
        <v>59</v>
      </c>
      <c r="E67" s="107">
        <f>5.1*0.01</f>
        <v>5.0999999999999997E-2</v>
      </c>
      <c r="F67" s="107">
        <f>E67*F63</f>
        <v>0.10199999999999999</v>
      </c>
      <c r="G67" s="409"/>
      <c r="H67" s="409">
        <f>F67*G67</f>
        <v>0</v>
      </c>
      <c r="I67" s="409"/>
      <c r="J67" s="409"/>
      <c r="K67" s="409"/>
      <c r="L67" s="409"/>
      <c r="M67" s="409">
        <f t="shared" si="9"/>
        <v>0</v>
      </c>
    </row>
    <row r="68" spans="1:13" s="308" customFormat="1" ht="16.5" x14ac:dyDescent="0.25">
      <c r="A68" s="879"/>
      <c r="B68" s="118"/>
      <c r="C68" s="611" t="s">
        <v>975</v>
      </c>
      <c r="D68" s="118" t="s">
        <v>276</v>
      </c>
      <c r="E68" s="107">
        <v>0.2</v>
      </c>
      <c r="F68" s="46">
        <f>F63*E68</f>
        <v>0.4</v>
      </c>
      <c r="G68" s="409"/>
      <c r="H68" s="409">
        <f>F68*G68</f>
        <v>0</v>
      </c>
      <c r="I68" s="409"/>
      <c r="J68" s="409"/>
      <c r="K68" s="409"/>
      <c r="L68" s="409"/>
      <c r="M68" s="409">
        <f t="shared" si="9"/>
        <v>0</v>
      </c>
    </row>
    <row r="69" spans="1:13" s="308" customFormat="1" ht="16.5" x14ac:dyDescent="0.25">
      <c r="A69" s="895"/>
      <c r="B69" s="45"/>
      <c r="C69" s="450" t="s">
        <v>10</v>
      </c>
      <c r="D69" s="45" t="s">
        <v>7</v>
      </c>
      <c r="E69" s="107">
        <f>2*0.01</f>
        <v>0.02</v>
      </c>
      <c r="F69" s="107">
        <f>F63*E69</f>
        <v>0.04</v>
      </c>
      <c r="G69" s="409"/>
      <c r="H69" s="409">
        <f>F69*G69</f>
        <v>0</v>
      </c>
      <c r="I69" s="409"/>
      <c r="J69" s="409"/>
      <c r="K69" s="409"/>
      <c r="L69" s="409"/>
      <c r="M69" s="409">
        <f t="shared" si="9"/>
        <v>0</v>
      </c>
    </row>
    <row r="70" spans="1:13" s="308" customFormat="1" ht="63" x14ac:dyDescent="0.25">
      <c r="A70" s="878" t="s">
        <v>650</v>
      </c>
      <c r="B70" s="529" t="s">
        <v>30</v>
      </c>
      <c r="C70" s="539" t="s">
        <v>651</v>
      </c>
      <c r="D70" s="540" t="s">
        <v>46</v>
      </c>
      <c r="E70" s="522"/>
      <c r="F70" s="521">
        <f>F54*2+F66*2</f>
        <v>330.4</v>
      </c>
      <c r="G70" s="48"/>
      <c r="H70" s="48"/>
      <c r="I70" s="48"/>
      <c r="J70" s="48"/>
      <c r="K70" s="48"/>
      <c r="L70" s="48"/>
      <c r="M70" s="48"/>
    </row>
    <row r="71" spans="1:13" s="308" customFormat="1" ht="16.5" x14ac:dyDescent="0.25">
      <c r="A71" s="879"/>
      <c r="B71" s="526"/>
      <c r="C71" s="605" t="s">
        <v>73</v>
      </c>
      <c r="D71" s="141" t="s">
        <v>9</v>
      </c>
      <c r="E71" s="144">
        <f>68*0.01</f>
        <v>0.68</v>
      </c>
      <c r="F71" s="142">
        <f>F70*E71</f>
        <v>224.672</v>
      </c>
      <c r="G71" s="48"/>
      <c r="H71" s="48"/>
      <c r="I71" s="48"/>
      <c r="J71" s="48">
        <f>F71*I71</f>
        <v>0</v>
      </c>
      <c r="K71" s="48"/>
      <c r="L71" s="48"/>
      <c r="M71" s="48">
        <f>H71+J71+L71</f>
        <v>0</v>
      </c>
    </row>
    <row r="72" spans="1:13" s="308" customFormat="1" ht="16.5" x14ac:dyDescent="0.25">
      <c r="A72" s="879"/>
      <c r="B72" s="529"/>
      <c r="C72" s="530" t="s">
        <v>8</v>
      </c>
      <c r="D72" s="529" t="s">
        <v>7</v>
      </c>
      <c r="E72" s="541">
        <f>0.03*0.01</f>
        <v>2.9999999999999997E-4</v>
      </c>
      <c r="F72" s="541">
        <f>F70*E72</f>
        <v>9.9119999999999986E-2</v>
      </c>
      <c r="G72" s="48"/>
      <c r="H72" s="48"/>
      <c r="I72" s="48"/>
      <c r="J72" s="48"/>
      <c r="K72" s="48"/>
      <c r="L72" s="48">
        <f>F72*K72</f>
        <v>0</v>
      </c>
      <c r="M72" s="48">
        <f>H72+J72+L72</f>
        <v>0</v>
      </c>
    </row>
    <row r="73" spans="1:13" s="308" customFormat="1" ht="16.5" x14ac:dyDescent="0.25">
      <c r="A73" s="879"/>
      <c r="B73" s="529"/>
      <c r="C73" s="530" t="s">
        <v>121</v>
      </c>
      <c r="D73" s="526" t="s">
        <v>276</v>
      </c>
      <c r="E73" s="522">
        <v>0.246</v>
      </c>
      <c r="F73" s="522">
        <f>E73*F70</f>
        <v>81.278399999999991</v>
      </c>
      <c r="G73" s="48"/>
      <c r="H73" s="48">
        <f>F73*G73</f>
        <v>0</v>
      </c>
      <c r="I73" s="48"/>
      <c r="J73" s="48"/>
      <c r="K73" s="48"/>
      <c r="L73" s="48"/>
      <c r="M73" s="48">
        <f>H73+J73+L73</f>
        <v>0</v>
      </c>
    </row>
    <row r="74" spans="1:13" s="308" customFormat="1" ht="16.5" x14ac:dyDescent="0.25">
      <c r="A74" s="879"/>
      <c r="B74" s="529"/>
      <c r="C74" s="530" t="s">
        <v>652</v>
      </c>
      <c r="D74" s="526" t="s">
        <v>276</v>
      </c>
      <c r="E74" s="522">
        <v>2.7E-2</v>
      </c>
      <c r="F74" s="522">
        <f>E74*F70</f>
        <v>8.9207999999999998</v>
      </c>
      <c r="G74" s="48"/>
      <c r="H74" s="48">
        <f>F74*G74</f>
        <v>0</v>
      </c>
      <c r="I74" s="48"/>
      <c r="J74" s="48"/>
      <c r="K74" s="48"/>
      <c r="L74" s="48"/>
      <c r="M74" s="48">
        <f>H74+J74+L74</f>
        <v>0</v>
      </c>
    </row>
    <row r="75" spans="1:13" s="308" customFormat="1" ht="16.5" x14ac:dyDescent="0.25">
      <c r="A75" s="895"/>
      <c r="B75" s="529"/>
      <c r="C75" s="530" t="s">
        <v>10</v>
      </c>
      <c r="D75" s="529" t="s">
        <v>7</v>
      </c>
      <c r="E75" s="541">
        <v>1.9E-3</v>
      </c>
      <c r="F75" s="541">
        <f>F70*E75</f>
        <v>0.62775999999999998</v>
      </c>
      <c r="G75" s="48"/>
      <c r="H75" s="48">
        <f>F75*G75</f>
        <v>0</v>
      </c>
      <c r="I75" s="48"/>
      <c r="J75" s="48"/>
      <c r="K75" s="48"/>
      <c r="L75" s="48"/>
      <c r="M75" s="48">
        <f>H75+J75+L75</f>
        <v>0</v>
      </c>
    </row>
    <row r="76" spans="1:13" s="308" customFormat="1" ht="47.25" x14ac:dyDescent="0.25">
      <c r="A76" s="45" t="s">
        <v>398</v>
      </c>
      <c r="B76" s="45"/>
      <c r="C76" s="584" t="s">
        <v>666</v>
      </c>
      <c r="D76" s="38" t="s">
        <v>94</v>
      </c>
      <c r="E76" s="88"/>
      <c r="F76" s="41">
        <v>356</v>
      </c>
      <c r="G76" s="48"/>
      <c r="H76" s="48"/>
      <c r="I76" s="48"/>
      <c r="J76" s="48"/>
      <c r="K76" s="48"/>
      <c r="L76" s="48"/>
      <c r="M76" s="48"/>
    </row>
    <row r="77" spans="1:13" s="308" customFormat="1" ht="63" x14ac:dyDescent="0.25">
      <c r="A77" s="878" t="s">
        <v>569</v>
      </c>
      <c r="B77" s="45" t="s">
        <v>174</v>
      </c>
      <c r="C77" s="265" t="s">
        <v>654</v>
      </c>
      <c r="D77" s="38" t="s">
        <v>74</v>
      </c>
      <c r="E77" s="47"/>
      <c r="F77" s="41">
        <f>0.1*(0.07+0.1+0.1)*F76</f>
        <v>9.6120000000000019</v>
      </c>
      <c r="G77" s="48"/>
      <c r="H77" s="48"/>
      <c r="I77" s="48"/>
      <c r="J77" s="48"/>
      <c r="K77" s="48"/>
      <c r="L77" s="48"/>
      <c r="M77" s="48"/>
    </row>
    <row r="78" spans="1:13" s="308" customFormat="1" ht="16.5" x14ac:dyDescent="0.25">
      <c r="A78" s="895"/>
      <c r="B78" s="542"/>
      <c r="C78" s="530" t="s">
        <v>73</v>
      </c>
      <c r="D78" s="529" t="s">
        <v>9</v>
      </c>
      <c r="E78" s="541">
        <v>2.06</v>
      </c>
      <c r="F78" s="541">
        <f>E78*F77</f>
        <v>19.800720000000005</v>
      </c>
      <c r="G78" s="138"/>
      <c r="H78" s="48"/>
      <c r="I78" s="138"/>
      <c r="J78" s="48">
        <f>F78*I78</f>
        <v>0</v>
      </c>
      <c r="K78" s="48"/>
      <c r="L78" s="48"/>
      <c r="M78" s="48">
        <f t="shared" ref="M78" si="10">H78+J78+L78</f>
        <v>0</v>
      </c>
    </row>
    <row r="79" spans="1:13" s="308" customFormat="1" ht="63" x14ac:dyDescent="0.25">
      <c r="A79" s="883" t="s">
        <v>570</v>
      </c>
      <c r="B79" s="45" t="s">
        <v>656</v>
      </c>
      <c r="C79" s="265" t="s">
        <v>657</v>
      </c>
      <c r="D79" s="38" t="s">
        <v>66</v>
      </c>
      <c r="E79" s="47"/>
      <c r="F79" s="41">
        <f>0.07*0.1*F76</f>
        <v>2.4920000000000004</v>
      </c>
      <c r="G79" s="48"/>
      <c r="H79" s="48"/>
      <c r="I79" s="48"/>
      <c r="J79" s="48"/>
      <c r="K79" s="48"/>
      <c r="L79" s="48"/>
      <c r="M79" s="48"/>
    </row>
    <row r="80" spans="1:13" s="308" customFormat="1" ht="16.5" x14ac:dyDescent="0.25">
      <c r="A80" s="883"/>
      <c r="B80" s="45"/>
      <c r="C80" s="111" t="s">
        <v>17</v>
      </c>
      <c r="D80" s="45" t="s">
        <v>18</v>
      </c>
      <c r="E80" s="47">
        <v>0.15</v>
      </c>
      <c r="F80" s="47">
        <f>E80*F79</f>
        <v>0.37380000000000008</v>
      </c>
      <c r="G80" s="48"/>
      <c r="H80" s="48"/>
      <c r="I80" s="48"/>
      <c r="J80" s="48">
        <f>F80*I80</f>
        <v>0</v>
      </c>
      <c r="K80" s="48"/>
      <c r="L80" s="48"/>
      <c r="M80" s="48">
        <f t="shared" ref="M80:M83" si="11">H80+J80+L80</f>
        <v>0</v>
      </c>
    </row>
    <row r="81" spans="1:13" s="308" customFormat="1" ht="16.5" x14ac:dyDescent="0.25">
      <c r="A81" s="883"/>
      <c r="B81" s="45" t="s">
        <v>47</v>
      </c>
      <c r="C81" s="111" t="s">
        <v>658</v>
      </c>
      <c r="D81" s="45" t="s">
        <v>19</v>
      </c>
      <c r="E81" s="47">
        <v>2.1600000000000001E-2</v>
      </c>
      <c r="F81" s="47">
        <f>E81*F79</f>
        <v>5.3827200000000013E-2</v>
      </c>
      <c r="G81" s="48"/>
      <c r="H81" s="48"/>
      <c r="I81" s="48"/>
      <c r="J81" s="48"/>
      <c r="K81" s="48"/>
      <c r="L81" s="48">
        <f>F81*K81</f>
        <v>0</v>
      </c>
      <c r="M81" s="48">
        <f t="shared" si="11"/>
        <v>0</v>
      </c>
    </row>
    <row r="82" spans="1:13" s="308" customFormat="1" ht="16.5" x14ac:dyDescent="0.25">
      <c r="A82" s="883"/>
      <c r="B82" s="45" t="s">
        <v>659</v>
      </c>
      <c r="C82" s="111" t="s">
        <v>660</v>
      </c>
      <c r="D82" s="45" t="s">
        <v>19</v>
      </c>
      <c r="E82" s="47">
        <v>2.7300000000000001E-2</v>
      </c>
      <c r="F82" s="47">
        <f>E82*F79</f>
        <v>6.8031600000000012E-2</v>
      </c>
      <c r="G82" s="48"/>
      <c r="H82" s="48"/>
      <c r="I82" s="48"/>
      <c r="J82" s="48"/>
      <c r="K82" s="48"/>
      <c r="L82" s="48">
        <f>F82*K82</f>
        <v>0</v>
      </c>
      <c r="M82" s="48">
        <f t="shared" si="11"/>
        <v>0</v>
      </c>
    </row>
    <row r="83" spans="1:13" s="308" customFormat="1" ht="16.5" x14ac:dyDescent="0.25">
      <c r="A83" s="883"/>
      <c r="B83" s="45"/>
      <c r="C83" s="111" t="s">
        <v>661</v>
      </c>
      <c r="D83" s="45" t="s">
        <v>59</v>
      </c>
      <c r="E83" s="47">
        <v>1.2</v>
      </c>
      <c r="F83" s="366">
        <f>E83*F79</f>
        <v>2.9904000000000006</v>
      </c>
      <c r="G83" s="48"/>
      <c r="H83" s="48">
        <f>F83*G83</f>
        <v>0</v>
      </c>
      <c r="I83" s="48"/>
      <c r="J83" s="48"/>
      <c r="K83" s="48"/>
      <c r="L83" s="48"/>
      <c r="M83" s="48">
        <f t="shared" si="11"/>
        <v>0</v>
      </c>
    </row>
    <row r="84" spans="1:13" s="308" customFormat="1" ht="47.25" x14ac:dyDescent="0.25">
      <c r="A84" s="874" t="s">
        <v>622</v>
      </c>
      <c r="B84" s="45" t="s">
        <v>664</v>
      </c>
      <c r="C84" s="265" t="s">
        <v>667</v>
      </c>
      <c r="D84" s="38" t="s">
        <v>184</v>
      </c>
      <c r="E84" s="88"/>
      <c r="F84" s="41">
        <f>F76</f>
        <v>356</v>
      </c>
      <c r="G84" s="48"/>
      <c r="H84" s="48"/>
      <c r="I84" s="48"/>
      <c r="J84" s="48"/>
      <c r="K84" s="48"/>
      <c r="L84" s="48"/>
      <c r="M84" s="48"/>
    </row>
    <row r="85" spans="1:13" s="308" customFormat="1" ht="16.5" x14ac:dyDescent="0.25">
      <c r="A85" s="874"/>
      <c r="B85" s="45"/>
      <c r="C85" s="111" t="s">
        <v>17</v>
      </c>
      <c r="D85" s="45" t="s">
        <v>18</v>
      </c>
      <c r="E85" s="47">
        <v>0.74</v>
      </c>
      <c r="F85" s="47">
        <f>E85*F84</f>
        <v>263.44</v>
      </c>
      <c r="G85" s="48"/>
      <c r="H85" s="48"/>
      <c r="I85" s="48"/>
      <c r="J85" s="48">
        <f>F85*I85</f>
        <v>0</v>
      </c>
      <c r="K85" s="48"/>
      <c r="L85" s="48"/>
      <c r="M85" s="48">
        <f t="shared" ref="M85:M90" si="12">H85+J85+L85</f>
        <v>0</v>
      </c>
    </row>
    <row r="86" spans="1:13" s="308" customFormat="1" ht="16.5" x14ac:dyDescent="0.25">
      <c r="A86" s="874"/>
      <c r="B86" s="45"/>
      <c r="C86" s="111" t="s">
        <v>8</v>
      </c>
      <c r="D86" s="45" t="s">
        <v>19</v>
      </c>
      <c r="E86" s="47">
        <f>0.71*0.01</f>
        <v>7.0999999999999995E-3</v>
      </c>
      <c r="F86" s="47">
        <f>E86*F84</f>
        <v>2.5275999999999996</v>
      </c>
      <c r="G86" s="48"/>
      <c r="H86" s="48"/>
      <c r="I86" s="48"/>
      <c r="J86" s="48"/>
      <c r="K86" s="48"/>
      <c r="L86" s="48">
        <f>F86*K86</f>
        <v>0</v>
      </c>
      <c r="M86" s="48">
        <f t="shared" si="12"/>
        <v>0</v>
      </c>
    </row>
    <row r="87" spans="1:13" s="308" customFormat="1" ht="31.5" x14ac:dyDescent="0.25">
      <c r="A87" s="874"/>
      <c r="B87" s="45"/>
      <c r="C87" s="111" t="s">
        <v>668</v>
      </c>
      <c r="D87" s="45" t="s">
        <v>184</v>
      </c>
      <c r="E87" s="47">
        <v>1</v>
      </c>
      <c r="F87" s="47">
        <f>E87*F84</f>
        <v>356</v>
      </c>
      <c r="G87" s="48"/>
      <c r="H87" s="48">
        <f>F87*G87</f>
        <v>0</v>
      </c>
      <c r="I87" s="48"/>
      <c r="J87" s="48"/>
      <c r="K87" s="48"/>
      <c r="L87" s="48"/>
      <c r="M87" s="48">
        <f t="shared" si="12"/>
        <v>0</v>
      </c>
    </row>
    <row r="88" spans="1:13" s="308" customFormat="1" ht="16.5" x14ac:dyDescent="0.25">
      <c r="A88" s="874"/>
      <c r="B88" s="45"/>
      <c r="C88" s="613" t="s">
        <v>669</v>
      </c>
      <c r="D88" s="45" t="s">
        <v>59</v>
      </c>
      <c r="E88" s="47">
        <f>3.9*0.01</f>
        <v>3.9E-2</v>
      </c>
      <c r="F88" s="47">
        <f>F84*E88</f>
        <v>13.884</v>
      </c>
      <c r="G88" s="48"/>
      <c r="H88" s="48">
        <f>F88*G88</f>
        <v>0</v>
      </c>
      <c r="I88" s="48"/>
      <c r="J88" s="48"/>
      <c r="K88" s="48"/>
      <c r="L88" s="48"/>
      <c r="M88" s="48">
        <f t="shared" si="12"/>
        <v>0</v>
      </c>
    </row>
    <row r="89" spans="1:13" s="308" customFormat="1" ht="16.5" x14ac:dyDescent="0.25">
      <c r="A89" s="874"/>
      <c r="B89" s="45"/>
      <c r="C89" s="111" t="s">
        <v>665</v>
      </c>
      <c r="D89" s="45" t="s">
        <v>59</v>
      </c>
      <c r="E89" s="47">
        <f>0.06*0.01</f>
        <v>5.9999999999999995E-4</v>
      </c>
      <c r="F89" s="47">
        <f>E89*F84</f>
        <v>0.21359999999999998</v>
      </c>
      <c r="G89" s="48"/>
      <c r="H89" s="48">
        <f>F89*G89</f>
        <v>0</v>
      </c>
      <c r="I89" s="48"/>
      <c r="J89" s="48"/>
      <c r="K89" s="48"/>
      <c r="L89" s="48"/>
      <c r="M89" s="48">
        <f t="shared" si="12"/>
        <v>0</v>
      </c>
    </row>
    <row r="90" spans="1:13" s="308" customFormat="1" ht="16.5" x14ac:dyDescent="0.25">
      <c r="A90" s="874"/>
      <c r="B90" s="45"/>
      <c r="C90" s="111" t="s">
        <v>10</v>
      </c>
      <c r="D90" s="45" t="s">
        <v>7</v>
      </c>
      <c r="E90" s="47">
        <f>9.6*0.01</f>
        <v>9.6000000000000002E-2</v>
      </c>
      <c r="F90" s="47">
        <f>E90*F84</f>
        <v>34.176000000000002</v>
      </c>
      <c r="G90" s="48"/>
      <c r="H90" s="48">
        <f>F90*G90</f>
        <v>0</v>
      </c>
      <c r="I90" s="48"/>
      <c r="J90" s="48"/>
      <c r="K90" s="48"/>
      <c r="L90" s="48"/>
      <c r="M90" s="48">
        <f t="shared" si="12"/>
        <v>0</v>
      </c>
    </row>
    <row r="91" spans="1:13" s="308" customFormat="1" ht="63" x14ac:dyDescent="0.25">
      <c r="A91" s="851" t="s">
        <v>404</v>
      </c>
      <c r="B91" s="851"/>
      <c r="C91" s="584" t="s">
        <v>998</v>
      </c>
      <c r="D91" s="852" t="s">
        <v>111</v>
      </c>
      <c r="E91" s="88"/>
      <c r="F91" s="41">
        <v>322</v>
      </c>
      <c r="G91" s="853"/>
      <c r="H91" s="853"/>
      <c r="I91" s="853"/>
      <c r="J91" s="853"/>
      <c r="K91" s="853"/>
      <c r="L91" s="853"/>
      <c r="M91" s="853"/>
    </row>
    <row r="92" spans="1:13" s="308" customFormat="1" ht="31.5" x14ac:dyDescent="0.25">
      <c r="A92" s="878" t="s">
        <v>623</v>
      </c>
      <c r="B92" s="851" t="s">
        <v>71</v>
      </c>
      <c r="C92" s="119" t="s">
        <v>1000</v>
      </c>
      <c r="D92" s="852" t="s">
        <v>74</v>
      </c>
      <c r="E92" s="855"/>
      <c r="F92" s="88">
        <f>F91*0.15</f>
        <v>48.3</v>
      </c>
      <c r="G92" s="853"/>
      <c r="H92" s="853"/>
      <c r="I92" s="853"/>
      <c r="J92" s="853"/>
      <c r="K92" s="853"/>
      <c r="L92" s="853"/>
      <c r="M92" s="853"/>
    </row>
    <row r="93" spans="1:13" s="308" customFormat="1" ht="16.5" x14ac:dyDescent="0.25">
      <c r="A93" s="879"/>
      <c r="B93" s="851"/>
      <c r="C93" s="602" t="s">
        <v>73</v>
      </c>
      <c r="D93" s="596" t="s">
        <v>9</v>
      </c>
      <c r="E93" s="599">
        <v>3.52</v>
      </c>
      <c r="F93" s="599">
        <f>F92*E93</f>
        <v>170.01599999999999</v>
      </c>
      <c r="G93" s="58"/>
      <c r="H93" s="858"/>
      <c r="I93" s="414"/>
      <c r="J93" s="414">
        <f t="shared" ref="J93" si="13">F93*I93</f>
        <v>0</v>
      </c>
      <c r="K93" s="414"/>
      <c r="L93" s="406"/>
      <c r="M93" s="406">
        <f t="shared" ref="M93:M96" si="14">H93+J93+L93</f>
        <v>0</v>
      </c>
    </row>
    <row r="94" spans="1:13" s="308" customFormat="1" ht="16.5" x14ac:dyDescent="0.25">
      <c r="A94" s="879"/>
      <c r="B94" s="851"/>
      <c r="C94" s="623" t="s">
        <v>21</v>
      </c>
      <c r="D94" s="856" t="s">
        <v>7</v>
      </c>
      <c r="E94" s="112">
        <v>1.06</v>
      </c>
      <c r="F94" s="113">
        <f>F92*E94</f>
        <v>51.198</v>
      </c>
      <c r="G94" s="638"/>
      <c r="H94" s="858"/>
      <c r="I94" s="414"/>
      <c r="J94" s="414"/>
      <c r="K94" s="414"/>
      <c r="L94" s="406">
        <f t="shared" ref="L94" si="15">F94*K94</f>
        <v>0</v>
      </c>
      <c r="M94" s="406">
        <f t="shared" si="14"/>
        <v>0</v>
      </c>
    </row>
    <row r="95" spans="1:13" s="308" customFormat="1" ht="16.5" x14ac:dyDescent="0.25">
      <c r="A95" s="879"/>
      <c r="B95" s="857"/>
      <c r="C95" s="623" t="s">
        <v>63</v>
      </c>
      <c r="D95" s="856" t="s">
        <v>74</v>
      </c>
      <c r="E95" s="112">
        <f>0.18+0.09+0.97</f>
        <v>1.24</v>
      </c>
      <c r="F95" s="113">
        <f>F92*E95</f>
        <v>59.891999999999996</v>
      </c>
      <c r="G95" s="638"/>
      <c r="H95" s="414">
        <f t="shared" ref="H95:H96" si="16">F95*G95</f>
        <v>0</v>
      </c>
      <c r="I95" s="58"/>
      <c r="J95" s="858"/>
      <c r="K95" s="59"/>
      <c r="L95" s="858"/>
      <c r="M95" s="406">
        <f t="shared" si="14"/>
        <v>0</v>
      </c>
    </row>
    <row r="96" spans="1:13" s="308" customFormat="1" ht="16.5" x14ac:dyDescent="0.25">
      <c r="A96" s="895"/>
      <c r="B96" s="851"/>
      <c r="C96" s="623" t="s">
        <v>122</v>
      </c>
      <c r="D96" s="856" t="s">
        <v>7</v>
      </c>
      <c r="E96" s="112">
        <v>0.02</v>
      </c>
      <c r="F96" s="113">
        <f>F92*E96</f>
        <v>0.96599999999999997</v>
      </c>
      <c r="G96" s="638"/>
      <c r="H96" s="414">
        <f t="shared" si="16"/>
        <v>0</v>
      </c>
      <c r="I96" s="58"/>
      <c r="J96" s="858"/>
      <c r="K96" s="59"/>
      <c r="L96" s="858"/>
      <c r="M96" s="406">
        <f t="shared" si="14"/>
        <v>0</v>
      </c>
    </row>
    <row r="97" spans="1:13" s="308" customFormat="1" ht="16.5" x14ac:dyDescent="0.25">
      <c r="A97" s="878" t="s">
        <v>624</v>
      </c>
      <c r="B97" s="878" t="s">
        <v>364</v>
      </c>
      <c r="C97" s="965" t="s">
        <v>1001</v>
      </c>
      <c r="D97" s="852" t="s">
        <v>111</v>
      </c>
      <c r="E97" s="855"/>
      <c r="F97" s="88">
        <f>F91</f>
        <v>322</v>
      </c>
      <c r="G97" s="369"/>
      <c r="H97" s="853"/>
      <c r="I97" s="853"/>
      <c r="J97" s="853"/>
      <c r="K97" s="369"/>
      <c r="L97" s="853"/>
      <c r="M97" s="853"/>
    </row>
    <row r="98" spans="1:13" s="308" customFormat="1" ht="16.5" x14ac:dyDescent="0.25">
      <c r="A98" s="879"/>
      <c r="B98" s="895"/>
      <c r="C98" s="966"/>
      <c r="D98" s="852" t="s">
        <v>74</v>
      </c>
      <c r="E98" s="855"/>
      <c r="F98" s="88">
        <f>F97*0.15</f>
        <v>48.3</v>
      </c>
      <c r="G98" s="369"/>
      <c r="H98" s="853"/>
      <c r="I98" s="853"/>
      <c r="J98" s="853"/>
      <c r="K98" s="369"/>
      <c r="L98" s="853"/>
      <c r="M98" s="853"/>
    </row>
    <row r="99" spans="1:13" s="308" customFormat="1" ht="16.5" x14ac:dyDescent="0.25">
      <c r="A99" s="879"/>
      <c r="B99" s="851"/>
      <c r="C99" s="44" t="s">
        <v>73</v>
      </c>
      <c r="D99" s="851" t="s">
        <v>9</v>
      </c>
      <c r="E99" s="855">
        <v>2.9</v>
      </c>
      <c r="F99" s="855">
        <f>F98*E99</f>
        <v>140.07</v>
      </c>
      <c r="G99" s="853"/>
      <c r="H99" s="853"/>
      <c r="I99" s="853"/>
      <c r="J99" s="853">
        <f>F99*I99</f>
        <v>0</v>
      </c>
      <c r="K99" s="369"/>
      <c r="L99" s="853"/>
      <c r="M99" s="853">
        <f>H99+J99+L99</f>
        <v>0</v>
      </c>
    </row>
    <row r="100" spans="1:13" s="308" customFormat="1" ht="16.5" x14ac:dyDescent="0.25">
      <c r="A100" s="879"/>
      <c r="B100" s="851"/>
      <c r="C100" s="44" t="s">
        <v>990</v>
      </c>
      <c r="D100" s="851" t="s">
        <v>74</v>
      </c>
      <c r="E100" s="855">
        <v>1.02</v>
      </c>
      <c r="F100" s="855">
        <f>F98*E100</f>
        <v>49.265999999999998</v>
      </c>
      <c r="G100" s="369"/>
      <c r="H100" s="853">
        <f>F100*G100</f>
        <v>0</v>
      </c>
      <c r="I100" s="853"/>
      <c r="J100" s="853"/>
      <c r="K100" s="369"/>
      <c r="L100" s="853"/>
      <c r="M100" s="853">
        <f>H100+J100+L100</f>
        <v>0</v>
      </c>
    </row>
    <row r="101" spans="1:13" s="308" customFormat="1" ht="16.5" x14ac:dyDescent="0.25">
      <c r="A101" s="879"/>
      <c r="B101" s="851"/>
      <c r="C101" s="614" t="s">
        <v>991</v>
      </c>
      <c r="D101" s="52" t="s">
        <v>83</v>
      </c>
      <c r="E101" s="855">
        <v>1.03</v>
      </c>
      <c r="F101" s="266">
        <f>F91*16*1*E101*0.222/1000</f>
        <v>1.17805632</v>
      </c>
      <c r="G101" s="853"/>
      <c r="H101" s="853">
        <f>F101*G101</f>
        <v>0</v>
      </c>
      <c r="I101" s="853"/>
      <c r="J101" s="853"/>
      <c r="K101" s="369"/>
      <c r="L101" s="853"/>
      <c r="M101" s="853">
        <f>H101+J101+L101</f>
        <v>0</v>
      </c>
    </row>
    <row r="102" spans="1:13" s="308" customFormat="1" ht="16.5" x14ac:dyDescent="0.25">
      <c r="A102" s="895"/>
      <c r="B102" s="851"/>
      <c r="C102" s="44" t="s">
        <v>20</v>
      </c>
      <c r="D102" s="851" t="s">
        <v>7</v>
      </c>
      <c r="E102" s="855">
        <v>0.88</v>
      </c>
      <c r="F102" s="855">
        <f>F98*E102</f>
        <v>42.503999999999998</v>
      </c>
      <c r="G102" s="369"/>
      <c r="H102" s="853">
        <f>F102*G102</f>
        <v>0</v>
      </c>
      <c r="I102" s="853"/>
      <c r="J102" s="853"/>
      <c r="K102" s="369"/>
      <c r="L102" s="853"/>
      <c r="M102" s="853">
        <f>H102+J102+L102</f>
        <v>0</v>
      </c>
    </row>
    <row r="103" spans="1:13" s="308" customFormat="1" ht="63" x14ac:dyDescent="0.25">
      <c r="A103" s="878" t="s">
        <v>996</v>
      </c>
      <c r="B103" s="851" t="s">
        <v>670</v>
      </c>
      <c r="C103" s="119" t="s">
        <v>999</v>
      </c>
      <c r="D103" s="852" t="s">
        <v>280</v>
      </c>
      <c r="E103" s="855"/>
      <c r="F103" s="41">
        <f>F91/100</f>
        <v>3.22</v>
      </c>
      <c r="G103" s="853"/>
      <c r="H103" s="853"/>
      <c r="I103" s="853"/>
      <c r="J103" s="853"/>
      <c r="K103" s="853"/>
      <c r="L103" s="853"/>
      <c r="M103" s="853"/>
    </row>
    <row r="104" spans="1:13" s="308" customFormat="1" ht="16.5" x14ac:dyDescent="0.25">
      <c r="A104" s="879"/>
      <c r="B104" s="851"/>
      <c r="C104" s="44" t="s">
        <v>73</v>
      </c>
      <c r="D104" s="851" t="s">
        <v>9</v>
      </c>
      <c r="E104" s="855">
        <v>77.900000000000006</v>
      </c>
      <c r="F104" s="855">
        <f>F103*E104</f>
        <v>250.83800000000002</v>
      </c>
      <c r="G104" s="853"/>
      <c r="H104" s="853"/>
      <c r="I104" s="853"/>
      <c r="J104" s="853">
        <f>F104*I104</f>
        <v>0</v>
      </c>
      <c r="K104" s="853"/>
      <c r="L104" s="853"/>
      <c r="M104" s="853">
        <f>H104+J104+L104</f>
        <v>0</v>
      </c>
    </row>
    <row r="105" spans="1:13" s="308" customFormat="1" ht="16.5" x14ac:dyDescent="0.25">
      <c r="A105" s="879"/>
      <c r="B105" s="851"/>
      <c r="C105" s="44" t="s">
        <v>21</v>
      </c>
      <c r="D105" s="851" t="s">
        <v>7</v>
      </c>
      <c r="E105" s="855">
        <v>10.4</v>
      </c>
      <c r="F105" s="855">
        <f>F103*E105</f>
        <v>33.488000000000007</v>
      </c>
      <c r="G105" s="853"/>
      <c r="H105" s="853"/>
      <c r="I105" s="853"/>
      <c r="J105" s="853"/>
      <c r="K105" s="853"/>
      <c r="L105" s="853">
        <f>F105*K105</f>
        <v>0</v>
      </c>
      <c r="M105" s="853">
        <f>H105+J105+L105</f>
        <v>0</v>
      </c>
    </row>
    <row r="106" spans="1:13" s="308" customFormat="1" ht="31.5" x14ac:dyDescent="0.25">
      <c r="A106" s="879"/>
      <c r="B106" s="851"/>
      <c r="C106" s="44" t="s">
        <v>992</v>
      </c>
      <c r="D106" s="851" t="s">
        <v>111</v>
      </c>
      <c r="E106" s="855">
        <v>101</v>
      </c>
      <c r="F106" s="855">
        <f>F103*80%*E106</f>
        <v>260.17600000000004</v>
      </c>
      <c r="G106" s="853"/>
      <c r="H106" s="853">
        <f>F106*G106</f>
        <v>0</v>
      </c>
      <c r="I106" s="853"/>
      <c r="J106" s="853"/>
      <c r="K106" s="853"/>
      <c r="L106" s="853"/>
      <c r="M106" s="853">
        <f>H106+J106+L106</f>
        <v>0</v>
      </c>
    </row>
    <row r="107" spans="1:13" s="308" customFormat="1" ht="94.5" x14ac:dyDescent="0.25">
      <c r="A107" s="879"/>
      <c r="B107" s="851"/>
      <c r="C107" s="44" t="s">
        <v>1002</v>
      </c>
      <c r="D107" s="851" t="s">
        <v>74</v>
      </c>
      <c r="E107" s="855">
        <v>2.11</v>
      </c>
      <c r="F107" s="855">
        <f>F103*E107</f>
        <v>6.7942</v>
      </c>
      <c r="G107" s="853"/>
      <c r="H107" s="853">
        <f>F107*G107</f>
        <v>0</v>
      </c>
      <c r="I107" s="853"/>
      <c r="J107" s="853"/>
      <c r="K107" s="853"/>
      <c r="L107" s="853"/>
      <c r="M107" s="853">
        <f>H107+J107+L107</f>
        <v>0</v>
      </c>
    </row>
    <row r="108" spans="1:13" s="308" customFormat="1" ht="16.5" x14ac:dyDescent="0.25">
      <c r="A108" s="895"/>
      <c r="B108" s="851"/>
      <c r="C108" s="44" t="s">
        <v>20</v>
      </c>
      <c r="D108" s="851" t="s">
        <v>7</v>
      </c>
      <c r="E108" s="855">
        <v>4.66</v>
      </c>
      <c r="F108" s="855">
        <f>F103*E108</f>
        <v>15.005200000000002</v>
      </c>
      <c r="G108" s="853"/>
      <c r="H108" s="853">
        <f>F108*G108</f>
        <v>0</v>
      </c>
      <c r="I108" s="853"/>
      <c r="J108" s="853"/>
      <c r="K108" s="853"/>
      <c r="L108" s="853"/>
      <c r="M108" s="853">
        <f>H108+J108+L108</f>
        <v>0</v>
      </c>
    </row>
    <row r="109" spans="1:13" s="308" customFormat="1" ht="47.25" x14ac:dyDescent="0.25">
      <c r="A109" s="878" t="s">
        <v>997</v>
      </c>
      <c r="B109" s="851" t="s">
        <v>993</v>
      </c>
      <c r="C109" s="119" t="s">
        <v>1003</v>
      </c>
      <c r="D109" s="851" t="s">
        <v>111</v>
      </c>
      <c r="E109" s="855"/>
      <c r="F109" s="41">
        <f>F91</f>
        <v>322</v>
      </c>
      <c r="G109" s="854"/>
      <c r="H109" s="853"/>
      <c r="I109" s="854"/>
      <c r="J109" s="853"/>
      <c r="K109" s="854"/>
      <c r="L109" s="853"/>
      <c r="M109" s="853"/>
    </row>
    <row r="110" spans="1:13" s="308" customFormat="1" ht="16.5" x14ac:dyDescent="0.25">
      <c r="A110" s="879"/>
      <c r="B110" s="851"/>
      <c r="C110" s="44" t="s">
        <v>73</v>
      </c>
      <c r="D110" s="851" t="s">
        <v>9</v>
      </c>
      <c r="E110" s="855">
        <v>0.81100000000000005</v>
      </c>
      <c r="F110" s="855">
        <f>F109*E110</f>
        <v>261.142</v>
      </c>
      <c r="G110" s="854"/>
      <c r="H110" s="853"/>
      <c r="I110" s="853"/>
      <c r="J110" s="853">
        <f>F110*I110</f>
        <v>0</v>
      </c>
      <c r="K110" s="853"/>
      <c r="L110" s="853"/>
      <c r="M110" s="853">
        <f>H110+J110+L110</f>
        <v>0</v>
      </c>
    </row>
    <row r="111" spans="1:13" s="308" customFormat="1" ht="16.5" x14ac:dyDescent="0.25">
      <c r="A111" s="879"/>
      <c r="B111" s="851"/>
      <c r="C111" s="44" t="s">
        <v>8</v>
      </c>
      <c r="D111" s="851" t="s">
        <v>7</v>
      </c>
      <c r="E111" s="855">
        <v>1.2999999999999999E-2</v>
      </c>
      <c r="F111" s="855">
        <f>F109*E111</f>
        <v>4.1859999999999999</v>
      </c>
      <c r="G111" s="854"/>
      <c r="H111" s="853"/>
      <c r="I111" s="854"/>
      <c r="J111" s="853"/>
      <c r="K111" s="853"/>
      <c r="L111" s="853">
        <f>F111*K111</f>
        <v>0</v>
      </c>
      <c r="M111" s="853">
        <f>H111+J111+L111</f>
        <v>0</v>
      </c>
    </row>
    <row r="112" spans="1:13" s="308" customFormat="1" ht="16.5" x14ac:dyDescent="0.25">
      <c r="A112" s="879"/>
      <c r="B112" s="851"/>
      <c r="C112" s="44" t="s">
        <v>994</v>
      </c>
      <c r="D112" s="851" t="s">
        <v>83</v>
      </c>
      <c r="E112" s="855">
        <v>1.8599999999999998E-2</v>
      </c>
      <c r="F112" s="855">
        <f>F109*E112</f>
        <v>5.9891999999999994</v>
      </c>
      <c r="G112" s="854"/>
      <c r="H112" s="853">
        <f>F112*G112</f>
        <v>0</v>
      </c>
      <c r="I112" s="853"/>
      <c r="J112" s="853"/>
      <c r="K112" s="853"/>
      <c r="L112" s="853"/>
      <c r="M112" s="853">
        <f>H112+J112+L112</f>
        <v>0</v>
      </c>
    </row>
    <row r="113" spans="1:13" s="308" customFormat="1" ht="16.5" x14ac:dyDescent="0.25">
      <c r="A113" s="879"/>
      <c r="B113" s="851"/>
      <c r="C113" s="44" t="s">
        <v>995</v>
      </c>
      <c r="D113" s="851" t="s">
        <v>83</v>
      </c>
      <c r="E113" s="855">
        <v>5.0000000000000001E-4</v>
      </c>
      <c r="F113" s="855">
        <f>F109*E113</f>
        <v>0.161</v>
      </c>
      <c r="G113" s="854"/>
      <c r="H113" s="853">
        <f t="shared" ref="H113:H114" si="17">F113*G113</f>
        <v>0</v>
      </c>
      <c r="I113" s="853"/>
      <c r="J113" s="853"/>
      <c r="K113" s="853"/>
      <c r="L113" s="853"/>
      <c r="M113" s="853">
        <f t="shared" ref="M113:M114" si="18">H113+J113+L113</f>
        <v>0</v>
      </c>
    </row>
    <row r="114" spans="1:13" s="308" customFormat="1" ht="16.5" x14ac:dyDescent="0.25">
      <c r="A114" s="895"/>
      <c r="B114" s="851"/>
      <c r="C114" s="44" t="s">
        <v>122</v>
      </c>
      <c r="D114" s="851" t="s">
        <v>7</v>
      </c>
      <c r="E114" s="855">
        <v>0.156</v>
      </c>
      <c r="F114" s="855">
        <f>F109*E114</f>
        <v>50.231999999999999</v>
      </c>
      <c r="G114" s="854"/>
      <c r="H114" s="853">
        <f t="shared" si="17"/>
        <v>0</v>
      </c>
      <c r="I114" s="853"/>
      <c r="J114" s="853"/>
      <c r="K114" s="853"/>
      <c r="L114" s="853"/>
      <c r="M114" s="853">
        <f t="shared" si="18"/>
        <v>0</v>
      </c>
    </row>
    <row r="115" spans="1:13" s="308" customFormat="1" ht="78.75" x14ac:dyDescent="0.25">
      <c r="A115" s="615" t="s">
        <v>277</v>
      </c>
      <c r="B115" s="615"/>
      <c r="C115" s="584" t="s">
        <v>671</v>
      </c>
      <c r="D115" s="616"/>
      <c r="E115" s="617"/>
      <c r="F115" s="618">
        <v>98</v>
      </c>
      <c r="G115" s="619"/>
      <c r="H115" s="126"/>
      <c r="I115" s="619"/>
      <c r="J115" s="126"/>
      <c r="K115" s="619"/>
      <c r="L115" s="126"/>
      <c r="M115" s="126"/>
    </row>
    <row r="116" spans="1:13" s="308" customFormat="1" ht="47.25" x14ac:dyDescent="0.25">
      <c r="A116" s="988" t="s">
        <v>653</v>
      </c>
      <c r="B116" s="131" t="s">
        <v>64</v>
      </c>
      <c r="C116" s="130" t="s">
        <v>672</v>
      </c>
      <c r="D116" s="122" t="s">
        <v>59</v>
      </c>
      <c r="E116" s="129"/>
      <c r="F116" s="125">
        <f>F115*0.15</f>
        <v>14.7</v>
      </c>
      <c r="G116" s="491"/>
      <c r="H116" s="126"/>
      <c r="I116" s="491"/>
      <c r="J116" s="126"/>
      <c r="K116" s="491"/>
      <c r="L116" s="126"/>
      <c r="M116" s="126"/>
    </row>
    <row r="117" spans="1:13" s="308" customFormat="1" ht="16.5" x14ac:dyDescent="0.25">
      <c r="A117" s="989"/>
      <c r="B117" s="131"/>
      <c r="C117" s="135" t="s">
        <v>67</v>
      </c>
      <c r="D117" s="620" t="s">
        <v>9</v>
      </c>
      <c r="E117" s="129">
        <v>3.88</v>
      </c>
      <c r="F117" s="47">
        <f>F116*E117</f>
        <v>57.035999999999994</v>
      </c>
      <c r="G117" s="126"/>
      <c r="H117" s="126"/>
      <c r="I117" s="126"/>
      <c r="J117" s="126">
        <f t="shared" ref="J117:J124" si="19">F117*I117</f>
        <v>0</v>
      </c>
      <c r="K117" s="126"/>
      <c r="L117" s="126"/>
      <c r="M117" s="126">
        <f t="shared" ref="M117:M128" si="20">H117+J117+L117</f>
        <v>0</v>
      </c>
    </row>
    <row r="118" spans="1:13" s="308" customFormat="1" ht="31.5" x14ac:dyDescent="0.25">
      <c r="A118" s="967" t="s">
        <v>655</v>
      </c>
      <c r="B118" s="45" t="s">
        <v>71</v>
      </c>
      <c r="C118" s="130" t="s">
        <v>1004</v>
      </c>
      <c r="D118" s="122" t="s">
        <v>66</v>
      </c>
      <c r="E118" s="124"/>
      <c r="F118" s="125">
        <f>F115*0.15</f>
        <v>14.7</v>
      </c>
      <c r="G118" s="491"/>
      <c r="H118" s="126"/>
      <c r="I118" s="491"/>
      <c r="J118" s="126"/>
      <c r="K118" s="491"/>
      <c r="L118" s="126"/>
      <c r="M118" s="126"/>
    </row>
    <row r="119" spans="1:13" s="308" customFormat="1" ht="16.5" x14ac:dyDescent="0.25">
      <c r="A119" s="968"/>
      <c r="B119" s="45"/>
      <c r="C119" s="602" t="s">
        <v>73</v>
      </c>
      <c r="D119" s="596" t="s">
        <v>9</v>
      </c>
      <c r="E119" s="599">
        <v>3.52</v>
      </c>
      <c r="F119" s="599">
        <f>F118*E119</f>
        <v>51.744</v>
      </c>
      <c r="G119" s="58"/>
      <c r="H119" s="858"/>
      <c r="I119" s="414"/>
      <c r="J119" s="414">
        <f t="shared" ref="J119" si="21">F119*I119</f>
        <v>0</v>
      </c>
      <c r="K119" s="414"/>
      <c r="L119" s="406"/>
      <c r="M119" s="406">
        <f t="shared" ref="M119:M122" si="22">H119+J119+L119</f>
        <v>0</v>
      </c>
    </row>
    <row r="120" spans="1:13" s="308" customFormat="1" ht="16.5" x14ac:dyDescent="0.25">
      <c r="A120" s="968"/>
      <c r="B120" s="45"/>
      <c r="C120" s="623" t="s">
        <v>21</v>
      </c>
      <c r="D120" s="856" t="s">
        <v>7</v>
      </c>
      <c r="E120" s="112">
        <v>1.06</v>
      </c>
      <c r="F120" s="113">
        <f>F118*E120</f>
        <v>15.582000000000001</v>
      </c>
      <c r="G120" s="638"/>
      <c r="H120" s="858"/>
      <c r="I120" s="414"/>
      <c r="J120" s="414"/>
      <c r="K120" s="414"/>
      <c r="L120" s="406">
        <f t="shared" ref="L120" si="23">F120*K120</f>
        <v>0</v>
      </c>
      <c r="M120" s="406">
        <f t="shared" si="22"/>
        <v>0</v>
      </c>
    </row>
    <row r="121" spans="1:13" s="308" customFormat="1" ht="16.5" x14ac:dyDescent="0.25">
      <c r="A121" s="968"/>
      <c r="B121" s="45"/>
      <c r="C121" s="623" t="s">
        <v>63</v>
      </c>
      <c r="D121" s="856" t="s">
        <v>74</v>
      </c>
      <c r="E121" s="112">
        <f>0.18+0.09+0.97</f>
        <v>1.24</v>
      </c>
      <c r="F121" s="113">
        <f>F118*E121</f>
        <v>18.227999999999998</v>
      </c>
      <c r="G121" s="638"/>
      <c r="H121" s="414">
        <f t="shared" ref="H121:H122" si="24">F121*G121</f>
        <v>0</v>
      </c>
      <c r="I121" s="58"/>
      <c r="J121" s="858"/>
      <c r="K121" s="59"/>
      <c r="L121" s="858"/>
      <c r="M121" s="406">
        <f t="shared" si="22"/>
        <v>0</v>
      </c>
    </row>
    <row r="122" spans="1:13" s="308" customFormat="1" ht="16.5" x14ac:dyDescent="0.25">
      <c r="A122" s="969"/>
      <c r="B122" s="45"/>
      <c r="C122" s="623" t="s">
        <v>122</v>
      </c>
      <c r="D122" s="856" t="s">
        <v>7</v>
      </c>
      <c r="E122" s="112">
        <v>0.02</v>
      </c>
      <c r="F122" s="113">
        <f>F118*E122</f>
        <v>0.29399999999999998</v>
      </c>
      <c r="G122" s="638"/>
      <c r="H122" s="414">
        <f t="shared" si="24"/>
        <v>0</v>
      </c>
      <c r="I122" s="58"/>
      <c r="J122" s="858"/>
      <c r="K122" s="59"/>
      <c r="L122" s="858"/>
      <c r="M122" s="406">
        <f t="shared" si="22"/>
        <v>0</v>
      </c>
    </row>
    <row r="123" spans="1:13" s="308" customFormat="1" ht="31.5" x14ac:dyDescent="0.25">
      <c r="A123" s="967" t="s">
        <v>662</v>
      </c>
      <c r="B123" s="71" t="s">
        <v>261</v>
      </c>
      <c r="C123" s="130" t="s">
        <v>673</v>
      </c>
      <c r="D123" s="122" t="s">
        <v>74</v>
      </c>
      <c r="E123" s="129"/>
      <c r="F123" s="125">
        <f>F115*0.15</f>
        <v>14.7</v>
      </c>
      <c r="G123" s="126"/>
      <c r="H123" s="126"/>
      <c r="I123" s="126"/>
      <c r="J123" s="126"/>
      <c r="K123" s="126"/>
      <c r="L123" s="126"/>
      <c r="M123" s="126"/>
    </row>
    <row r="124" spans="1:13" s="308" customFormat="1" ht="16.5" x14ac:dyDescent="0.25">
      <c r="A124" s="968"/>
      <c r="B124" s="71"/>
      <c r="C124" s="70" t="s">
        <v>77</v>
      </c>
      <c r="D124" s="45" t="s">
        <v>18</v>
      </c>
      <c r="E124" s="72">
        <v>1.37</v>
      </c>
      <c r="F124" s="73">
        <f>E124*F123</f>
        <v>20.138999999999999</v>
      </c>
      <c r="G124" s="126"/>
      <c r="H124" s="126"/>
      <c r="I124" s="126"/>
      <c r="J124" s="126">
        <f t="shared" si="19"/>
        <v>0</v>
      </c>
      <c r="K124" s="126"/>
      <c r="L124" s="126"/>
      <c r="M124" s="126">
        <f t="shared" si="20"/>
        <v>0</v>
      </c>
    </row>
    <row r="125" spans="1:13" s="308" customFormat="1" ht="16.5" x14ac:dyDescent="0.25">
      <c r="A125" s="968"/>
      <c r="B125" s="71"/>
      <c r="C125" s="44" t="s">
        <v>8</v>
      </c>
      <c r="D125" s="45" t="s">
        <v>7</v>
      </c>
      <c r="E125" s="72">
        <v>0.28299999999999997</v>
      </c>
      <c r="F125" s="73">
        <f>E125*F123</f>
        <v>4.160099999999999</v>
      </c>
      <c r="G125" s="126"/>
      <c r="H125" s="126"/>
      <c r="I125" s="126"/>
      <c r="J125" s="126"/>
      <c r="K125" s="126"/>
      <c r="L125" s="126">
        <f t="shared" ref="L125" si="25">F125*K125</f>
        <v>0</v>
      </c>
      <c r="M125" s="126">
        <f t="shared" si="20"/>
        <v>0</v>
      </c>
    </row>
    <row r="126" spans="1:13" s="308" customFormat="1" ht="16.5" x14ac:dyDescent="0.25">
      <c r="A126" s="968"/>
      <c r="B126" s="71"/>
      <c r="C126" s="70" t="s">
        <v>87</v>
      </c>
      <c r="D126" s="45" t="s">
        <v>59</v>
      </c>
      <c r="E126" s="72">
        <v>1.02</v>
      </c>
      <c r="F126" s="73">
        <f>E126*F123</f>
        <v>14.994</v>
      </c>
      <c r="G126" s="126"/>
      <c r="H126" s="126">
        <f t="shared" ref="H126:H128" si="26">F126*G126</f>
        <v>0</v>
      </c>
      <c r="I126" s="126"/>
      <c r="J126" s="126"/>
      <c r="K126" s="126"/>
      <c r="L126" s="126"/>
      <c r="M126" s="126">
        <f t="shared" si="20"/>
        <v>0</v>
      </c>
    </row>
    <row r="127" spans="1:13" s="308" customFormat="1" ht="16.5" x14ac:dyDescent="0.25">
      <c r="A127" s="968"/>
      <c r="B127" s="45"/>
      <c r="C127" s="614" t="s">
        <v>674</v>
      </c>
      <c r="D127" s="52" t="s">
        <v>83</v>
      </c>
      <c r="E127" s="46">
        <v>1.03</v>
      </c>
      <c r="F127" s="266">
        <f>F115*8*2*1*E127*0.395/1000</f>
        <v>0.63794079999999997</v>
      </c>
      <c r="G127" s="48"/>
      <c r="H127" s="48">
        <f>F127*G127</f>
        <v>0</v>
      </c>
      <c r="I127" s="48"/>
      <c r="J127" s="48"/>
      <c r="K127" s="369"/>
      <c r="L127" s="48"/>
      <c r="M127" s="48">
        <f t="shared" si="20"/>
        <v>0</v>
      </c>
    </row>
    <row r="128" spans="1:13" s="308" customFormat="1" ht="16.5" x14ac:dyDescent="0.25">
      <c r="A128" s="969"/>
      <c r="B128" s="71"/>
      <c r="C128" s="111" t="s">
        <v>10</v>
      </c>
      <c r="D128" s="45" t="s">
        <v>7</v>
      </c>
      <c r="E128" s="72">
        <v>0.62</v>
      </c>
      <c r="F128" s="73">
        <f>E128*F123</f>
        <v>9.113999999999999</v>
      </c>
      <c r="G128" s="126"/>
      <c r="H128" s="126">
        <f t="shared" si="26"/>
        <v>0</v>
      </c>
      <c r="I128" s="126"/>
      <c r="J128" s="126"/>
      <c r="K128" s="126"/>
      <c r="L128" s="126"/>
      <c r="M128" s="126">
        <f t="shared" si="20"/>
        <v>0</v>
      </c>
    </row>
    <row r="129" spans="1:13" s="308" customFormat="1" ht="47.25" x14ac:dyDescent="0.25">
      <c r="A129" s="873" t="s">
        <v>663</v>
      </c>
      <c r="B129" s="276" t="s">
        <v>675</v>
      </c>
      <c r="C129" s="133" t="s">
        <v>971</v>
      </c>
      <c r="D129" s="621" t="s">
        <v>676</v>
      </c>
      <c r="E129" s="46"/>
      <c r="F129" s="125">
        <f>F115</f>
        <v>98</v>
      </c>
      <c r="G129" s="622"/>
      <c r="H129" s="126"/>
      <c r="I129" s="622"/>
      <c r="J129" s="126"/>
      <c r="K129" s="622"/>
      <c r="L129" s="126"/>
      <c r="M129" s="126"/>
    </row>
    <row r="130" spans="1:13" s="308" customFormat="1" ht="16.5" x14ac:dyDescent="0.25">
      <c r="A130" s="873"/>
      <c r="B130" s="276"/>
      <c r="C130" s="128" t="s">
        <v>77</v>
      </c>
      <c r="D130" s="276" t="s">
        <v>205</v>
      </c>
      <c r="E130" s="46">
        <f>41.5*0.01</f>
        <v>0.41500000000000004</v>
      </c>
      <c r="F130" s="47">
        <f>F129*E130</f>
        <v>40.67</v>
      </c>
      <c r="G130" s="622"/>
      <c r="H130" s="126"/>
      <c r="I130" s="622"/>
      <c r="J130" s="126">
        <f>F130*I130</f>
        <v>0</v>
      </c>
      <c r="K130" s="622"/>
      <c r="L130" s="126"/>
      <c r="M130" s="126">
        <f>H130+J130+L130</f>
        <v>0</v>
      </c>
    </row>
    <row r="131" spans="1:13" s="308" customFormat="1" ht="27" x14ac:dyDescent="0.25">
      <c r="A131" s="873"/>
      <c r="B131" s="45"/>
      <c r="C131" s="111" t="s">
        <v>21</v>
      </c>
      <c r="D131" s="45" t="s">
        <v>98</v>
      </c>
      <c r="E131" s="46">
        <f>0.03*0.01</f>
        <v>2.9999999999999997E-4</v>
      </c>
      <c r="F131" s="47">
        <f>F129*E131</f>
        <v>2.9399999999999999E-2</v>
      </c>
      <c r="G131" s="126"/>
      <c r="H131" s="126"/>
      <c r="I131" s="126"/>
      <c r="J131" s="126">
        <f t="shared" ref="J131:J171" si="27">F131*I131</f>
        <v>0</v>
      </c>
      <c r="K131" s="126"/>
      <c r="L131" s="126">
        <f>F131*K131</f>
        <v>0</v>
      </c>
      <c r="M131" s="126">
        <f>H131+J131+L131</f>
        <v>0</v>
      </c>
    </row>
    <row r="132" spans="1:13" s="308" customFormat="1" ht="16.5" x14ac:dyDescent="0.25">
      <c r="A132" s="873"/>
      <c r="B132" s="131"/>
      <c r="C132" s="135" t="s">
        <v>677</v>
      </c>
      <c r="D132" s="276" t="s">
        <v>516</v>
      </c>
      <c r="E132" s="46">
        <f>(0.19*0.01)*100</f>
        <v>0.19</v>
      </c>
      <c r="F132" s="47">
        <f>F129*E132</f>
        <v>18.62</v>
      </c>
      <c r="G132" s="622"/>
      <c r="H132" s="126">
        <f>F132*G132</f>
        <v>0</v>
      </c>
      <c r="I132" s="622"/>
      <c r="J132" s="126"/>
      <c r="K132" s="622"/>
      <c r="L132" s="126"/>
      <c r="M132" s="126">
        <f t="shared" ref="M132:M176" si="28">H132+J132+L132</f>
        <v>0</v>
      </c>
    </row>
    <row r="133" spans="1:13" s="308" customFormat="1" ht="16.5" x14ac:dyDescent="0.25">
      <c r="A133" s="873"/>
      <c r="B133" s="45"/>
      <c r="C133" s="128" t="s">
        <v>949</v>
      </c>
      <c r="D133" s="276" t="s">
        <v>678</v>
      </c>
      <c r="E133" s="46">
        <v>1.02</v>
      </c>
      <c r="F133" s="47">
        <f>F129*E133</f>
        <v>99.960000000000008</v>
      </c>
      <c r="G133" s="622"/>
      <c r="H133" s="126">
        <f>F133*G133</f>
        <v>0</v>
      </c>
      <c r="I133" s="622"/>
      <c r="J133" s="126"/>
      <c r="K133" s="622"/>
      <c r="L133" s="126"/>
      <c r="M133" s="126">
        <f t="shared" si="28"/>
        <v>0</v>
      </c>
    </row>
    <row r="134" spans="1:13" s="308" customFormat="1" ht="16.5" x14ac:dyDescent="0.25">
      <c r="A134" s="873"/>
      <c r="B134" s="276"/>
      <c r="C134" s="623" t="s">
        <v>122</v>
      </c>
      <c r="D134" s="276" t="s">
        <v>679</v>
      </c>
      <c r="E134" s="46">
        <v>0.08</v>
      </c>
      <c r="F134" s="47">
        <f>F129*E134</f>
        <v>7.84</v>
      </c>
      <c r="G134" s="622"/>
      <c r="H134" s="126">
        <f>F134*G134</f>
        <v>0</v>
      </c>
      <c r="I134" s="622"/>
      <c r="J134" s="126"/>
      <c r="K134" s="622"/>
      <c r="L134" s="126"/>
      <c r="M134" s="126">
        <f t="shared" si="28"/>
        <v>0</v>
      </c>
    </row>
    <row r="135" spans="1:13" s="308" customFormat="1" ht="31.5" x14ac:dyDescent="0.25">
      <c r="A135" s="812" t="s">
        <v>90</v>
      </c>
      <c r="B135" s="812"/>
      <c r="C135" s="584" t="s">
        <v>680</v>
      </c>
      <c r="D135" s="470"/>
      <c r="E135" s="813"/>
      <c r="F135" s="814"/>
      <c r="G135" s="619"/>
      <c r="H135" s="126"/>
      <c r="I135" s="126"/>
      <c r="J135" s="126"/>
      <c r="K135" s="126"/>
      <c r="L135" s="126"/>
      <c r="M135" s="126"/>
    </row>
    <row r="136" spans="1:13" s="308" customFormat="1" ht="47.25" x14ac:dyDescent="0.25">
      <c r="A136" s="970" t="s">
        <v>681</v>
      </c>
      <c r="B136" s="71" t="s">
        <v>75</v>
      </c>
      <c r="C136" s="265" t="s">
        <v>682</v>
      </c>
      <c r="D136" s="66" t="s">
        <v>66</v>
      </c>
      <c r="E136" s="68"/>
      <c r="F136" s="69">
        <v>0.87</v>
      </c>
      <c r="G136" s="42"/>
      <c r="H136" s="126"/>
      <c r="I136" s="42"/>
      <c r="J136" s="126"/>
      <c r="K136" s="42"/>
      <c r="L136" s="126"/>
      <c r="M136" s="126"/>
    </row>
    <row r="137" spans="1:13" s="308" customFormat="1" ht="16.5" x14ac:dyDescent="0.25">
      <c r="A137" s="971"/>
      <c r="B137" s="71"/>
      <c r="C137" s="70" t="s">
        <v>77</v>
      </c>
      <c r="D137" s="71" t="s">
        <v>18</v>
      </c>
      <c r="E137" s="72">
        <f>666*0.01</f>
        <v>6.66</v>
      </c>
      <c r="F137" s="73">
        <f>E137*F136</f>
        <v>5.7942</v>
      </c>
      <c r="G137" s="74"/>
      <c r="H137" s="126"/>
      <c r="I137" s="74"/>
      <c r="J137" s="126">
        <f t="shared" si="27"/>
        <v>0</v>
      </c>
      <c r="K137" s="74"/>
      <c r="L137" s="126"/>
      <c r="M137" s="126">
        <f t="shared" si="28"/>
        <v>0</v>
      </c>
    </row>
    <row r="138" spans="1:13" s="308" customFormat="1" ht="16.5" x14ac:dyDescent="0.25">
      <c r="A138" s="971"/>
      <c r="B138" s="71"/>
      <c r="C138" s="44" t="s">
        <v>8</v>
      </c>
      <c r="D138" s="587" t="s">
        <v>7</v>
      </c>
      <c r="E138" s="72">
        <f>59*0.01</f>
        <v>0.59</v>
      </c>
      <c r="F138" s="73">
        <f>E138*F136</f>
        <v>0.51329999999999998</v>
      </c>
      <c r="G138" s="74"/>
      <c r="H138" s="126"/>
      <c r="I138" s="74"/>
      <c r="J138" s="126"/>
      <c r="K138" s="74"/>
      <c r="L138" s="126">
        <f t="shared" ref="L138:L172" si="29">F138*K138</f>
        <v>0</v>
      </c>
      <c r="M138" s="126">
        <f t="shared" si="28"/>
        <v>0</v>
      </c>
    </row>
    <row r="139" spans="1:13" s="308" customFormat="1" ht="16.5" x14ac:dyDescent="0.25">
      <c r="A139" s="971"/>
      <c r="B139" s="71"/>
      <c r="C139" s="70" t="s">
        <v>78</v>
      </c>
      <c r="D139" s="71" t="s">
        <v>59</v>
      </c>
      <c r="E139" s="72">
        <f>101.5*0.01</f>
        <v>1.0150000000000001</v>
      </c>
      <c r="F139" s="73">
        <f>E139*F136</f>
        <v>0.88305000000000011</v>
      </c>
      <c r="G139" s="74"/>
      <c r="H139" s="126">
        <f t="shared" ref="H139:H176" si="30">F139*G139</f>
        <v>0</v>
      </c>
      <c r="I139" s="74"/>
      <c r="J139" s="126"/>
      <c r="K139" s="74"/>
      <c r="L139" s="126"/>
      <c r="M139" s="126">
        <f t="shared" si="28"/>
        <v>0</v>
      </c>
    </row>
    <row r="140" spans="1:13" s="308" customFormat="1" ht="16.5" x14ac:dyDescent="0.25">
      <c r="A140" s="971"/>
      <c r="B140" s="71"/>
      <c r="C140" s="70" t="s">
        <v>79</v>
      </c>
      <c r="D140" s="71" t="s">
        <v>80</v>
      </c>
      <c r="E140" s="72">
        <f>160*0.01</f>
        <v>1.6</v>
      </c>
      <c r="F140" s="73">
        <f>E140*F136</f>
        <v>1.3920000000000001</v>
      </c>
      <c r="G140" s="74"/>
      <c r="H140" s="126">
        <f t="shared" si="30"/>
        <v>0</v>
      </c>
      <c r="I140" s="74"/>
      <c r="J140" s="126"/>
      <c r="K140" s="74"/>
      <c r="L140" s="126"/>
      <c r="M140" s="126">
        <f t="shared" si="28"/>
        <v>0</v>
      </c>
    </row>
    <row r="141" spans="1:13" s="308" customFormat="1" ht="16.5" x14ac:dyDescent="0.25">
      <c r="A141" s="971"/>
      <c r="B141" s="71"/>
      <c r="C141" s="70" t="s">
        <v>81</v>
      </c>
      <c r="D141" s="71" t="s">
        <v>59</v>
      </c>
      <c r="E141" s="72">
        <f>1.83*0.01</f>
        <v>1.83E-2</v>
      </c>
      <c r="F141" s="73">
        <f>E141*F136</f>
        <v>1.5921000000000001E-2</v>
      </c>
      <c r="G141" s="74"/>
      <c r="H141" s="126">
        <f t="shared" si="30"/>
        <v>0</v>
      </c>
      <c r="I141" s="74"/>
      <c r="J141" s="126"/>
      <c r="K141" s="74"/>
      <c r="L141" s="126"/>
      <c r="M141" s="126">
        <f t="shared" si="28"/>
        <v>0</v>
      </c>
    </row>
    <row r="142" spans="1:13" s="308" customFormat="1" ht="16.5" x14ac:dyDescent="0.25">
      <c r="A142" s="971"/>
      <c r="B142" s="71"/>
      <c r="C142" s="44" t="s">
        <v>10</v>
      </c>
      <c r="D142" s="612" t="s">
        <v>7</v>
      </c>
      <c r="E142" s="72">
        <f>40*0.01</f>
        <v>0.4</v>
      </c>
      <c r="F142" s="73">
        <f>E142*F136</f>
        <v>0.34800000000000003</v>
      </c>
      <c r="G142" s="74"/>
      <c r="H142" s="126">
        <f t="shared" si="30"/>
        <v>0</v>
      </c>
      <c r="I142" s="74"/>
      <c r="J142" s="126"/>
      <c r="K142" s="74"/>
      <c r="L142" s="126"/>
      <c r="M142" s="126">
        <f t="shared" si="28"/>
        <v>0</v>
      </c>
    </row>
    <row r="143" spans="1:13" s="308" customFormat="1" ht="16.5" x14ac:dyDescent="0.25">
      <c r="A143" s="971"/>
      <c r="B143" s="71"/>
      <c r="C143" s="77" t="s">
        <v>683</v>
      </c>
      <c r="D143" s="71" t="s">
        <v>70</v>
      </c>
      <c r="E143" s="72">
        <v>1.03</v>
      </c>
      <c r="F143" s="78">
        <f>0.023+0.031</f>
        <v>5.3999999999999999E-2</v>
      </c>
      <c r="G143" s="74"/>
      <c r="H143" s="126">
        <f t="shared" si="30"/>
        <v>0</v>
      </c>
      <c r="I143" s="74"/>
      <c r="J143" s="126"/>
      <c r="K143" s="74"/>
      <c r="L143" s="126"/>
      <c r="M143" s="126">
        <f t="shared" si="28"/>
        <v>0</v>
      </c>
    </row>
    <row r="144" spans="1:13" s="308" customFormat="1" ht="16.5" x14ac:dyDescent="0.25">
      <c r="A144" s="972"/>
      <c r="B144" s="71"/>
      <c r="C144" s="77" t="s">
        <v>684</v>
      </c>
      <c r="D144" s="71" t="s">
        <v>70</v>
      </c>
      <c r="E144" s="72">
        <v>1.03</v>
      </c>
      <c r="F144" s="78">
        <v>1.7999999999999999E-2</v>
      </c>
      <c r="G144" s="74"/>
      <c r="H144" s="126">
        <f t="shared" si="30"/>
        <v>0</v>
      </c>
      <c r="I144" s="74"/>
      <c r="J144" s="126"/>
      <c r="K144" s="74"/>
      <c r="L144" s="126"/>
      <c r="M144" s="126">
        <f t="shared" si="28"/>
        <v>0</v>
      </c>
    </row>
    <row r="145" spans="1:13" s="308" customFormat="1" ht="31.5" x14ac:dyDescent="0.25">
      <c r="A145" s="973" t="s">
        <v>685</v>
      </c>
      <c r="B145" s="71"/>
      <c r="C145" s="584" t="s">
        <v>686</v>
      </c>
      <c r="D145" s="796"/>
      <c r="E145" s="625"/>
      <c r="F145" s="626"/>
      <c r="G145" s="619"/>
      <c r="H145" s="126"/>
      <c r="I145" s="74"/>
      <c r="J145" s="126"/>
      <c r="K145" s="74"/>
      <c r="L145" s="126"/>
      <c r="M145" s="126"/>
    </row>
    <row r="146" spans="1:13" s="308" customFormat="1" ht="31.5" x14ac:dyDescent="0.25">
      <c r="A146" s="974"/>
      <c r="B146" s="71"/>
      <c r="C146" s="44" t="s">
        <v>687</v>
      </c>
      <c r="D146" s="45" t="s">
        <v>83</v>
      </c>
      <c r="E146" s="625"/>
      <c r="F146" s="626">
        <v>0.38300000000000001</v>
      </c>
      <c r="G146" s="627"/>
      <c r="H146" s="627"/>
      <c r="I146" s="627"/>
      <c r="J146" s="627"/>
      <c r="K146" s="627"/>
      <c r="L146" s="627"/>
      <c r="M146" s="627"/>
    </row>
    <row r="147" spans="1:13" s="308" customFormat="1" ht="31.5" x14ac:dyDescent="0.25">
      <c r="A147" s="974"/>
      <c r="B147" s="71"/>
      <c r="C147" s="44" t="s">
        <v>688</v>
      </c>
      <c r="D147" s="45" t="s">
        <v>83</v>
      </c>
      <c r="E147" s="625"/>
      <c r="F147" s="626">
        <v>0.26900000000000002</v>
      </c>
      <c r="G147" s="628"/>
      <c r="H147" s="628"/>
      <c r="I147" s="628"/>
      <c r="J147" s="628"/>
      <c r="K147" s="628"/>
      <c r="L147" s="628"/>
      <c r="M147" s="628"/>
    </row>
    <row r="148" spans="1:13" s="308" customFormat="1" ht="31.5" x14ac:dyDescent="0.25">
      <c r="A148" s="974"/>
      <c r="B148" s="71"/>
      <c r="C148" s="44" t="s">
        <v>689</v>
      </c>
      <c r="D148" s="45" t="s">
        <v>83</v>
      </c>
      <c r="E148" s="625"/>
      <c r="F148" s="626">
        <v>2.5000000000000001E-2</v>
      </c>
      <c r="G148" s="628"/>
      <c r="H148" s="628"/>
      <c r="I148" s="628"/>
      <c r="J148" s="628"/>
      <c r="K148" s="628"/>
      <c r="L148" s="628"/>
      <c r="M148" s="628"/>
    </row>
    <row r="149" spans="1:13" s="308" customFormat="1" ht="31.5" x14ac:dyDescent="0.25">
      <c r="A149" s="974"/>
      <c r="B149" s="71"/>
      <c r="C149" s="44" t="s">
        <v>690</v>
      </c>
      <c r="D149" s="45" t="s">
        <v>83</v>
      </c>
      <c r="E149" s="625"/>
      <c r="F149" s="626">
        <v>0.441</v>
      </c>
      <c r="G149" s="628"/>
      <c r="H149" s="628"/>
      <c r="I149" s="628"/>
      <c r="J149" s="628"/>
      <c r="K149" s="628"/>
      <c r="L149" s="628"/>
      <c r="M149" s="628"/>
    </row>
    <row r="150" spans="1:13" s="308" customFormat="1" ht="31.5" x14ac:dyDescent="0.25">
      <c r="A150" s="974"/>
      <c r="B150" s="71"/>
      <c r="C150" s="44" t="s">
        <v>691</v>
      </c>
      <c r="D150" s="45" t="s">
        <v>83</v>
      </c>
      <c r="E150" s="625"/>
      <c r="F150" s="626">
        <v>3.0000000000000001E-3</v>
      </c>
      <c r="G150" s="629"/>
      <c r="H150" s="629"/>
      <c r="I150" s="629"/>
      <c r="J150" s="629"/>
      <c r="K150" s="629"/>
      <c r="L150" s="629"/>
      <c r="M150" s="629"/>
    </row>
    <row r="151" spans="1:13" s="308" customFormat="1" ht="31.5" x14ac:dyDescent="0.25">
      <c r="A151" s="974"/>
      <c r="B151" s="27"/>
      <c r="C151" s="630" t="s">
        <v>692</v>
      </c>
      <c r="D151" s="93" t="s">
        <v>83</v>
      </c>
      <c r="E151" s="631"/>
      <c r="F151" s="298">
        <f>F146+F147+F148+F149+F150</f>
        <v>1.121</v>
      </c>
      <c r="G151" s="126"/>
      <c r="H151" s="126"/>
      <c r="I151" s="74"/>
      <c r="J151" s="126"/>
      <c r="K151" s="74"/>
      <c r="L151" s="126"/>
      <c r="M151" s="126"/>
    </row>
    <row r="152" spans="1:13" s="308" customFormat="1" ht="47.25" x14ac:dyDescent="0.25">
      <c r="A152" s="974"/>
      <c r="B152" s="27" t="s">
        <v>693</v>
      </c>
      <c r="C152" s="630" t="s">
        <v>694</v>
      </c>
      <c r="D152" s="27" t="s">
        <v>83</v>
      </c>
      <c r="E152" s="3"/>
      <c r="F152" s="103">
        <f>F151</f>
        <v>1.121</v>
      </c>
      <c r="G152" s="33"/>
      <c r="H152" s="126"/>
      <c r="I152" s="33"/>
      <c r="J152" s="126"/>
      <c r="K152" s="33"/>
      <c r="L152" s="126"/>
      <c r="M152" s="126"/>
    </row>
    <row r="153" spans="1:13" s="308" customFormat="1" ht="16.5" x14ac:dyDescent="0.25">
      <c r="A153" s="974"/>
      <c r="B153" s="27"/>
      <c r="C153" s="64" t="s">
        <v>73</v>
      </c>
      <c r="D153" s="27" t="s">
        <v>9</v>
      </c>
      <c r="E153" s="3">
        <v>13.9</v>
      </c>
      <c r="F153" s="19">
        <f>F152*E153</f>
        <v>15.581900000000001</v>
      </c>
      <c r="G153" s="33"/>
      <c r="H153" s="126"/>
      <c r="I153" s="33"/>
      <c r="J153" s="126">
        <f t="shared" si="27"/>
        <v>0</v>
      </c>
      <c r="K153" s="33"/>
      <c r="L153" s="126"/>
      <c r="M153" s="126">
        <f t="shared" si="28"/>
        <v>0</v>
      </c>
    </row>
    <row r="154" spans="1:13" s="308" customFormat="1" ht="27" x14ac:dyDescent="0.25">
      <c r="A154" s="974"/>
      <c r="B154" s="27" t="s">
        <v>96</v>
      </c>
      <c r="C154" s="64" t="s">
        <v>97</v>
      </c>
      <c r="D154" s="27" t="s">
        <v>98</v>
      </c>
      <c r="E154" s="3">
        <v>0.82</v>
      </c>
      <c r="F154" s="19">
        <f>F152*E154</f>
        <v>0.91921999999999993</v>
      </c>
      <c r="G154" s="33"/>
      <c r="H154" s="126"/>
      <c r="I154" s="33"/>
      <c r="J154" s="126"/>
      <c r="K154" s="33"/>
      <c r="L154" s="126">
        <f t="shared" si="29"/>
        <v>0</v>
      </c>
      <c r="M154" s="126">
        <f t="shared" si="28"/>
        <v>0</v>
      </c>
    </row>
    <row r="155" spans="1:13" s="308" customFormat="1" ht="27" x14ac:dyDescent="0.25">
      <c r="A155" s="974"/>
      <c r="B155" s="27" t="s">
        <v>96</v>
      </c>
      <c r="C155" s="64" t="s">
        <v>99</v>
      </c>
      <c r="D155" s="27" t="s">
        <v>98</v>
      </c>
      <c r="E155" s="3">
        <v>0.25</v>
      </c>
      <c r="F155" s="19">
        <f>F152*E155</f>
        <v>0.28025</v>
      </c>
      <c r="G155" s="33"/>
      <c r="H155" s="126"/>
      <c r="I155" s="33"/>
      <c r="J155" s="126"/>
      <c r="K155" s="33"/>
      <c r="L155" s="126">
        <f t="shared" si="29"/>
        <v>0</v>
      </c>
      <c r="M155" s="126">
        <f t="shared" si="28"/>
        <v>0</v>
      </c>
    </row>
    <row r="156" spans="1:13" s="308" customFormat="1" ht="16.5" x14ac:dyDescent="0.25">
      <c r="A156" s="974"/>
      <c r="B156" s="27"/>
      <c r="C156" s="64" t="s">
        <v>8</v>
      </c>
      <c r="D156" s="27" t="s">
        <v>7</v>
      </c>
      <c r="E156" s="3">
        <v>3.38</v>
      </c>
      <c r="F156" s="19">
        <f>F152*E156</f>
        <v>3.78898</v>
      </c>
      <c r="G156" s="33"/>
      <c r="H156" s="126"/>
      <c r="I156" s="33"/>
      <c r="J156" s="126"/>
      <c r="K156" s="33"/>
      <c r="L156" s="126">
        <f t="shared" si="29"/>
        <v>0</v>
      </c>
      <c r="M156" s="126">
        <f t="shared" si="28"/>
        <v>0</v>
      </c>
    </row>
    <row r="157" spans="1:13" s="308" customFormat="1" ht="31.5" x14ac:dyDescent="0.25">
      <c r="A157" s="974"/>
      <c r="B157" s="27"/>
      <c r="C157" s="111" t="s">
        <v>687</v>
      </c>
      <c r="D157" s="45" t="s">
        <v>83</v>
      </c>
      <c r="E157" s="625"/>
      <c r="F157" s="626">
        <v>0.38300000000000001</v>
      </c>
      <c r="G157" s="619"/>
      <c r="H157" s="126">
        <f t="shared" si="30"/>
        <v>0</v>
      </c>
      <c r="I157" s="33"/>
      <c r="J157" s="126"/>
      <c r="K157" s="33"/>
      <c r="L157" s="126"/>
      <c r="M157" s="126">
        <f t="shared" si="28"/>
        <v>0</v>
      </c>
    </row>
    <row r="158" spans="1:13" s="308" customFormat="1" ht="31.5" x14ac:dyDescent="0.25">
      <c r="A158" s="974"/>
      <c r="B158" s="27"/>
      <c r="C158" s="111" t="s">
        <v>688</v>
      </c>
      <c r="D158" s="45" t="s">
        <v>83</v>
      </c>
      <c r="E158" s="625"/>
      <c r="F158" s="626">
        <v>0.26900000000000002</v>
      </c>
      <c r="G158" s="619"/>
      <c r="H158" s="126">
        <f t="shared" si="30"/>
        <v>0</v>
      </c>
      <c r="I158" s="33"/>
      <c r="J158" s="126"/>
      <c r="K158" s="33"/>
      <c r="L158" s="126"/>
      <c r="M158" s="126">
        <f t="shared" si="28"/>
        <v>0</v>
      </c>
    </row>
    <row r="159" spans="1:13" s="308" customFormat="1" ht="31.5" x14ac:dyDescent="0.25">
      <c r="A159" s="974"/>
      <c r="B159" s="27"/>
      <c r="C159" s="111" t="s">
        <v>689</v>
      </c>
      <c r="D159" s="45" t="s">
        <v>83</v>
      </c>
      <c r="E159" s="625"/>
      <c r="F159" s="626">
        <v>2.5000000000000001E-2</v>
      </c>
      <c r="G159" s="619"/>
      <c r="H159" s="126">
        <f t="shared" si="30"/>
        <v>0</v>
      </c>
      <c r="I159" s="33"/>
      <c r="J159" s="126"/>
      <c r="K159" s="33"/>
      <c r="L159" s="126"/>
      <c r="M159" s="126">
        <f t="shared" si="28"/>
        <v>0</v>
      </c>
    </row>
    <row r="160" spans="1:13" s="308" customFormat="1" ht="31.5" x14ac:dyDescent="0.25">
      <c r="A160" s="974"/>
      <c r="B160" s="27"/>
      <c r="C160" s="111" t="s">
        <v>690</v>
      </c>
      <c r="D160" s="45" t="s">
        <v>83</v>
      </c>
      <c r="E160" s="625"/>
      <c r="F160" s="626">
        <v>0.441</v>
      </c>
      <c r="G160" s="619"/>
      <c r="H160" s="126">
        <f t="shared" si="30"/>
        <v>0</v>
      </c>
      <c r="I160" s="33"/>
      <c r="J160" s="126"/>
      <c r="K160" s="33"/>
      <c r="L160" s="126"/>
      <c r="M160" s="126">
        <f t="shared" si="28"/>
        <v>0</v>
      </c>
    </row>
    <row r="161" spans="1:13" s="308" customFormat="1" ht="31.5" x14ac:dyDescent="0.25">
      <c r="A161" s="974"/>
      <c r="B161" s="27"/>
      <c r="C161" s="111" t="s">
        <v>691</v>
      </c>
      <c r="D161" s="45" t="s">
        <v>83</v>
      </c>
      <c r="E161" s="625"/>
      <c r="F161" s="626">
        <v>3.0000000000000001E-3</v>
      </c>
      <c r="G161" s="619"/>
      <c r="H161" s="126">
        <f t="shared" si="30"/>
        <v>0</v>
      </c>
      <c r="I161" s="33"/>
      <c r="J161" s="126"/>
      <c r="K161" s="33"/>
      <c r="L161" s="126"/>
      <c r="M161" s="126">
        <f t="shared" si="28"/>
        <v>0</v>
      </c>
    </row>
    <row r="162" spans="1:13" s="308" customFormat="1" ht="47.25" x14ac:dyDescent="0.25">
      <c r="A162" s="974"/>
      <c r="B162" s="27"/>
      <c r="C162" s="111" t="s">
        <v>695</v>
      </c>
      <c r="D162" s="45" t="s">
        <v>147</v>
      </c>
      <c r="E162" s="625"/>
      <c r="F162" s="626">
        <v>24</v>
      </c>
      <c r="G162" s="619"/>
      <c r="H162" s="126">
        <f t="shared" si="30"/>
        <v>0</v>
      </c>
      <c r="I162" s="33"/>
      <c r="J162" s="126"/>
      <c r="K162" s="33"/>
      <c r="L162" s="126"/>
      <c r="M162" s="126">
        <f t="shared" si="28"/>
        <v>0</v>
      </c>
    </row>
    <row r="163" spans="1:13" s="308" customFormat="1" ht="16.5" x14ac:dyDescent="0.25">
      <c r="A163" s="974"/>
      <c r="B163" s="27"/>
      <c r="C163" s="111" t="s">
        <v>102</v>
      </c>
      <c r="D163" s="45" t="s">
        <v>5</v>
      </c>
      <c r="E163" s="625"/>
      <c r="F163" s="626">
        <f>8+7+10</f>
        <v>25</v>
      </c>
      <c r="G163" s="619"/>
      <c r="H163" s="126">
        <f t="shared" si="30"/>
        <v>0</v>
      </c>
      <c r="I163" s="33"/>
      <c r="J163" s="126"/>
      <c r="K163" s="33"/>
      <c r="L163" s="126"/>
      <c r="M163" s="126">
        <f t="shared" si="28"/>
        <v>0</v>
      </c>
    </row>
    <row r="164" spans="1:13" s="308" customFormat="1" ht="16.5" x14ac:dyDescent="0.25">
      <c r="A164" s="975"/>
      <c r="B164" s="27"/>
      <c r="C164" s="92" t="s">
        <v>10</v>
      </c>
      <c r="D164" s="27" t="s">
        <v>7</v>
      </c>
      <c r="E164" s="3">
        <v>2.78</v>
      </c>
      <c r="F164" s="19">
        <f>F152*E164</f>
        <v>3.1163799999999999</v>
      </c>
      <c r="G164" s="33"/>
      <c r="H164" s="126">
        <f t="shared" si="30"/>
        <v>0</v>
      </c>
      <c r="I164" s="33"/>
      <c r="J164" s="126"/>
      <c r="K164" s="33"/>
      <c r="L164" s="126"/>
      <c r="M164" s="126">
        <f t="shared" si="28"/>
        <v>0</v>
      </c>
    </row>
    <row r="165" spans="1:13" s="308" customFormat="1" ht="63" x14ac:dyDescent="0.25">
      <c r="A165" s="976" t="s">
        <v>696</v>
      </c>
      <c r="B165" s="27" t="s">
        <v>139</v>
      </c>
      <c r="C165" s="94" t="s">
        <v>697</v>
      </c>
      <c r="D165" s="27" t="s">
        <v>280</v>
      </c>
      <c r="E165" s="3"/>
      <c r="F165" s="103">
        <f>(0.11+0.11)*2*20+(0.04+0.04)*2*80+0.53*1</f>
        <v>22.130000000000003</v>
      </c>
      <c r="G165" s="33"/>
      <c r="H165" s="126"/>
      <c r="I165" s="33"/>
      <c r="J165" s="126"/>
      <c r="K165" s="33"/>
      <c r="L165" s="126"/>
      <c r="M165" s="126"/>
    </row>
    <row r="166" spans="1:13" s="308" customFormat="1" ht="16.5" x14ac:dyDescent="0.25">
      <c r="A166" s="977"/>
      <c r="B166" s="27"/>
      <c r="C166" s="92" t="s">
        <v>73</v>
      </c>
      <c r="D166" s="27" t="s">
        <v>9</v>
      </c>
      <c r="E166" s="3">
        <v>38.799999999999997</v>
      </c>
      <c r="F166" s="19">
        <f>F165*E166</f>
        <v>858.64400000000001</v>
      </c>
      <c r="G166" s="33"/>
      <c r="H166" s="126"/>
      <c r="I166" s="33"/>
      <c r="J166" s="126">
        <f t="shared" si="27"/>
        <v>0</v>
      </c>
      <c r="K166" s="33"/>
      <c r="L166" s="126"/>
      <c r="M166" s="126">
        <f t="shared" si="28"/>
        <v>0</v>
      </c>
    </row>
    <row r="167" spans="1:13" s="308" customFormat="1" ht="16.5" x14ac:dyDescent="0.25">
      <c r="A167" s="977"/>
      <c r="B167" s="27"/>
      <c r="C167" s="92" t="s">
        <v>21</v>
      </c>
      <c r="D167" s="27" t="s">
        <v>9</v>
      </c>
      <c r="E167" s="3">
        <v>0.03</v>
      </c>
      <c r="F167" s="19">
        <f>F165*E167</f>
        <v>0.66390000000000005</v>
      </c>
      <c r="G167" s="33"/>
      <c r="H167" s="126"/>
      <c r="I167" s="33"/>
      <c r="J167" s="126"/>
      <c r="K167" s="33"/>
      <c r="L167" s="126">
        <f t="shared" si="29"/>
        <v>0</v>
      </c>
      <c r="M167" s="126">
        <f t="shared" si="28"/>
        <v>0</v>
      </c>
    </row>
    <row r="168" spans="1:13" s="308" customFormat="1" ht="16.5" x14ac:dyDescent="0.25">
      <c r="A168" s="977"/>
      <c r="B168" s="27"/>
      <c r="C168" s="92" t="s">
        <v>698</v>
      </c>
      <c r="D168" s="27" t="s">
        <v>5</v>
      </c>
      <c r="E168" s="3">
        <v>35</v>
      </c>
      <c r="F168" s="19">
        <f>F165*E168</f>
        <v>774.55000000000007</v>
      </c>
      <c r="G168" s="33"/>
      <c r="H168" s="126">
        <f t="shared" si="30"/>
        <v>0</v>
      </c>
      <c r="I168" s="33"/>
      <c r="J168" s="126"/>
      <c r="K168" s="33"/>
      <c r="L168" s="126"/>
      <c r="M168" s="126">
        <f t="shared" si="28"/>
        <v>0</v>
      </c>
    </row>
    <row r="169" spans="1:13" s="308" customFormat="1" ht="16.5" x14ac:dyDescent="0.25">
      <c r="A169" s="977"/>
      <c r="B169" s="27"/>
      <c r="C169" s="92" t="s">
        <v>10</v>
      </c>
      <c r="D169" s="27" t="s">
        <v>7</v>
      </c>
      <c r="E169" s="3">
        <v>0.19</v>
      </c>
      <c r="F169" s="19">
        <f>F165*E169</f>
        <v>4.2047000000000008</v>
      </c>
      <c r="G169" s="33"/>
      <c r="H169" s="126">
        <f t="shared" si="30"/>
        <v>0</v>
      </c>
      <c r="I169" s="33"/>
      <c r="J169" s="126"/>
      <c r="K169" s="33"/>
      <c r="L169" s="126"/>
      <c r="M169" s="126">
        <f t="shared" si="28"/>
        <v>0</v>
      </c>
    </row>
    <row r="170" spans="1:13" s="308" customFormat="1" ht="78.75" x14ac:dyDescent="0.25">
      <c r="A170" s="977" t="s">
        <v>699</v>
      </c>
      <c r="B170" s="84" t="s">
        <v>323</v>
      </c>
      <c r="C170" s="94" t="s">
        <v>947</v>
      </c>
      <c r="D170" s="27" t="s">
        <v>280</v>
      </c>
      <c r="E170" s="17"/>
      <c r="F170" s="103">
        <f>61/100</f>
        <v>0.61</v>
      </c>
      <c r="G170" s="33"/>
      <c r="H170" s="126"/>
      <c r="I170" s="33"/>
      <c r="J170" s="126"/>
      <c r="K170" s="33"/>
      <c r="L170" s="126"/>
      <c r="M170" s="126"/>
    </row>
    <row r="171" spans="1:13" s="308" customFormat="1" ht="16.5" x14ac:dyDescent="0.25">
      <c r="A171" s="977"/>
      <c r="B171" s="84"/>
      <c r="C171" s="92" t="s">
        <v>73</v>
      </c>
      <c r="D171" s="27" t="s">
        <v>9</v>
      </c>
      <c r="E171" s="17">
        <v>42.9</v>
      </c>
      <c r="F171" s="19">
        <f>F170*E171</f>
        <v>26.168999999999997</v>
      </c>
      <c r="G171" s="33"/>
      <c r="H171" s="126"/>
      <c r="I171" s="33"/>
      <c r="J171" s="126">
        <f t="shared" si="27"/>
        <v>0</v>
      </c>
      <c r="K171" s="33"/>
      <c r="L171" s="126"/>
      <c r="M171" s="126">
        <f t="shared" si="28"/>
        <v>0</v>
      </c>
    </row>
    <row r="172" spans="1:13" s="308" customFormat="1" ht="27" x14ac:dyDescent="0.25">
      <c r="A172" s="977"/>
      <c r="B172" s="84"/>
      <c r="C172" s="632" t="s">
        <v>21</v>
      </c>
      <c r="D172" s="84" t="s">
        <v>98</v>
      </c>
      <c r="E172" s="17">
        <v>2.64</v>
      </c>
      <c r="F172" s="6">
        <f>F170*E172</f>
        <v>1.6104000000000001</v>
      </c>
      <c r="G172" s="33"/>
      <c r="H172" s="126"/>
      <c r="I172" s="33"/>
      <c r="J172" s="126"/>
      <c r="K172" s="33"/>
      <c r="L172" s="126">
        <f t="shared" si="29"/>
        <v>0</v>
      </c>
      <c r="M172" s="126">
        <f t="shared" si="28"/>
        <v>0</v>
      </c>
    </row>
    <row r="173" spans="1:13" s="308" customFormat="1" ht="31.5" x14ac:dyDescent="0.25">
      <c r="A173" s="977"/>
      <c r="B173" s="84"/>
      <c r="C173" s="632" t="s">
        <v>700</v>
      </c>
      <c r="D173" s="84" t="s">
        <v>111</v>
      </c>
      <c r="E173" s="17">
        <v>130</v>
      </c>
      <c r="F173" s="6">
        <f>F170*E173</f>
        <v>79.3</v>
      </c>
      <c r="G173" s="33"/>
      <c r="H173" s="126">
        <f t="shared" si="30"/>
        <v>0</v>
      </c>
      <c r="I173" s="33"/>
      <c r="J173" s="126"/>
      <c r="K173" s="33"/>
      <c r="L173" s="126"/>
      <c r="M173" s="126">
        <f t="shared" si="28"/>
        <v>0</v>
      </c>
    </row>
    <row r="174" spans="1:13" s="308" customFormat="1" ht="16.5" x14ac:dyDescent="0.25">
      <c r="A174" s="977"/>
      <c r="B174" s="84"/>
      <c r="C174" s="632" t="s">
        <v>326</v>
      </c>
      <c r="D174" s="84" t="s">
        <v>147</v>
      </c>
      <c r="E174" s="17">
        <v>600</v>
      </c>
      <c r="F174" s="6">
        <f>F170*E174</f>
        <v>366</v>
      </c>
      <c r="G174" s="33"/>
      <c r="H174" s="126">
        <f t="shared" si="30"/>
        <v>0</v>
      </c>
      <c r="I174" s="33"/>
      <c r="J174" s="126"/>
      <c r="K174" s="33"/>
      <c r="L174" s="126"/>
      <c r="M174" s="126">
        <f t="shared" si="28"/>
        <v>0</v>
      </c>
    </row>
    <row r="175" spans="1:13" s="308" customFormat="1" ht="16.5" x14ac:dyDescent="0.25">
      <c r="A175" s="977"/>
      <c r="B175" s="84"/>
      <c r="C175" s="632" t="s">
        <v>327</v>
      </c>
      <c r="D175" s="84" t="s">
        <v>5</v>
      </c>
      <c r="E175" s="17">
        <v>7.9</v>
      </c>
      <c r="F175" s="6">
        <f>F170*E175</f>
        <v>4.819</v>
      </c>
      <c r="G175" s="33"/>
      <c r="H175" s="126">
        <f t="shared" si="30"/>
        <v>0</v>
      </c>
      <c r="I175" s="33"/>
      <c r="J175" s="126"/>
      <c r="K175" s="33"/>
      <c r="L175" s="126"/>
      <c r="M175" s="126">
        <f t="shared" si="28"/>
        <v>0</v>
      </c>
    </row>
    <row r="176" spans="1:13" s="308" customFormat="1" ht="16.5" x14ac:dyDescent="0.25">
      <c r="A176" s="978"/>
      <c r="B176" s="84"/>
      <c r="C176" s="92" t="s">
        <v>10</v>
      </c>
      <c r="D176" s="27" t="s">
        <v>7</v>
      </c>
      <c r="E176" s="17">
        <v>6.36</v>
      </c>
      <c r="F176" s="19">
        <f>F170*E176</f>
        <v>3.8795999999999999</v>
      </c>
      <c r="G176" s="33"/>
      <c r="H176" s="126">
        <f t="shared" si="30"/>
        <v>0</v>
      </c>
      <c r="I176" s="33"/>
      <c r="J176" s="126"/>
      <c r="K176" s="33"/>
      <c r="L176" s="126"/>
      <c r="M176" s="126">
        <f t="shared" si="28"/>
        <v>0</v>
      </c>
    </row>
    <row r="177" spans="1:13" s="308" customFormat="1" ht="16.5" x14ac:dyDescent="0.25">
      <c r="A177" s="616" t="s">
        <v>104</v>
      </c>
      <c r="B177" s="633"/>
      <c r="C177" s="634" t="s">
        <v>953</v>
      </c>
      <c r="D177" s="633"/>
      <c r="E177" s="635"/>
      <c r="F177" s="815"/>
      <c r="G177" s="624"/>
      <c r="H177" s="126"/>
      <c r="I177" s="622"/>
      <c r="J177" s="126"/>
      <c r="K177" s="622"/>
      <c r="L177" s="126"/>
      <c r="M177" s="126"/>
    </row>
    <row r="178" spans="1:13" s="308" customFormat="1" ht="47.25" x14ac:dyDescent="0.25">
      <c r="A178" s="797"/>
      <c r="B178" s="797"/>
      <c r="C178" s="636" t="s">
        <v>954</v>
      </c>
      <c r="D178" s="797"/>
      <c r="E178" s="112"/>
      <c r="F178" s="113"/>
      <c r="G178" s="638"/>
      <c r="H178" s="126"/>
      <c r="I178" s="653"/>
      <c r="J178" s="126"/>
      <c r="K178" s="653"/>
      <c r="L178" s="126"/>
      <c r="M178" s="126"/>
    </row>
    <row r="179" spans="1:13" s="308" customFormat="1" ht="47.25" x14ac:dyDescent="0.25">
      <c r="A179" s="979" t="s">
        <v>543</v>
      </c>
      <c r="B179" s="797" t="s">
        <v>174</v>
      </c>
      <c r="C179" s="636" t="s">
        <v>955</v>
      </c>
      <c r="D179" s="797" t="s">
        <v>74</v>
      </c>
      <c r="E179" s="112"/>
      <c r="F179" s="521">
        <f>0.9*0.8*11</f>
        <v>7.9200000000000008</v>
      </c>
      <c r="G179" s="638"/>
      <c r="H179" s="126"/>
      <c r="I179" s="653"/>
      <c r="J179" s="126"/>
      <c r="K179" s="653"/>
      <c r="L179" s="126"/>
      <c r="M179" s="126"/>
    </row>
    <row r="180" spans="1:13" s="308" customFormat="1" ht="16.5" x14ac:dyDescent="0.25">
      <c r="A180" s="980"/>
      <c r="B180" s="797"/>
      <c r="C180" s="602" t="s">
        <v>73</v>
      </c>
      <c r="D180" s="596" t="s">
        <v>9</v>
      </c>
      <c r="E180" s="599">
        <v>2.06</v>
      </c>
      <c r="F180" s="599">
        <f>F179*E180</f>
        <v>16.315200000000001</v>
      </c>
      <c r="G180" s="58"/>
      <c r="H180" s="800"/>
      <c r="I180" s="414"/>
      <c r="J180" s="414">
        <f t="shared" ref="J180" si="31">F180*I180</f>
        <v>0</v>
      </c>
      <c r="K180" s="414"/>
      <c r="L180" s="406"/>
      <c r="M180" s="406">
        <f t="shared" ref="M180" si="32">H180+J180+L180</f>
        <v>0</v>
      </c>
    </row>
    <row r="181" spans="1:13" s="308" customFormat="1" ht="47.25" x14ac:dyDescent="0.25">
      <c r="A181" s="979" t="s">
        <v>721</v>
      </c>
      <c r="B181" s="797" t="s">
        <v>71</v>
      </c>
      <c r="C181" s="636" t="s">
        <v>956</v>
      </c>
      <c r="D181" s="797" t="s">
        <v>74</v>
      </c>
      <c r="E181" s="112"/>
      <c r="F181" s="521">
        <f>0.9*11*0.1</f>
        <v>0.9900000000000001</v>
      </c>
      <c r="G181" s="638"/>
      <c r="H181" s="126"/>
      <c r="I181" s="653"/>
      <c r="J181" s="126"/>
      <c r="K181" s="653"/>
      <c r="L181" s="126"/>
      <c r="M181" s="126"/>
    </row>
    <row r="182" spans="1:13" s="308" customFormat="1" ht="16.5" x14ac:dyDescent="0.25">
      <c r="A182" s="981"/>
      <c r="B182" s="797"/>
      <c r="C182" s="602" t="s">
        <v>73</v>
      </c>
      <c r="D182" s="596" t="s">
        <v>9</v>
      </c>
      <c r="E182" s="599">
        <v>3.52</v>
      </c>
      <c r="F182" s="599">
        <f>F181*E182</f>
        <v>3.4848000000000003</v>
      </c>
      <c r="G182" s="58"/>
      <c r="H182" s="800"/>
      <c r="I182" s="414"/>
      <c r="J182" s="414">
        <f t="shared" ref="J182" si="33">F182*I182</f>
        <v>0</v>
      </c>
      <c r="K182" s="414"/>
      <c r="L182" s="406"/>
      <c r="M182" s="406">
        <f t="shared" ref="M182:M185" si="34">H182+J182+L182</f>
        <v>0</v>
      </c>
    </row>
    <row r="183" spans="1:13" s="308" customFormat="1" ht="16.5" x14ac:dyDescent="0.25">
      <c r="A183" s="981"/>
      <c r="B183" s="797"/>
      <c r="C183" s="623" t="s">
        <v>21</v>
      </c>
      <c r="D183" s="797" t="s">
        <v>7</v>
      </c>
      <c r="E183" s="112">
        <v>1.06</v>
      </c>
      <c r="F183" s="113">
        <f>F181*E183</f>
        <v>1.0494000000000001</v>
      </c>
      <c r="G183" s="638"/>
      <c r="H183" s="800"/>
      <c r="I183" s="414"/>
      <c r="J183" s="414"/>
      <c r="K183" s="414"/>
      <c r="L183" s="406">
        <f t="shared" ref="L183" si="35">F183*K183</f>
        <v>0</v>
      </c>
      <c r="M183" s="406">
        <f t="shared" si="34"/>
        <v>0</v>
      </c>
    </row>
    <row r="184" spans="1:13" s="308" customFormat="1" ht="16.5" x14ac:dyDescent="0.25">
      <c r="A184" s="981"/>
      <c r="B184" s="797"/>
      <c r="C184" s="623" t="s">
        <v>63</v>
      </c>
      <c r="D184" s="797" t="s">
        <v>74</v>
      </c>
      <c r="E184" s="112">
        <f>0.18+0.09+0.97</f>
        <v>1.24</v>
      </c>
      <c r="F184" s="113">
        <f>F181*E184</f>
        <v>1.2276</v>
      </c>
      <c r="G184" s="638"/>
      <c r="H184" s="414">
        <f t="shared" ref="H184:H185" si="36">F184*G184</f>
        <v>0</v>
      </c>
      <c r="I184" s="58"/>
      <c r="J184" s="800"/>
      <c r="K184" s="59"/>
      <c r="L184" s="800"/>
      <c r="M184" s="406">
        <f t="shared" si="34"/>
        <v>0</v>
      </c>
    </row>
    <row r="185" spans="1:13" s="308" customFormat="1" ht="16.5" x14ac:dyDescent="0.25">
      <c r="A185" s="980"/>
      <c r="B185" s="797"/>
      <c r="C185" s="623" t="s">
        <v>122</v>
      </c>
      <c r="D185" s="797" t="s">
        <v>7</v>
      </c>
      <c r="E185" s="112">
        <v>0.02</v>
      </c>
      <c r="F185" s="113">
        <f>F181*E185</f>
        <v>1.9800000000000002E-2</v>
      </c>
      <c r="G185" s="638"/>
      <c r="H185" s="414">
        <f t="shared" si="36"/>
        <v>0</v>
      </c>
      <c r="I185" s="58"/>
      <c r="J185" s="800"/>
      <c r="K185" s="59"/>
      <c r="L185" s="800"/>
      <c r="M185" s="406">
        <f t="shared" si="34"/>
        <v>0</v>
      </c>
    </row>
    <row r="186" spans="1:13" s="308" customFormat="1" ht="31.5" x14ac:dyDescent="0.25">
      <c r="A186" s="979" t="s">
        <v>722</v>
      </c>
      <c r="B186" s="797" t="s">
        <v>266</v>
      </c>
      <c r="C186" s="636" t="s">
        <v>957</v>
      </c>
      <c r="D186" s="797" t="s">
        <v>74</v>
      </c>
      <c r="E186" s="112"/>
      <c r="F186" s="521">
        <f>(0.8*0.3+0.3*0.4)*11</f>
        <v>3.96</v>
      </c>
      <c r="G186" s="638"/>
      <c r="H186" s="414"/>
      <c r="I186" s="58"/>
      <c r="J186" s="800"/>
      <c r="K186" s="59"/>
      <c r="L186" s="800"/>
      <c r="M186" s="406"/>
    </row>
    <row r="187" spans="1:13" s="308" customFormat="1" ht="16.5" x14ac:dyDescent="0.25">
      <c r="A187" s="981"/>
      <c r="B187" s="797"/>
      <c r="C187" s="602" t="s">
        <v>73</v>
      </c>
      <c r="D187" s="596" t="s">
        <v>9</v>
      </c>
      <c r="E187" s="599">
        <v>3.78</v>
      </c>
      <c r="F187" s="599">
        <f>F186*E187</f>
        <v>14.9688</v>
      </c>
      <c r="G187" s="58"/>
      <c r="H187" s="800"/>
      <c r="I187" s="414"/>
      <c r="J187" s="414">
        <f t="shared" ref="J187" si="37">F187*I187</f>
        <v>0</v>
      </c>
      <c r="K187" s="414"/>
      <c r="L187" s="406"/>
      <c r="M187" s="406">
        <f t="shared" ref="M187:M193" si="38">H187+J187+L187</f>
        <v>0</v>
      </c>
    </row>
    <row r="188" spans="1:13" s="308" customFormat="1" ht="16.5" x14ac:dyDescent="0.25">
      <c r="A188" s="981"/>
      <c r="B188" s="797"/>
      <c r="C188" s="623" t="s">
        <v>21</v>
      </c>
      <c r="D188" s="797" t="s">
        <v>7</v>
      </c>
      <c r="E188" s="112">
        <v>0.92</v>
      </c>
      <c r="F188" s="113">
        <f>F186*E188</f>
        <v>3.6432000000000002</v>
      </c>
      <c r="G188" s="638"/>
      <c r="H188" s="800"/>
      <c r="I188" s="414"/>
      <c r="J188" s="414"/>
      <c r="K188" s="414"/>
      <c r="L188" s="406">
        <f t="shared" ref="L188" si="39">F188*K188</f>
        <v>0</v>
      </c>
      <c r="M188" s="406">
        <f t="shared" si="38"/>
        <v>0</v>
      </c>
    </row>
    <row r="189" spans="1:13" s="308" customFormat="1" ht="16.5" x14ac:dyDescent="0.25">
      <c r="A189" s="981"/>
      <c r="B189" s="797"/>
      <c r="C189" s="623" t="s">
        <v>78</v>
      </c>
      <c r="D189" s="797" t="s">
        <v>74</v>
      </c>
      <c r="E189" s="112">
        <v>1.0149999999999999</v>
      </c>
      <c r="F189" s="113">
        <f>F186*E189</f>
        <v>4.0193999999999992</v>
      </c>
      <c r="G189" s="638"/>
      <c r="H189" s="414">
        <f t="shared" ref="H189:H193" si="40">F189*G189</f>
        <v>0</v>
      </c>
      <c r="I189" s="58"/>
      <c r="J189" s="800"/>
      <c r="K189" s="59"/>
      <c r="L189" s="800"/>
      <c r="M189" s="406">
        <f t="shared" si="38"/>
        <v>0</v>
      </c>
    </row>
    <row r="190" spans="1:13" s="308" customFormat="1" ht="16.5" x14ac:dyDescent="0.25">
      <c r="A190" s="981"/>
      <c r="B190" s="797"/>
      <c r="C190" s="623" t="s">
        <v>591</v>
      </c>
      <c r="D190" s="797" t="s">
        <v>111</v>
      </c>
      <c r="E190" s="112">
        <v>0.70299999999999996</v>
      </c>
      <c r="F190" s="113">
        <f>F186*E190</f>
        <v>2.7838799999999999</v>
      </c>
      <c r="G190" s="638"/>
      <c r="H190" s="414">
        <f t="shared" si="40"/>
        <v>0</v>
      </c>
      <c r="I190" s="58"/>
      <c r="J190" s="800"/>
      <c r="K190" s="59"/>
      <c r="L190" s="800"/>
      <c r="M190" s="406">
        <f t="shared" si="38"/>
        <v>0</v>
      </c>
    </row>
    <row r="191" spans="1:13" s="308" customFormat="1" ht="16.5" x14ac:dyDescent="0.25">
      <c r="A191" s="981"/>
      <c r="B191" s="797"/>
      <c r="C191" s="623" t="s">
        <v>89</v>
      </c>
      <c r="D191" s="797" t="s">
        <v>74</v>
      </c>
      <c r="E191" s="112">
        <v>1.4E-2</v>
      </c>
      <c r="F191" s="113">
        <f>F186*E191</f>
        <v>5.5440000000000003E-2</v>
      </c>
      <c r="G191" s="638"/>
      <c r="H191" s="414">
        <f t="shared" si="40"/>
        <v>0</v>
      </c>
      <c r="I191" s="653"/>
      <c r="J191" s="126"/>
      <c r="K191" s="653"/>
      <c r="L191" s="126"/>
      <c r="M191" s="406">
        <f t="shared" si="38"/>
        <v>0</v>
      </c>
    </row>
    <row r="192" spans="1:13" s="308" customFormat="1" ht="16.5" x14ac:dyDescent="0.25">
      <c r="A192" s="981"/>
      <c r="B192" s="797"/>
      <c r="C192" s="623" t="s">
        <v>958</v>
      </c>
      <c r="D192" s="797" t="s">
        <v>7</v>
      </c>
      <c r="E192" s="112">
        <v>0.6</v>
      </c>
      <c r="F192" s="113">
        <f>F186*E192</f>
        <v>2.3759999999999999</v>
      </c>
      <c r="G192" s="638"/>
      <c r="H192" s="414">
        <f t="shared" si="40"/>
        <v>0</v>
      </c>
      <c r="I192" s="653"/>
      <c r="J192" s="126"/>
      <c r="K192" s="653"/>
      <c r="L192" s="126"/>
      <c r="M192" s="406">
        <f t="shared" si="38"/>
        <v>0</v>
      </c>
    </row>
    <row r="193" spans="1:13" s="308" customFormat="1" ht="17.25" thickBot="1" x14ac:dyDescent="0.3">
      <c r="A193" s="981"/>
      <c r="B193" s="797"/>
      <c r="C193" s="816" t="s">
        <v>959</v>
      </c>
      <c r="D193" s="797" t="s">
        <v>83</v>
      </c>
      <c r="E193" s="112"/>
      <c r="F193" s="817">
        <f>0.0162*11</f>
        <v>0.1782</v>
      </c>
      <c r="G193" s="638"/>
      <c r="H193" s="126">
        <f t="shared" si="40"/>
        <v>0</v>
      </c>
      <c r="I193" s="653"/>
      <c r="J193" s="126"/>
      <c r="K193" s="653"/>
      <c r="L193" s="126"/>
      <c r="M193" s="126">
        <f t="shared" si="38"/>
        <v>0</v>
      </c>
    </row>
    <row r="194" spans="1:13" s="308" customFormat="1" ht="63" x14ac:dyDescent="0.25">
      <c r="A194" s="805" t="s">
        <v>723</v>
      </c>
      <c r="B194" s="127"/>
      <c r="C194" s="818" t="s">
        <v>960</v>
      </c>
      <c r="D194" s="819" t="s">
        <v>147</v>
      </c>
      <c r="E194" s="820"/>
      <c r="F194" s="821">
        <v>21</v>
      </c>
      <c r="G194" s="822"/>
      <c r="H194" s="823"/>
      <c r="I194" s="823"/>
      <c r="J194" s="823"/>
      <c r="K194" s="823"/>
      <c r="L194" s="823"/>
      <c r="M194" s="823"/>
    </row>
    <row r="195" spans="1:13" s="308" customFormat="1" ht="31.5" x14ac:dyDescent="0.25">
      <c r="A195" s="806"/>
      <c r="B195" s="127"/>
      <c r="C195" s="824" t="s">
        <v>961</v>
      </c>
      <c r="D195" s="797" t="s">
        <v>74</v>
      </c>
      <c r="E195" s="825">
        <v>1.05</v>
      </c>
      <c r="F195" s="826">
        <f>0.15*0.1*2.5*F194*E195</f>
        <v>0.82687500000000003</v>
      </c>
      <c r="G195" s="827"/>
      <c r="H195" s="828"/>
      <c r="I195" s="828"/>
      <c r="J195" s="828"/>
      <c r="K195" s="828"/>
      <c r="L195" s="828"/>
      <c r="M195" s="828"/>
    </row>
    <row r="196" spans="1:13" s="308" customFormat="1" ht="31.5" x14ac:dyDescent="0.25">
      <c r="A196" s="806"/>
      <c r="B196" s="127"/>
      <c r="C196" s="824" t="s">
        <v>962</v>
      </c>
      <c r="D196" s="797" t="s">
        <v>74</v>
      </c>
      <c r="E196" s="825">
        <v>1.05</v>
      </c>
      <c r="F196" s="826">
        <f>0.15*0.1*2*F194*E196</f>
        <v>0.66150000000000009</v>
      </c>
      <c r="G196" s="827"/>
      <c r="H196" s="828"/>
      <c r="I196" s="828"/>
      <c r="J196" s="828"/>
      <c r="K196" s="828"/>
      <c r="L196" s="828"/>
      <c r="M196" s="828"/>
    </row>
    <row r="197" spans="1:13" s="308" customFormat="1" ht="31.5" x14ac:dyDescent="0.25">
      <c r="A197" s="806"/>
      <c r="B197" s="127"/>
      <c r="C197" s="824" t="s">
        <v>963</v>
      </c>
      <c r="D197" s="797" t="s">
        <v>74</v>
      </c>
      <c r="E197" s="825">
        <v>1.05</v>
      </c>
      <c r="F197" s="826">
        <f>0.1*0.1*0.7*F194*E197</f>
        <v>0.15435000000000001</v>
      </c>
      <c r="G197" s="827"/>
      <c r="H197" s="828"/>
      <c r="I197" s="828"/>
      <c r="J197" s="828"/>
      <c r="K197" s="828"/>
      <c r="L197" s="828"/>
      <c r="M197" s="828"/>
    </row>
    <row r="198" spans="1:13" s="308" customFormat="1" ht="17.25" thickBot="1" x14ac:dyDescent="0.3">
      <c r="A198" s="806"/>
      <c r="B198" s="127"/>
      <c r="C198" s="829" t="s">
        <v>964</v>
      </c>
      <c r="D198" s="805" t="s">
        <v>74</v>
      </c>
      <c r="E198" s="830">
        <v>1.05</v>
      </c>
      <c r="F198" s="831">
        <f>0.07*0.07*15*20*E198</f>
        <v>1.5435000000000003</v>
      </c>
      <c r="G198" s="827"/>
      <c r="H198" s="828"/>
      <c r="I198" s="828"/>
      <c r="J198" s="828"/>
      <c r="K198" s="828"/>
      <c r="L198" s="828"/>
      <c r="M198" s="828"/>
    </row>
    <row r="199" spans="1:13" s="308" customFormat="1" ht="17.25" thickBot="1" x14ac:dyDescent="0.3">
      <c r="A199" s="806"/>
      <c r="B199" s="127" t="s">
        <v>965</v>
      </c>
      <c r="C199" s="832" t="s">
        <v>966</v>
      </c>
      <c r="D199" s="833" t="s">
        <v>74</v>
      </c>
      <c r="E199" s="834"/>
      <c r="F199" s="835">
        <f>SUM(F195:F198)</f>
        <v>3.1862250000000003</v>
      </c>
      <c r="G199" s="836"/>
      <c r="H199" s="837"/>
      <c r="I199" s="837"/>
      <c r="J199" s="837"/>
      <c r="K199" s="837"/>
      <c r="L199" s="837"/>
      <c r="M199" s="837"/>
    </row>
    <row r="200" spans="1:13" s="308" customFormat="1" ht="16.5" x14ac:dyDescent="0.25">
      <c r="A200" s="806"/>
      <c r="B200" s="797"/>
      <c r="C200" s="650" t="s">
        <v>73</v>
      </c>
      <c r="D200" s="807" t="s">
        <v>9</v>
      </c>
      <c r="E200" s="651">
        <v>24</v>
      </c>
      <c r="F200" s="651">
        <f>F199*E200</f>
        <v>76.469400000000007</v>
      </c>
      <c r="G200" s="652"/>
      <c r="H200" s="414"/>
      <c r="I200" s="653"/>
      <c r="J200" s="126">
        <f>F200*I200</f>
        <v>0</v>
      </c>
      <c r="K200" s="653"/>
      <c r="L200" s="126"/>
      <c r="M200" s="414">
        <f t="shared" ref="M200:M214" si="41">H200+J200+L200</f>
        <v>0</v>
      </c>
    </row>
    <row r="201" spans="1:13" s="308" customFormat="1" ht="16.5" x14ac:dyDescent="0.25">
      <c r="A201" s="806"/>
      <c r="B201" s="797"/>
      <c r="C201" s="623" t="s">
        <v>21</v>
      </c>
      <c r="D201" s="797" t="s">
        <v>7</v>
      </c>
      <c r="E201" s="112">
        <v>1.3</v>
      </c>
      <c r="F201" s="112">
        <f>F199*E201</f>
        <v>4.1420925000000004</v>
      </c>
      <c r="G201" s="652"/>
      <c r="H201" s="414"/>
      <c r="I201" s="653"/>
      <c r="J201" s="126"/>
      <c r="K201" s="653"/>
      <c r="L201" s="126"/>
      <c r="M201" s="414">
        <f t="shared" si="41"/>
        <v>0</v>
      </c>
    </row>
    <row r="202" spans="1:13" s="308" customFormat="1" ht="16.5" x14ac:dyDescent="0.25">
      <c r="A202" s="806"/>
      <c r="B202" s="797"/>
      <c r="C202" s="623" t="s">
        <v>89</v>
      </c>
      <c r="D202" s="797" t="s">
        <v>74</v>
      </c>
      <c r="E202" s="112">
        <f>0.93+0.12</f>
        <v>1.05</v>
      </c>
      <c r="F202" s="112">
        <f>F199*E202</f>
        <v>3.3455362500000003</v>
      </c>
      <c r="G202" s="652"/>
      <c r="H202" s="414">
        <f t="shared" ref="H202:H214" si="42">F202*G202</f>
        <v>0</v>
      </c>
      <c r="I202" s="653"/>
      <c r="J202" s="126"/>
      <c r="K202" s="653"/>
      <c r="L202" s="126"/>
      <c r="M202" s="414">
        <f t="shared" si="41"/>
        <v>0</v>
      </c>
    </row>
    <row r="203" spans="1:13" s="308" customFormat="1" ht="16.5" x14ac:dyDescent="0.25">
      <c r="A203" s="806"/>
      <c r="B203" s="797"/>
      <c r="C203" s="623" t="s">
        <v>753</v>
      </c>
      <c r="D203" s="797" t="s">
        <v>5</v>
      </c>
      <c r="E203" s="112">
        <v>7.5</v>
      </c>
      <c r="F203" s="112">
        <f>F199*E203</f>
        <v>23.896687500000002</v>
      </c>
      <c r="G203" s="652"/>
      <c r="H203" s="414">
        <f t="shared" si="42"/>
        <v>0</v>
      </c>
      <c r="I203" s="653"/>
      <c r="J203" s="126"/>
      <c r="K203" s="653"/>
      <c r="L203" s="126"/>
      <c r="M203" s="414">
        <f t="shared" si="41"/>
        <v>0</v>
      </c>
    </row>
    <row r="204" spans="1:13" s="308" customFormat="1" ht="16.5" x14ac:dyDescent="0.25">
      <c r="A204" s="806"/>
      <c r="B204" s="797"/>
      <c r="C204" s="623" t="s">
        <v>309</v>
      </c>
      <c r="D204" s="797" t="s">
        <v>5</v>
      </c>
      <c r="E204" s="112">
        <v>3.01</v>
      </c>
      <c r="F204" s="112">
        <f>F199*E204</f>
        <v>9.5905372500000006</v>
      </c>
      <c r="G204" s="652"/>
      <c r="H204" s="414">
        <f t="shared" si="42"/>
        <v>0</v>
      </c>
      <c r="I204" s="653"/>
      <c r="J204" s="126"/>
      <c r="K204" s="653"/>
      <c r="L204" s="126"/>
      <c r="M204" s="414">
        <f t="shared" si="41"/>
        <v>0</v>
      </c>
    </row>
    <row r="205" spans="1:13" s="308" customFormat="1" ht="16.5" x14ac:dyDescent="0.25">
      <c r="A205" s="806"/>
      <c r="B205" s="797"/>
      <c r="C205" s="623" t="s">
        <v>754</v>
      </c>
      <c r="D205" s="797" t="s">
        <v>5</v>
      </c>
      <c r="E205" s="112">
        <v>3.08</v>
      </c>
      <c r="F205" s="112">
        <f>F199*E205</f>
        <v>9.8135730000000017</v>
      </c>
      <c r="G205" s="652"/>
      <c r="H205" s="414">
        <f t="shared" si="42"/>
        <v>0</v>
      </c>
      <c r="I205" s="653"/>
      <c r="J205" s="126"/>
      <c r="K205" s="653"/>
      <c r="L205" s="126"/>
      <c r="M205" s="414">
        <f t="shared" si="41"/>
        <v>0</v>
      </c>
    </row>
    <row r="206" spans="1:13" s="308" customFormat="1" ht="16.5" x14ac:dyDescent="0.25">
      <c r="A206" s="806"/>
      <c r="B206" s="797"/>
      <c r="C206" s="623" t="s">
        <v>122</v>
      </c>
      <c r="D206" s="797" t="s">
        <v>7</v>
      </c>
      <c r="E206" s="112">
        <v>1.38</v>
      </c>
      <c r="F206" s="112">
        <f>F199*E206</f>
        <v>4.3969905000000002</v>
      </c>
      <c r="G206" s="652"/>
      <c r="H206" s="414">
        <f t="shared" si="42"/>
        <v>0</v>
      </c>
      <c r="I206" s="653"/>
      <c r="J206" s="126"/>
      <c r="K206" s="653"/>
      <c r="L206" s="126"/>
      <c r="M206" s="414">
        <f t="shared" si="41"/>
        <v>0</v>
      </c>
    </row>
    <row r="207" spans="1:13" s="308" customFormat="1" ht="47.25" x14ac:dyDescent="0.25">
      <c r="A207" s="806"/>
      <c r="B207" s="797"/>
      <c r="C207" s="623" t="s">
        <v>755</v>
      </c>
      <c r="D207" s="797" t="s">
        <v>756</v>
      </c>
      <c r="E207" s="112">
        <v>1.1000000000000001</v>
      </c>
      <c r="F207" s="522">
        <f>0.162*0.112*1*F194*E207*47.1/1000</f>
        <v>1.9740853440000001E-2</v>
      </c>
      <c r="G207" s="638"/>
      <c r="H207" s="414">
        <f t="shared" si="42"/>
        <v>0</v>
      </c>
      <c r="I207" s="653"/>
      <c r="J207" s="126"/>
      <c r="K207" s="653"/>
      <c r="L207" s="126"/>
      <c r="M207" s="414">
        <f t="shared" si="41"/>
        <v>0</v>
      </c>
    </row>
    <row r="208" spans="1:13" s="308" customFormat="1" ht="47.25" x14ac:dyDescent="0.25">
      <c r="A208" s="806"/>
      <c r="B208" s="797"/>
      <c r="C208" s="623" t="s">
        <v>757</v>
      </c>
      <c r="D208" s="797" t="s">
        <v>83</v>
      </c>
      <c r="E208" s="808">
        <v>1.1000000000000001</v>
      </c>
      <c r="F208" s="522">
        <f>0.2*0.15*2*F194*E208*47.1/1000</f>
        <v>6.5280600000000008E-2</v>
      </c>
      <c r="G208" s="653"/>
      <c r="H208" s="414">
        <f t="shared" si="42"/>
        <v>0</v>
      </c>
      <c r="I208" s="653"/>
      <c r="J208" s="126"/>
      <c r="K208" s="653"/>
      <c r="L208" s="126"/>
      <c r="M208" s="414">
        <f t="shared" si="41"/>
        <v>0</v>
      </c>
    </row>
    <row r="209" spans="1:13" s="308" customFormat="1" ht="47.25" x14ac:dyDescent="0.25">
      <c r="A209" s="806"/>
      <c r="B209" s="797"/>
      <c r="C209" s="623" t="s">
        <v>758</v>
      </c>
      <c r="D209" s="797" t="s">
        <v>83</v>
      </c>
      <c r="E209" s="808">
        <v>1.1000000000000001</v>
      </c>
      <c r="F209" s="522">
        <f>0.2*0.112*2*F194*E209*47.1/1000</f>
        <v>4.8742848000000019E-2</v>
      </c>
      <c r="G209" s="653"/>
      <c r="H209" s="414">
        <f t="shared" si="42"/>
        <v>0</v>
      </c>
      <c r="I209" s="653"/>
      <c r="J209" s="126"/>
      <c r="K209" s="653"/>
      <c r="L209" s="126"/>
      <c r="M209" s="414">
        <f t="shared" si="41"/>
        <v>0</v>
      </c>
    </row>
    <row r="210" spans="1:13" s="308" customFormat="1" ht="47.25" x14ac:dyDescent="0.25">
      <c r="A210" s="806"/>
      <c r="B210" s="797"/>
      <c r="C210" s="623" t="s">
        <v>759</v>
      </c>
      <c r="D210" s="797" t="s">
        <v>83</v>
      </c>
      <c r="E210" s="808"/>
      <c r="F210" s="522">
        <f>1*F194</f>
        <v>21</v>
      </c>
      <c r="G210" s="653"/>
      <c r="H210" s="414">
        <f t="shared" si="42"/>
        <v>0</v>
      </c>
      <c r="I210" s="653"/>
      <c r="J210" s="126"/>
      <c r="K210" s="653"/>
      <c r="L210" s="126"/>
      <c r="M210" s="414">
        <f t="shared" si="41"/>
        <v>0</v>
      </c>
    </row>
    <row r="211" spans="1:13" s="308" customFormat="1" ht="47.25" x14ac:dyDescent="0.25">
      <c r="A211" s="806"/>
      <c r="B211" s="797"/>
      <c r="C211" s="623" t="s">
        <v>760</v>
      </c>
      <c r="D211" s="797" t="s">
        <v>83</v>
      </c>
      <c r="E211" s="112">
        <v>1.05</v>
      </c>
      <c r="F211" s="522">
        <f>2*F194*E211*0.888/1000</f>
        <v>3.9160800000000003E-2</v>
      </c>
      <c r="G211" s="638"/>
      <c r="H211" s="414">
        <f t="shared" si="42"/>
        <v>0</v>
      </c>
      <c r="I211" s="653"/>
      <c r="J211" s="126"/>
      <c r="K211" s="653"/>
      <c r="L211" s="126"/>
      <c r="M211" s="414">
        <f t="shared" si="41"/>
        <v>0</v>
      </c>
    </row>
    <row r="212" spans="1:13" s="308" customFormat="1" ht="31.5" x14ac:dyDescent="0.25">
      <c r="A212" s="806"/>
      <c r="B212" s="797"/>
      <c r="C212" s="623" t="s">
        <v>761</v>
      </c>
      <c r="D212" s="797" t="s">
        <v>147</v>
      </c>
      <c r="E212" s="112"/>
      <c r="F212" s="522">
        <f>4*F194</f>
        <v>84</v>
      </c>
      <c r="G212" s="638"/>
      <c r="H212" s="414">
        <f t="shared" si="42"/>
        <v>0</v>
      </c>
      <c r="I212" s="653"/>
      <c r="J212" s="126"/>
      <c r="K212" s="653"/>
      <c r="L212" s="126"/>
      <c r="M212" s="414">
        <f t="shared" si="41"/>
        <v>0</v>
      </c>
    </row>
    <row r="213" spans="1:13" s="308" customFormat="1" ht="31.5" x14ac:dyDescent="0.25">
      <c r="A213" s="806"/>
      <c r="B213" s="797"/>
      <c r="C213" s="623" t="s">
        <v>762</v>
      </c>
      <c r="D213" s="797" t="s">
        <v>147</v>
      </c>
      <c r="E213" s="112"/>
      <c r="F213" s="522">
        <f>4*F194</f>
        <v>84</v>
      </c>
      <c r="G213" s="638"/>
      <c r="H213" s="414">
        <f t="shared" si="42"/>
        <v>0</v>
      </c>
      <c r="I213" s="653"/>
      <c r="J213" s="126"/>
      <c r="K213" s="653"/>
      <c r="L213" s="126"/>
      <c r="M213" s="414">
        <f t="shared" si="41"/>
        <v>0</v>
      </c>
    </row>
    <row r="214" spans="1:13" s="308" customFormat="1" ht="16.5" x14ac:dyDescent="0.25">
      <c r="A214" s="806"/>
      <c r="B214" s="797"/>
      <c r="C214" s="623" t="s">
        <v>763</v>
      </c>
      <c r="D214" s="797" t="s">
        <v>5</v>
      </c>
      <c r="E214" s="112"/>
      <c r="F214" s="522">
        <f>1*F194</f>
        <v>21</v>
      </c>
      <c r="G214" s="638"/>
      <c r="H214" s="414">
        <f t="shared" si="42"/>
        <v>0</v>
      </c>
      <c r="I214" s="653"/>
      <c r="J214" s="126"/>
      <c r="K214" s="653"/>
      <c r="L214" s="126"/>
      <c r="M214" s="414">
        <f t="shared" si="41"/>
        <v>0</v>
      </c>
    </row>
    <row r="215" spans="1:13" s="308" customFormat="1" ht="63" x14ac:dyDescent="0.25">
      <c r="A215" s="797"/>
      <c r="B215" s="797"/>
      <c r="C215" s="636" t="s">
        <v>764</v>
      </c>
      <c r="D215" s="797"/>
      <c r="E215" s="112"/>
      <c r="F215" s="113"/>
      <c r="G215" s="638"/>
      <c r="H215" s="126"/>
      <c r="I215" s="653"/>
      <c r="J215" s="126"/>
      <c r="K215" s="653"/>
      <c r="L215" s="126"/>
      <c r="M215" s="126"/>
    </row>
    <row r="216" spans="1:13" s="308" customFormat="1" ht="27" x14ac:dyDescent="0.25">
      <c r="A216" s="887" t="s">
        <v>724</v>
      </c>
      <c r="B216" s="795" t="s">
        <v>316</v>
      </c>
      <c r="C216" s="654" t="s">
        <v>766</v>
      </c>
      <c r="D216" s="160" t="s">
        <v>74</v>
      </c>
      <c r="E216" s="161"/>
      <c r="F216" s="610">
        <f>F195+F196+F197+F198</f>
        <v>3.1862250000000003</v>
      </c>
      <c r="G216" s="414"/>
      <c r="H216" s="414"/>
      <c r="I216" s="414"/>
      <c r="J216" s="414"/>
      <c r="K216" s="414"/>
      <c r="L216" s="414"/>
      <c r="M216" s="414"/>
    </row>
    <row r="217" spans="1:13" s="308" customFormat="1" ht="16.5" x14ac:dyDescent="0.25">
      <c r="A217" s="887"/>
      <c r="B217" s="795"/>
      <c r="C217" s="655" t="s">
        <v>157</v>
      </c>
      <c r="D217" s="160" t="s">
        <v>9</v>
      </c>
      <c r="E217" s="161">
        <v>0.87</v>
      </c>
      <c r="F217" s="808">
        <f>F216*E217</f>
        <v>2.7720157500000004</v>
      </c>
      <c r="G217" s="414"/>
      <c r="H217" s="414"/>
      <c r="I217" s="414"/>
      <c r="J217" s="414">
        <f t="shared" ref="J217:J224" si="43">F217*I217</f>
        <v>0</v>
      </c>
      <c r="K217" s="414"/>
      <c r="L217" s="414"/>
      <c r="M217" s="414">
        <f t="shared" ref="M217:M226" si="44">H217+J217+L217</f>
        <v>0</v>
      </c>
    </row>
    <row r="218" spans="1:13" s="308" customFormat="1" ht="16.5" x14ac:dyDescent="0.25">
      <c r="A218" s="887"/>
      <c r="B218" s="795"/>
      <c r="C218" s="655" t="s">
        <v>318</v>
      </c>
      <c r="D218" s="160" t="s">
        <v>7</v>
      </c>
      <c r="E218" s="161">
        <v>0.13</v>
      </c>
      <c r="F218" s="808">
        <f>F216*E218</f>
        <v>0.41420925000000003</v>
      </c>
      <c r="G218" s="414"/>
      <c r="H218" s="414"/>
      <c r="I218" s="414"/>
      <c r="J218" s="414"/>
      <c r="K218" s="414"/>
      <c r="L218" s="414">
        <f t="shared" ref="L218:L225" si="45">F218*K218</f>
        <v>0</v>
      </c>
      <c r="M218" s="414">
        <f t="shared" si="44"/>
        <v>0</v>
      </c>
    </row>
    <row r="219" spans="1:13" s="308" customFormat="1" ht="16.5" x14ac:dyDescent="0.25">
      <c r="A219" s="887"/>
      <c r="B219" s="795"/>
      <c r="C219" s="655" t="s">
        <v>319</v>
      </c>
      <c r="D219" s="160" t="s">
        <v>5</v>
      </c>
      <c r="E219" s="161">
        <v>7.2</v>
      </c>
      <c r="F219" s="808">
        <f>F216*E219</f>
        <v>22.940820000000002</v>
      </c>
      <c r="G219" s="414"/>
      <c r="H219" s="414">
        <f t="shared" ref="H219:H226" si="46">F219*G219</f>
        <v>0</v>
      </c>
      <c r="I219" s="414"/>
      <c r="J219" s="414"/>
      <c r="K219" s="414"/>
      <c r="L219" s="414"/>
      <c r="M219" s="414">
        <f t="shared" si="44"/>
        <v>0</v>
      </c>
    </row>
    <row r="220" spans="1:13" s="308" customFormat="1" ht="16.5" x14ac:dyDescent="0.25">
      <c r="A220" s="887"/>
      <c r="B220" s="795"/>
      <c r="C220" s="655" t="s">
        <v>320</v>
      </c>
      <c r="D220" s="160" t="s">
        <v>5</v>
      </c>
      <c r="E220" s="161">
        <v>1.79</v>
      </c>
      <c r="F220" s="808">
        <f>F216*E220</f>
        <v>5.7033427500000009</v>
      </c>
      <c r="G220" s="414"/>
      <c r="H220" s="414">
        <f t="shared" si="46"/>
        <v>0</v>
      </c>
      <c r="I220" s="414"/>
      <c r="J220" s="414"/>
      <c r="K220" s="414"/>
      <c r="L220" s="414"/>
      <c r="M220" s="414">
        <f t="shared" si="44"/>
        <v>0</v>
      </c>
    </row>
    <row r="221" spans="1:13" s="308" customFormat="1" ht="16.5" x14ac:dyDescent="0.25">
      <c r="A221" s="887"/>
      <c r="B221" s="795"/>
      <c r="C221" s="655" t="s">
        <v>321</v>
      </c>
      <c r="D221" s="160" t="s">
        <v>5</v>
      </c>
      <c r="E221" s="161">
        <v>1.07</v>
      </c>
      <c r="F221" s="808">
        <f>F216*E221</f>
        <v>3.4092607500000005</v>
      </c>
      <c r="G221" s="414"/>
      <c r="H221" s="414">
        <f t="shared" si="46"/>
        <v>0</v>
      </c>
      <c r="I221" s="414"/>
      <c r="J221" s="414"/>
      <c r="K221" s="414"/>
      <c r="L221" s="414"/>
      <c r="M221" s="414">
        <f t="shared" si="44"/>
        <v>0</v>
      </c>
    </row>
    <row r="222" spans="1:13" s="308" customFormat="1" ht="16.5" x14ac:dyDescent="0.25">
      <c r="A222" s="887"/>
      <c r="B222" s="795"/>
      <c r="C222" s="655" t="s">
        <v>122</v>
      </c>
      <c r="D222" s="160" t="s">
        <v>7</v>
      </c>
      <c r="E222" s="161">
        <v>0.1</v>
      </c>
      <c r="F222" s="808">
        <f>F216*E222</f>
        <v>0.31862250000000003</v>
      </c>
      <c r="G222" s="414"/>
      <c r="H222" s="414">
        <f t="shared" si="46"/>
        <v>0</v>
      </c>
      <c r="I222" s="414"/>
      <c r="J222" s="414"/>
      <c r="K222" s="414"/>
      <c r="L222" s="414"/>
      <c r="M222" s="414">
        <f t="shared" si="44"/>
        <v>0</v>
      </c>
    </row>
    <row r="223" spans="1:13" s="308" customFormat="1" ht="27" x14ac:dyDescent="0.25">
      <c r="A223" s="887" t="s">
        <v>725</v>
      </c>
      <c r="B223" s="656" t="s">
        <v>768</v>
      </c>
      <c r="C223" s="654" t="s">
        <v>968</v>
      </c>
      <c r="D223" s="160" t="s">
        <v>111</v>
      </c>
      <c r="E223" s="161"/>
      <c r="F223" s="436">
        <f>(0.15+0.1)*2*(2.5+2)*39+(0.1+0.1)*2*(0.7)*39 +(0.07+0.07)*2*15*(19+0.5*2)</f>
        <v>182.67000000000002</v>
      </c>
      <c r="G223" s="414"/>
      <c r="H223" s="414"/>
      <c r="I223" s="414"/>
      <c r="J223" s="414"/>
      <c r="K223" s="414"/>
      <c r="L223" s="414"/>
      <c r="M223" s="414"/>
    </row>
    <row r="224" spans="1:13" s="308" customFormat="1" ht="16.5" x14ac:dyDescent="0.25">
      <c r="A224" s="887"/>
      <c r="B224" s="656"/>
      <c r="C224" s="655" t="s">
        <v>157</v>
      </c>
      <c r="D224" s="160" t="s">
        <v>9</v>
      </c>
      <c r="E224" s="161">
        <v>9.9699999999999997E-2</v>
      </c>
      <c r="F224" s="808">
        <f>F223*E224</f>
        <v>18.212199000000002</v>
      </c>
      <c r="G224" s="414"/>
      <c r="H224" s="414"/>
      <c r="I224" s="414"/>
      <c r="J224" s="414">
        <f t="shared" si="43"/>
        <v>0</v>
      </c>
      <c r="K224" s="414"/>
      <c r="L224" s="414"/>
      <c r="M224" s="414">
        <f t="shared" si="44"/>
        <v>0</v>
      </c>
    </row>
    <row r="225" spans="1:13" s="308" customFormat="1" ht="16.5" x14ac:dyDescent="0.25">
      <c r="A225" s="887"/>
      <c r="B225" s="656"/>
      <c r="C225" s="655" t="s">
        <v>318</v>
      </c>
      <c r="D225" s="160" t="s">
        <v>7</v>
      </c>
      <c r="E225" s="161">
        <v>3.0000000000000001E-3</v>
      </c>
      <c r="F225" s="808">
        <f>F223*E225</f>
        <v>0.54801000000000011</v>
      </c>
      <c r="G225" s="414"/>
      <c r="H225" s="414"/>
      <c r="I225" s="414"/>
      <c r="J225" s="414"/>
      <c r="K225" s="414"/>
      <c r="L225" s="414">
        <f t="shared" si="45"/>
        <v>0</v>
      </c>
      <c r="M225" s="414">
        <f t="shared" si="44"/>
        <v>0</v>
      </c>
    </row>
    <row r="226" spans="1:13" s="308" customFormat="1" ht="16.5" x14ac:dyDescent="0.25">
      <c r="A226" s="887"/>
      <c r="B226" s="656"/>
      <c r="C226" s="443" t="s">
        <v>770</v>
      </c>
      <c r="D226" s="160" t="s">
        <v>5</v>
      </c>
      <c r="E226" s="161">
        <v>9</v>
      </c>
      <c r="F226" s="808">
        <f>F223*E226</f>
        <v>1644.0300000000002</v>
      </c>
      <c r="G226" s="414"/>
      <c r="H226" s="414">
        <f t="shared" si="46"/>
        <v>0</v>
      </c>
      <c r="I226" s="414"/>
      <c r="J226" s="414"/>
      <c r="K226" s="414"/>
      <c r="L226" s="414"/>
      <c r="M226" s="414">
        <f t="shared" si="44"/>
        <v>0</v>
      </c>
    </row>
    <row r="227" spans="1:13" s="308" customFormat="1" ht="40.5" x14ac:dyDescent="0.25">
      <c r="A227" s="982" t="s">
        <v>967</v>
      </c>
      <c r="B227" s="802" t="s">
        <v>969</v>
      </c>
      <c r="C227" s="528" t="s">
        <v>970</v>
      </c>
      <c r="D227" s="160" t="s">
        <v>111</v>
      </c>
      <c r="E227" s="657"/>
      <c r="F227" s="436">
        <f>(0.15+0.1)*2*(2.5+2)*39+(0.1+0.1)*2*(0.7)*39 +(0.07+0.07)*2*15*(19+0.5*2)</f>
        <v>182.67000000000002</v>
      </c>
      <c r="G227" s="658"/>
      <c r="H227" s="414"/>
      <c r="I227" s="414"/>
      <c r="J227" s="414"/>
      <c r="K227" s="414"/>
      <c r="L227" s="414"/>
      <c r="M227" s="414"/>
    </row>
    <row r="228" spans="1:13" s="308" customFormat="1" ht="16.5" x14ac:dyDescent="0.25">
      <c r="A228" s="983"/>
      <c r="B228" s="796"/>
      <c r="C228" s="111" t="s">
        <v>73</v>
      </c>
      <c r="D228" s="796" t="s">
        <v>9</v>
      </c>
      <c r="E228" s="801">
        <v>0.129</v>
      </c>
      <c r="F228" s="801">
        <f>F227*E228</f>
        <v>23.564430000000002</v>
      </c>
      <c r="G228" s="800"/>
      <c r="H228" s="800"/>
      <c r="I228" s="804"/>
      <c r="J228" s="800">
        <f>F228*I228</f>
        <v>0</v>
      </c>
      <c r="K228" s="800"/>
      <c r="L228" s="800"/>
      <c r="M228" s="800">
        <f t="shared" ref="M228:M230" si="47">H228+J228+L228</f>
        <v>0</v>
      </c>
    </row>
    <row r="229" spans="1:13" s="308" customFormat="1" ht="47.25" x14ac:dyDescent="0.25">
      <c r="A229" s="983"/>
      <c r="B229" s="796"/>
      <c r="C229" s="111" t="s">
        <v>799</v>
      </c>
      <c r="D229" s="796" t="s">
        <v>5</v>
      </c>
      <c r="E229" s="801">
        <v>0.35</v>
      </c>
      <c r="F229" s="801">
        <f>F227*E229</f>
        <v>63.9345</v>
      </c>
      <c r="G229" s="804"/>
      <c r="H229" s="800">
        <f>F229*G229</f>
        <v>0</v>
      </c>
      <c r="I229" s="800"/>
      <c r="J229" s="800"/>
      <c r="K229" s="800"/>
      <c r="L229" s="800"/>
      <c r="M229" s="800">
        <f t="shared" si="47"/>
        <v>0</v>
      </c>
    </row>
    <row r="230" spans="1:13" s="308" customFormat="1" ht="16.5" x14ac:dyDescent="0.25">
      <c r="A230" s="984"/>
      <c r="B230" s="796"/>
      <c r="C230" s="111" t="s">
        <v>776</v>
      </c>
      <c r="D230" s="796" t="s">
        <v>7</v>
      </c>
      <c r="E230" s="801">
        <v>5.9999999999999995E-4</v>
      </c>
      <c r="F230" s="801">
        <f>F227*E230</f>
        <v>0.109602</v>
      </c>
      <c r="G230" s="804"/>
      <c r="H230" s="800">
        <f>F230*G230</f>
        <v>0</v>
      </c>
      <c r="I230" s="800"/>
      <c r="J230" s="800"/>
      <c r="K230" s="800"/>
      <c r="L230" s="800"/>
      <c r="M230" s="800">
        <f t="shared" si="47"/>
        <v>0</v>
      </c>
    </row>
    <row r="231" spans="1:13" s="308" customFormat="1" ht="31.5" x14ac:dyDescent="0.25">
      <c r="A231" s="797" t="s">
        <v>114</v>
      </c>
      <c r="B231" s="797"/>
      <c r="C231" s="634" t="s">
        <v>701</v>
      </c>
      <c r="D231" s="797"/>
      <c r="E231" s="808"/>
      <c r="F231" s="637"/>
      <c r="G231" s="638"/>
      <c r="H231" s="126"/>
      <c r="I231" s="638"/>
      <c r="J231" s="126"/>
      <c r="K231" s="638"/>
      <c r="L231" s="126"/>
      <c r="M231" s="126"/>
    </row>
    <row r="232" spans="1:13" s="308" customFormat="1" ht="40.5" x14ac:dyDescent="0.25">
      <c r="A232" s="878" t="s">
        <v>702</v>
      </c>
      <c r="B232" s="796" t="s">
        <v>174</v>
      </c>
      <c r="C232" s="503" t="s">
        <v>703</v>
      </c>
      <c r="D232" s="796" t="s">
        <v>74</v>
      </c>
      <c r="E232" s="808"/>
      <c r="F232" s="436">
        <f>0.5*0.5*3.14*6+0.5*0.5*3.14*4</f>
        <v>7.85</v>
      </c>
      <c r="G232" s="811"/>
      <c r="H232" s="811"/>
      <c r="I232" s="811"/>
      <c r="J232" s="811"/>
      <c r="K232" s="811"/>
      <c r="L232" s="811"/>
      <c r="M232" s="811"/>
    </row>
    <row r="233" spans="1:13" s="308" customFormat="1" ht="16.5" x14ac:dyDescent="0.25">
      <c r="A233" s="895"/>
      <c r="B233" s="796"/>
      <c r="C233" s="372" t="s">
        <v>73</v>
      </c>
      <c r="D233" s="796" t="s">
        <v>9</v>
      </c>
      <c r="E233" s="808">
        <v>2.06</v>
      </c>
      <c r="F233" s="808">
        <f>F232*E233</f>
        <v>16.170999999999999</v>
      </c>
      <c r="G233" s="811"/>
      <c r="H233" s="811"/>
      <c r="I233" s="811"/>
      <c r="J233" s="811">
        <f>F233*I233</f>
        <v>0</v>
      </c>
      <c r="K233" s="811"/>
      <c r="L233" s="811"/>
      <c r="M233" s="811">
        <f t="shared" ref="M233" si="48">H233+J233+L233</f>
        <v>0</v>
      </c>
    </row>
    <row r="234" spans="1:13" s="308" customFormat="1" ht="40.5" x14ac:dyDescent="0.25">
      <c r="A234" s="878" t="s">
        <v>704</v>
      </c>
      <c r="B234" s="598" t="s">
        <v>71</v>
      </c>
      <c r="C234" s="639" t="s">
        <v>705</v>
      </c>
      <c r="D234" s="598" t="s">
        <v>74</v>
      </c>
      <c r="E234" s="592"/>
      <c r="F234" s="436">
        <f>0.5*0.1*3.14*6+0.5*0.1*3.14*4</f>
        <v>1.5700000000000003</v>
      </c>
      <c r="G234" s="446"/>
      <c r="H234" s="811"/>
      <c r="I234" s="811"/>
      <c r="J234" s="811"/>
      <c r="K234" s="449"/>
      <c r="L234" s="811"/>
      <c r="M234" s="811"/>
    </row>
    <row r="235" spans="1:13" s="308" customFormat="1" ht="16.5" x14ac:dyDescent="0.25">
      <c r="A235" s="879"/>
      <c r="B235" s="596"/>
      <c r="C235" s="640" t="s">
        <v>67</v>
      </c>
      <c r="D235" s="596" t="s">
        <v>68</v>
      </c>
      <c r="E235" s="592">
        <v>3.52</v>
      </c>
      <c r="F235" s="592">
        <f>F234*E235</f>
        <v>5.5264000000000006</v>
      </c>
      <c r="G235" s="446"/>
      <c r="H235" s="811"/>
      <c r="I235" s="446"/>
      <c r="J235" s="811">
        <f>F235*I235</f>
        <v>0</v>
      </c>
      <c r="K235" s="449"/>
      <c r="L235" s="811"/>
      <c r="M235" s="811">
        <f t="shared" ref="M235:M238" si="49">H235+J235+L235</f>
        <v>0</v>
      </c>
    </row>
    <row r="236" spans="1:13" s="308" customFormat="1" ht="16.5" x14ac:dyDescent="0.25">
      <c r="A236" s="879"/>
      <c r="B236" s="596"/>
      <c r="C236" s="640" t="s">
        <v>21</v>
      </c>
      <c r="D236" s="596" t="s">
        <v>7</v>
      </c>
      <c r="E236" s="592">
        <v>1.06</v>
      </c>
      <c r="F236" s="592">
        <f>F234*E236</f>
        <v>1.6642000000000003</v>
      </c>
      <c r="G236" s="446"/>
      <c r="H236" s="811"/>
      <c r="I236" s="811"/>
      <c r="J236" s="811"/>
      <c r="K236" s="449"/>
      <c r="L236" s="811">
        <f>F236*K236</f>
        <v>0</v>
      </c>
      <c r="M236" s="811">
        <f t="shared" si="49"/>
        <v>0</v>
      </c>
    </row>
    <row r="237" spans="1:13" s="308" customFormat="1" ht="16.5" x14ac:dyDescent="0.25">
      <c r="A237" s="879"/>
      <c r="B237" s="596"/>
      <c r="C237" s="640" t="s">
        <v>631</v>
      </c>
      <c r="D237" s="596" t="s">
        <v>74</v>
      </c>
      <c r="E237" s="592">
        <f>0.18+0.09+0.97</f>
        <v>1.24</v>
      </c>
      <c r="F237" s="592">
        <f>F234*E237</f>
        <v>1.9468000000000003</v>
      </c>
      <c r="G237" s="446"/>
      <c r="H237" s="811">
        <f>F237*G237</f>
        <v>0</v>
      </c>
      <c r="I237" s="811"/>
      <c r="J237" s="811"/>
      <c r="K237" s="449"/>
      <c r="L237" s="811"/>
      <c r="M237" s="811">
        <f t="shared" si="49"/>
        <v>0</v>
      </c>
    </row>
    <row r="238" spans="1:13" s="308" customFormat="1" ht="16.5" x14ac:dyDescent="0.25">
      <c r="A238" s="895"/>
      <c r="B238" s="596"/>
      <c r="C238" s="640" t="s">
        <v>122</v>
      </c>
      <c r="D238" s="596" t="s">
        <v>7</v>
      </c>
      <c r="E238" s="592">
        <v>0.02</v>
      </c>
      <c r="F238" s="592">
        <f>F234*E238</f>
        <v>3.1400000000000004E-2</v>
      </c>
      <c r="G238" s="446"/>
      <c r="H238" s="811">
        <f>F238*G238</f>
        <v>0</v>
      </c>
      <c r="I238" s="811"/>
      <c r="J238" s="811"/>
      <c r="K238" s="449"/>
      <c r="L238" s="811"/>
      <c r="M238" s="811">
        <f t="shared" si="49"/>
        <v>0</v>
      </c>
    </row>
    <row r="239" spans="1:13" s="308" customFormat="1" ht="40.5" x14ac:dyDescent="0.25">
      <c r="A239" s="878" t="s">
        <v>706</v>
      </c>
      <c r="B239" s="798" t="s">
        <v>266</v>
      </c>
      <c r="C239" s="410" t="s">
        <v>707</v>
      </c>
      <c r="D239" s="798" t="s">
        <v>74</v>
      </c>
      <c r="E239" s="808"/>
      <c r="F239" s="436">
        <f>(0.4*0.3+0.2*0.8)*3.14*6+(0.4*0.3+0.2*0.8)*3.14*4</f>
        <v>8.7920000000000016</v>
      </c>
      <c r="G239" s="811"/>
      <c r="H239" s="811"/>
      <c r="I239" s="811"/>
      <c r="J239" s="811"/>
      <c r="K239" s="811"/>
      <c r="L239" s="811"/>
      <c r="M239" s="811"/>
    </row>
    <row r="240" spans="1:13" s="308" customFormat="1" ht="16.5" x14ac:dyDescent="0.25">
      <c r="A240" s="879"/>
      <c r="B240" s="796"/>
      <c r="C240" s="606" t="s">
        <v>77</v>
      </c>
      <c r="D240" s="71" t="s">
        <v>18</v>
      </c>
      <c r="E240" s="72">
        <v>3.78</v>
      </c>
      <c r="F240" s="641">
        <f>E240*F239</f>
        <v>33.233760000000004</v>
      </c>
      <c r="G240" s="811"/>
      <c r="H240" s="811"/>
      <c r="I240" s="811"/>
      <c r="J240" s="811">
        <f>F240*I240</f>
        <v>0</v>
      </c>
      <c r="K240" s="811"/>
      <c r="L240" s="811"/>
      <c r="M240" s="811">
        <f t="shared" ref="M240:M247" si="50">H240+J240+L240</f>
        <v>0</v>
      </c>
    </row>
    <row r="241" spans="1:14" s="308" customFormat="1" ht="16.5" x14ac:dyDescent="0.25">
      <c r="A241" s="879"/>
      <c r="B241" s="796"/>
      <c r="C241" s="606" t="s">
        <v>8</v>
      </c>
      <c r="D241" s="71" t="s">
        <v>7</v>
      </c>
      <c r="E241" s="72">
        <v>0.92</v>
      </c>
      <c r="F241" s="641">
        <f>E241*F239</f>
        <v>8.0886400000000016</v>
      </c>
      <c r="G241" s="811"/>
      <c r="H241" s="811"/>
      <c r="I241" s="811"/>
      <c r="J241" s="811"/>
      <c r="K241" s="811"/>
      <c r="L241" s="811">
        <f>F241*K241</f>
        <v>0</v>
      </c>
      <c r="M241" s="811">
        <f t="shared" si="50"/>
        <v>0</v>
      </c>
    </row>
    <row r="242" spans="1:14" s="308" customFormat="1" ht="16.5" x14ac:dyDescent="0.25">
      <c r="A242" s="879"/>
      <c r="B242" s="796"/>
      <c r="C242" s="606" t="s">
        <v>633</v>
      </c>
      <c r="D242" s="71" t="s">
        <v>59</v>
      </c>
      <c r="E242" s="72">
        <v>1.0149999999999999</v>
      </c>
      <c r="F242" s="641">
        <f>E242*F239</f>
        <v>8.9238800000000005</v>
      </c>
      <c r="G242" s="811"/>
      <c r="H242" s="811">
        <f t="shared" ref="H242:H247" si="51">F242*G242</f>
        <v>0</v>
      </c>
      <c r="I242" s="811"/>
      <c r="J242" s="811"/>
      <c r="K242" s="811"/>
      <c r="L242" s="811"/>
      <c r="M242" s="811">
        <f t="shared" si="50"/>
        <v>0</v>
      </c>
    </row>
    <row r="243" spans="1:14" s="308" customFormat="1" ht="16.5" x14ac:dyDescent="0.25">
      <c r="A243" s="879"/>
      <c r="B243" s="796"/>
      <c r="C243" s="606" t="s">
        <v>79</v>
      </c>
      <c r="D243" s="71" t="s">
        <v>80</v>
      </c>
      <c r="E243" s="72">
        <v>0.70299999999999996</v>
      </c>
      <c r="F243" s="641">
        <f>E243*F239</f>
        <v>6.1807760000000007</v>
      </c>
      <c r="G243" s="811"/>
      <c r="H243" s="811">
        <f t="shared" si="51"/>
        <v>0</v>
      </c>
      <c r="I243" s="811"/>
      <c r="J243" s="811"/>
      <c r="K243" s="811"/>
      <c r="L243" s="811"/>
      <c r="M243" s="811">
        <f t="shared" si="50"/>
        <v>0</v>
      </c>
    </row>
    <row r="244" spans="1:14" s="308" customFormat="1" ht="16.5" x14ac:dyDescent="0.25">
      <c r="A244" s="879"/>
      <c r="B244" s="796"/>
      <c r="C244" s="606" t="s">
        <v>81</v>
      </c>
      <c r="D244" s="71" t="s">
        <v>59</v>
      </c>
      <c r="E244" s="72">
        <v>1.14E-2</v>
      </c>
      <c r="F244" s="641">
        <f>E244*F239</f>
        <v>0.10022880000000002</v>
      </c>
      <c r="G244" s="811"/>
      <c r="H244" s="811">
        <f t="shared" si="51"/>
        <v>0</v>
      </c>
      <c r="I244" s="811"/>
      <c r="J244" s="811"/>
      <c r="K244" s="811"/>
      <c r="L244" s="811"/>
      <c r="M244" s="811">
        <f t="shared" si="50"/>
        <v>0</v>
      </c>
    </row>
    <row r="245" spans="1:14" s="308" customFormat="1" ht="16.5" x14ac:dyDescent="0.25">
      <c r="A245" s="879"/>
      <c r="B245" s="796"/>
      <c r="C245" s="606" t="s">
        <v>708</v>
      </c>
      <c r="D245" s="71" t="s">
        <v>70</v>
      </c>
      <c r="E245" s="72">
        <v>1.03</v>
      </c>
      <c r="F245" s="641">
        <f xml:space="preserve"> (  ((3.14*6)/0.15+1)*1.2*2 + 4*(3.14*6) + 8*2*(3.14*6)   )*0.395*1.03/1000 + (  ((3.14*4)/0.15+1)*1.2*2 + 4*(3.14*4) + 8*2*(3.14*4)   )*0.395*1.03/1000</f>
        <v>0.46185612000000009</v>
      </c>
      <c r="G245" s="811"/>
      <c r="H245" s="811">
        <f t="shared" si="51"/>
        <v>0</v>
      </c>
      <c r="I245" s="811"/>
      <c r="J245" s="811"/>
      <c r="K245" s="811"/>
      <c r="L245" s="811"/>
      <c r="M245" s="811">
        <f t="shared" si="50"/>
        <v>0</v>
      </c>
    </row>
    <row r="246" spans="1:14" s="308" customFormat="1" ht="16.5" x14ac:dyDescent="0.25">
      <c r="A246" s="879"/>
      <c r="B246" s="796"/>
      <c r="C246" s="606" t="s">
        <v>709</v>
      </c>
      <c r="D246" s="71" t="s">
        <v>70</v>
      </c>
      <c r="E246" s="72">
        <v>1.03</v>
      </c>
      <c r="F246" s="641">
        <f>4*127*0.3*0.222*1.03/1000 + 4*85*0.3*0.222*1.03/1000</f>
        <v>5.8171104000000001E-2</v>
      </c>
      <c r="G246" s="811"/>
      <c r="H246" s="811">
        <f t="shared" si="51"/>
        <v>0</v>
      </c>
      <c r="I246" s="811"/>
      <c r="J246" s="811"/>
      <c r="K246" s="811"/>
      <c r="L246" s="811"/>
      <c r="M246" s="811">
        <f t="shared" si="50"/>
        <v>0</v>
      </c>
      <c r="N246" s="308">
        <f>3.14*3/0.15</f>
        <v>62.800000000000004</v>
      </c>
    </row>
    <row r="247" spans="1:14" s="308" customFormat="1" ht="16.5" x14ac:dyDescent="0.25">
      <c r="A247" s="895"/>
      <c r="B247" s="796"/>
      <c r="C247" s="606" t="s">
        <v>10</v>
      </c>
      <c r="D247" s="71" t="s">
        <v>7</v>
      </c>
      <c r="E247" s="72">
        <v>0.6</v>
      </c>
      <c r="F247" s="641">
        <f>E247*F239</f>
        <v>5.2752000000000008</v>
      </c>
      <c r="G247" s="811"/>
      <c r="H247" s="811">
        <f t="shared" si="51"/>
        <v>0</v>
      </c>
      <c r="I247" s="811"/>
      <c r="J247" s="811"/>
      <c r="K247" s="811"/>
      <c r="L247" s="811"/>
      <c r="M247" s="811">
        <f t="shared" si="50"/>
        <v>0</v>
      </c>
    </row>
    <row r="248" spans="1:14" s="308" customFormat="1" ht="40.5" x14ac:dyDescent="0.25">
      <c r="A248" s="878" t="s">
        <v>710</v>
      </c>
      <c r="B248" s="796" t="s">
        <v>273</v>
      </c>
      <c r="C248" s="410" t="s">
        <v>711</v>
      </c>
      <c r="D248" s="71"/>
      <c r="E248" s="72"/>
      <c r="F248" s="642">
        <f>(0.4+0.4+0.6)*(3.14*6+3.14*4)</f>
        <v>43.959999999999994</v>
      </c>
      <c r="G248" s="811"/>
      <c r="H248" s="811"/>
      <c r="I248" s="811"/>
      <c r="J248" s="811"/>
      <c r="K248" s="811"/>
      <c r="L248" s="811"/>
      <c r="M248" s="811"/>
    </row>
    <row r="249" spans="1:14" s="308" customFormat="1" ht="16.5" x14ac:dyDescent="0.25">
      <c r="A249" s="879"/>
      <c r="B249" s="795"/>
      <c r="C249" s="643" t="s">
        <v>73</v>
      </c>
      <c r="D249" s="795" t="s">
        <v>9</v>
      </c>
      <c r="E249" s="793">
        <v>0.33600000000000002</v>
      </c>
      <c r="F249" s="793">
        <f>F248*E249</f>
        <v>14.77056</v>
      </c>
      <c r="G249" s="33"/>
      <c r="H249" s="33"/>
      <c r="I249" s="33"/>
      <c r="J249" s="33">
        <f>F249*I249</f>
        <v>0</v>
      </c>
      <c r="K249" s="33"/>
      <c r="L249" s="33"/>
      <c r="M249" s="794">
        <f>H249+J249+L249</f>
        <v>0</v>
      </c>
    </row>
    <row r="250" spans="1:14" s="308" customFormat="1" ht="16.5" x14ac:dyDescent="0.25">
      <c r="A250" s="879"/>
      <c r="B250" s="795"/>
      <c r="C250" s="643" t="s">
        <v>21</v>
      </c>
      <c r="D250" s="795" t="s">
        <v>7</v>
      </c>
      <c r="E250" s="793">
        <v>1.4999999999999999E-2</v>
      </c>
      <c r="F250" s="793">
        <f>F248*E250</f>
        <v>0.65939999999999988</v>
      </c>
      <c r="G250" s="33"/>
      <c r="H250" s="33"/>
      <c r="I250" s="33"/>
      <c r="J250" s="33"/>
      <c r="K250" s="33"/>
      <c r="L250" s="33">
        <f>F250*K250</f>
        <v>0</v>
      </c>
      <c r="M250" s="794">
        <f>H250+J250+L250</f>
        <v>0</v>
      </c>
    </row>
    <row r="251" spans="1:14" s="308" customFormat="1" ht="16.5" x14ac:dyDescent="0.25">
      <c r="A251" s="879"/>
      <c r="B251" s="795"/>
      <c r="C251" s="643" t="s">
        <v>712</v>
      </c>
      <c r="D251" s="795" t="s">
        <v>5</v>
      </c>
      <c r="E251" s="793">
        <v>2.4</v>
      </c>
      <c r="F251" s="793">
        <f>F248*E251</f>
        <v>105.50399999999998</v>
      </c>
      <c r="G251" s="33"/>
      <c r="H251" s="33">
        <f>F251*G251</f>
        <v>0</v>
      </c>
      <c r="I251" s="33"/>
      <c r="J251" s="33"/>
      <c r="K251" s="33"/>
      <c r="L251" s="33"/>
      <c r="M251" s="794">
        <f>H251+J251+L251</f>
        <v>0</v>
      </c>
    </row>
    <row r="252" spans="1:14" s="308" customFormat="1" ht="16.5" x14ac:dyDescent="0.25">
      <c r="A252" s="895"/>
      <c r="B252" s="795"/>
      <c r="C252" s="643" t="s">
        <v>122</v>
      </c>
      <c r="D252" s="795" t="s">
        <v>7</v>
      </c>
      <c r="E252" s="793">
        <v>2.2800000000000001E-2</v>
      </c>
      <c r="F252" s="793">
        <f>F248*E252</f>
        <v>1.0022879999999998</v>
      </c>
      <c r="G252" s="33"/>
      <c r="H252" s="33">
        <f>F252*G252</f>
        <v>0</v>
      </c>
      <c r="I252" s="33"/>
      <c r="J252" s="33"/>
      <c r="K252" s="33"/>
      <c r="L252" s="33"/>
      <c r="M252" s="794">
        <f>H252+J252+L252</f>
        <v>0</v>
      </c>
    </row>
    <row r="253" spans="1:14" s="308" customFormat="1" ht="40.5" x14ac:dyDescent="0.25">
      <c r="A253" s="878" t="s">
        <v>713</v>
      </c>
      <c r="B253" s="82" t="s">
        <v>714</v>
      </c>
      <c r="C253" s="503" t="s">
        <v>715</v>
      </c>
      <c r="D253" s="798" t="s">
        <v>111</v>
      </c>
      <c r="E253" s="808"/>
      <c r="F253" s="436">
        <f>(3.14*6)*(0.7+0.3+0.3)+(3.14*4)*(0.7+0.3+0.3)</f>
        <v>40.820000000000007</v>
      </c>
      <c r="G253" s="811"/>
      <c r="H253" s="811"/>
      <c r="I253" s="811"/>
      <c r="J253" s="811"/>
      <c r="K253" s="811"/>
      <c r="L253" s="811"/>
      <c r="M253" s="811"/>
    </row>
    <row r="254" spans="1:14" s="308" customFormat="1" ht="27" x14ac:dyDescent="0.25">
      <c r="A254" s="879"/>
      <c r="B254" s="437"/>
      <c r="C254" s="609" t="s">
        <v>73</v>
      </c>
      <c r="D254" s="97" t="s">
        <v>151</v>
      </c>
      <c r="E254" s="810" t="s">
        <v>1009</v>
      </c>
      <c r="F254" s="801">
        <f>E254*F253</f>
        <v>363.29800000000006</v>
      </c>
      <c r="G254" s="6"/>
      <c r="H254" s="33">
        <f t="shared" ref="H254:H258" si="52">F254*G254</f>
        <v>0</v>
      </c>
      <c r="I254" s="33"/>
      <c r="J254" s="33">
        <f t="shared" ref="J254" si="53">F254*I254</f>
        <v>0</v>
      </c>
      <c r="K254" s="33"/>
      <c r="L254" s="33"/>
      <c r="M254" s="794">
        <f t="shared" ref="M254:M258" si="54">H254+J254+L254</f>
        <v>0</v>
      </c>
    </row>
    <row r="255" spans="1:14" s="308" customFormat="1" ht="16.5" x14ac:dyDescent="0.25">
      <c r="A255" s="879"/>
      <c r="B255" s="437"/>
      <c r="C255" s="609" t="s">
        <v>8</v>
      </c>
      <c r="D255" s="97" t="s">
        <v>7</v>
      </c>
      <c r="E255" s="810" t="s">
        <v>1008</v>
      </c>
      <c r="F255" s="803">
        <f>F253*E255</f>
        <v>8.5722000000000005</v>
      </c>
      <c r="G255" s="6"/>
      <c r="H255" s="33">
        <f t="shared" si="52"/>
        <v>0</v>
      </c>
      <c r="I255" s="6"/>
      <c r="J255" s="33"/>
      <c r="K255" s="33"/>
      <c r="L255" s="33">
        <f t="shared" ref="L255" si="55">F255*K255</f>
        <v>0</v>
      </c>
      <c r="M255" s="794">
        <f t="shared" si="54"/>
        <v>0</v>
      </c>
    </row>
    <row r="256" spans="1:14" s="308" customFormat="1" ht="33" x14ac:dyDescent="0.25">
      <c r="A256" s="879"/>
      <c r="B256" s="97"/>
      <c r="C256" s="609" t="s">
        <v>716</v>
      </c>
      <c r="D256" s="437" t="s">
        <v>59</v>
      </c>
      <c r="E256" s="810">
        <f>(3.6)/100</f>
        <v>3.6000000000000004E-2</v>
      </c>
      <c r="F256" s="803">
        <f>F253*E256</f>
        <v>1.4695200000000004</v>
      </c>
      <c r="G256" s="6"/>
      <c r="H256" s="33">
        <f t="shared" si="52"/>
        <v>0</v>
      </c>
      <c r="I256" s="6"/>
      <c r="J256" s="33"/>
      <c r="K256" s="33"/>
      <c r="L256" s="33"/>
      <c r="M256" s="794">
        <f t="shared" si="54"/>
        <v>0</v>
      </c>
    </row>
    <row r="257" spans="1:13" s="308" customFormat="1" ht="33" x14ac:dyDescent="0.25">
      <c r="A257" s="879"/>
      <c r="B257" s="437"/>
      <c r="C257" s="609" t="s">
        <v>717</v>
      </c>
      <c r="D257" s="97" t="s">
        <v>80</v>
      </c>
      <c r="E257" s="810">
        <v>1.03</v>
      </c>
      <c r="F257" s="801">
        <f>E257*F253</f>
        <v>42.04460000000001</v>
      </c>
      <c r="G257" s="6"/>
      <c r="H257" s="33">
        <f t="shared" si="52"/>
        <v>0</v>
      </c>
      <c r="I257" s="6"/>
      <c r="J257" s="33"/>
      <c r="K257" s="33"/>
      <c r="L257" s="33"/>
      <c r="M257" s="794">
        <f t="shared" si="54"/>
        <v>0</v>
      </c>
    </row>
    <row r="258" spans="1:13" s="308" customFormat="1" ht="16.5" x14ac:dyDescent="0.25">
      <c r="A258" s="895"/>
      <c r="B258" s="437"/>
      <c r="C258" s="609" t="s">
        <v>10</v>
      </c>
      <c r="D258" s="97" t="s">
        <v>7</v>
      </c>
      <c r="E258" s="810">
        <f>9/100</f>
        <v>0.09</v>
      </c>
      <c r="F258" s="801">
        <f>E258*F253</f>
        <v>3.6738000000000004</v>
      </c>
      <c r="G258" s="6"/>
      <c r="H258" s="33">
        <f t="shared" si="52"/>
        <v>0</v>
      </c>
      <c r="I258" s="6"/>
      <c r="J258" s="33"/>
      <c r="K258" s="33"/>
      <c r="L258" s="33"/>
      <c r="M258" s="794">
        <f t="shared" si="54"/>
        <v>0</v>
      </c>
    </row>
    <row r="259" spans="1:13" s="308" customFormat="1" ht="16.5" x14ac:dyDescent="0.25">
      <c r="A259" s="131"/>
      <c r="B259" s="131"/>
      <c r="C259" s="623"/>
      <c r="D259" s="131"/>
      <c r="E259" s="46"/>
      <c r="F259" s="47"/>
      <c r="G259" s="638"/>
      <c r="H259" s="126"/>
      <c r="I259" s="638"/>
      <c r="J259" s="126"/>
      <c r="K259" s="638"/>
      <c r="L259" s="126"/>
      <c r="M259" s="126"/>
    </row>
    <row r="260" spans="1:13" s="308" customFormat="1" ht="31.5" x14ac:dyDescent="0.25">
      <c r="A260" s="45" t="s">
        <v>726</v>
      </c>
      <c r="B260" s="45"/>
      <c r="C260" s="646" t="s">
        <v>727</v>
      </c>
      <c r="D260" s="38"/>
      <c r="E260" s="88"/>
      <c r="F260" s="88"/>
      <c r="G260" s="48"/>
      <c r="H260" s="48"/>
      <c r="I260" s="48"/>
      <c r="J260" s="48"/>
      <c r="K260" s="48"/>
      <c r="L260" s="48"/>
      <c r="M260" s="48"/>
    </row>
    <row r="261" spans="1:13" s="308" customFormat="1" ht="31.5" x14ac:dyDescent="0.25">
      <c r="A261" s="953"/>
      <c r="B261" s="529" t="s">
        <v>728</v>
      </c>
      <c r="C261" s="539" t="s">
        <v>729</v>
      </c>
      <c r="D261" s="540" t="s">
        <v>46</v>
      </c>
      <c r="E261" s="232"/>
      <c r="F261" s="521">
        <v>1505</v>
      </c>
      <c r="G261" s="48"/>
      <c r="H261" s="48"/>
      <c r="I261" s="48"/>
      <c r="J261" s="48"/>
      <c r="K261" s="48"/>
      <c r="L261" s="48"/>
      <c r="M261" s="48"/>
    </row>
    <row r="262" spans="1:13" s="308" customFormat="1" ht="16.5" x14ac:dyDescent="0.25">
      <c r="A262" s="954"/>
      <c r="B262" s="529"/>
      <c r="C262" s="530" t="s">
        <v>73</v>
      </c>
      <c r="D262" s="45" t="s">
        <v>9</v>
      </c>
      <c r="E262" s="522">
        <f>38.3*0.01</f>
        <v>0.38300000000000001</v>
      </c>
      <c r="F262" s="522">
        <f>F261*E262</f>
        <v>576.41499999999996</v>
      </c>
      <c r="G262" s="48"/>
      <c r="H262" s="48"/>
      <c r="I262" s="48"/>
      <c r="J262" s="48">
        <f>F262*I262</f>
        <v>0</v>
      </c>
      <c r="K262" s="48"/>
      <c r="L262" s="48"/>
      <c r="M262" s="48">
        <f t="shared" ref="M262:M263" si="56">H262+J262+L262</f>
        <v>0</v>
      </c>
    </row>
    <row r="263" spans="1:13" s="308" customFormat="1" ht="27" x14ac:dyDescent="0.25">
      <c r="A263" s="955"/>
      <c r="B263" s="529" t="s">
        <v>22</v>
      </c>
      <c r="C263" s="530" t="s">
        <v>730</v>
      </c>
      <c r="D263" s="529" t="s">
        <v>276</v>
      </c>
      <c r="E263" s="522">
        <f>2*0.01</f>
        <v>0.02</v>
      </c>
      <c r="F263" s="522">
        <f>E263*F261</f>
        <v>30.1</v>
      </c>
      <c r="G263" s="48"/>
      <c r="H263" s="48">
        <f>F263*G263</f>
        <v>0</v>
      </c>
      <c r="I263" s="48"/>
      <c r="J263" s="48"/>
      <c r="K263" s="48"/>
      <c r="L263" s="48"/>
      <c r="M263" s="48">
        <f t="shared" si="56"/>
        <v>0</v>
      </c>
    </row>
    <row r="264" spans="1:13" s="308" customFormat="1" ht="47.25" x14ac:dyDescent="0.25">
      <c r="A264" s="363"/>
      <c r="B264" s="45"/>
      <c r="C264" s="646" t="s">
        <v>731</v>
      </c>
      <c r="D264" s="38"/>
      <c r="E264" s="88"/>
      <c r="F264" s="88"/>
      <c r="G264" s="48"/>
      <c r="H264" s="48"/>
      <c r="I264" s="48"/>
      <c r="J264" s="48"/>
      <c r="K264" s="48"/>
      <c r="L264" s="48"/>
      <c r="M264" s="48"/>
    </row>
    <row r="265" spans="1:13" s="308" customFormat="1" ht="16.5" x14ac:dyDescent="0.25">
      <c r="A265" s="363"/>
      <c r="B265" s="117"/>
      <c r="C265" s="265" t="s">
        <v>732</v>
      </c>
      <c r="D265" s="38" t="s">
        <v>147</v>
      </c>
      <c r="E265" s="47"/>
      <c r="F265" s="88">
        <v>2</v>
      </c>
      <c r="G265" s="48"/>
      <c r="H265" s="48"/>
      <c r="I265" s="48"/>
      <c r="J265" s="48"/>
      <c r="K265" s="48"/>
      <c r="L265" s="48"/>
      <c r="M265" s="48"/>
    </row>
    <row r="266" spans="1:13" s="308" customFormat="1" ht="47.25" x14ac:dyDescent="0.25">
      <c r="A266" s="363" t="s">
        <v>124</v>
      </c>
      <c r="B266" s="45" t="s">
        <v>733</v>
      </c>
      <c r="C266" s="265" t="s">
        <v>734</v>
      </c>
      <c r="D266" s="38" t="s">
        <v>147</v>
      </c>
      <c r="E266" s="47"/>
      <c r="F266" s="41">
        <f>F265</f>
        <v>2</v>
      </c>
      <c r="G266" s="48"/>
      <c r="H266" s="48"/>
      <c r="I266" s="48"/>
      <c r="J266" s="48"/>
      <c r="K266" s="48"/>
      <c r="L266" s="48"/>
      <c r="M266" s="48"/>
    </row>
    <row r="267" spans="1:13" s="308" customFormat="1" ht="16.5" x14ac:dyDescent="0.25">
      <c r="A267" s="118"/>
      <c r="B267" s="45"/>
      <c r="C267" s="111" t="s">
        <v>73</v>
      </c>
      <c r="D267" s="45" t="s">
        <v>9</v>
      </c>
      <c r="E267" s="47">
        <v>3.18</v>
      </c>
      <c r="F267" s="47">
        <f>F266*E267</f>
        <v>6.36</v>
      </c>
      <c r="G267" s="48"/>
      <c r="H267" s="48"/>
      <c r="I267" s="48"/>
      <c r="J267" s="48">
        <f>F267*I267</f>
        <v>0</v>
      </c>
      <c r="K267" s="48"/>
      <c r="L267" s="48"/>
      <c r="M267" s="48">
        <f t="shared" ref="M267" si="57">H267+J267+L267</f>
        <v>0</v>
      </c>
    </row>
    <row r="268" spans="1:13" s="308" customFormat="1" ht="31.5" x14ac:dyDescent="0.25">
      <c r="A268" s="363" t="s">
        <v>125</v>
      </c>
      <c r="B268" s="45" t="s">
        <v>735</v>
      </c>
      <c r="C268" s="265" t="s">
        <v>736</v>
      </c>
      <c r="D268" s="38" t="s">
        <v>147</v>
      </c>
      <c r="E268" s="47"/>
      <c r="F268" s="41">
        <f>F266</f>
        <v>2</v>
      </c>
      <c r="G268" s="48"/>
      <c r="H268" s="48"/>
      <c r="I268" s="48"/>
      <c r="J268" s="48"/>
      <c r="K268" s="48"/>
      <c r="L268" s="48"/>
      <c r="M268" s="48"/>
    </row>
    <row r="269" spans="1:13" s="308" customFormat="1" ht="16.5" x14ac:dyDescent="0.25">
      <c r="A269" s="120"/>
      <c r="B269" s="45"/>
      <c r="C269" s="111" t="s">
        <v>73</v>
      </c>
      <c r="D269" s="45" t="s">
        <v>9</v>
      </c>
      <c r="E269" s="47">
        <v>1.6</v>
      </c>
      <c r="F269" s="47">
        <f>F268*E269</f>
        <v>3.2</v>
      </c>
      <c r="G269" s="48"/>
      <c r="H269" s="48"/>
      <c r="I269" s="48"/>
      <c r="J269" s="48">
        <f>F269*I269</f>
        <v>0</v>
      </c>
      <c r="K269" s="48"/>
      <c r="L269" s="48"/>
      <c r="M269" s="48">
        <f t="shared" ref="M269:M271" si="58">H269+J269+L269</f>
        <v>0</v>
      </c>
    </row>
    <row r="270" spans="1:13" s="308" customFormat="1" ht="31.5" x14ac:dyDescent="0.25">
      <c r="A270" s="120"/>
      <c r="B270" s="45" t="s">
        <v>55</v>
      </c>
      <c r="C270" s="111" t="s">
        <v>737</v>
      </c>
      <c r="D270" s="45" t="s">
        <v>98</v>
      </c>
      <c r="E270" s="47">
        <v>7.0999999999999994E-2</v>
      </c>
      <c r="F270" s="47">
        <f>F268*E270</f>
        <v>0.14199999999999999</v>
      </c>
      <c r="G270" s="48"/>
      <c r="H270" s="48"/>
      <c r="I270" s="48"/>
      <c r="J270" s="48"/>
      <c r="K270" s="48"/>
      <c r="L270" s="48">
        <f>F270*K270</f>
        <v>0</v>
      </c>
      <c r="M270" s="48">
        <f t="shared" si="58"/>
        <v>0</v>
      </c>
    </row>
    <row r="271" spans="1:13" s="308" customFormat="1" ht="31.5" x14ac:dyDescent="0.25">
      <c r="A271" s="120"/>
      <c r="B271" s="45" t="s">
        <v>376</v>
      </c>
      <c r="C271" s="111" t="s">
        <v>738</v>
      </c>
      <c r="D271" s="45" t="s">
        <v>98</v>
      </c>
      <c r="E271" s="47">
        <v>0.13400000000000001</v>
      </c>
      <c r="F271" s="47">
        <f>F268*E271</f>
        <v>0.26800000000000002</v>
      </c>
      <c r="G271" s="48"/>
      <c r="H271" s="48"/>
      <c r="I271" s="48"/>
      <c r="J271" s="48"/>
      <c r="K271" s="48"/>
      <c r="L271" s="48">
        <f>F271*K271</f>
        <v>0</v>
      </c>
      <c r="M271" s="48">
        <f t="shared" si="58"/>
        <v>0</v>
      </c>
    </row>
    <row r="272" spans="1:13" s="308" customFormat="1" ht="16.5" x14ac:dyDescent="0.25">
      <c r="A272" s="120"/>
      <c r="B272" s="45"/>
      <c r="C272" s="265" t="s">
        <v>739</v>
      </c>
      <c r="D272" s="45"/>
      <c r="E272" s="47">
        <v>1</v>
      </c>
      <c r="F272" s="88">
        <f>F268*E272</f>
        <v>2</v>
      </c>
      <c r="G272" s="48"/>
      <c r="H272" s="48"/>
      <c r="I272" s="48"/>
      <c r="J272" s="48"/>
      <c r="K272" s="48"/>
      <c r="L272" s="48"/>
      <c r="M272" s="48"/>
    </row>
    <row r="273" spans="1:13" s="308" customFormat="1" ht="16.5" x14ac:dyDescent="0.25">
      <c r="A273" s="861"/>
      <c r="B273" s="862"/>
      <c r="C273" s="265"/>
      <c r="D273" s="862"/>
      <c r="E273" s="864"/>
      <c r="F273" s="88"/>
      <c r="G273" s="863"/>
      <c r="H273" s="863"/>
      <c r="I273" s="863"/>
      <c r="J273" s="863"/>
      <c r="K273" s="863"/>
      <c r="L273" s="863"/>
      <c r="M273" s="863"/>
    </row>
    <row r="274" spans="1:13" s="308" customFormat="1" ht="16.5" x14ac:dyDescent="0.25">
      <c r="A274" s="120"/>
      <c r="B274" s="45"/>
      <c r="C274" s="265" t="s">
        <v>732</v>
      </c>
      <c r="D274" s="38" t="s">
        <v>147</v>
      </c>
      <c r="E274" s="47"/>
      <c r="F274" s="47">
        <f>F265</f>
        <v>2</v>
      </c>
      <c r="G274" s="48"/>
      <c r="H274" s="48">
        <f t="shared" ref="H274:H277" si="59">F274*G274</f>
        <v>0</v>
      </c>
      <c r="I274" s="48"/>
      <c r="J274" s="48"/>
      <c r="K274" s="48"/>
      <c r="L274" s="48"/>
      <c r="M274" s="48">
        <f t="shared" ref="M274:M277" si="60">H274+J274+L274</f>
        <v>0</v>
      </c>
    </row>
    <row r="275" spans="1:13" s="308" customFormat="1" ht="16.5" x14ac:dyDescent="0.25">
      <c r="A275" s="120"/>
      <c r="B275" s="45"/>
      <c r="C275" s="265"/>
      <c r="D275" s="38"/>
      <c r="E275" s="47"/>
      <c r="F275" s="47"/>
      <c r="G275" s="48"/>
      <c r="H275" s="48"/>
      <c r="I275" s="48"/>
      <c r="J275" s="48"/>
      <c r="K275" s="48"/>
      <c r="L275" s="48"/>
      <c r="M275" s="48"/>
    </row>
    <row r="276" spans="1:13" s="308" customFormat="1" ht="16.5" x14ac:dyDescent="0.25">
      <c r="A276" s="120"/>
      <c r="B276" s="45"/>
      <c r="C276" s="111" t="s">
        <v>508</v>
      </c>
      <c r="D276" s="45" t="s">
        <v>74</v>
      </c>
      <c r="E276" s="47">
        <v>0.26</v>
      </c>
      <c r="F276" s="47">
        <f>F268*E276</f>
        <v>0.52</v>
      </c>
      <c r="G276" s="48"/>
      <c r="H276" s="48">
        <f t="shared" si="59"/>
        <v>0</v>
      </c>
      <c r="I276" s="48"/>
      <c r="J276" s="48"/>
      <c r="K276" s="48"/>
      <c r="L276" s="48"/>
      <c r="M276" s="48">
        <f t="shared" si="60"/>
        <v>0</v>
      </c>
    </row>
    <row r="277" spans="1:13" s="308" customFormat="1" ht="16.5" x14ac:dyDescent="0.25">
      <c r="A277" s="118"/>
      <c r="B277" s="45"/>
      <c r="C277" s="111" t="s">
        <v>122</v>
      </c>
      <c r="D277" s="45" t="s">
        <v>7</v>
      </c>
      <c r="E277" s="47">
        <v>0.17899999999999999</v>
      </c>
      <c r="F277" s="47">
        <f>F268*E277</f>
        <v>0.35799999999999998</v>
      </c>
      <c r="G277" s="48"/>
      <c r="H277" s="48">
        <f t="shared" si="59"/>
        <v>0</v>
      </c>
      <c r="I277" s="48"/>
      <c r="J277" s="48"/>
      <c r="K277" s="48"/>
      <c r="L277" s="48"/>
      <c r="M277" s="48">
        <f t="shared" si="60"/>
        <v>0</v>
      </c>
    </row>
    <row r="278" spans="1:13" s="308" customFormat="1" ht="31.5" x14ac:dyDescent="0.25">
      <c r="A278" s="576"/>
      <c r="B278" s="576"/>
      <c r="C278" s="647" t="s">
        <v>740</v>
      </c>
      <c r="D278" s="578" t="s">
        <v>242</v>
      </c>
      <c r="E278" s="648"/>
      <c r="F278" s="579">
        <v>1</v>
      </c>
      <c r="G278" s="48"/>
      <c r="H278" s="48"/>
      <c r="I278" s="48"/>
      <c r="J278" s="48"/>
      <c r="K278" s="48"/>
      <c r="L278" s="48"/>
      <c r="M278" s="48"/>
    </row>
    <row r="279" spans="1:13" s="308" customFormat="1" ht="94.5" x14ac:dyDescent="0.25">
      <c r="A279" s="45" t="s">
        <v>154</v>
      </c>
      <c r="B279" s="45"/>
      <c r="C279" s="265" t="s">
        <v>741</v>
      </c>
      <c r="D279" s="38"/>
      <c r="E279" s="47"/>
      <c r="F279" s="47"/>
      <c r="G279" s="48"/>
      <c r="H279" s="48"/>
      <c r="I279" s="48"/>
      <c r="J279" s="48"/>
      <c r="K279" s="48"/>
      <c r="L279" s="48"/>
      <c r="M279" s="48"/>
    </row>
    <row r="280" spans="1:13" s="308" customFormat="1" ht="126" x14ac:dyDescent="0.25">
      <c r="A280" s="874" t="s">
        <v>128</v>
      </c>
      <c r="B280" s="45" t="s">
        <v>64</v>
      </c>
      <c r="C280" s="265" t="s">
        <v>742</v>
      </c>
      <c r="D280" s="38" t="s">
        <v>176</v>
      </c>
      <c r="E280" s="47"/>
      <c r="F280" s="41">
        <f>(10*0.3*F278)/100</f>
        <v>0.03</v>
      </c>
      <c r="G280" s="48"/>
      <c r="H280" s="48"/>
      <c r="I280" s="48"/>
      <c r="J280" s="48"/>
      <c r="K280" s="48"/>
      <c r="L280" s="48"/>
      <c r="M280" s="48"/>
    </row>
    <row r="281" spans="1:13" s="308" customFormat="1" ht="16.5" x14ac:dyDescent="0.25">
      <c r="A281" s="874"/>
      <c r="B281" s="45"/>
      <c r="C281" s="111" t="s">
        <v>73</v>
      </c>
      <c r="D281" s="45" t="s">
        <v>9</v>
      </c>
      <c r="E281" s="47">
        <v>388</v>
      </c>
      <c r="F281" s="47">
        <f>F280*E281</f>
        <v>11.639999999999999</v>
      </c>
      <c r="G281" s="48"/>
      <c r="H281" s="48"/>
      <c r="I281" s="48"/>
      <c r="J281" s="48">
        <f>F281*I281</f>
        <v>0</v>
      </c>
      <c r="K281" s="48"/>
      <c r="L281" s="48"/>
      <c r="M281" s="48">
        <f t="shared" ref="M281:M298" si="61">H281+J281+L281</f>
        <v>0</v>
      </c>
    </row>
    <row r="282" spans="1:13" s="308" customFormat="1" ht="63" x14ac:dyDescent="0.25">
      <c r="A282" s="874" t="s">
        <v>138</v>
      </c>
      <c r="B282" s="45" t="s">
        <v>71</v>
      </c>
      <c r="C282" s="265" t="s">
        <v>743</v>
      </c>
      <c r="D282" s="38" t="s">
        <v>111</v>
      </c>
      <c r="E282" s="47"/>
      <c r="F282" s="41">
        <f>(10*F278)*0.1</f>
        <v>1</v>
      </c>
      <c r="G282" s="48"/>
      <c r="H282" s="48"/>
      <c r="I282" s="48"/>
      <c r="J282" s="48"/>
      <c r="K282" s="48"/>
      <c r="L282" s="48"/>
      <c r="M282" s="48"/>
    </row>
    <row r="283" spans="1:13" s="308" customFormat="1" ht="16.5" x14ac:dyDescent="0.25">
      <c r="A283" s="874"/>
      <c r="B283" s="596"/>
      <c r="C283" s="602" t="s">
        <v>67</v>
      </c>
      <c r="D283" s="596" t="s">
        <v>68</v>
      </c>
      <c r="E283" s="599">
        <v>3.52</v>
      </c>
      <c r="F283" s="599">
        <f>F282*E283</f>
        <v>3.52</v>
      </c>
      <c r="G283" s="58"/>
      <c r="H283" s="48"/>
      <c r="I283" s="58"/>
      <c r="J283" s="48">
        <f>F283*I283</f>
        <v>0</v>
      </c>
      <c r="K283" s="59"/>
      <c r="L283" s="48"/>
      <c r="M283" s="48">
        <f t="shared" si="61"/>
        <v>0</v>
      </c>
    </row>
    <row r="284" spans="1:13" s="308" customFormat="1" ht="16.5" x14ac:dyDescent="0.25">
      <c r="A284" s="874"/>
      <c r="B284" s="596"/>
      <c r="C284" s="602" t="s">
        <v>21</v>
      </c>
      <c r="D284" s="596" t="s">
        <v>7</v>
      </c>
      <c r="E284" s="599">
        <v>1.06</v>
      </c>
      <c r="F284" s="599">
        <f>F282*E284</f>
        <v>1.06</v>
      </c>
      <c r="G284" s="58"/>
      <c r="H284" s="48"/>
      <c r="I284" s="48"/>
      <c r="J284" s="48"/>
      <c r="K284" s="59"/>
      <c r="L284" s="48">
        <f>F284*K284</f>
        <v>0</v>
      </c>
      <c r="M284" s="48">
        <f t="shared" si="61"/>
        <v>0</v>
      </c>
    </row>
    <row r="285" spans="1:13" s="308" customFormat="1" ht="16.5" x14ac:dyDescent="0.25">
      <c r="A285" s="874"/>
      <c r="B285" s="596"/>
      <c r="C285" s="602" t="s">
        <v>631</v>
      </c>
      <c r="D285" s="596" t="s">
        <v>74</v>
      </c>
      <c r="E285" s="599">
        <f>0.18+0.09+0.97</f>
        <v>1.24</v>
      </c>
      <c r="F285" s="599">
        <f>F282*E285</f>
        <v>1.24</v>
      </c>
      <c r="G285" s="58"/>
      <c r="H285" s="48">
        <f>F285*G285</f>
        <v>0</v>
      </c>
      <c r="I285" s="48"/>
      <c r="J285" s="48"/>
      <c r="K285" s="59"/>
      <c r="L285" s="48"/>
      <c r="M285" s="48">
        <f t="shared" si="61"/>
        <v>0</v>
      </c>
    </row>
    <row r="286" spans="1:13" s="308" customFormat="1" ht="16.5" x14ac:dyDescent="0.25">
      <c r="A286" s="874"/>
      <c r="B286" s="596"/>
      <c r="C286" s="602" t="s">
        <v>122</v>
      </c>
      <c r="D286" s="596" t="s">
        <v>7</v>
      </c>
      <c r="E286" s="599">
        <v>0.02</v>
      </c>
      <c r="F286" s="599">
        <f>F282*E286</f>
        <v>0.02</v>
      </c>
      <c r="G286" s="58"/>
      <c r="H286" s="48">
        <f>F286*G286</f>
        <v>0</v>
      </c>
      <c r="I286" s="48"/>
      <c r="J286" s="48"/>
      <c r="K286" s="59"/>
      <c r="L286" s="48"/>
      <c r="M286" s="48">
        <f t="shared" si="61"/>
        <v>0</v>
      </c>
    </row>
    <row r="287" spans="1:13" s="308" customFormat="1" ht="63" x14ac:dyDescent="0.25">
      <c r="A287" s="874" t="s">
        <v>142</v>
      </c>
      <c r="B287" s="45" t="s">
        <v>261</v>
      </c>
      <c r="C287" s="265" t="s">
        <v>744</v>
      </c>
      <c r="D287" s="38" t="s">
        <v>74</v>
      </c>
      <c r="E287" s="47"/>
      <c r="F287" s="41">
        <f>(10*F278)*0.1</f>
        <v>1</v>
      </c>
      <c r="G287" s="48"/>
      <c r="H287" s="48"/>
      <c r="I287" s="48"/>
      <c r="J287" s="48"/>
      <c r="K287" s="48"/>
      <c r="L287" s="48"/>
      <c r="M287" s="48"/>
    </row>
    <row r="288" spans="1:13" s="308" customFormat="1" ht="16.5" x14ac:dyDescent="0.25">
      <c r="A288" s="874"/>
      <c r="B288" s="71"/>
      <c r="C288" s="149" t="s">
        <v>77</v>
      </c>
      <c r="D288" s="71" t="s">
        <v>18</v>
      </c>
      <c r="E288" s="73">
        <v>1.37</v>
      </c>
      <c r="F288" s="73">
        <f>E288*F287</f>
        <v>1.37</v>
      </c>
      <c r="G288" s="74"/>
      <c r="H288" s="48"/>
      <c r="I288" s="74"/>
      <c r="J288" s="48">
        <f>F288*I288</f>
        <v>0</v>
      </c>
      <c r="K288" s="74"/>
      <c r="L288" s="48"/>
      <c r="M288" s="48">
        <f t="shared" si="61"/>
        <v>0</v>
      </c>
    </row>
    <row r="289" spans="1:13" s="308" customFormat="1" ht="16.5" x14ac:dyDescent="0.25">
      <c r="A289" s="874"/>
      <c r="B289" s="71"/>
      <c r="C289" s="111" t="s">
        <v>8</v>
      </c>
      <c r="D289" s="587" t="s">
        <v>7</v>
      </c>
      <c r="E289" s="73">
        <v>0.28299999999999997</v>
      </c>
      <c r="F289" s="73">
        <f>E289*F287</f>
        <v>0.28299999999999997</v>
      </c>
      <c r="G289" s="74"/>
      <c r="H289" s="48"/>
      <c r="I289" s="74"/>
      <c r="J289" s="48"/>
      <c r="K289" s="74"/>
      <c r="L289" s="48">
        <f>F289*K289</f>
        <v>0</v>
      </c>
      <c r="M289" s="48">
        <f t="shared" si="61"/>
        <v>0</v>
      </c>
    </row>
    <row r="290" spans="1:13" s="308" customFormat="1" ht="16.5" x14ac:dyDescent="0.25">
      <c r="A290" s="874"/>
      <c r="B290" s="71"/>
      <c r="C290" s="149" t="s">
        <v>745</v>
      </c>
      <c r="D290" s="71" t="s">
        <v>59</v>
      </c>
      <c r="E290" s="73">
        <v>1.02</v>
      </c>
      <c r="F290" s="73">
        <f>E290*F287</f>
        <v>1.02</v>
      </c>
      <c r="G290" s="74"/>
      <c r="H290" s="48">
        <f>F290*G290</f>
        <v>0</v>
      </c>
      <c r="I290" s="74"/>
      <c r="J290" s="48"/>
      <c r="K290" s="74"/>
      <c r="L290" s="48"/>
      <c r="M290" s="48">
        <f t="shared" si="61"/>
        <v>0</v>
      </c>
    </row>
    <row r="291" spans="1:13" s="308" customFormat="1" ht="16.5" x14ac:dyDescent="0.25">
      <c r="A291" s="874"/>
      <c r="B291" s="71"/>
      <c r="C291" s="111" t="s">
        <v>10</v>
      </c>
      <c r="D291" s="612" t="s">
        <v>7</v>
      </c>
      <c r="E291" s="73">
        <v>0.62</v>
      </c>
      <c r="F291" s="73">
        <f>E291*F287</f>
        <v>0.62</v>
      </c>
      <c r="G291" s="74"/>
      <c r="H291" s="48">
        <f>F291*G291</f>
        <v>0</v>
      </c>
      <c r="I291" s="74"/>
      <c r="J291" s="48"/>
      <c r="K291" s="74"/>
      <c r="L291" s="48"/>
      <c r="M291" s="48">
        <f t="shared" si="61"/>
        <v>0</v>
      </c>
    </row>
    <row r="292" spans="1:13" s="308" customFormat="1" ht="47.25" x14ac:dyDescent="0.25">
      <c r="A292" s="878" t="s">
        <v>148</v>
      </c>
      <c r="B292" s="45" t="s">
        <v>75</v>
      </c>
      <c r="C292" s="265" t="s">
        <v>746</v>
      </c>
      <c r="D292" s="38" t="s">
        <v>176</v>
      </c>
      <c r="E292" s="47"/>
      <c r="F292" s="41">
        <f>(10*0.25*F278)/100</f>
        <v>2.5000000000000001E-2</v>
      </c>
      <c r="G292" s="48"/>
      <c r="H292" s="48"/>
      <c r="I292" s="48"/>
      <c r="J292" s="48"/>
      <c r="K292" s="48"/>
      <c r="L292" s="48"/>
      <c r="M292" s="48"/>
    </row>
    <row r="293" spans="1:13" s="308" customFormat="1" ht="16.5" x14ac:dyDescent="0.25">
      <c r="A293" s="879"/>
      <c r="B293" s="45"/>
      <c r="C293" s="111" t="s">
        <v>73</v>
      </c>
      <c r="D293" s="45" t="s">
        <v>9</v>
      </c>
      <c r="E293" s="47">
        <v>666</v>
      </c>
      <c r="F293" s="47">
        <f>F292*E293</f>
        <v>16.650000000000002</v>
      </c>
      <c r="G293" s="48"/>
      <c r="H293" s="48"/>
      <c r="I293" s="74"/>
      <c r="J293" s="48">
        <f>F293*I293</f>
        <v>0</v>
      </c>
      <c r="K293" s="48"/>
      <c r="L293" s="48"/>
      <c r="M293" s="48">
        <f t="shared" si="61"/>
        <v>0</v>
      </c>
    </row>
    <row r="294" spans="1:13" s="308" customFormat="1" ht="16.5" x14ac:dyDescent="0.25">
      <c r="A294" s="879"/>
      <c r="B294" s="45"/>
      <c r="C294" s="111" t="s">
        <v>21</v>
      </c>
      <c r="D294" s="45" t="s">
        <v>7</v>
      </c>
      <c r="E294" s="47">
        <v>59</v>
      </c>
      <c r="F294" s="47">
        <f>F292*E294</f>
        <v>1.4750000000000001</v>
      </c>
      <c r="G294" s="48"/>
      <c r="H294" s="48"/>
      <c r="I294" s="48"/>
      <c r="J294" s="48"/>
      <c r="K294" s="48"/>
      <c r="L294" s="48">
        <f>F294*K294</f>
        <v>0</v>
      </c>
      <c r="M294" s="48">
        <f t="shared" si="61"/>
        <v>0</v>
      </c>
    </row>
    <row r="295" spans="1:13" s="308" customFormat="1" ht="16.5" x14ac:dyDescent="0.25">
      <c r="A295" s="879"/>
      <c r="B295" s="45"/>
      <c r="C295" s="111" t="s">
        <v>633</v>
      </c>
      <c r="D295" s="45" t="s">
        <v>747</v>
      </c>
      <c r="E295" s="47">
        <v>101.5</v>
      </c>
      <c r="F295" s="47">
        <f>F292*E295</f>
        <v>2.5375000000000001</v>
      </c>
      <c r="G295" s="48"/>
      <c r="H295" s="48">
        <f t="shared" ref="H295:H298" si="62">F295*G295</f>
        <v>0</v>
      </c>
      <c r="I295" s="48"/>
      <c r="J295" s="48"/>
      <c r="K295" s="48"/>
      <c r="L295" s="48"/>
      <c r="M295" s="48">
        <f t="shared" si="61"/>
        <v>0</v>
      </c>
    </row>
    <row r="296" spans="1:13" s="308" customFormat="1" ht="16.5" x14ac:dyDescent="0.25">
      <c r="A296" s="879"/>
      <c r="B296" s="45"/>
      <c r="C296" s="111" t="s">
        <v>88</v>
      </c>
      <c r="D296" s="45" t="s">
        <v>111</v>
      </c>
      <c r="E296" s="47">
        <v>160</v>
      </c>
      <c r="F296" s="47">
        <f>F292*E296</f>
        <v>4</v>
      </c>
      <c r="G296" s="48"/>
      <c r="H296" s="48">
        <f t="shared" si="62"/>
        <v>0</v>
      </c>
      <c r="I296" s="48"/>
      <c r="J296" s="48"/>
      <c r="K296" s="48"/>
      <c r="L296" s="48"/>
      <c r="M296" s="48">
        <f t="shared" si="61"/>
        <v>0</v>
      </c>
    </row>
    <row r="297" spans="1:13" s="308" customFormat="1" ht="16.5" x14ac:dyDescent="0.25">
      <c r="A297" s="879"/>
      <c r="B297" s="45"/>
      <c r="C297" s="111" t="s">
        <v>89</v>
      </c>
      <c r="D297" s="45" t="s">
        <v>74</v>
      </c>
      <c r="E297" s="47">
        <v>1.83</v>
      </c>
      <c r="F297" s="47">
        <f>F292*E297</f>
        <v>4.5750000000000006E-2</v>
      </c>
      <c r="G297" s="48"/>
      <c r="H297" s="48">
        <f t="shared" si="62"/>
        <v>0</v>
      </c>
      <c r="I297" s="48"/>
      <c r="J297" s="48"/>
      <c r="K297" s="48"/>
      <c r="L297" s="48"/>
      <c r="M297" s="48">
        <f t="shared" si="61"/>
        <v>0</v>
      </c>
    </row>
    <row r="298" spans="1:13" s="308" customFormat="1" ht="16.5" x14ac:dyDescent="0.25">
      <c r="A298" s="879"/>
      <c r="B298" s="45"/>
      <c r="C298" s="111" t="s">
        <v>10</v>
      </c>
      <c r="D298" s="45" t="s">
        <v>7</v>
      </c>
      <c r="E298" s="47">
        <v>40</v>
      </c>
      <c r="F298" s="47">
        <f>F292*E298</f>
        <v>1</v>
      </c>
      <c r="G298" s="48"/>
      <c r="H298" s="48">
        <f t="shared" si="62"/>
        <v>0</v>
      </c>
      <c r="I298" s="48"/>
      <c r="J298" s="48"/>
      <c r="K298" s="48"/>
      <c r="L298" s="48"/>
      <c r="M298" s="48">
        <f t="shared" si="61"/>
        <v>0</v>
      </c>
    </row>
    <row r="299" spans="1:13" s="308" customFormat="1" ht="16.5" x14ac:dyDescent="0.25">
      <c r="A299" s="879"/>
      <c r="B299" s="45"/>
      <c r="C299" s="265" t="s">
        <v>748</v>
      </c>
      <c r="D299" s="38" t="s">
        <v>83</v>
      </c>
      <c r="E299" s="88">
        <v>1.03</v>
      </c>
      <c r="F299" s="88">
        <f>10*16*2*E299*0.888/1000*F278</f>
        <v>0.29268480000000002</v>
      </c>
      <c r="G299" s="48"/>
      <c r="H299" s="48">
        <f>F299*G299</f>
        <v>0</v>
      </c>
      <c r="I299" s="48"/>
      <c r="J299" s="48"/>
      <c r="K299" s="48"/>
      <c r="L299" s="48"/>
      <c r="M299" s="48">
        <f>H299+J299+L299</f>
        <v>0</v>
      </c>
    </row>
    <row r="300" spans="1:13" s="308" customFormat="1" ht="16.5" x14ac:dyDescent="0.25">
      <c r="A300" s="895"/>
      <c r="B300" s="45"/>
      <c r="C300" s="265" t="s">
        <v>749</v>
      </c>
      <c r="D300" s="38" t="s">
        <v>83</v>
      </c>
      <c r="E300" s="88">
        <v>1.03</v>
      </c>
      <c r="F300" s="88">
        <f>10*9*0.3*E300*F278*0.222/1000</f>
        <v>6.1738200000000009E-3</v>
      </c>
      <c r="G300" s="48"/>
      <c r="H300" s="48">
        <f>F300*G300</f>
        <v>0</v>
      </c>
      <c r="I300" s="48"/>
      <c r="J300" s="48"/>
      <c r="K300" s="48"/>
      <c r="L300" s="48"/>
      <c r="M300" s="48">
        <f>H300+J300+L300</f>
        <v>0</v>
      </c>
    </row>
    <row r="301" spans="1:13" s="308" customFormat="1" ht="31.5" x14ac:dyDescent="0.25">
      <c r="A301" s="363" t="s">
        <v>750</v>
      </c>
      <c r="B301" s="45"/>
      <c r="C301" s="119" t="s">
        <v>751</v>
      </c>
      <c r="D301" s="45"/>
      <c r="E301" s="47"/>
      <c r="F301" s="47"/>
      <c r="G301" s="48"/>
      <c r="H301" s="48"/>
      <c r="I301" s="48"/>
      <c r="J301" s="48"/>
      <c r="K301" s="48"/>
      <c r="L301" s="48"/>
      <c r="M301" s="48"/>
    </row>
    <row r="302" spans="1:13" s="308" customFormat="1" ht="16.5" x14ac:dyDescent="0.25">
      <c r="A302" s="120"/>
      <c r="B302" s="45"/>
      <c r="C302" s="119" t="s">
        <v>752</v>
      </c>
      <c r="D302" s="38" t="s">
        <v>74</v>
      </c>
      <c r="E302" s="88">
        <v>1.1000000000000001</v>
      </c>
      <c r="F302" s="649">
        <f>(      6*0.15*0.15*(2.4+0.2)  +  6*0.1*0.15*2  +  3*0.1*0.15*(4+1.4)  +  6*0.1*0.15*0.4  +  1*0.15*0.15*1.5  + 6*0.1*0.15*3.1  +   6*(2+1)*0.05*0.1*2     )*E302</f>
        <v>1.433025</v>
      </c>
      <c r="G302" s="48"/>
      <c r="H302" s="48"/>
      <c r="I302" s="48"/>
      <c r="J302" s="48"/>
      <c r="K302" s="48"/>
      <c r="L302" s="48"/>
      <c r="M302" s="48"/>
    </row>
    <row r="303" spans="1:13" s="308" customFormat="1" ht="16.5" x14ac:dyDescent="0.25">
      <c r="A303" s="120"/>
      <c r="B303" s="45"/>
      <c r="C303" s="650" t="s">
        <v>73</v>
      </c>
      <c r="D303" s="145" t="s">
        <v>9</v>
      </c>
      <c r="E303" s="651">
        <v>24</v>
      </c>
      <c r="F303" s="651">
        <f>F302*E303</f>
        <v>34.392600000000002</v>
      </c>
      <c r="G303" s="652"/>
      <c r="H303" s="414"/>
      <c r="I303" s="653"/>
      <c r="J303" s="126">
        <f>F303*I303</f>
        <v>0</v>
      </c>
      <c r="K303" s="653"/>
      <c r="L303" s="126"/>
      <c r="M303" s="414">
        <f t="shared" ref="M303:M317" si="63">H303+J303+L303</f>
        <v>0</v>
      </c>
    </row>
    <row r="304" spans="1:13" s="308" customFormat="1" ht="16.5" x14ac:dyDescent="0.25">
      <c r="A304" s="120"/>
      <c r="B304" s="45"/>
      <c r="C304" s="623" t="s">
        <v>21</v>
      </c>
      <c r="D304" s="131" t="s">
        <v>7</v>
      </c>
      <c r="E304" s="112">
        <v>1.3</v>
      </c>
      <c r="F304" s="112">
        <f>F302*E304</f>
        <v>1.8629325000000001</v>
      </c>
      <c r="G304" s="652"/>
      <c r="H304" s="414"/>
      <c r="I304" s="653"/>
      <c r="J304" s="126"/>
      <c r="K304" s="653"/>
      <c r="L304" s="126"/>
      <c r="M304" s="414">
        <f t="shared" si="63"/>
        <v>0</v>
      </c>
    </row>
    <row r="305" spans="1:13" s="308" customFormat="1" ht="16.5" x14ac:dyDescent="0.25">
      <c r="A305" s="120"/>
      <c r="B305" s="45"/>
      <c r="C305" s="623" t="s">
        <v>89</v>
      </c>
      <c r="D305" s="131" t="s">
        <v>74</v>
      </c>
      <c r="E305" s="112">
        <f>0.93+0.12</f>
        <v>1.05</v>
      </c>
      <c r="F305" s="112">
        <f>F302*E305</f>
        <v>1.5046762500000002</v>
      </c>
      <c r="G305" s="652"/>
      <c r="H305" s="414">
        <f t="shared" ref="H305:H317" si="64">F305*G305</f>
        <v>0</v>
      </c>
      <c r="I305" s="653"/>
      <c r="J305" s="126"/>
      <c r="K305" s="653"/>
      <c r="L305" s="126"/>
      <c r="M305" s="414">
        <f t="shared" si="63"/>
        <v>0</v>
      </c>
    </row>
    <row r="306" spans="1:13" s="308" customFormat="1" ht="16.5" x14ac:dyDescent="0.25">
      <c r="A306" s="120"/>
      <c r="B306" s="45"/>
      <c r="C306" s="623" t="s">
        <v>753</v>
      </c>
      <c r="D306" s="131" t="s">
        <v>5</v>
      </c>
      <c r="E306" s="112">
        <v>7.5</v>
      </c>
      <c r="F306" s="112">
        <f>F302*E306</f>
        <v>10.7476875</v>
      </c>
      <c r="G306" s="652"/>
      <c r="H306" s="414">
        <f t="shared" si="64"/>
        <v>0</v>
      </c>
      <c r="I306" s="653"/>
      <c r="J306" s="126"/>
      <c r="K306" s="653"/>
      <c r="L306" s="126"/>
      <c r="M306" s="414">
        <f t="shared" si="63"/>
        <v>0</v>
      </c>
    </row>
    <row r="307" spans="1:13" s="308" customFormat="1" ht="16.5" x14ac:dyDescent="0.25">
      <c r="A307" s="120"/>
      <c r="B307" s="45"/>
      <c r="C307" s="623" t="s">
        <v>309</v>
      </c>
      <c r="D307" s="131" t="s">
        <v>5</v>
      </c>
      <c r="E307" s="112">
        <v>3.01</v>
      </c>
      <c r="F307" s="112">
        <f>F302*E307</f>
        <v>4.3134052499999997</v>
      </c>
      <c r="G307" s="652"/>
      <c r="H307" s="414">
        <f t="shared" si="64"/>
        <v>0</v>
      </c>
      <c r="I307" s="653"/>
      <c r="J307" s="126"/>
      <c r="K307" s="653"/>
      <c r="L307" s="126"/>
      <c r="M307" s="414">
        <f t="shared" si="63"/>
        <v>0</v>
      </c>
    </row>
    <row r="308" spans="1:13" s="308" customFormat="1" ht="16.5" x14ac:dyDescent="0.25">
      <c r="A308" s="120"/>
      <c r="B308" s="45"/>
      <c r="C308" s="623" t="s">
        <v>754</v>
      </c>
      <c r="D308" s="131" t="s">
        <v>5</v>
      </c>
      <c r="E308" s="112">
        <v>3.08</v>
      </c>
      <c r="F308" s="112">
        <f>F302*E308</f>
        <v>4.4137170000000001</v>
      </c>
      <c r="G308" s="652"/>
      <c r="H308" s="414">
        <f t="shared" si="64"/>
        <v>0</v>
      </c>
      <c r="I308" s="653"/>
      <c r="J308" s="126"/>
      <c r="K308" s="653"/>
      <c r="L308" s="126"/>
      <c r="M308" s="414">
        <f t="shared" si="63"/>
        <v>0</v>
      </c>
    </row>
    <row r="309" spans="1:13" s="308" customFormat="1" ht="16.5" x14ac:dyDescent="0.25">
      <c r="A309" s="120"/>
      <c r="B309" s="45"/>
      <c r="C309" s="623" t="s">
        <v>122</v>
      </c>
      <c r="D309" s="131" t="s">
        <v>7</v>
      </c>
      <c r="E309" s="112">
        <v>1.38</v>
      </c>
      <c r="F309" s="112">
        <f>F302*E309</f>
        <v>1.9775744999999998</v>
      </c>
      <c r="G309" s="652"/>
      <c r="H309" s="414">
        <f t="shared" si="64"/>
        <v>0</v>
      </c>
      <c r="I309" s="653"/>
      <c r="J309" s="126"/>
      <c r="K309" s="653"/>
      <c r="L309" s="126"/>
      <c r="M309" s="414">
        <f t="shared" si="63"/>
        <v>0</v>
      </c>
    </row>
    <row r="310" spans="1:13" s="308" customFormat="1" ht="47.25" x14ac:dyDescent="0.25">
      <c r="A310" s="120"/>
      <c r="B310" s="45"/>
      <c r="C310" s="623" t="s">
        <v>755</v>
      </c>
      <c r="D310" s="131" t="s">
        <v>756</v>
      </c>
      <c r="E310" s="112">
        <v>1.1000000000000001</v>
      </c>
      <c r="F310" s="522">
        <f>0.162*0.112*1*6*E310*47.1/1000</f>
        <v>5.6402438399999998E-3</v>
      </c>
      <c r="G310" s="638"/>
      <c r="H310" s="414">
        <f t="shared" si="64"/>
        <v>0</v>
      </c>
      <c r="I310" s="653"/>
      <c r="J310" s="126"/>
      <c r="K310" s="653"/>
      <c r="L310" s="126"/>
      <c r="M310" s="414">
        <f t="shared" si="63"/>
        <v>0</v>
      </c>
    </row>
    <row r="311" spans="1:13" s="308" customFormat="1" ht="47.25" x14ac:dyDescent="0.25">
      <c r="A311" s="120"/>
      <c r="B311" s="45"/>
      <c r="C311" s="623" t="s">
        <v>757</v>
      </c>
      <c r="D311" s="131" t="s">
        <v>83</v>
      </c>
      <c r="E311" s="46">
        <v>1.1000000000000001</v>
      </c>
      <c r="F311" s="522">
        <f>0.2*0.15*2*6*E311*47.1/1000</f>
        <v>1.8651600000000001E-2</v>
      </c>
      <c r="G311" s="653"/>
      <c r="H311" s="414">
        <f t="shared" si="64"/>
        <v>0</v>
      </c>
      <c r="I311" s="653"/>
      <c r="J311" s="126"/>
      <c r="K311" s="653"/>
      <c r="L311" s="126"/>
      <c r="M311" s="414">
        <f t="shared" si="63"/>
        <v>0</v>
      </c>
    </row>
    <row r="312" spans="1:13" s="308" customFormat="1" ht="47.25" x14ac:dyDescent="0.25">
      <c r="A312" s="120"/>
      <c r="B312" s="45"/>
      <c r="C312" s="623" t="s">
        <v>758</v>
      </c>
      <c r="D312" s="131" t="s">
        <v>83</v>
      </c>
      <c r="E312" s="46">
        <v>1.1000000000000001</v>
      </c>
      <c r="F312" s="522">
        <f>0.2*0.112*2*6*E312*47.1/1000</f>
        <v>1.3926528000000002E-2</v>
      </c>
      <c r="G312" s="653"/>
      <c r="H312" s="414">
        <f t="shared" si="64"/>
        <v>0</v>
      </c>
      <c r="I312" s="653"/>
      <c r="J312" s="126"/>
      <c r="K312" s="653"/>
      <c r="L312" s="126"/>
      <c r="M312" s="414">
        <f t="shared" si="63"/>
        <v>0</v>
      </c>
    </row>
    <row r="313" spans="1:13" s="308" customFormat="1" ht="47.25" x14ac:dyDescent="0.25">
      <c r="A313" s="120"/>
      <c r="B313" s="45"/>
      <c r="C313" s="623" t="s">
        <v>759</v>
      </c>
      <c r="D313" s="131" t="s">
        <v>83</v>
      </c>
      <c r="E313" s="46"/>
      <c r="F313" s="522">
        <f>1*6</f>
        <v>6</v>
      </c>
      <c r="G313" s="653"/>
      <c r="H313" s="414">
        <f t="shared" si="64"/>
        <v>0</v>
      </c>
      <c r="I313" s="653"/>
      <c r="J313" s="126"/>
      <c r="K313" s="653"/>
      <c r="L313" s="126"/>
      <c r="M313" s="414">
        <f t="shared" si="63"/>
        <v>0</v>
      </c>
    </row>
    <row r="314" spans="1:13" s="308" customFormat="1" ht="47.25" x14ac:dyDescent="0.25">
      <c r="A314" s="120"/>
      <c r="B314" s="45"/>
      <c r="C314" s="623" t="s">
        <v>760</v>
      </c>
      <c r="D314" s="131" t="s">
        <v>83</v>
      </c>
      <c r="E314" s="112">
        <v>1.05</v>
      </c>
      <c r="F314" s="522">
        <f>2*6*E314*0.888/1000</f>
        <v>1.11888E-2</v>
      </c>
      <c r="G314" s="638"/>
      <c r="H314" s="414">
        <f t="shared" si="64"/>
        <v>0</v>
      </c>
      <c r="I314" s="653"/>
      <c r="J314" s="126"/>
      <c r="K314" s="653"/>
      <c r="L314" s="126"/>
      <c r="M314" s="414">
        <f t="shared" si="63"/>
        <v>0</v>
      </c>
    </row>
    <row r="315" spans="1:13" s="308" customFormat="1" ht="31.5" x14ac:dyDescent="0.25">
      <c r="A315" s="120"/>
      <c r="B315" s="45"/>
      <c r="C315" s="623" t="s">
        <v>761</v>
      </c>
      <c r="D315" s="131" t="s">
        <v>147</v>
      </c>
      <c r="E315" s="112"/>
      <c r="F315" s="522">
        <f>4*6</f>
        <v>24</v>
      </c>
      <c r="G315" s="638"/>
      <c r="H315" s="414">
        <f t="shared" si="64"/>
        <v>0</v>
      </c>
      <c r="I315" s="653"/>
      <c r="J315" s="126"/>
      <c r="K315" s="653"/>
      <c r="L315" s="126"/>
      <c r="M315" s="414">
        <f t="shared" si="63"/>
        <v>0</v>
      </c>
    </row>
    <row r="316" spans="1:13" s="308" customFormat="1" ht="31.5" x14ac:dyDescent="0.25">
      <c r="A316" s="120"/>
      <c r="B316" s="45"/>
      <c r="C316" s="623" t="s">
        <v>762</v>
      </c>
      <c r="D316" s="131" t="s">
        <v>147</v>
      </c>
      <c r="E316" s="112"/>
      <c r="F316" s="522">
        <f>4*6</f>
        <v>24</v>
      </c>
      <c r="G316" s="638"/>
      <c r="H316" s="414">
        <f t="shared" si="64"/>
        <v>0</v>
      </c>
      <c r="I316" s="653"/>
      <c r="J316" s="126"/>
      <c r="K316" s="653"/>
      <c r="L316" s="126"/>
      <c r="M316" s="414">
        <f t="shared" si="63"/>
        <v>0</v>
      </c>
    </row>
    <row r="317" spans="1:13" s="308" customFormat="1" ht="16.5" x14ac:dyDescent="0.25">
      <c r="A317" s="118"/>
      <c r="B317" s="45"/>
      <c r="C317" s="623" t="s">
        <v>763</v>
      </c>
      <c r="D317" s="131" t="s">
        <v>5</v>
      </c>
      <c r="E317" s="112"/>
      <c r="F317" s="522">
        <f>1*6</f>
        <v>6</v>
      </c>
      <c r="G317" s="638"/>
      <c r="H317" s="414">
        <f t="shared" si="64"/>
        <v>0</v>
      </c>
      <c r="I317" s="653"/>
      <c r="J317" s="126"/>
      <c r="K317" s="653"/>
      <c r="L317" s="126"/>
      <c r="M317" s="414">
        <f t="shared" si="63"/>
        <v>0</v>
      </c>
    </row>
    <row r="318" spans="1:13" s="308" customFormat="1" ht="63" x14ac:dyDescent="0.25">
      <c r="A318" s="131"/>
      <c r="B318" s="131"/>
      <c r="C318" s="636" t="s">
        <v>764</v>
      </c>
      <c r="D318" s="131"/>
      <c r="E318" s="112"/>
      <c r="F318" s="113"/>
      <c r="G318" s="638"/>
      <c r="H318" s="126"/>
      <c r="I318" s="653"/>
      <c r="J318" s="126"/>
      <c r="K318" s="653"/>
      <c r="L318" s="126"/>
      <c r="M318" s="126"/>
    </row>
    <row r="319" spans="1:13" s="308" customFormat="1" ht="27" x14ac:dyDescent="0.25">
      <c r="A319" s="887" t="s">
        <v>765</v>
      </c>
      <c r="B319" s="27" t="s">
        <v>316</v>
      </c>
      <c r="C319" s="654" t="s">
        <v>766</v>
      </c>
      <c r="D319" s="160" t="s">
        <v>74</v>
      </c>
      <c r="E319" s="161"/>
      <c r="F319" s="610">
        <f>F302</f>
        <v>1.433025</v>
      </c>
      <c r="G319" s="414"/>
      <c r="H319" s="414"/>
      <c r="I319" s="414"/>
      <c r="J319" s="414"/>
      <c r="K319" s="414"/>
      <c r="L319" s="414"/>
      <c r="M319" s="414"/>
    </row>
    <row r="320" spans="1:13" s="308" customFormat="1" ht="16.5" x14ac:dyDescent="0.25">
      <c r="A320" s="887"/>
      <c r="B320" s="27"/>
      <c r="C320" s="655" t="s">
        <v>157</v>
      </c>
      <c r="D320" s="160" t="s">
        <v>9</v>
      </c>
      <c r="E320" s="161">
        <v>0.87</v>
      </c>
      <c r="F320" s="46">
        <f>F319*E320</f>
        <v>1.2467317499999999</v>
      </c>
      <c r="G320" s="414"/>
      <c r="H320" s="414"/>
      <c r="I320" s="414"/>
      <c r="J320" s="414">
        <f t="shared" ref="J320" si="65">F320*I320</f>
        <v>0</v>
      </c>
      <c r="K320" s="414"/>
      <c r="L320" s="414"/>
      <c r="M320" s="414">
        <f t="shared" ref="M320:M325" si="66">H320+J320+L320</f>
        <v>0</v>
      </c>
    </row>
    <row r="321" spans="1:13" s="308" customFormat="1" ht="16.5" x14ac:dyDescent="0.25">
      <c r="A321" s="887"/>
      <c r="B321" s="27"/>
      <c r="C321" s="655" t="s">
        <v>318</v>
      </c>
      <c r="D321" s="160" t="s">
        <v>7</v>
      </c>
      <c r="E321" s="161">
        <v>0.13</v>
      </c>
      <c r="F321" s="46">
        <f>F319*E321</f>
        <v>0.18629324999999999</v>
      </c>
      <c r="G321" s="414"/>
      <c r="H321" s="414"/>
      <c r="I321" s="414"/>
      <c r="J321" s="414"/>
      <c r="K321" s="414"/>
      <c r="L321" s="414">
        <f t="shared" ref="L321" si="67">F321*K321</f>
        <v>0</v>
      </c>
      <c r="M321" s="414">
        <f t="shared" si="66"/>
        <v>0</v>
      </c>
    </row>
    <row r="322" spans="1:13" s="308" customFormat="1" ht="16.5" x14ac:dyDescent="0.25">
      <c r="A322" s="887"/>
      <c r="B322" s="27"/>
      <c r="C322" s="655" t="s">
        <v>319</v>
      </c>
      <c r="D322" s="160" t="s">
        <v>5</v>
      </c>
      <c r="E322" s="161">
        <v>7.2</v>
      </c>
      <c r="F322" s="46">
        <f>F319*E322</f>
        <v>10.317780000000001</v>
      </c>
      <c r="G322" s="414"/>
      <c r="H322" s="414">
        <f t="shared" ref="H322:H325" si="68">F322*G322</f>
        <v>0</v>
      </c>
      <c r="I322" s="414"/>
      <c r="J322" s="414"/>
      <c r="K322" s="414"/>
      <c r="L322" s="414"/>
      <c r="M322" s="414">
        <f t="shared" si="66"/>
        <v>0</v>
      </c>
    </row>
    <row r="323" spans="1:13" s="308" customFormat="1" ht="16.5" x14ac:dyDescent="0.25">
      <c r="A323" s="887"/>
      <c r="B323" s="27"/>
      <c r="C323" s="655" t="s">
        <v>320</v>
      </c>
      <c r="D323" s="160" t="s">
        <v>5</v>
      </c>
      <c r="E323" s="161">
        <v>1.79</v>
      </c>
      <c r="F323" s="46">
        <f>F319*E323</f>
        <v>2.5651147500000002</v>
      </c>
      <c r="G323" s="414"/>
      <c r="H323" s="414">
        <f t="shared" si="68"/>
        <v>0</v>
      </c>
      <c r="I323" s="414"/>
      <c r="J323" s="414"/>
      <c r="K323" s="414"/>
      <c r="L323" s="414"/>
      <c r="M323" s="414">
        <f t="shared" si="66"/>
        <v>0</v>
      </c>
    </row>
    <row r="324" spans="1:13" s="308" customFormat="1" ht="16.5" x14ac:dyDescent="0.25">
      <c r="A324" s="887"/>
      <c r="B324" s="27"/>
      <c r="C324" s="655" t="s">
        <v>321</v>
      </c>
      <c r="D324" s="160" t="s">
        <v>5</v>
      </c>
      <c r="E324" s="161">
        <v>1.07</v>
      </c>
      <c r="F324" s="46">
        <f>F319*E324</f>
        <v>1.5333367500000001</v>
      </c>
      <c r="G324" s="414"/>
      <c r="H324" s="414">
        <f t="shared" si="68"/>
        <v>0</v>
      </c>
      <c r="I324" s="414"/>
      <c r="J324" s="414"/>
      <c r="K324" s="414"/>
      <c r="L324" s="414"/>
      <c r="M324" s="414">
        <f t="shared" si="66"/>
        <v>0</v>
      </c>
    </row>
    <row r="325" spans="1:13" s="308" customFormat="1" ht="16.5" x14ac:dyDescent="0.25">
      <c r="A325" s="887"/>
      <c r="B325" s="27"/>
      <c r="C325" s="655" t="s">
        <v>122</v>
      </c>
      <c r="D325" s="160" t="s">
        <v>7</v>
      </c>
      <c r="E325" s="161">
        <v>0.1</v>
      </c>
      <c r="F325" s="46">
        <f>F319*E325</f>
        <v>0.1433025</v>
      </c>
      <c r="G325" s="414"/>
      <c r="H325" s="414">
        <f t="shared" si="68"/>
        <v>0</v>
      </c>
      <c r="I325" s="414"/>
      <c r="J325" s="414"/>
      <c r="K325" s="414"/>
      <c r="L325" s="414"/>
      <c r="M325" s="414">
        <f t="shared" si="66"/>
        <v>0</v>
      </c>
    </row>
    <row r="326" spans="1:13" s="308" customFormat="1" ht="27" x14ac:dyDescent="0.25">
      <c r="A326" s="887" t="s">
        <v>767</v>
      </c>
      <c r="B326" s="656" t="s">
        <v>768</v>
      </c>
      <c r="C326" s="654" t="s">
        <v>769</v>
      </c>
      <c r="D326" s="160" t="s">
        <v>111</v>
      </c>
      <c r="E326" s="161"/>
      <c r="F326" s="436">
        <f>(0.15+0.15)*2*2.9*6+(0.1+0.15)*2*2*6+(0.1+0.15)*2*5.4*3+(0.1+0.15)*2*0.4*6+(0.15+0.15)*2*1.5*1+(0.1+0.15)*2*3.1*6+(0.05+0.1)*2*2*3*6</f>
        <v>46.739999999999995</v>
      </c>
      <c r="G326" s="414"/>
      <c r="H326" s="414"/>
      <c r="I326" s="414"/>
      <c r="J326" s="414"/>
      <c r="K326" s="414"/>
      <c r="L326" s="414"/>
      <c r="M326" s="414"/>
    </row>
    <row r="327" spans="1:13" s="308" customFormat="1" ht="16.5" x14ac:dyDescent="0.25">
      <c r="A327" s="887"/>
      <c r="B327" s="656"/>
      <c r="C327" s="655" t="s">
        <v>157</v>
      </c>
      <c r="D327" s="160" t="s">
        <v>9</v>
      </c>
      <c r="E327" s="161">
        <v>9.9699999999999997E-2</v>
      </c>
      <c r="F327" s="46">
        <f>F326*E327</f>
        <v>4.6599779999999997</v>
      </c>
      <c r="G327" s="414"/>
      <c r="H327" s="414"/>
      <c r="I327" s="414"/>
      <c r="J327" s="414">
        <f t="shared" ref="J327" si="69">F327*I327</f>
        <v>0</v>
      </c>
      <c r="K327" s="414"/>
      <c r="L327" s="414"/>
      <c r="M327" s="414">
        <f t="shared" ref="M327:M329" si="70">H327+J327+L327</f>
        <v>0</v>
      </c>
    </row>
    <row r="328" spans="1:13" s="308" customFormat="1" ht="16.5" x14ac:dyDescent="0.25">
      <c r="A328" s="887"/>
      <c r="B328" s="656"/>
      <c r="C328" s="655" t="s">
        <v>318</v>
      </c>
      <c r="D328" s="160" t="s">
        <v>7</v>
      </c>
      <c r="E328" s="161">
        <v>3.0000000000000001E-3</v>
      </c>
      <c r="F328" s="46">
        <f>F326*E328</f>
        <v>0.14021999999999998</v>
      </c>
      <c r="G328" s="414"/>
      <c r="H328" s="414"/>
      <c r="I328" s="414"/>
      <c r="J328" s="414"/>
      <c r="K328" s="414"/>
      <c r="L328" s="414">
        <f t="shared" ref="L328" si="71">F328*K328</f>
        <v>0</v>
      </c>
      <c r="M328" s="414">
        <f t="shared" si="70"/>
        <v>0</v>
      </c>
    </row>
    <row r="329" spans="1:13" s="308" customFormat="1" ht="16.5" x14ac:dyDescent="0.25">
      <c r="A329" s="887"/>
      <c r="B329" s="656"/>
      <c r="C329" s="443" t="s">
        <v>770</v>
      </c>
      <c r="D329" s="160" t="s">
        <v>5</v>
      </c>
      <c r="E329" s="161">
        <v>9</v>
      </c>
      <c r="F329" s="46">
        <f>F326*E329</f>
        <v>420.65999999999997</v>
      </c>
      <c r="G329" s="414"/>
      <c r="H329" s="414">
        <f t="shared" ref="H329" si="72">F329*G329</f>
        <v>0</v>
      </c>
      <c r="I329" s="414"/>
      <c r="J329" s="414"/>
      <c r="K329" s="414"/>
      <c r="L329" s="414"/>
      <c r="M329" s="414">
        <f t="shared" si="70"/>
        <v>0</v>
      </c>
    </row>
    <row r="330" spans="1:13" s="308" customFormat="1" ht="40.5" x14ac:dyDescent="0.25">
      <c r="A330" s="982" t="s">
        <v>771</v>
      </c>
      <c r="B330" s="158" t="s">
        <v>772</v>
      </c>
      <c r="C330" s="528" t="s">
        <v>773</v>
      </c>
      <c r="D330" s="160" t="s">
        <v>111</v>
      </c>
      <c r="E330" s="657"/>
      <c r="F330" s="436">
        <f>F326</f>
        <v>46.739999999999995</v>
      </c>
      <c r="G330" s="658"/>
      <c r="H330" s="414"/>
      <c r="I330" s="414"/>
      <c r="J330" s="414"/>
      <c r="K330" s="414"/>
      <c r="L330" s="414"/>
      <c r="M330" s="414"/>
    </row>
    <row r="331" spans="1:13" s="308" customFormat="1" ht="16.5" x14ac:dyDescent="0.25">
      <c r="A331" s="983"/>
      <c r="B331" s="45"/>
      <c r="C331" s="111" t="s">
        <v>73</v>
      </c>
      <c r="D331" s="45" t="s">
        <v>9</v>
      </c>
      <c r="E331" s="47">
        <v>0.129</v>
      </c>
      <c r="F331" s="47">
        <f>F330*E331</f>
        <v>6.0294599999999994</v>
      </c>
      <c r="G331" s="48"/>
      <c r="H331" s="48"/>
      <c r="I331" s="109"/>
      <c r="J331" s="48">
        <f>F331*I331</f>
        <v>0</v>
      </c>
      <c r="K331" s="48"/>
      <c r="L331" s="48"/>
      <c r="M331" s="48">
        <f t="shared" ref="M331:M333" si="73">H331+J331+L331</f>
        <v>0</v>
      </c>
    </row>
    <row r="332" spans="1:13" s="308" customFormat="1" ht="31.5" x14ac:dyDescent="0.25">
      <c r="A332" s="983"/>
      <c r="B332" s="45" t="s">
        <v>774</v>
      </c>
      <c r="C332" s="111" t="s">
        <v>775</v>
      </c>
      <c r="D332" s="45" t="s">
        <v>5</v>
      </c>
      <c r="E332" s="47">
        <v>0.35</v>
      </c>
      <c r="F332" s="47">
        <f>F330*E332</f>
        <v>16.358999999999998</v>
      </c>
      <c r="G332" s="109"/>
      <c r="H332" s="48">
        <f>F332*G332</f>
        <v>0</v>
      </c>
      <c r="I332" s="48"/>
      <c r="J332" s="48"/>
      <c r="K332" s="48"/>
      <c r="L332" s="48"/>
      <c r="M332" s="48">
        <f t="shared" si="73"/>
        <v>0</v>
      </c>
    </row>
    <row r="333" spans="1:13" s="308" customFormat="1" ht="16.5" x14ac:dyDescent="0.25">
      <c r="A333" s="984"/>
      <c r="B333" s="45"/>
      <c r="C333" s="111" t="s">
        <v>776</v>
      </c>
      <c r="D333" s="45" t="s">
        <v>7</v>
      </c>
      <c r="E333" s="47">
        <v>5.9999999999999995E-4</v>
      </c>
      <c r="F333" s="47">
        <f>F330*E333</f>
        <v>2.8043999999999996E-2</v>
      </c>
      <c r="G333" s="109"/>
      <c r="H333" s="48">
        <f>F333*G333</f>
        <v>0</v>
      </c>
      <c r="I333" s="48"/>
      <c r="J333" s="48"/>
      <c r="K333" s="48"/>
      <c r="L333" s="48"/>
      <c r="M333" s="48">
        <f t="shared" si="73"/>
        <v>0</v>
      </c>
    </row>
    <row r="334" spans="1:13" s="308" customFormat="1" ht="31.5" x14ac:dyDescent="0.25">
      <c r="A334" s="372"/>
      <c r="B334" s="45"/>
      <c r="C334" s="646" t="s">
        <v>777</v>
      </c>
      <c r="D334" s="45"/>
      <c r="E334" s="47"/>
      <c r="F334" s="659"/>
      <c r="G334" s="48"/>
      <c r="H334" s="48"/>
      <c r="I334" s="48"/>
      <c r="J334" s="48"/>
      <c r="K334" s="48"/>
      <c r="L334" s="48"/>
      <c r="M334" s="48"/>
    </row>
    <row r="335" spans="1:13" s="308" customFormat="1" ht="16.5" x14ac:dyDescent="0.25">
      <c r="A335" s="985" t="s">
        <v>778</v>
      </c>
      <c r="B335" s="660" t="s">
        <v>779</v>
      </c>
      <c r="C335" s="661" t="s">
        <v>780</v>
      </c>
      <c r="D335" s="160" t="s">
        <v>111</v>
      </c>
      <c r="E335" s="161"/>
      <c r="F335" s="103">
        <v>22.8</v>
      </c>
      <c r="G335" s="33"/>
      <c r="H335" s="33"/>
      <c r="I335" s="33"/>
      <c r="J335" s="33"/>
      <c r="K335" s="33"/>
      <c r="L335" s="26"/>
      <c r="M335" s="26"/>
    </row>
    <row r="336" spans="1:13" s="308" customFormat="1" ht="16.5" x14ac:dyDescent="0.25">
      <c r="A336" s="986"/>
      <c r="B336" s="662"/>
      <c r="C336" s="663" t="s">
        <v>157</v>
      </c>
      <c r="D336" s="664" t="s">
        <v>9</v>
      </c>
      <c r="E336" s="504">
        <v>0.22700000000000001</v>
      </c>
      <c r="F336" s="46">
        <f>F335*E336</f>
        <v>5.1756000000000002</v>
      </c>
      <c r="G336" s="414"/>
      <c r="H336" s="414"/>
      <c r="I336" s="414"/>
      <c r="J336" s="414">
        <f t="shared" ref="J336" si="74">F336*I336</f>
        <v>0</v>
      </c>
      <c r="K336" s="414"/>
      <c r="L336" s="414"/>
      <c r="M336" s="414">
        <f t="shared" ref="M336:M340" si="75">H336+J336+L336</f>
        <v>0</v>
      </c>
    </row>
    <row r="337" spans="1:13" s="308" customFormat="1" ht="16.5" x14ac:dyDescent="0.25">
      <c r="A337" s="986"/>
      <c r="B337" s="662"/>
      <c r="C337" s="663" t="s">
        <v>318</v>
      </c>
      <c r="D337" s="494" t="s">
        <v>7</v>
      </c>
      <c r="E337" s="504">
        <v>2.76E-2</v>
      </c>
      <c r="F337" s="46">
        <f>F335*E337</f>
        <v>0.62928000000000006</v>
      </c>
      <c r="G337" s="414"/>
      <c r="H337" s="414"/>
      <c r="I337" s="414"/>
      <c r="J337" s="414"/>
      <c r="K337" s="414"/>
      <c r="L337" s="414">
        <f t="shared" ref="L337" si="76">F337*K337</f>
        <v>0</v>
      </c>
      <c r="M337" s="414">
        <f t="shared" si="75"/>
        <v>0</v>
      </c>
    </row>
    <row r="338" spans="1:13" s="308" customFormat="1" ht="16.5" x14ac:dyDescent="0.25">
      <c r="A338" s="986"/>
      <c r="B338" s="452"/>
      <c r="C338" s="663" t="s">
        <v>781</v>
      </c>
      <c r="D338" s="664" t="s">
        <v>14</v>
      </c>
      <c r="E338" s="504">
        <v>2.1000000000000001E-2</v>
      </c>
      <c r="F338" s="46">
        <f>F335*E338</f>
        <v>0.47880000000000006</v>
      </c>
      <c r="G338" s="414"/>
      <c r="H338" s="414">
        <f t="shared" ref="H338:H340" si="77">F338*G338</f>
        <v>0</v>
      </c>
      <c r="I338" s="414"/>
      <c r="J338" s="414"/>
      <c r="K338" s="414"/>
      <c r="L338" s="414"/>
      <c r="M338" s="414">
        <f t="shared" si="75"/>
        <v>0</v>
      </c>
    </row>
    <row r="339" spans="1:13" s="308" customFormat="1" ht="16.5" x14ac:dyDescent="0.25">
      <c r="A339" s="986"/>
      <c r="B339" s="452"/>
      <c r="C339" s="663" t="s">
        <v>336</v>
      </c>
      <c r="D339" s="664" t="s">
        <v>5</v>
      </c>
      <c r="E339" s="504">
        <v>7.0000000000000007E-2</v>
      </c>
      <c r="F339" s="46">
        <f>F335*E339</f>
        <v>1.5960000000000003</v>
      </c>
      <c r="G339" s="414"/>
      <c r="H339" s="414">
        <f t="shared" si="77"/>
        <v>0</v>
      </c>
      <c r="I339" s="414"/>
      <c r="J339" s="414"/>
      <c r="K339" s="414"/>
      <c r="L339" s="414"/>
      <c r="M339" s="414">
        <f t="shared" si="75"/>
        <v>0</v>
      </c>
    </row>
    <row r="340" spans="1:13" s="308" customFormat="1" ht="16.5" x14ac:dyDescent="0.25">
      <c r="A340" s="987"/>
      <c r="B340" s="662"/>
      <c r="C340" s="663" t="s">
        <v>122</v>
      </c>
      <c r="D340" s="494" t="s">
        <v>7</v>
      </c>
      <c r="E340" s="504">
        <v>4.4400000000000002E-2</v>
      </c>
      <c r="F340" s="46">
        <f>F335*E340</f>
        <v>1.0123200000000001</v>
      </c>
      <c r="G340" s="414"/>
      <c r="H340" s="414">
        <f t="shared" si="77"/>
        <v>0</v>
      </c>
      <c r="I340" s="414"/>
      <c r="J340" s="414"/>
      <c r="K340" s="414"/>
      <c r="L340" s="414"/>
      <c r="M340" s="414">
        <f t="shared" si="75"/>
        <v>0</v>
      </c>
    </row>
    <row r="341" spans="1:13" s="308" customFormat="1" ht="16.5" x14ac:dyDescent="0.25">
      <c r="A341" s="985" t="s">
        <v>782</v>
      </c>
      <c r="B341" s="150" t="s">
        <v>779</v>
      </c>
      <c r="C341" s="661" t="s">
        <v>783</v>
      </c>
      <c r="D341" s="160" t="s">
        <v>111</v>
      </c>
      <c r="E341" s="161"/>
      <c r="F341" s="103">
        <f>F335</f>
        <v>22.8</v>
      </c>
      <c r="G341" s="33"/>
      <c r="H341" s="33"/>
      <c r="I341" s="33"/>
      <c r="J341" s="33"/>
      <c r="K341" s="33"/>
      <c r="L341" s="26"/>
      <c r="M341" s="26"/>
    </row>
    <row r="342" spans="1:13" s="308" customFormat="1" ht="16.5" x14ac:dyDescent="0.25">
      <c r="A342" s="986"/>
      <c r="B342" s="65"/>
      <c r="C342" s="663" t="s">
        <v>157</v>
      </c>
      <c r="D342" s="665" t="s">
        <v>9</v>
      </c>
      <c r="E342" s="46">
        <v>0.22700000000000001</v>
      </c>
      <c r="F342" s="46">
        <f>F341*E342</f>
        <v>5.1756000000000002</v>
      </c>
      <c r="G342" s="414"/>
      <c r="H342" s="414"/>
      <c r="I342" s="414"/>
      <c r="J342" s="414">
        <f t="shared" ref="J342" si="78">F342*I342</f>
        <v>0</v>
      </c>
      <c r="K342" s="414"/>
      <c r="L342" s="414"/>
      <c r="M342" s="414">
        <f t="shared" ref="M342:M346" si="79">H342+J342+L342</f>
        <v>0</v>
      </c>
    </row>
    <row r="343" spans="1:13" s="308" customFormat="1" ht="16.5" x14ac:dyDescent="0.25">
      <c r="A343" s="986"/>
      <c r="B343" s="65"/>
      <c r="C343" s="663" t="s">
        <v>318</v>
      </c>
      <c r="D343" s="160" t="s">
        <v>7</v>
      </c>
      <c r="E343" s="46">
        <v>2.76E-2</v>
      </c>
      <c r="F343" s="46">
        <f>F341*E343</f>
        <v>0.62928000000000006</v>
      </c>
      <c r="G343" s="414"/>
      <c r="H343" s="414"/>
      <c r="I343" s="414"/>
      <c r="J343" s="414"/>
      <c r="K343" s="414"/>
      <c r="L343" s="414">
        <f t="shared" ref="L343" si="80">F343*K343</f>
        <v>0</v>
      </c>
      <c r="M343" s="414">
        <f t="shared" si="79"/>
        <v>0</v>
      </c>
    </row>
    <row r="344" spans="1:13" s="308" customFormat="1" ht="16.5" x14ac:dyDescent="0.25">
      <c r="A344" s="986"/>
      <c r="B344" s="150"/>
      <c r="C344" s="663" t="s">
        <v>784</v>
      </c>
      <c r="D344" s="665" t="s">
        <v>14</v>
      </c>
      <c r="E344" s="46">
        <v>1.05</v>
      </c>
      <c r="F344" s="46">
        <f>F341*E344</f>
        <v>23.94</v>
      </c>
      <c r="G344" s="414"/>
      <c r="H344" s="414">
        <f t="shared" ref="H344:H346" si="81">F344*G344</f>
        <v>0</v>
      </c>
      <c r="I344" s="414"/>
      <c r="J344" s="414"/>
      <c r="K344" s="414"/>
      <c r="L344" s="414"/>
      <c r="M344" s="414">
        <f t="shared" si="79"/>
        <v>0</v>
      </c>
    </row>
    <row r="345" spans="1:13" s="308" customFormat="1" ht="16.5" x14ac:dyDescent="0.25">
      <c r="A345" s="986"/>
      <c r="B345" s="150"/>
      <c r="C345" s="663" t="s">
        <v>336</v>
      </c>
      <c r="D345" s="665" t="s">
        <v>5</v>
      </c>
      <c r="E345" s="46">
        <v>7.0000000000000007E-2</v>
      </c>
      <c r="F345" s="46">
        <f>F341*E345</f>
        <v>1.5960000000000003</v>
      </c>
      <c r="G345" s="414"/>
      <c r="H345" s="414">
        <f t="shared" si="81"/>
        <v>0</v>
      </c>
      <c r="I345" s="414"/>
      <c r="J345" s="414"/>
      <c r="K345" s="414"/>
      <c r="L345" s="414"/>
      <c r="M345" s="414">
        <f t="shared" si="79"/>
        <v>0</v>
      </c>
    </row>
    <row r="346" spans="1:13" s="308" customFormat="1" ht="16.5" x14ac:dyDescent="0.25">
      <c r="A346" s="987"/>
      <c r="B346" s="65"/>
      <c r="C346" s="663" t="s">
        <v>122</v>
      </c>
      <c r="D346" s="160" t="s">
        <v>7</v>
      </c>
      <c r="E346" s="46">
        <v>4.4400000000000002E-2</v>
      </c>
      <c r="F346" s="46">
        <f>F341*E346</f>
        <v>1.0123200000000001</v>
      </c>
      <c r="G346" s="414"/>
      <c r="H346" s="414">
        <f t="shared" si="81"/>
        <v>0</v>
      </c>
      <c r="I346" s="414"/>
      <c r="J346" s="414"/>
      <c r="K346" s="414"/>
      <c r="L346" s="414"/>
      <c r="M346" s="414">
        <f t="shared" si="79"/>
        <v>0</v>
      </c>
    </row>
    <row r="347" spans="1:13" s="308" customFormat="1" ht="27" x14ac:dyDescent="0.25">
      <c r="A347" s="887" t="s">
        <v>785</v>
      </c>
      <c r="B347" s="27" t="s">
        <v>786</v>
      </c>
      <c r="C347" s="654" t="s">
        <v>787</v>
      </c>
      <c r="D347" s="160" t="s">
        <v>311</v>
      </c>
      <c r="E347" s="161"/>
      <c r="F347" s="610">
        <f>F335</f>
        <v>22.8</v>
      </c>
      <c r="G347" s="414"/>
      <c r="H347" s="414"/>
      <c r="I347" s="414"/>
      <c r="J347" s="414"/>
      <c r="K347" s="414"/>
      <c r="L347" s="414"/>
      <c r="M347" s="414"/>
    </row>
    <row r="348" spans="1:13" s="308" customFormat="1" ht="16.5" x14ac:dyDescent="0.25">
      <c r="A348" s="887"/>
      <c r="B348" s="27"/>
      <c r="C348" s="655" t="s">
        <v>157</v>
      </c>
      <c r="D348" s="160" t="s">
        <v>9</v>
      </c>
      <c r="E348" s="161">
        <v>3.0300000000000001E-2</v>
      </c>
      <c r="F348" s="46">
        <f>F347*E348</f>
        <v>0.69084000000000001</v>
      </c>
      <c r="G348" s="414"/>
      <c r="H348" s="414"/>
      <c r="I348" s="414"/>
      <c r="J348" s="414">
        <f t="shared" ref="J348" si="82">F348*I348</f>
        <v>0</v>
      </c>
      <c r="K348" s="414"/>
      <c r="L348" s="414"/>
      <c r="M348" s="414">
        <f t="shared" ref="M348:M353" si="83">H348+J348+L348</f>
        <v>0</v>
      </c>
    </row>
    <row r="349" spans="1:13" s="308" customFormat="1" ht="16.5" x14ac:dyDescent="0.25">
      <c r="A349" s="887"/>
      <c r="B349" s="27"/>
      <c r="C349" s="655" t="s">
        <v>318</v>
      </c>
      <c r="D349" s="160" t="s">
        <v>7</v>
      </c>
      <c r="E349" s="161">
        <v>4.1000000000000003E-3</v>
      </c>
      <c r="F349" s="46">
        <f>F347*E349</f>
        <v>9.3480000000000008E-2</v>
      </c>
      <c r="G349" s="414"/>
      <c r="H349" s="414"/>
      <c r="I349" s="414"/>
      <c r="J349" s="414"/>
      <c r="K349" s="414"/>
      <c r="L349" s="414">
        <f t="shared" ref="L349" si="84">F349*K349</f>
        <v>0</v>
      </c>
      <c r="M349" s="414">
        <f t="shared" si="83"/>
        <v>0</v>
      </c>
    </row>
    <row r="350" spans="1:13" s="308" customFormat="1" ht="16.5" x14ac:dyDescent="0.25">
      <c r="A350" s="887"/>
      <c r="B350" s="27"/>
      <c r="C350" s="655" t="s">
        <v>319</v>
      </c>
      <c r="D350" s="160" t="s">
        <v>5</v>
      </c>
      <c r="E350" s="161">
        <v>0.23100000000000001</v>
      </c>
      <c r="F350" s="46">
        <f>F347*E350</f>
        <v>5.2668000000000008</v>
      </c>
      <c r="G350" s="414"/>
      <c r="H350" s="414">
        <f t="shared" ref="H350:H353" si="85">F350*G350</f>
        <v>0</v>
      </c>
      <c r="I350" s="414"/>
      <c r="J350" s="414"/>
      <c r="K350" s="414"/>
      <c r="L350" s="414"/>
      <c r="M350" s="414">
        <f t="shared" si="83"/>
        <v>0</v>
      </c>
    </row>
    <row r="351" spans="1:13" s="308" customFormat="1" ht="16.5" x14ac:dyDescent="0.25">
      <c r="A351" s="887"/>
      <c r="B351" s="27"/>
      <c r="C351" s="655" t="s">
        <v>320</v>
      </c>
      <c r="D351" s="160" t="s">
        <v>5</v>
      </c>
      <c r="E351" s="161">
        <v>5.8000000000000003E-2</v>
      </c>
      <c r="F351" s="46">
        <f>F347*E351</f>
        <v>1.3224</v>
      </c>
      <c r="G351" s="414"/>
      <c r="H351" s="414">
        <f t="shared" si="85"/>
        <v>0</v>
      </c>
      <c r="I351" s="414"/>
      <c r="J351" s="414"/>
      <c r="K351" s="414"/>
      <c r="L351" s="414"/>
      <c r="M351" s="414">
        <f t="shared" si="83"/>
        <v>0</v>
      </c>
    </row>
    <row r="352" spans="1:13" s="308" customFormat="1" ht="16.5" x14ac:dyDescent="0.25">
      <c r="A352" s="887"/>
      <c r="B352" s="27"/>
      <c r="C352" s="655" t="s">
        <v>321</v>
      </c>
      <c r="D352" s="160" t="s">
        <v>5</v>
      </c>
      <c r="E352" s="161">
        <v>3.5000000000000003E-2</v>
      </c>
      <c r="F352" s="46">
        <f>F347*E352</f>
        <v>0.79800000000000015</v>
      </c>
      <c r="G352" s="414"/>
      <c r="H352" s="414">
        <f t="shared" si="85"/>
        <v>0</v>
      </c>
      <c r="I352" s="414"/>
      <c r="J352" s="414"/>
      <c r="K352" s="414"/>
      <c r="L352" s="414"/>
      <c r="M352" s="414">
        <f t="shared" si="83"/>
        <v>0</v>
      </c>
    </row>
    <row r="353" spans="1:13" s="308" customFormat="1" ht="16.5" x14ac:dyDescent="0.25">
      <c r="A353" s="887"/>
      <c r="B353" s="27"/>
      <c r="C353" s="655" t="s">
        <v>122</v>
      </c>
      <c r="D353" s="160" t="s">
        <v>7</v>
      </c>
      <c r="E353" s="161">
        <v>4.0000000000000002E-4</v>
      </c>
      <c r="F353" s="46">
        <f>F347*E353</f>
        <v>9.1200000000000014E-3</v>
      </c>
      <c r="G353" s="414"/>
      <c r="H353" s="414">
        <f t="shared" si="85"/>
        <v>0</v>
      </c>
      <c r="I353" s="414"/>
      <c r="J353" s="414"/>
      <c r="K353" s="414"/>
      <c r="L353" s="414"/>
      <c r="M353" s="414">
        <f t="shared" si="83"/>
        <v>0</v>
      </c>
    </row>
    <row r="354" spans="1:13" s="308" customFormat="1" ht="27" x14ac:dyDescent="0.25">
      <c r="A354" s="887" t="s">
        <v>788</v>
      </c>
      <c r="B354" s="656" t="s">
        <v>789</v>
      </c>
      <c r="C354" s="654" t="s">
        <v>790</v>
      </c>
      <c r="D354" s="160" t="s">
        <v>311</v>
      </c>
      <c r="E354" s="161"/>
      <c r="F354" s="436">
        <f>F335</f>
        <v>22.8</v>
      </c>
      <c r="G354" s="414"/>
      <c r="H354" s="414"/>
      <c r="I354" s="414"/>
      <c r="J354" s="414"/>
      <c r="K354" s="414"/>
      <c r="L354" s="414"/>
      <c r="M354" s="414"/>
    </row>
    <row r="355" spans="1:13" s="308" customFormat="1" ht="16.5" x14ac:dyDescent="0.25">
      <c r="A355" s="887"/>
      <c r="B355" s="656"/>
      <c r="C355" s="655" t="s">
        <v>157</v>
      </c>
      <c r="D355" s="160" t="s">
        <v>9</v>
      </c>
      <c r="E355" s="161">
        <v>6.9199999999999998E-2</v>
      </c>
      <c r="F355" s="46">
        <f>F354*E355</f>
        <v>1.5777600000000001</v>
      </c>
      <c r="G355" s="414"/>
      <c r="H355" s="414"/>
      <c r="I355" s="414"/>
      <c r="J355" s="414">
        <f t="shared" ref="J355" si="86">F355*I355</f>
        <v>0</v>
      </c>
      <c r="K355" s="414"/>
      <c r="L355" s="414"/>
      <c r="M355" s="414">
        <f t="shared" ref="M355:M357" si="87">H355+J355+L355</f>
        <v>0</v>
      </c>
    </row>
    <row r="356" spans="1:13" s="308" customFormat="1" ht="16.5" x14ac:dyDescent="0.25">
      <c r="A356" s="887"/>
      <c r="B356" s="656"/>
      <c r="C356" s="655" t="s">
        <v>318</v>
      </c>
      <c r="D356" s="160" t="s">
        <v>7</v>
      </c>
      <c r="E356" s="161">
        <v>1.6000000000000001E-3</v>
      </c>
      <c r="F356" s="46">
        <f>F354*E356</f>
        <v>3.6480000000000005E-2</v>
      </c>
      <c r="G356" s="414"/>
      <c r="H356" s="414"/>
      <c r="I356" s="414"/>
      <c r="J356" s="414"/>
      <c r="K356" s="414"/>
      <c r="L356" s="414">
        <f t="shared" ref="L356" si="88">F356*K356</f>
        <v>0</v>
      </c>
      <c r="M356" s="414">
        <f t="shared" si="87"/>
        <v>0</v>
      </c>
    </row>
    <row r="357" spans="1:13" s="308" customFormat="1" ht="16.5" x14ac:dyDescent="0.25">
      <c r="A357" s="887"/>
      <c r="B357" s="656"/>
      <c r="C357" s="655" t="s">
        <v>770</v>
      </c>
      <c r="D357" s="160" t="s">
        <v>5</v>
      </c>
      <c r="E357" s="161">
        <v>0.4</v>
      </c>
      <c r="F357" s="46">
        <f>F354*E357</f>
        <v>9.120000000000001</v>
      </c>
      <c r="G357" s="414"/>
      <c r="H357" s="414">
        <f t="shared" ref="H357" si="89">F357*G357</f>
        <v>0</v>
      </c>
      <c r="I357" s="414"/>
      <c r="J357" s="414"/>
      <c r="K357" s="414"/>
      <c r="L357" s="414"/>
      <c r="M357" s="414">
        <f t="shared" si="87"/>
        <v>0</v>
      </c>
    </row>
    <row r="358" spans="1:13" s="308" customFormat="1" ht="31.5" x14ac:dyDescent="0.25">
      <c r="A358" s="985" t="s">
        <v>791</v>
      </c>
      <c r="B358" s="84" t="s">
        <v>792</v>
      </c>
      <c r="C358" s="661" t="s">
        <v>793</v>
      </c>
      <c r="D358" s="160" t="s">
        <v>111</v>
      </c>
      <c r="E358" s="161"/>
      <c r="F358" s="103">
        <f>F335</f>
        <v>22.8</v>
      </c>
      <c r="G358" s="33"/>
      <c r="H358" s="33"/>
      <c r="I358" s="33"/>
      <c r="J358" s="33"/>
      <c r="K358" s="33"/>
      <c r="L358" s="26"/>
      <c r="M358" s="26"/>
    </row>
    <row r="359" spans="1:13" s="308" customFormat="1" ht="33" x14ac:dyDescent="0.25">
      <c r="A359" s="986"/>
      <c r="B359" s="27"/>
      <c r="C359" s="306" t="s">
        <v>73</v>
      </c>
      <c r="D359" s="203" t="s">
        <v>9</v>
      </c>
      <c r="E359" s="226">
        <v>0.497</v>
      </c>
      <c r="F359" s="203">
        <f>F358*E359</f>
        <v>11.3316</v>
      </c>
      <c r="G359" s="226"/>
      <c r="H359" s="15"/>
      <c r="I359" s="226"/>
      <c r="J359" s="15">
        <f t="shared" ref="J359" si="90">F359*I359</f>
        <v>0</v>
      </c>
      <c r="K359" s="226"/>
      <c r="L359" s="15"/>
      <c r="M359" s="15">
        <f t="shared" ref="M359:M362" si="91">H359+J359+L359</f>
        <v>0</v>
      </c>
    </row>
    <row r="360" spans="1:13" s="308" customFormat="1" ht="33" x14ac:dyDescent="0.25">
      <c r="A360" s="986"/>
      <c r="B360" s="27"/>
      <c r="C360" s="306" t="s">
        <v>21</v>
      </c>
      <c r="D360" s="203" t="s">
        <v>7</v>
      </c>
      <c r="E360" s="226">
        <v>2.8400000000000002E-2</v>
      </c>
      <c r="F360" s="203">
        <f>F358*E360</f>
        <v>0.6475200000000001</v>
      </c>
      <c r="G360" s="226"/>
      <c r="H360" s="15"/>
      <c r="I360" s="226"/>
      <c r="J360" s="15"/>
      <c r="K360" s="226"/>
      <c r="L360" s="15">
        <f t="shared" ref="L360" si="92">F360*K360</f>
        <v>0</v>
      </c>
      <c r="M360" s="15">
        <f t="shared" si="91"/>
        <v>0</v>
      </c>
    </row>
    <row r="361" spans="1:13" s="308" customFormat="1" ht="31.5" x14ac:dyDescent="0.25">
      <c r="A361" s="986"/>
      <c r="B361" s="27"/>
      <c r="C361" s="149" t="s">
        <v>794</v>
      </c>
      <c r="D361" s="71" t="s">
        <v>111</v>
      </c>
      <c r="E361" s="72">
        <v>1.26</v>
      </c>
      <c r="F361" s="73">
        <f>F358*E361</f>
        <v>28.728000000000002</v>
      </c>
      <c r="G361" s="33"/>
      <c r="H361" s="15">
        <f t="shared" ref="H361:H362" si="93">F361*G361</f>
        <v>0</v>
      </c>
      <c r="I361" s="33"/>
      <c r="J361" s="15"/>
      <c r="K361" s="33"/>
      <c r="L361" s="15"/>
      <c r="M361" s="15">
        <f t="shared" si="91"/>
        <v>0</v>
      </c>
    </row>
    <row r="362" spans="1:13" s="308" customFormat="1" ht="33" x14ac:dyDescent="0.25">
      <c r="A362" s="987"/>
      <c r="B362" s="203"/>
      <c r="C362" s="306" t="s">
        <v>10</v>
      </c>
      <c r="D362" s="203" t="s">
        <v>7</v>
      </c>
      <c r="E362" s="203">
        <v>2.06E-2</v>
      </c>
      <c r="F362" s="203">
        <f>F358*E362</f>
        <v>0.46968000000000004</v>
      </c>
      <c r="G362" s="226"/>
      <c r="H362" s="15">
        <f t="shared" si="93"/>
        <v>0</v>
      </c>
      <c r="I362" s="226"/>
      <c r="J362" s="15"/>
      <c r="K362" s="15"/>
      <c r="L362" s="15"/>
      <c r="M362" s="15">
        <f t="shared" si="91"/>
        <v>0</v>
      </c>
    </row>
    <row r="363" spans="1:13" s="308" customFormat="1" ht="16.5" x14ac:dyDescent="0.25">
      <c r="A363" s="874" t="s">
        <v>795</v>
      </c>
      <c r="B363" s="45" t="s">
        <v>796</v>
      </c>
      <c r="C363" s="265" t="s">
        <v>797</v>
      </c>
      <c r="D363" s="38" t="s">
        <v>94</v>
      </c>
      <c r="E363" s="47"/>
      <c r="F363" s="41">
        <f>3.1*6</f>
        <v>18.600000000000001</v>
      </c>
      <c r="G363" s="48"/>
      <c r="H363" s="48"/>
      <c r="I363" s="48"/>
      <c r="J363" s="48"/>
      <c r="K363" s="48"/>
      <c r="L363" s="48"/>
      <c r="M363" s="48"/>
    </row>
    <row r="364" spans="1:13" s="308" customFormat="1" ht="16.5" x14ac:dyDescent="0.25">
      <c r="A364" s="874"/>
      <c r="B364" s="45"/>
      <c r="C364" s="356" t="s">
        <v>157</v>
      </c>
      <c r="D364" s="45" t="s">
        <v>9</v>
      </c>
      <c r="E364" s="355">
        <v>0.83</v>
      </c>
      <c r="F364" s="47">
        <f>F363*E364</f>
        <v>15.438000000000001</v>
      </c>
      <c r="G364" s="48"/>
      <c r="H364" s="48"/>
      <c r="I364" s="109"/>
      <c r="J364" s="48">
        <f>F364*I364</f>
        <v>0</v>
      </c>
      <c r="K364" s="48"/>
      <c r="L364" s="48"/>
      <c r="M364" s="48">
        <f t="shared" ref="M364:M368" si="94">H364+J364+L364</f>
        <v>0</v>
      </c>
    </row>
    <row r="365" spans="1:13" s="308" customFormat="1" ht="16.5" x14ac:dyDescent="0.25">
      <c r="A365" s="874"/>
      <c r="B365" s="45"/>
      <c r="C365" s="356" t="s">
        <v>8</v>
      </c>
      <c r="D365" s="45" t="s">
        <v>7</v>
      </c>
      <c r="E365" s="355">
        <v>4.1000000000000003E-3</v>
      </c>
      <c r="F365" s="47">
        <f>F363*E365</f>
        <v>7.6260000000000008E-2</v>
      </c>
      <c r="G365" s="48"/>
      <c r="H365" s="48"/>
      <c r="I365" s="48"/>
      <c r="J365" s="48"/>
      <c r="K365" s="109"/>
      <c r="L365" s="48">
        <f>F365*K365</f>
        <v>0</v>
      </c>
      <c r="M365" s="48">
        <f t="shared" si="94"/>
        <v>0</v>
      </c>
    </row>
    <row r="366" spans="1:13" s="308" customFormat="1" ht="16.5" x14ac:dyDescent="0.25">
      <c r="A366" s="874"/>
      <c r="B366" s="45"/>
      <c r="C366" s="356" t="s">
        <v>798</v>
      </c>
      <c r="D366" s="45" t="s">
        <v>211</v>
      </c>
      <c r="E366" s="47">
        <v>1.1000000000000001</v>
      </c>
      <c r="F366" s="47">
        <f>F363*E366</f>
        <v>20.460000000000004</v>
      </c>
      <c r="G366" s="48"/>
      <c r="H366" s="48">
        <f>F366*G366</f>
        <v>0</v>
      </c>
      <c r="I366" s="48"/>
      <c r="J366" s="48"/>
      <c r="K366" s="48"/>
      <c r="L366" s="48"/>
      <c r="M366" s="48">
        <f t="shared" si="94"/>
        <v>0</v>
      </c>
    </row>
    <row r="367" spans="1:13" s="308" customFormat="1" ht="16.5" x14ac:dyDescent="0.25">
      <c r="A367" s="874"/>
      <c r="B367" s="45"/>
      <c r="C367" s="111" t="s">
        <v>326</v>
      </c>
      <c r="D367" s="45" t="s">
        <v>202</v>
      </c>
      <c r="E367" s="47">
        <v>3</v>
      </c>
      <c r="F367" s="47">
        <f>F363*E367</f>
        <v>55.800000000000004</v>
      </c>
      <c r="G367" s="48"/>
      <c r="H367" s="48">
        <f>F367*G367</f>
        <v>0</v>
      </c>
      <c r="I367" s="48"/>
      <c r="J367" s="48"/>
      <c r="K367" s="48"/>
      <c r="L367" s="48"/>
      <c r="M367" s="48">
        <f t="shared" si="94"/>
        <v>0</v>
      </c>
    </row>
    <row r="368" spans="1:13" s="308" customFormat="1" ht="16.5" x14ac:dyDescent="0.25">
      <c r="A368" s="874"/>
      <c r="B368" s="45"/>
      <c r="C368" s="111" t="s">
        <v>122</v>
      </c>
      <c r="D368" s="45" t="s">
        <v>7</v>
      </c>
      <c r="E368" s="47">
        <v>7.8E-2</v>
      </c>
      <c r="F368" s="47">
        <f>F363*E368</f>
        <v>1.4508000000000001</v>
      </c>
      <c r="G368" s="48"/>
      <c r="H368" s="48">
        <f>F368*G368</f>
        <v>0</v>
      </c>
      <c r="I368" s="48"/>
      <c r="J368" s="48"/>
      <c r="K368" s="48"/>
      <c r="L368" s="48"/>
      <c r="M368" s="48">
        <f t="shared" si="94"/>
        <v>0</v>
      </c>
    </row>
    <row r="369" spans="1:13" s="348" customFormat="1" ht="94.5" x14ac:dyDescent="0.25">
      <c r="A369" s="878" t="s">
        <v>718</v>
      </c>
      <c r="B369" s="582" t="s">
        <v>611</v>
      </c>
      <c r="C369" s="265" t="s">
        <v>156</v>
      </c>
      <c r="D369" s="38" t="s">
        <v>14</v>
      </c>
      <c r="E369" s="47"/>
      <c r="F369" s="41">
        <v>12</v>
      </c>
      <c r="G369" s="48"/>
      <c r="H369" s="48"/>
      <c r="I369" s="48"/>
      <c r="J369" s="48"/>
      <c r="K369" s="48"/>
      <c r="L369" s="48"/>
      <c r="M369" s="48"/>
    </row>
    <row r="370" spans="1:13" s="348" customFormat="1" ht="16.5" x14ac:dyDescent="0.25">
      <c r="A370" s="879"/>
      <c r="B370" s="45"/>
      <c r="C370" s="581" t="s">
        <v>157</v>
      </c>
      <c r="D370" s="152" t="s">
        <v>9</v>
      </c>
      <c r="E370" s="375">
        <v>0.6</v>
      </c>
      <c r="F370" s="154">
        <f>F369*E370</f>
        <v>7.1999999999999993</v>
      </c>
      <c r="G370" s="63"/>
      <c r="H370" s="48"/>
      <c r="I370" s="63"/>
      <c r="J370" s="48">
        <f>F370*I370</f>
        <v>0</v>
      </c>
      <c r="K370" s="48"/>
      <c r="L370" s="48"/>
      <c r="M370" s="48">
        <f t="shared" ref="M370" si="95">H370+J370+L370</f>
        <v>0</v>
      </c>
    </row>
    <row r="371" spans="1:13" s="348" customFormat="1" ht="47.25" x14ac:dyDescent="0.25">
      <c r="A371" s="879"/>
      <c r="B371" s="666" t="s">
        <v>425</v>
      </c>
      <c r="C371" s="583" t="s">
        <v>158</v>
      </c>
      <c r="D371" s="38" t="s">
        <v>83</v>
      </c>
      <c r="E371" s="375"/>
      <c r="F371" s="62">
        <f>F369*1.8</f>
        <v>21.6</v>
      </c>
      <c r="G371" s="63"/>
      <c r="H371" s="48"/>
      <c r="I371" s="63"/>
      <c r="J371" s="48"/>
      <c r="K371" s="63"/>
      <c r="L371" s="48"/>
      <c r="M371" s="48"/>
    </row>
    <row r="372" spans="1:13" s="348" customFormat="1" ht="16.5" x14ac:dyDescent="0.25">
      <c r="A372" s="879"/>
      <c r="B372" s="155"/>
      <c r="C372" s="151" t="s">
        <v>159</v>
      </c>
      <c r="D372" s="152" t="s">
        <v>9</v>
      </c>
      <c r="E372" s="375">
        <v>0.53</v>
      </c>
      <c r="F372" s="154">
        <f>F371*E372</f>
        <v>11.448000000000002</v>
      </c>
      <c r="G372" s="63"/>
      <c r="H372" s="48"/>
      <c r="I372" s="63"/>
      <c r="J372" s="48">
        <f>F372*I372</f>
        <v>0</v>
      </c>
      <c r="K372" s="63"/>
      <c r="L372" s="48"/>
      <c r="M372" s="48">
        <f t="shared" ref="M372:M373" si="96">H372+J372+L372</f>
        <v>0</v>
      </c>
    </row>
    <row r="373" spans="1:13" s="348" customFormat="1" ht="31.5" x14ac:dyDescent="0.25">
      <c r="A373" s="895"/>
      <c r="B373" s="45" t="s">
        <v>612</v>
      </c>
      <c r="C373" s="157" t="s">
        <v>161</v>
      </c>
      <c r="D373" s="38" t="s">
        <v>83</v>
      </c>
      <c r="E373" s="375"/>
      <c r="F373" s="62">
        <f>F371</f>
        <v>21.6</v>
      </c>
      <c r="G373" s="63"/>
      <c r="H373" s="48"/>
      <c r="I373" s="63"/>
      <c r="J373" s="48"/>
      <c r="K373" s="63"/>
      <c r="L373" s="48">
        <f>F373*K373</f>
        <v>0</v>
      </c>
      <c r="M373" s="48">
        <f t="shared" si="96"/>
        <v>0</v>
      </c>
    </row>
    <row r="374" spans="1:13" s="348" customFormat="1" ht="16.5" x14ac:dyDescent="0.25">
      <c r="A374" s="45"/>
      <c r="B374" s="45"/>
      <c r="C374" s="265"/>
      <c r="D374" s="38"/>
      <c r="E374" s="47"/>
      <c r="F374" s="47"/>
      <c r="G374" s="48"/>
      <c r="H374" s="48"/>
      <c r="I374" s="48"/>
      <c r="J374" s="48"/>
      <c r="K374" s="48"/>
      <c r="L374" s="48"/>
      <c r="M374" s="48"/>
    </row>
    <row r="375" spans="1:13" s="348" customFormat="1" ht="16.5" x14ac:dyDescent="0.25">
      <c r="A375" s="45"/>
      <c r="B375" s="45"/>
      <c r="C375" s="265"/>
      <c r="D375" s="38"/>
      <c r="E375" s="47"/>
      <c r="F375" s="47"/>
      <c r="G375" s="48"/>
      <c r="H375" s="48"/>
      <c r="I375" s="48"/>
      <c r="J375" s="48"/>
      <c r="K375" s="48"/>
      <c r="L375" s="48"/>
      <c r="M375" s="48"/>
    </row>
    <row r="376" spans="1:13" s="308" customFormat="1" ht="16.5" x14ac:dyDescent="0.25">
      <c r="A376" s="45"/>
      <c r="B376" s="45"/>
      <c r="C376" s="265"/>
      <c r="D376" s="38"/>
      <c r="E376" s="47"/>
      <c r="F376" s="47"/>
      <c r="G376" s="48"/>
      <c r="H376" s="48"/>
      <c r="I376" s="48"/>
      <c r="J376" s="48"/>
      <c r="K376" s="48"/>
      <c r="L376" s="48"/>
      <c r="M376" s="48"/>
    </row>
    <row r="377" spans="1:13" s="308" customFormat="1" ht="31.5" x14ac:dyDescent="0.25">
      <c r="A377" s="576"/>
      <c r="B377" s="576"/>
      <c r="C377" s="577" t="s">
        <v>800</v>
      </c>
      <c r="D377" s="578"/>
      <c r="E377" s="579"/>
      <c r="F377" s="579"/>
      <c r="G377" s="667"/>
      <c r="H377" s="667">
        <f>SUM(H10:H376)</f>
        <v>0</v>
      </c>
      <c r="I377" s="667"/>
      <c r="J377" s="667">
        <f>SUM(J10:J376)</f>
        <v>0</v>
      </c>
      <c r="K377" s="667"/>
      <c r="L377" s="667">
        <f>SUM(L10:L376)</f>
        <v>0</v>
      </c>
      <c r="M377" s="667">
        <f>SUM(M10:M376)</f>
        <v>0</v>
      </c>
    </row>
    <row r="378" spans="1:13" s="308" customFormat="1" ht="63" x14ac:dyDescent="0.25">
      <c r="A378" s="45"/>
      <c r="B378" s="117"/>
      <c r="C378" s="668" t="s">
        <v>801</v>
      </c>
      <c r="D378" s="384"/>
      <c r="E378" s="243"/>
      <c r="F378" s="669"/>
      <c r="G378" s="670"/>
      <c r="H378" s="670"/>
      <c r="I378" s="670"/>
      <c r="J378" s="670"/>
      <c r="K378" s="670"/>
      <c r="L378" s="670"/>
      <c r="M378" s="670">
        <f>H377*F378</f>
        <v>0</v>
      </c>
    </row>
    <row r="379" spans="1:13" s="308" customFormat="1" ht="16.5" x14ac:dyDescent="0.25">
      <c r="A379" s="45"/>
      <c r="B379" s="117"/>
      <c r="C379" s="671"/>
      <c r="D379" s="384"/>
      <c r="E379" s="243"/>
      <c r="F379" s="243"/>
      <c r="G379" s="670"/>
      <c r="H379" s="670"/>
      <c r="I379" s="670"/>
      <c r="J379" s="670"/>
      <c r="K379" s="670"/>
      <c r="L379" s="670"/>
      <c r="M379" s="670">
        <f>M377+M378</f>
        <v>0</v>
      </c>
    </row>
    <row r="380" spans="1:13" s="308" customFormat="1" ht="16.5" x14ac:dyDescent="0.25">
      <c r="A380" s="45"/>
      <c r="B380" s="117"/>
      <c r="C380" s="668" t="s">
        <v>164</v>
      </c>
      <c r="D380" s="384"/>
      <c r="E380" s="672"/>
      <c r="F380" s="673"/>
      <c r="G380" s="377"/>
      <c r="H380" s="377"/>
      <c r="I380" s="377"/>
      <c r="J380" s="377"/>
      <c r="K380" s="377"/>
      <c r="L380" s="377"/>
      <c r="M380" s="377">
        <f>M379*F380</f>
        <v>0</v>
      </c>
    </row>
    <row r="381" spans="1:13" s="676" customFormat="1" ht="16.5" x14ac:dyDescent="0.25">
      <c r="A381" s="118"/>
      <c r="B381" s="106"/>
      <c r="C381" s="674"/>
      <c r="D381" s="389"/>
      <c r="E381" s="392"/>
      <c r="F381" s="392"/>
      <c r="G381" s="675"/>
      <c r="H381" s="675"/>
      <c r="I381" s="675"/>
      <c r="J381" s="675" t="s">
        <v>41</v>
      </c>
      <c r="K381" s="675"/>
      <c r="L381" s="675"/>
      <c r="M381" s="675">
        <f>M379+M380</f>
        <v>0</v>
      </c>
    </row>
    <row r="382" spans="1:13" s="308" customFormat="1" ht="16.5" x14ac:dyDescent="0.25">
      <c r="A382" s="118"/>
      <c r="B382" s="106"/>
      <c r="C382" s="677" t="s">
        <v>165</v>
      </c>
      <c r="D382" s="389"/>
      <c r="E382" s="376"/>
      <c r="F382" s="678"/>
      <c r="G382" s="393"/>
      <c r="H382" s="393"/>
      <c r="I382" s="393"/>
      <c r="J382" s="393"/>
      <c r="K382" s="393"/>
      <c r="L382" s="393"/>
      <c r="M382" s="393">
        <f>M381*F382</f>
        <v>0</v>
      </c>
    </row>
    <row r="383" spans="1:13" s="676" customFormat="1" ht="16.5" x14ac:dyDescent="0.25">
      <c r="A383" s="679"/>
      <c r="B383" s="680"/>
      <c r="C383" s="577" t="s">
        <v>802</v>
      </c>
      <c r="D383" s="681"/>
      <c r="E383" s="682"/>
      <c r="F383" s="682"/>
      <c r="G383" s="683"/>
      <c r="H383" s="683"/>
      <c r="I383" s="683"/>
      <c r="J383" s="683" t="s">
        <v>41</v>
      </c>
      <c r="K383" s="683"/>
      <c r="L383" s="683"/>
      <c r="M383" s="684">
        <f>M381+M382</f>
        <v>0</v>
      </c>
    </row>
    <row r="384" spans="1:13" s="308" customFormat="1" ht="31.5" x14ac:dyDescent="0.25">
      <c r="A384" s="45"/>
      <c r="B384" s="45"/>
      <c r="C384" s="44" t="s">
        <v>4</v>
      </c>
      <c r="D384" s="38"/>
      <c r="E384" s="47"/>
      <c r="F384" s="471">
        <v>0.03</v>
      </c>
      <c r="G384" s="48"/>
      <c r="H384" s="48"/>
      <c r="I384" s="48"/>
      <c r="J384" s="48"/>
      <c r="K384" s="48"/>
      <c r="L384" s="48"/>
      <c r="M384" s="48">
        <f>M383*F384</f>
        <v>0</v>
      </c>
    </row>
    <row r="385" spans="1:13" s="308" customFormat="1" ht="16.5" x14ac:dyDescent="0.25">
      <c r="A385" s="45"/>
      <c r="B385" s="45"/>
      <c r="C385" s="44"/>
      <c r="D385" s="38"/>
      <c r="E385" s="47"/>
      <c r="F385" s="88"/>
      <c r="G385" s="48"/>
      <c r="H385" s="48"/>
      <c r="I385" s="48"/>
      <c r="J385" s="48"/>
      <c r="K385" s="48"/>
      <c r="L385" s="48"/>
      <c r="M385" s="48">
        <f>M383+M384</f>
        <v>0</v>
      </c>
    </row>
    <row r="386" spans="1:13" s="308" customFormat="1" ht="16.5" x14ac:dyDescent="0.25">
      <c r="A386" s="45"/>
      <c r="B386" s="45"/>
      <c r="C386" s="44"/>
      <c r="D386" s="38"/>
      <c r="E386" s="47"/>
      <c r="F386" s="41" t="s">
        <v>169</v>
      </c>
      <c r="G386" s="48"/>
      <c r="H386" s="48"/>
      <c r="I386" s="48"/>
      <c r="J386" s="48"/>
      <c r="K386" s="48"/>
      <c r="L386" s="48"/>
      <c r="M386" s="48">
        <f>M385*F386</f>
        <v>0</v>
      </c>
    </row>
    <row r="387" spans="1:13" s="308" customFormat="1" ht="31.5" x14ac:dyDescent="0.25">
      <c r="A387" s="576"/>
      <c r="B387" s="576"/>
      <c r="C387" s="577" t="s">
        <v>803</v>
      </c>
      <c r="D387" s="578"/>
      <c r="E387" s="648"/>
      <c r="F387" s="579"/>
      <c r="G387" s="685"/>
      <c r="H387" s="685"/>
      <c r="I387" s="685"/>
      <c r="J387" s="685"/>
      <c r="K387" s="685"/>
      <c r="L387" s="685"/>
      <c r="M387" s="667">
        <f>M385+M386</f>
        <v>0</v>
      </c>
    </row>
    <row r="388" spans="1:13" s="308" customFormat="1" ht="16.5" x14ac:dyDescent="0.25">
      <c r="A388" s="472"/>
      <c r="B388" s="472"/>
      <c r="C388" s="686"/>
      <c r="D388" s="311"/>
      <c r="E388" s="687"/>
      <c r="F388" s="687"/>
      <c r="G388" s="398"/>
      <c r="H388" s="398"/>
      <c r="I388" s="398"/>
      <c r="J388" s="398"/>
      <c r="K388" s="398"/>
      <c r="L388" s="398"/>
      <c r="M388" s="398"/>
    </row>
    <row r="389" spans="1:13" s="308" customFormat="1" ht="16.5" x14ac:dyDescent="0.25">
      <c r="A389" s="472"/>
      <c r="B389" s="472"/>
      <c r="C389" s="686"/>
      <c r="D389" s="311"/>
      <c r="E389" s="687"/>
      <c r="F389" s="687"/>
      <c r="G389" s="398"/>
      <c r="H389" s="398"/>
      <c r="I389" s="398"/>
      <c r="J389" s="398"/>
      <c r="K389" s="398"/>
      <c r="L389" s="398"/>
      <c r="M389" s="398"/>
    </row>
    <row r="390" spans="1:13" s="308" customFormat="1" ht="16.5" x14ac:dyDescent="0.25">
      <c r="A390" s="472"/>
      <c r="B390" s="472"/>
      <c r="C390" s="688"/>
      <c r="D390" s="689"/>
      <c r="E390" s="690"/>
      <c r="F390" s="687"/>
      <c r="G390" s="398"/>
      <c r="H390" s="398"/>
      <c r="I390" s="398"/>
      <c r="J390" s="398"/>
      <c r="K390" s="398"/>
      <c r="L390" s="398"/>
      <c r="M390" s="398"/>
    </row>
  </sheetData>
  <mergeCells count="67">
    <mergeCell ref="A1:M1"/>
    <mergeCell ref="A2:M2"/>
    <mergeCell ref="A3:M3"/>
    <mergeCell ref="A5:M5"/>
    <mergeCell ref="A7:A8"/>
    <mergeCell ref="B7:B8"/>
    <mergeCell ref="C7:C8"/>
    <mergeCell ref="D7:D8"/>
    <mergeCell ref="E7:F7"/>
    <mergeCell ref="G7:H7"/>
    <mergeCell ref="A21:A22"/>
    <mergeCell ref="A12:A19"/>
    <mergeCell ref="I7:J7"/>
    <mergeCell ref="K7:L7"/>
    <mergeCell ref="M7:M8"/>
    <mergeCell ref="A24:A25"/>
    <mergeCell ref="A26:A28"/>
    <mergeCell ref="A30:A31"/>
    <mergeCell ref="A32:A36"/>
    <mergeCell ref="A37:A45"/>
    <mergeCell ref="A47:A52"/>
    <mergeCell ref="A63:A69"/>
    <mergeCell ref="A92:A96"/>
    <mergeCell ref="A97:A102"/>
    <mergeCell ref="A54:A62"/>
    <mergeCell ref="A116:A117"/>
    <mergeCell ref="A70:A75"/>
    <mergeCell ref="A77:A78"/>
    <mergeCell ref="A79:A83"/>
    <mergeCell ref="A84:A90"/>
    <mergeCell ref="A369:A373"/>
    <mergeCell ref="A354:A357"/>
    <mergeCell ref="A280:A281"/>
    <mergeCell ref="A282:A286"/>
    <mergeCell ref="A287:A291"/>
    <mergeCell ref="A292:A300"/>
    <mergeCell ref="A319:A325"/>
    <mergeCell ref="A326:A329"/>
    <mergeCell ref="A330:A333"/>
    <mergeCell ref="A335:A340"/>
    <mergeCell ref="A341:A346"/>
    <mergeCell ref="A347:A353"/>
    <mergeCell ref="A227:A230"/>
    <mergeCell ref="A358:A362"/>
    <mergeCell ref="A363:A368"/>
    <mergeCell ref="A261:A263"/>
    <mergeCell ref="A253:A258"/>
    <mergeCell ref="A248:A252"/>
    <mergeCell ref="A232:A233"/>
    <mergeCell ref="A234:A238"/>
    <mergeCell ref="A239:A247"/>
    <mergeCell ref="B97:B98"/>
    <mergeCell ref="C97:C98"/>
    <mergeCell ref="A103:A108"/>
    <mergeCell ref="A109:A114"/>
    <mergeCell ref="A223:A226"/>
    <mergeCell ref="A118:A122"/>
    <mergeCell ref="A123:A128"/>
    <mergeCell ref="A129:A134"/>
    <mergeCell ref="A136:A144"/>
    <mergeCell ref="A145:A164"/>
    <mergeCell ref="A165:A169"/>
    <mergeCell ref="A170:A176"/>
    <mergeCell ref="A179:A180"/>
    <mergeCell ref="A181:A185"/>
    <mergeCell ref="A186:A193"/>
    <mergeCell ref="A216:A222"/>
  </mergeCells>
  <conditionalFormatting sqref="C303:D330 F329 F334 D129:D130 C129 D132:D134 C133:C134 C259:D259 C188:D226">
    <cfRule type="cellIs" dxfId="4" priority="5" stopIfTrue="1" operator="equal">
      <formula>8223.307275</formula>
    </cfRule>
  </conditionalFormatting>
  <conditionalFormatting sqref="C181:D181 C183:D186 C227:D227 C177:D179">
    <cfRule type="cellIs" dxfId="3" priority="4" stopIfTrue="1" operator="equal">
      <formula>8223.307275</formula>
    </cfRule>
  </conditionalFormatting>
  <conditionalFormatting sqref="C231:D258">
    <cfRule type="cellIs" dxfId="2" priority="3" stopIfTrue="1" operator="equal">
      <formula>8223.307275</formula>
    </cfRule>
  </conditionalFormatting>
  <conditionalFormatting sqref="C120:D122">
    <cfRule type="cellIs" dxfId="1" priority="2" stopIfTrue="1" operator="equal">
      <formula>8223.307275</formula>
    </cfRule>
  </conditionalFormatting>
  <conditionalFormatting sqref="C94:D96">
    <cfRule type="cellIs" dxfId="0" priority="1" stopIfTrue="1" operator="equal">
      <formula>8223.307275</formula>
    </cfRule>
  </conditionalFormatting>
  <pageMargins left="0.70866141732283472" right="0.1" top="0.34" bottom="0.31" header="0.24" footer="0.16"/>
  <pageSetup paperSize="9" orientation="landscape" horizontalDpi="1200" verticalDpi="1200" r:id="rId1"/>
  <headerFooter>
    <oddHeader>&amp;R&amp;P--&amp;N</oddHeader>
    <oddFooter>&amp;R&amp;P--&amp;N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12"/>
  <sheetViews>
    <sheetView topLeftCell="A97" zoomScale="90" zoomScaleNormal="90" workbookViewId="0">
      <selection activeCell="O121" sqref="O121"/>
    </sheetView>
  </sheetViews>
  <sheetFormatPr defaultRowHeight="15" x14ac:dyDescent="0.25"/>
  <cols>
    <col min="1" max="1" width="5.140625" customWidth="1"/>
    <col min="3" max="3" width="32.140625" customWidth="1"/>
    <col min="4" max="4" width="5.7109375" customWidth="1"/>
    <col min="8" max="8" width="12" customWidth="1"/>
    <col min="9" max="9" width="6.85546875" customWidth="1"/>
    <col min="11" max="11" width="6.85546875" customWidth="1"/>
    <col min="13" max="13" width="11.85546875" customWidth="1"/>
    <col min="14" max="15" width="31" customWidth="1"/>
  </cols>
  <sheetData>
    <row r="1" spans="1:13" s="318" customFormat="1" ht="38.25" customHeight="1" x14ac:dyDescent="0.25">
      <c r="A1" s="993" t="str">
        <f>krebsiti!A3</f>
        <v>dmanisis municipalitetis sofel javaxSi sportuli moednis, sazogadoebrivi daniSnulebis reteratisa da skveris mowyobis samuSaoebi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</row>
    <row r="2" spans="1:13" s="318" customFormat="1" ht="21" x14ac:dyDescent="0.25">
      <c r="A2" s="994" t="s">
        <v>607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</row>
    <row r="3" spans="1:13" s="318" customFormat="1" ht="15.75" x14ac:dyDescent="0.25">
      <c r="A3" s="993" t="s">
        <v>804</v>
      </c>
      <c r="B3" s="993"/>
      <c r="C3" s="993"/>
      <c r="D3" s="993"/>
      <c r="E3" s="993"/>
      <c r="F3" s="993"/>
      <c r="G3" s="993"/>
      <c r="H3" s="993"/>
      <c r="I3" s="993"/>
      <c r="J3" s="993"/>
      <c r="K3" s="993"/>
      <c r="L3" s="993"/>
      <c r="M3" s="993"/>
    </row>
    <row r="4" spans="1:13" s="318" customFormat="1" ht="15.75" x14ac:dyDescent="0.2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s="318" customFormat="1" ht="15.75" x14ac:dyDescent="0.25">
      <c r="A5" s="993" t="s">
        <v>805</v>
      </c>
      <c r="B5" s="993"/>
      <c r="C5" s="993"/>
      <c r="D5" s="993"/>
      <c r="E5" s="993"/>
      <c r="F5" s="993"/>
      <c r="G5" s="993"/>
      <c r="H5" s="993"/>
      <c r="I5" s="993"/>
      <c r="J5" s="993"/>
      <c r="K5" s="993"/>
      <c r="L5" s="993"/>
      <c r="M5" s="993"/>
    </row>
    <row r="6" spans="1:13" s="318" customFormat="1" ht="15.75" x14ac:dyDescent="0.25">
      <c r="A6" s="691"/>
      <c r="B6" s="691"/>
      <c r="C6" s="691"/>
      <c r="D6" s="692"/>
      <c r="E6" s="693"/>
      <c r="F6" s="694"/>
      <c r="G6" s="402"/>
      <c r="H6" s="402"/>
      <c r="I6" s="402"/>
      <c r="J6" s="402"/>
      <c r="K6" s="402"/>
      <c r="L6" s="402"/>
      <c r="M6" s="402"/>
    </row>
    <row r="7" spans="1:13" s="318" customFormat="1" ht="31.5" customHeight="1" x14ac:dyDescent="0.25">
      <c r="A7" s="943" t="s">
        <v>0</v>
      </c>
      <c r="B7" s="943" t="s">
        <v>34</v>
      </c>
      <c r="C7" s="943" t="s">
        <v>1</v>
      </c>
      <c r="D7" s="943" t="s">
        <v>2</v>
      </c>
      <c r="E7" s="945" t="s">
        <v>172</v>
      </c>
      <c r="F7" s="1009" t="s">
        <v>3</v>
      </c>
      <c r="G7" s="929" t="s">
        <v>36</v>
      </c>
      <c r="H7" s="930"/>
      <c r="I7" s="929" t="s">
        <v>37</v>
      </c>
      <c r="J7" s="930"/>
      <c r="K7" s="929" t="s">
        <v>38</v>
      </c>
      <c r="L7" s="930"/>
      <c r="M7" s="947" t="s">
        <v>39</v>
      </c>
    </row>
    <row r="8" spans="1:13" s="318" customFormat="1" ht="31.5" x14ac:dyDescent="0.25">
      <c r="A8" s="944"/>
      <c r="B8" s="944"/>
      <c r="C8" s="944"/>
      <c r="D8" s="944"/>
      <c r="E8" s="946"/>
      <c r="F8" s="1010"/>
      <c r="G8" s="48" t="s">
        <v>40</v>
      </c>
      <c r="H8" s="48" t="s">
        <v>41</v>
      </c>
      <c r="I8" s="48" t="s">
        <v>40</v>
      </c>
      <c r="J8" s="48" t="s">
        <v>41</v>
      </c>
      <c r="K8" s="48" t="s">
        <v>40</v>
      </c>
      <c r="L8" s="48" t="s">
        <v>41</v>
      </c>
      <c r="M8" s="948"/>
    </row>
    <row r="9" spans="1:13" s="308" customFormat="1" ht="16.5" x14ac:dyDescent="0.25">
      <c r="A9" s="45">
        <v>1</v>
      </c>
      <c r="B9" s="45">
        <v>2</v>
      </c>
      <c r="C9" s="403">
        <v>3</v>
      </c>
      <c r="D9" s="45">
        <v>4</v>
      </c>
      <c r="E9" s="47">
        <v>5</v>
      </c>
      <c r="F9" s="45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</row>
    <row r="10" spans="1:13" s="308" customFormat="1" ht="31.5" x14ac:dyDescent="0.25">
      <c r="A10" s="696" t="s">
        <v>806</v>
      </c>
      <c r="B10" s="696"/>
      <c r="C10" s="697" t="s">
        <v>804</v>
      </c>
      <c r="D10" s="696"/>
      <c r="E10" s="696"/>
      <c r="F10" s="696"/>
      <c r="G10" s="696"/>
      <c r="H10" s="696"/>
      <c r="I10" s="696"/>
      <c r="J10" s="696"/>
      <c r="K10" s="696"/>
      <c r="L10" s="696"/>
      <c r="M10" s="696"/>
    </row>
    <row r="11" spans="1:13" s="308" customFormat="1" ht="35.450000000000003" customHeight="1" x14ac:dyDescent="0.25">
      <c r="A11" s="698"/>
      <c r="B11" s="698"/>
      <c r="C11" s="699" t="s">
        <v>807</v>
      </c>
      <c r="D11" s="700"/>
      <c r="E11" s="204"/>
      <c r="F11" s="701"/>
      <c r="G11" s="58"/>
      <c r="H11" s="48"/>
      <c r="I11" s="58"/>
      <c r="J11" s="48"/>
      <c r="K11" s="59"/>
      <c r="L11" s="48"/>
      <c r="M11" s="48"/>
    </row>
    <row r="12" spans="1:13" s="308" customFormat="1" ht="47.25" x14ac:dyDescent="0.25">
      <c r="A12" s="45"/>
      <c r="B12" s="45"/>
      <c r="C12" s="257" t="s">
        <v>808</v>
      </c>
      <c r="D12" s="38" t="s">
        <v>202</v>
      </c>
      <c r="E12" s="47"/>
      <c r="F12" s="702">
        <v>13</v>
      </c>
      <c r="G12" s="58"/>
      <c r="H12" s="48"/>
      <c r="I12" s="58"/>
      <c r="J12" s="48"/>
      <c r="K12" s="59"/>
      <c r="L12" s="48"/>
      <c r="M12" s="48"/>
    </row>
    <row r="13" spans="1:13" s="308" customFormat="1" ht="63" x14ac:dyDescent="0.25">
      <c r="A13" s="1004">
        <v>1</v>
      </c>
      <c r="B13" s="703" t="s">
        <v>809</v>
      </c>
      <c r="C13" s="601" t="s">
        <v>810</v>
      </c>
      <c r="D13" s="703" t="s">
        <v>811</v>
      </c>
      <c r="E13" s="704"/>
      <c r="F13" s="705">
        <f>300*0.25*0.7/1000</f>
        <v>5.2499999999999998E-2</v>
      </c>
      <c r="G13" s="58"/>
      <c r="H13" s="48"/>
      <c r="I13" s="58"/>
      <c r="J13" s="48"/>
      <c r="K13" s="59"/>
      <c r="L13" s="48"/>
      <c r="M13" s="48"/>
    </row>
    <row r="14" spans="1:13" s="308" customFormat="1" ht="27" x14ac:dyDescent="0.25">
      <c r="A14" s="1005"/>
      <c r="B14" s="706"/>
      <c r="C14" s="602" t="s">
        <v>204</v>
      </c>
      <c r="D14" s="706" t="s">
        <v>205</v>
      </c>
      <c r="E14" s="704">
        <v>15.4</v>
      </c>
      <c r="F14" s="707">
        <f>F13*E14</f>
        <v>0.8085</v>
      </c>
      <c r="G14" s="58"/>
      <c r="H14" s="48"/>
      <c r="I14" s="58"/>
      <c r="J14" s="48">
        <f>F14*I14</f>
        <v>0</v>
      </c>
      <c r="K14" s="59"/>
      <c r="L14" s="48"/>
      <c r="M14" s="48">
        <f>H14+J14+L14</f>
        <v>0</v>
      </c>
    </row>
    <row r="15" spans="1:13" s="308" customFormat="1" ht="37.15" customHeight="1" x14ac:dyDescent="0.25">
      <c r="A15" s="1006"/>
      <c r="B15" s="706" t="s">
        <v>61</v>
      </c>
      <c r="C15" s="602" t="s">
        <v>812</v>
      </c>
      <c r="D15" s="706" t="s">
        <v>813</v>
      </c>
      <c r="E15" s="704">
        <v>72.599999999999994</v>
      </c>
      <c r="F15" s="707">
        <f>F13*E15</f>
        <v>3.8114999999999997</v>
      </c>
      <c r="G15" s="58"/>
      <c r="H15" s="48"/>
      <c r="I15" s="58"/>
      <c r="J15" s="48"/>
      <c r="K15" s="59"/>
      <c r="L15" s="48">
        <f>F15*K15</f>
        <v>0</v>
      </c>
      <c r="M15" s="48">
        <f>H15+J15+L15</f>
        <v>0</v>
      </c>
    </row>
    <row r="16" spans="1:13" s="308" customFormat="1" ht="63" x14ac:dyDescent="0.25">
      <c r="A16" s="999">
        <v>2</v>
      </c>
      <c r="B16" s="598" t="s">
        <v>64</v>
      </c>
      <c r="C16" s="708" t="s">
        <v>814</v>
      </c>
      <c r="D16" s="703" t="s">
        <v>306</v>
      </c>
      <c r="E16" s="599"/>
      <c r="F16" s="709">
        <f>0.4*0.4*0.8*F12</f>
        <v>1.6640000000000004</v>
      </c>
      <c r="G16" s="58"/>
      <c r="H16" s="48"/>
      <c r="I16" s="58"/>
      <c r="J16" s="48"/>
      <c r="K16" s="59"/>
      <c r="L16" s="48"/>
      <c r="M16" s="48"/>
    </row>
    <row r="17" spans="1:13" s="308" customFormat="1" ht="27" x14ac:dyDescent="0.25">
      <c r="A17" s="1000"/>
      <c r="B17" s="596"/>
      <c r="C17" s="602" t="s">
        <v>204</v>
      </c>
      <c r="D17" s="596" t="s">
        <v>205</v>
      </c>
      <c r="E17" s="599">
        <v>3.88</v>
      </c>
      <c r="F17" s="710">
        <f>F16*E17</f>
        <v>6.4563200000000016</v>
      </c>
      <c r="G17" s="58"/>
      <c r="H17" s="48"/>
      <c r="I17" s="58"/>
      <c r="J17" s="48">
        <f>F17*I17</f>
        <v>0</v>
      </c>
      <c r="K17" s="59"/>
      <c r="L17" s="48"/>
      <c r="M17" s="48">
        <f>H17+J17+L17</f>
        <v>0</v>
      </c>
    </row>
    <row r="18" spans="1:13" s="308" customFormat="1" ht="31.5" x14ac:dyDescent="0.25">
      <c r="A18" s="999">
        <v>3</v>
      </c>
      <c r="B18" s="598" t="s">
        <v>174</v>
      </c>
      <c r="C18" s="708" t="s">
        <v>815</v>
      </c>
      <c r="D18" s="703" t="s">
        <v>306</v>
      </c>
      <c r="E18" s="599"/>
      <c r="F18" s="709">
        <f>(F13*1000+F16)*10%</f>
        <v>5.4164000000000003</v>
      </c>
      <c r="G18" s="58"/>
      <c r="H18" s="48"/>
      <c r="I18" s="58"/>
      <c r="J18" s="48"/>
      <c r="K18" s="59"/>
      <c r="L18" s="48"/>
      <c r="M18" s="48"/>
    </row>
    <row r="19" spans="1:13" s="308" customFormat="1" ht="27" x14ac:dyDescent="0.25">
      <c r="A19" s="1000"/>
      <c r="B19" s="596"/>
      <c r="C19" s="602" t="s">
        <v>204</v>
      </c>
      <c r="D19" s="596" t="s">
        <v>205</v>
      </c>
      <c r="E19" s="599">
        <v>2.06</v>
      </c>
      <c r="F19" s="710">
        <f>F18*E19</f>
        <v>11.157784000000001</v>
      </c>
      <c r="G19" s="58"/>
      <c r="H19" s="48"/>
      <c r="I19" s="58"/>
      <c r="J19" s="48">
        <f>F19*I19</f>
        <v>0</v>
      </c>
      <c r="K19" s="59"/>
      <c r="L19" s="48"/>
      <c r="M19" s="48">
        <f>H19+J19+L19</f>
        <v>0</v>
      </c>
    </row>
    <row r="20" spans="1:13" s="308" customFormat="1" ht="31.5" x14ac:dyDescent="0.25">
      <c r="A20" s="1001">
        <v>4</v>
      </c>
      <c r="B20" s="711" t="s">
        <v>179</v>
      </c>
      <c r="C20" s="712" t="s">
        <v>816</v>
      </c>
      <c r="D20" s="711" t="s">
        <v>817</v>
      </c>
      <c r="E20" s="713"/>
      <c r="F20" s="714">
        <f>300*0.25*0.25</f>
        <v>18.75</v>
      </c>
      <c r="G20" s="58"/>
      <c r="H20" s="48"/>
      <c r="I20" s="58"/>
      <c r="J20" s="48"/>
      <c r="K20" s="59"/>
      <c r="L20" s="48"/>
      <c r="M20" s="48"/>
    </row>
    <row r="21" spans="1:13" s="308" customFormat="1" ht="27" x14ac:dyDescent="0.25">
      <c r="A21" s="1002"/>
      <c r="B21" s="715"/>
      <c r="C21" s="716" t="s">
        <v>204</v>
      </c>
      <c r="D21" s="715" t="s">
        <v>205</v>
      </c>
      <c r="E21" s="713">
        <v>1.8</v>
      </c>
      <c r="F21" s="717">
        <f>F20*E21</f>
        <v>33.75</v>
      </c>
      <c r="G21" s="58"/>
      <c r="H21" s="48"/>
      <c r="I21" s="58"/>
      <c r="J21" s="48">
        <f>F21*I21</f>
        <v>0</v>
      </c>
      <c r="K21" s="59"/>
      <c r="L21" s="48"/>
      <c r="M21" s="48">
        <f>H21+J21+L21</f>
        <v>0</v>
      </c>
    </row>
    <row r="22" spans="1:13" s="308" customFormat="1" ht="16.5" x14ac:dyDescent="0.25">
      <c r="A22" s="1003"/>
      <c r="B22" s="715" t="s">
        <v>818</v>
      </c>
      <c r="C22" s="716" t="s">
        <v>819</v>
      </c>
      <c r="D22" s="715" t="s">
        <v>817</v>
      </c>
      <c r="E22" s="713">
        <v>1.1000000000000001</v>
      </c>
      <c r="F22" s="717">
        <f>F20*E22</f>
        <v>20.625</v>
      </c>
      <c r="G22" s="58"/>
      <c r="H22" s="48">
        <f t="shared" ref="H22:H30" si="0">F22*G22</f>
        <v>0</v>
      </c>
      <c r="I22" s="58"/>
      <c r="J22" s="48"/>
      <c r="K22" s="59"/>
      <c r="L22" s="48"/>
      <c r="M22" s="48">
        <f>H22+J22+L22</f>
        <v>0</v>
      </c>
    </row>
    <row r="23" spans="1:13" s="308" customFormat="1" ht="46.5" x14ac:dyDescent="0.25">
      <c r="A23" s="1004">
        <v>5</v>
      </c>
      <c r="B23" s="703" t="s">
        <v>183</v>
      </c>
      <c r="C23" s="492" t="s">
        <v>984</v>
      </c>
      <c r="D23" s="703" t="s">
        <v>820</v>
      </c>
      <c r="E23" s="704"/>
      <c r="F23" s="705">
        <f>300</f>
        <v>300</v>
      </c>
      <c r="G23" s="58"/>
      <c r="H23" s="48"/>
      <c r="I23" s="58"/>
      <c r="J23" s="48"/>
      <c r="K23" s="59"/>
      <c r="L23" s="48"/>
      <c r="M23" s="48"/>
    </row>
    <row r="24" spans="1:13" s="308" customFormat="1" ht="27" x14ac:dyDescent="0.25">
      <c r="A24" s="1005"/>
      <c r="B24" s="706"/>
      <c r="C24" s="602" t="s">
        <v>204</v>
      </c>
      <c r="D24" s="706" t="s">
        <v>205</v>
      </c>
      <c r="E24" s="704">
        <v>0.105</v>
      </c>
      <c r="F24" s="707">
        <f>F23*E24</f>
        <v>31.5</v>
      </c>
      <c r="G24" s="58"/>
      <c r="H24" s="48"/>
      <c r="I24" s="58"/>
      <c r="J24" s="48">
        <f>F24*I24</f>
        <v>0</v>
      </c>
      <c r="K24" s="59"/>
      <c r="L24" s="48"/>
      <c r="M24" s="48">
        <f>H24+J24+L24</f>
        <v>0</v>
      </c>
    </row>
    <row r="25" spans="1:13" s="308" customFormat="1" ht="27" x14ac:dyDescent="0.25">
      <c r="A25" s="1005"/>
      <c r="B25" s="706"/>
      <c r="C25" s="602" t="s">
        <v>821</v>
      </c>
      <c r="D25" s="706" t="s">
        <v>25</v>
      </c>
      <c r="E25" s="704">
        <v>5.3800000000000001E-2</v>
      </c>
      <c r="F25" s="707">
        <f>F23*E25</f>
        <v>16.14</v>
      </c>
      <c r="G25" s="58"/>
      <c r="H25" s="48"/>
      <c r="I25" s="58"/>
      <c r="J25" s="48"/>
      <c r="K25" s="59"/>
      <c r="L25" s="48">
        <f>F25*K25</f>
        <v>0</v>
      </c>
      <c r="M25" s="48">
        <f>H25+J25+L25</f>
        <v>0</v>
      </c>
    </row>
    <row r="26" spans="1:13" s="308" customFormat="1" ht="30.75" x14ac:dyDescent="0.25">
      <c r="A26" s="1005"/>
      <c r="B26" s="706"/>
      <c r="C26" s="645" t="s">
        <v>977</v>
      </c>
      <c r="D26" s="706" t="s">
        <v>820</v>
      </c>
      <c r="E26" s="704">
        <v>1.01</v>
      </c>
      <c r="F26" s="707">
        <f>F23*E26</f>
        <v>303</v>
      </c>
      <c r="G26" s="58"/>
      <c r="H26" s="48">
        <f t="shared" si="0"/>
        <v>0</v>
      </c>
      <c r="I26" s="58"/>
      <c r="J26" s="48"/>
      <c r="K26" s="59"/>
      <c r="L26" s="48"/>
      <c r="M26" s="48">
        <f>H26+J26+L26</f>
        <v>0</v>
      </c>
    </row>
    <row r="27" spans="1:13" s="308" customFormat="1" ht="27" x14ac:dyDescent="0.25">
      <c r="A27" s="1006"/>
      <c r="B27" s="706"/>
      <c r="C27" s="602" t="s">
        <v>504</v>
      </c>
      <c r="D27" s="706" t="s">
        <v>25</v>
      </c>
      <c r="E27" s="704">
        <v>1.1999999999999999E-3</v>
      </c>
      <c r="F27" s="707">
        <f>F23*E27</f>
        <v>0.36</v>
      </c>
      <c r="G27" s="58"/>
      <c r="H27" s="48">
        <f t="shared" si="0"/>
        <v>0</v>
      </c>
      <c r="I27" s="58"/>
      <c r="J27" s="48"/>
      <c r="K27" s="59"/>
      <c r="L27" s="48"/>
      <c r="M27" s="48">
        <f>H27+J27+L27</f>
        <v>0</v>
      </c>
    </row>
    <row r="28" spans="1:13" s="308" customFormat="1" ht="31.5" x14ac:dyDescent="0.25">
      <c r="A28" s="953">
        <v>6</v>
      </c>
      <c r="B28" s="540" t="s">
        <v>822</v>
      </c>
      <c r="C28" s="539" t="s">
        <v>823</v>
      </c>
      <c r="D28" s="540" t="s">
        <v>820</v>
      </c>
      <c r="E28" s="232"/>
      <c r="F28" s="718">
        <f>300</f>
        <v>300</v>
      </c>
      <c r="G28" s="58"/>
      <c r="H28" s="48"/>
      <c r="I28" s="58"/>
      <c r="J28" s="48"/>
      <c r="K28" s="59"/>
      <c r="L28" s="48"/>
      <c r="M28" s="48"/>
    </row>
    <row r="29" spans="1:13" s="308" customFormat="1" ht="27" x14ac:dyDescent="0.25">
      <c r="A29" s="954"/>
      <c r="B29" s="529"/>
      <c r="C29" s="530" t="s">
        <v>204</v>
      </c>
      <c r="D29" s="706" t="s">
        <v>205</v>
      </c>
      <c r="E29" s="522">
        <f>11/1000</f>
        <v>1.0999999999999999E-2</v>
      </c>
      <c r="F29" s="531">
        <f>F28*E29</f>
        <v>3.3</v>
      </c>
      <c r="G29" s="58"/>
      <c r="H29" s="48"/>
      <c r="I29" s="58"/>
      <c r="J29" s="48">
        <f>F29*I29</f>
        <v>0</v>
      </c>
      <c r="K29" s="59"/>
      <c r="L29" s="48"/>
      <c r="M29" s="48">
        <f>H29+J29+L29</f>
        <v>0</v>
      </c>
    </row>
    <row r="30" spans="1:13" s="308" customFormat="1" ht="27" x14ac:dyDescent="0.25">
      <c r="A30" s="955"/>
      <c r="B30" s="719"/>
      <c r="C30" s="720" t="s">
        <v>824</v>
      </c>
      <c r="D30" s="721" t="s">
        <v>820</v>
      </c>
      <c r="E30" s="722"/>
      <c r="F30" s="723">
        <f>F28</f>
        <v>300</v>
      </c>
      <c r="G30" s="58"/>
      <c r="H30" s="48">
        <f t="shared" si="0"/>
        <v>0</v>
      </c>
      <c r="I30" s="58"/>
      <c r="J30" s="48"/>
      <c r="K30" s="59"/>
      <c r="L30" s="48"/>
      <c r="M30" s="48">
        <f>H30+J30+L30</f>
        <v>0</v>
      </c>
    </row>
    <row r="31" spans="1:13" s="308" customFormat="1" ht="31.5" x14ac:dyDescent="0.25">
      <c r="A31" s="1007">
        <v>7</v>
      </c>
      <c r="B31" s="724" t="s">
        <v>187</v>
      </c>
      <c r="C31" s="725" t="s">
        <v>825</v>
      </c>
      <c r="D31" s="724" t="s">
        <v>817</v>
      </c>
      <c r="E31" s="261"/>
      <c r="F31" s="726">
        <f>300*0.25*(0.7-0.25)</f>
        <v>33.75</v>
      </c>
      <c r="G31" s="58"/>
      <c r="H31" s="48"/>
      <c r="I31" s="58"/>
      <c r="J31" s="48"/>
      <c r="K31" s="59"/>
      <c r="L31" s="48"/>
      <c r="M31" s="48"/>
    </row>
    <row r="32" spans="1:13" s="308" customFormat="1" ht="27" x14ac:dyDescent="0.25">
      <c r="A32" s="1008"/>
      <c r="B32" s="259"/>
      <c r="C32" s="727" t="s">
        <v>204</v>
      </c>
      <c r="D32" s="259" t="s">
        <v>205</v>
      </c>
      <c r="E32" s="261">
        <v>1.21</v>
      </c>
      <c r="F32" s="262">
        <f>F31*E32</f>
        <v>40.837499999999999</v>
      </c>
      <c r="G32" s="58"/>
      <c r="H32" s="48"/>
      <c r="I32" s="58"/>
      <c r="J32" s="48">
        <f>F32*I32</f>
        <v>0</v>
      </c>
      <c r="K32" s="59"/>
      <c r="L32" s="48"/>
      <c r="M32" s="48">
        <f>H32+J32+L32</f>
        <v>0</v>
      </c>
    </row>
    <row r="33" spans="1:14" s="308" customFormat="1" ht="31.5" x14ac:dyDescent="0.25">
      <c r="A33" s="1004">
        <v>8</v>
      </c>
      <c r="B33" s="703" t="s">
        <v>190</v>
      </c>
      <c r="C33" s="601" t="s">
        <v>826</v>
      </c>
      <c r="D33" s="703" t="s">
        <v>817</v>
      </c>
      <c r="E33" s="704"/>
      <c r="F33" s="705">
        <f>0.4*0.4*(0.8)*F12</f>
        <v>1.6640000000000004</v>
      </c>
      <c r="G33" s="58"/>
      <c r="H33" s="48"/>
      <c r="I33" s="58"/>
      <c r="J33" s="48"/>
      <c r="K33" s="59"/>
      <c r="L33" s="48"/>
      <c r="M33" s="48"/>
    </row>
    <row r="34" spans="1:14" s="308" customFormat="1" ht="27" x14ac:dyDescent="0.25">
      <c r="A34" s="1005"/>
      <c r="B34" s="706"/>
      <c r="C34" s="602" t="s">
        <v>204</v>
      </c>
      <c r="D34" s="706" t="s">
        <v>205</v>
      </c>
      <c r="E34" s="704">
        <v>1.37</v>
      </c>
      <c r="F34" s="707">
        <f>F33*E34</f>
        <v>2.2796800000000008</v>
      </c>
      <c r="G34" s="58"/>
      <c r="H34" s="48"/>
      <c r="I34" s="58"/>
      <c r="J34" s="48">
        <f>F34*I34</f>
        <v>0</v>
      </c>
      <c r="K34" s="59"/>
      <c r="L34" s="48"/>
      <c r="M34" s="48">
        <f t="shared" ref="M34:M38" si="1">H34+J34+L34</f>
        <v>0</v>
      </c>
    </row>
    <row r="35" spans="1:14" s="308" customFormat="1" ht="27" x14ac:dyDescent="0.25">
      <c r="A35" s="1005"/>
      <c r="B35" s="706"/>
      <c r="C35" s="602" t="s">
        <v>821</v>
      </c>
      <c r="D35" s="706" t="s">
        <v>25</v>
      </c>
      <c r="E35" s="704">
        <v>0.28299999999999997</v>
      </c>
      <c r="F35" s="707">
        <f>F33*E35</f>
        <v>0.47091200000000005</v>
      </c>
      <c r="G35" s="58"/>
      <c r="H35" s="48"/>
      <c r="I35" s="58"/>
      <c r="J35" s="48"/>
      <c r="K35" s="59"/>
      <c r="L35" s="48">
        <f>F35*K35</f>
        <v>0</v>
      </c>
      <c r="M35" s="48">
        <f t="shared" si="1"/>
        <v>0</v>
      </c>
    </row>
    <row r="36" spans="1:14" s="308" customFormat="1" ht="16.5" x14ac:dyDescent="0.25">
      <c r="A36" s="1005"/>
      <c r="B36" s="706" t="s">
        <v>589</v>
      </c>
      <c r="C36" s="602" t="s">
        <v>827</v>
      </c>
      <c r="D36" s="706" t="s">
        <v>817</v>
      </c>
      <c r="E36" s="704">
        <v>1.02</v>
      </c>
      <c r="F36" s="707">
        <f>F33*E36</f>
        <v>1.6972800000000003</v>
      </c>
      <c r="G36" s="58"/>
      <c r="H36" s="48">
        <f t="shared" ref="H36:H38" si="2">F36*G36</f>
        <v>0</v>
      </c>
      <c r="I36" s="58"/>
      <c r="J36" s="48"/>
      <c r="K36" s="59"/>
      <c r="L36" s="48"/>
      <c r="M36" s="48">
        <f t="shared" si="1"/>
        <v>0</v>
      </c>
    </row>
    <row r="37" spans="1:14" s="308" customFormat="1" ht="16.5" x14ac:dyDescent="0.25">
      <c r="A37" s="1005"/>
      <c r="B37" s="45" t="s">
        <v>828</v>
      </c>
      <c r="C37" s="111" t="s">
        <v>829</v>
      </c>
      <c r="D37" s="45" t="s">
        <v>830</v>
      </c>
      <c r="E37" s="704">
        <v>1.03</v>
      </c>
      <c r="F37" s="707">
        <v>1.4999999999999999E-2</v>
      </c>
      <c r="G37" s="58"/>
      <c r="H37" s="48">
        <f>F37*G37</f>
        <v>0</v>
      </c>
      <c r="I37" s="58"/>
      <c r="J37" s="48"/>
      <c r="K37" s="59"/>
      <c r="L37" s="48"/>
      <c r="M37" s="48">
        <f>H37+J37+L37</f>
        <v>0</v>
      </c>
    </row>
    <row r="38" spans="1:14" s="308" customFormat="1" ht="27" x14ac:dyDescent="0.25">
      <c r="A38" s="1005"/>
      <c r="B38" s="728"/>
      <c r="C38" s="727" t="s">
        <v>831</v>
      </c>
      <c r="D38" s="729" t="s">
        <v>25</v>
      </c>
      <c r="E38" s="261">
        <v>0.62</v>
      </c>
      <c r="F38" s="262">
        <f>F33*E38</f>
        <v>1.0316800000000002</v>
      </c>
      <c r="G38" s="58"/>
      <c r="H38" s="48">
        <f t="shared" si="2"/>
        <v>0</v>
      </c>
      <c r="I38" s="48"/>
      <c r="J38" s="48"/>
      <c r="K38" s="59"/>
      <c r="L38" s="48"/>
      <c r="M38" s="48">
        <f t="shared" si="1"/>
        <v>0</v>
      </c>
    </row>
    <row r="39" spans="1:14" s="308" customFormat="1" ht="31.5" x14ac:dyDescent="0.25">
      <c r="A39" s="382"/>
      <c r="B39" s="382"/>
      <c r="C39" s="584" t="s">
        <v>800</v>
      </c>
      <c r="D39" s="730"/>
      <c r="E39" s="236"/>
      <c r="F39" s="731"/>
      <c r="G39" s="238"/>
      <c r="H39" s="383">
        <f>SUM(H11:H38)</f>
        <v>0</v>
      </c>
      <c r="I39" s="238"/>
      <c r="J39" s="383">
        <f>SUM(J11:J38)</f>
        <v>0</v>
      </c>
      <c r="K39" s="240"/>
      <c r="L39" s="383">
        <f>SUM(L11:L38)</f>
        <v>0</v>
      </c>
      <c r="M39" s="383">
        <f>H39+J39+L39</f>
        <v>0</v>
      </c>
    </row>
    <row r="40" spans="1:14" s="308" customFormat="1" ht="63" x14ac:dyDescent="0.25">
      <c r="A40" s="45"/>
      <c r="B40" s="117"/>
      <c r="C40" s="668" t="s">
        <v>801</v>
      </c>
      <c r="D40" s="384"/>
      <c r="E40" s="243"/>
      <c r="F40" s="669"/>
      <c r="G40" s="670"/>
      <c r="H40" s="670"/>
      <c r="I40" s="670"/>
      <c r="J40" s="670"/>
      <c r="K40" s="670"/>
      <c r="L40" s="670"/>
      <c r="M40" s="670">
        <f>H39*F40</f>
        <v>0</v>
      </c>
    </row>
    <row r="41" spans="1:14" s="308" customFormat="1" ht="16.5" x14ac:dyDescent="0.25">
      <c r="A41" s="45"/>
      <c r="B41" s="117"/>
      <c r="C41" s="671"/>
      <c r="D41" s="384"/>
      <c r="E41" s="243"/>
      <c r="F41" s="243"/>
      <c r="G41" s="670"/>
      <c r="H41" s="670"/>
      <c r="I41" s="670"/>
      <c r="J41" s="670"/>
      <c r="K41" s="670"/>
      <c r="L41" s="670"/>
      <c r="M41" s="670">
        <f>M39+M40</f>
        <v>0</v>
      </c>
    </row>
    <row r="42" spans="1:14" s="308" customFormat="1" ht="16.5" x14ac:dyDescent="0.25">
      <c r="A42" s="38"/>
      <c r="B42" s="384"/>
      <c r="C42" s="668" t="s">
        <v>832</v>
      </c>
      <c r="D42" s="384"/>
      <c r="E42" s="243"/>
      <c r="F42" s="732"/>
      <c r="G42" s="670"/>
      <c r="H42" s="670"/>
      <c r="I42" s="670"/>
      <c r="J42" s="670"/>
      <c r="K42" s="670"/>
      <c r="L42" s="670"/>
      <c r="M42" s="670">
        <f>M41*F42</f>
        <v>0</v>
      </c>
    </row>
    <row r="43" spans="1:14" s="308" customFormat="1" ht="16.5" x14ac:dyDescent="0.25">
      <c r="A43" s="733"/>
      <c r="B43" s="734"/>
      <c r="C43" s="735" t="s">
        <v>833</v>
      </c>
      <c r="D43" s="734"/>
      <c r="E43" s="736"/>
      <c r="F43" s="737"/>
      <c r="G43" s="738"/>
      <c r="H43" s="738"/>
      <c r="I43" s="738"/>
      <c r="J43" s="738"/>
      <c r="K43" s="738"/>
      <c r="L43" s="738"/>
      <c r="M43" s="738">
        <f>M41+M42</f>
        <v>0</v>
      </c>
    </row>
    <row r="44" spans="1:14" s="308" customFormat="1" ht="16.5" x14ac:dyDescent="0.25">
      <c r="A44" s="739"/>
      <c r="B44" s="739"/>
      <c r="C44" s="740" t="s">
        <v>834</v>
      </c>
      <c r="D44" s="741"/>
      <c r="E44" s="742"/>
      <c r="F44" s="743"/>
      <c r="G44" s="744"/>
      <c r="H44" s="367"/>
      <c r="I44" s="744"/>
      <c r="J44" s="367"/>
      <c r="K44" s="745"/>
      <c r="L44" s="367"/>
      <c r="M44" s="367"/>
    </row>
    <row r="45" spans="1:14" s="308" customFormat="1" ht="47.25" x14ac:dyDescent="0.25">
      <c r="A45" s="874" t="s">
        <v>126</v>
      </c>
      <c r="B45" s="256" t="s">
        <v>200</v>
      </c>
      <c r="C45" s="257" t="s">
        <v>835</v>
      </c>
      <c r="D45" s="45" t="s">
        <v>202</v>
      </c>
      <c r="E45" s="47"/>
      <c r="F45" s="702">
        <f>F48</f>
        <v>13</v>
      </c>
      <c r="G45" s="48"/>
      <c r="H45" s="48"/>
      <c r="I45" s="48"/>
      <c r="J45" s="48"/>
      <c r="K45" s="48"/>
      <c r="L45" s="48"/>
      <c r="M45" s="48"/>
    </row>
    <row r="46" spans="1:14" s="308" customFormat="1" ht="27" x14ac:dyDescent="0.25">
      <c r="A46" s="874"/>
      <c r="B46" s="259"/>
      <c r="C46" s="260" t="s">
        <v>204</v>
      </c>
      <c r="D46" s="259" t="s">
        <v>205</v>
      </c>
      <c r="E46" s="261">
        <v>1</v>
      </c>
      <c r="F46" s="262">
        <f>F45*E46</f>
        <v>13</v>
      </c>
      <c r="G46" s="58"/>
      <c r="H46" s="48"/>
      <c r="I46" s="58"/>
      <c r="J46" s="48">
        <f>F46*I46</f>
        <v>0</v>
      </c>
      <c r="K46" s="59"/>
      <c r="L46" s="48"/>
      <c r="M46" s="48">
        <f>J46</f>
        <v>0</v>
      </c>
    </row>
    <row r="47" spans="1:14" s="308" customFormat="1" ht="27" x14ac:dyDescent="0.25">
      <c r="A47" s="874"/>
      <c r="B47" s="259"/>
      <c r="C47" s="260" t="s">
        <v>8</v>
      </c>
      <c r="D47" s="259" t="s">
        <v>7</v>
      </c>
      <c r="E47" s="261">
        <v>1.1599999999999999</v>
      </c>
      <c r="F47" s="262">
        <f>F45*E47</f>
        <v>15.079999999999998</v>
      </c>
      <c r="G47" s="58"/>
      <c r="H47" s="48"/>
      <c r="I47" s="58"/>
      <c r="J47" s="48"/>
      <c r="K47" s="59"/>
      <c r="L47" s="48">
        <f>F47*K47</f>
        <v>0</v>
      </c>
      <c r="M47" s="48">
        <f>L47</f>
        <v>0</v>
      </c>
    </row>
    <row r="48" spans="1:14" s="308" customFormat="1" ht="47.25" x14ac:dyDescent="0.25">
      <c r="A48" s="874"/>
      <c r="B48" s="45"/>
      <c r="C48" s="111" t="s">
        <v>836</v>
      </c>
      <c r="D48" s="45" t="s">
        <v>207</v>
      </c>
      <c r="E48" s="47"/>
      <c r="F48" s="263">
        <v>13</v>
      </c>
      <c r="G48" s="48"/>
      <c r="H48" s="48">
        <f t="shared" ref="H48" si="3">F48*G48</f>
        <v>0</v>
      </c>
      <c r="I48" s="58"/>
      <c r="J48" s="48"/>
      <c r="K48" s="48"/>
      <c r="L48" s="48"/>
      <c r="M48" s="48">
        <f>H48</f>
        <v>0</v>
      </c>
      <c r="N48" s="308" t="s">
        <v>837</v>
      </c>
    </row>
    <row r="49" spans="1:13" s="308" customFormat="1" ht="27" x14ac:dyDescent="0.25">
      <c r="A49" s="874"/>
      <c r="B49" s="45"/>
      <c r="C49" s="111" t="s">
        <v>122</v>
      </c>
      <c r="D49" s="45" t="s">
        <v>7</v>
      </c>
      <c r="E49" s="47">
        <v>0.05</v>
      </c>
      <c r="F49" s="263">
        <f>F45*E49</f>
        <v>0.65</v>
      </c>
      <c r="G49" s="48"/>
      <c r="H49" s="48">
        <f>F49*G49</f>
        <v>0</v>
      </c>
      <c r="I49" s="58"/>
      <c r="J49" s="48"/>
      <c r="K49" s="48"/>
      <c r="L49" s="48"/>
      <c r="M49" s="48">
        <f>H49</f>
        <v>0</v>
      </c>
    </row>
    <row r="50" spans="1:13" s="308" customFormat="1" ht="27" x14ac:dyDescent="0.25">
      <c r="A50" s="878" t="s">
        <v>371</v>
      </c>
      <c r="B50" s="45" t="s">
        <v>452</v>
      </c>
      <c r="C50" s="746" t="s">
        <v>838</v>
      </c>
      <c r="D50" s="45" t="s">
        <v>454</v>
      </c>
      <c r="E50" s="45"/>
      <c r="F50" s="88">
        <f>F52+F53+F54</f>
        <v>340</v>
      </c>
      <c r="G50" s="413"/>
      <c r="H50" s="414"/>
      <c r="I50" s="413"/>
      <c r="J50" s="48"/>
      <c r="K50" s="48"/>
      <c r="L50" s="48"/>
      <c r="M50" s="48"/>
    </row>
    <row r="51" spans="1:13" s="308" customFormat="1" ht="16.5" x14ac:dyDescent="0.25">
      <c r="A51" s="879"/>
      <c r="B51" s="45"/>
      <c r="C51" s="450" t="s">
        <v>159</v>
      </c>
      <c r="D51" s="45" t="s">
        <v>24</v>
      </c>
      <c r="E51" s="45">
        <v>0.13900000000000001</v>
      </c>
      <c r="F51" s="45">
        <f>F50*E51</f>
        <v>47.260000000000005</v>
      </c>
      <c r="G51" s="409"/>
      <c r="H51" s="414"/>
      <c r="I51" s="409"/>
      <c r="J51" s="48">
        <f>F51*I51</f>
        <v>0</v>
      </c>
      <c r="K51" s="48"/>
      <c r="L51" s="48"/>
      <c r="M51" s="48">
        <f>J51</f>
        <v>0</v>
      </c>
    </row>
    <row r="52" spans="1:13" s="308" customFormat="1" ht="16.5" x14ac:dyDescent="0.25">
      <c r="A52" s="879"/>
      <c r="B52" s="45"/>
      <c r="C52" s="111" t="s">
        <v>839</v>
      </c>
      <c r="D52" s="259" t="s">
        <v>94</v>
      </c>
      <c r="E52" s="261">
        <v>1.03</v>
      </c>
      <c r="F52" s="261">
        <v>50</v>
      </c>
      <c r="G52" s="58"/>
      <c r="H52" s="48">
        <f>F52*G52</f>
        <v>0</v>
      </c>
      <c r="I52" s="58"/>
      <c r="J52" s="48"/>
      <c r="K52" s="59"/>
      <c r="L52" s="48"/>
      <c r="M52" s="48">
        <f>H52</f>
        <v>0</v>
      </c>
    </row>
    <row r="53" spans="1:13" s="308" customFormat="1" ht="16.5" x14ac:dyDescent="0.25">
      <c r="A53" s="879"/>
      <c r="B53" s="45"/>
      <c r="C53" s="111" t="s">
        <v>840</v>
      </c>
      <c r="D53" s="45" t="s">
        <v>94</v>
      </c>
      <c r="E53" s="47">
        <v>1.03</v>
      </c>
      <c r="F53" s="47">
        <v>230</v>
      </c>
      <c r="G53" s="48"/>
      <c r="H53" s="48">
        <f>F53*G53</f>
        <v>0</v>
      </c>
      <c r="I53" s="58"/>
      <c r="J53" s="48"/>
      <c r="K53" s="48"/>
      <c r="L53" s="48"/>
      <c r="M53" s="48">
        <f t="shared" ref="M53:M54" si="4">H53</f>
        <v>0</v>
      </c>
    </row>
    <row r="54" spans="1:13" s="308" customFormat="1" ht="16.5" x14ac:dyDescent="0.25">
      <c r="A54" s="879"/>
      <c r="B54" s="45"/>
      <c r="C54" s="111" t="s">
        <v>841</v>
      </c>
      <c r="D54" s="45" t="s">
        <v>94</v>
      </c>
      <c r="E54" s="47">
        <v>1.03</v>
      </c>
      <c r="F54" s="47">
        <v>60</v>
      </c>
      <c r="G54" s="48"/>
      <c r="H54" s="48">
        <f>F54*G54</f>
        <v>0</v>
      </c>
      <c r="I54" s="58"/>
      <c r="J54" s="48"/>
      <c r="K54" s="48"/>
      <c r="L54" s="48"/>
      <c r="M54" s="48">
        <f t="shared" si="4"/>
        <v>0</v>
      </c>
    </row>
    <row r="55" spans="1:13" s="308" customFormat="1" ht="27" x14ac:dyDescent="0.25">
      <c r="A55" s="895"/>
      <c r="B55" s="45"/>
      <c r="C55" s="450" t="s">
        <v>459</v>
      </c>
      <c r="D55" s="45" t="s">
        <v>25</v>
      </c>
      <c r="E55" s="45" t="s">
        <v>1010</v>
      </c>
      <c r="F55" s="747">
        <f>F50*E55</f>
        <v>3.298</v>
      </c>
      <c r="G55" s="409"/>
      <c r="H55" s="414">
        <f t="shared" ref="H55" si="5">F55*G55</f>
        <v>0</v>
      </c>
      <c r="I55" s="58"/>
      <c r="J55" s="48"/>
      <c r="K55" s="48"/>
      <c r="L55" s="48"/>
      <c r="M55" s="48">
        <f>H55</f>
        <v>0</v>
      </c>
    </row>
    <row r="56" spans="1:13" s="308" customFormat="1" ht="16.5" x14ac:dyDescent="0.25">
      <c r="A56" s="363" t="s">
        <v>219</v>
      </c>
      <c r="B56" s="45" t="s">
        <v>842</v>
      </c>
      <c r="C56" s="320" t="s">
        <v>843</v>
      </c>
      <c r="D56" s="45"/>
      <c r="E56" s="45"/>
      <c r="F56" s="747" t="s">
        <v>431</v>
      </c>
      <c r="G56" s="409"/>
      <c r="H56" s="414"/>
      <c r="I56" s="58"/>
      <c r="J56" s="48"/>
      <c r="K56" s="48"/>
      <c r="L56" s="48"/>
      <c r="M56" s="48"/>
    </row>
    <row r="57" spans="1:13" s="308" customFormat="1" ht="16.5" x14ac:dyDescent="0.25">
      <c r="A57" s="120"/>
      <c r="B57" s="45"/>
      <c r="C57" s="450" t="s">
        <v>159</v>
      </c>
      <c r="D57" s="45" t="s">
        <v>24</v>
      </c>
      <c r="E57" s="45">
        <v>7.05</v>
      </c>
      <c r="F57" s="45">
        <f>F56*E57</f>
        <v>7.05</v>
      </c>
      <c r="G57" s="409"/>
      <c r="H57" s="414"/>
      <c r="I57" s="409"/>
      <c r="J57" s="414">
        <f t="shared" ref="J57" si="6">F57*I57</f>
        <v>0</v>
      </c>
      <c r="K57" s="409"/>
      <c r="L57" s="414"/>
      <c r="M57" s="414">
        <f t="shared" ref="M57" si="7">H57+J57+L57</f>
        <v>0</v>
      </c>
    </row>
    <row r="58" spans="1:13" s="308" customFormat="1" ht="81" x14ac:dyDescent="0.25">
      <c r="A58" s="120"/>
      <c r="B58" s="603"/>
      <c r="C58" s="450" t="s">
        <v>844</v>
      </c>
      <c r="D58" s="45" t="s">
        <v>147</v>
      </c>
      <c r="E58" s="45"/>
      <c r="F58" s="747" t="s">
        <v>431</v>
      </c>
      <c r="G58" s="409"/>
      <c r="H58" s="48">
        <f>F58*G58</f>
        <v>0</v>
      </c>
      <c r="I58" s="58"/>
      <c r="J58" s="48"/>
      <c r="K58" s="48"/>
      <c r="L58" s="48"/>
      <c r="M58" s="48">
        <f>H58</f>
        <v>0</v>
      </c>
    </row>
    <row r="59" spans="1:13" s="308" customFormat="1" ht="26.25" x14ac:dyDescent="0.25">
      <c r="A59" s="120"/>
      <c r="B59" s="45"/>
      <c r="C59" s="450" t="s">
        <v>845</v>
      </c>
      <c r="D59" s="45" t="s">
        <v>147</v>
      </c>
      <c r="E59" s="45"/>
      <c r="F59" s="747" t="s">
        <v>431</v>
      </c>
      <c r="G59" s="409"/>
      <c r="H59" s="48">
        <f>F59*G59</f>
        <v>0</v>
      </c>
      <c r="I59" s="58"/>
      <c r="J59" s="48"/>
      <c r="K59" s="48"/>
      <c r="L59" s="48"/>
      <c r="M59" s="48">
        <f>H59</f>
        <v>0</v>
      </c>
    </row>
    <row r="60" spans="1:13" s="308" customFormat="1" ht="26.25" x14ac:dyDescent="0.25">
      <c r="A60" s="120"/>
      <c r="B60" s="45"/>
      <c r="C60" s="450" t="s">
        <v>846</v>
      </c>
      <c r="D60" s="45" t="s">
        <v>147</v>
      </c>
      <c r="E60" s="45"/>
      <c r="F60" s="747" t="s">
        <v>436</v>
      </c>
      <c r="G60" s="409"/>
      <c r="H60" s="48">
        <f t="shared" ref="H60:H66" si="8">F60*G60</f>
        <v>0</v>
      </c>
      <c r="I60" s="58"/>
      <c r="J60" s="48"/>
      <c r="K60" s="48"/>
      <c r="L60" s="48"/>
      <c r="M60" s="48">
        <f t="shared" ref="M60:M66" si="9">H60</f>
        <v>0</v>
      </c>
    </row>
    <row r="61" spans="1:13" s="308" customFormat="1" ht="26.25" x14ac:dyDescent="0.25">
      <c r="A61" s="120"/>
      <c r="B61" s="45"/>
      <c r="C61" s="450" t="s">
        <v>847</v>
      </c>
      <c r="D61" s="45" t="s">
        <v>147</v>
      </c>
      <c r="E61" s="45"/>
      <c r="F61" s="747" t="s">
        <v>718</v>
      </c>
      <c r="G61" s="409"/>
      <c r="H61" s="48">
        <f t="shared" si="8"/>
        <v>0</v>
      </c>
      <c r="I61" s="58"/>
      <c r="J61" s="48"/>
      <c r="K61" s="48"/>
      <c r="L61" s="48"/>
      <c r="M61" s="48">
        <f t="shared" si="9"/>
        <v>0</v>
      </c>
    </row>
    <row r="62" spans="1:13" s="308" customFormat="1" ht="16.5" x14ac:dyDescent="0.25">
      <c r="A62" s="120"/>
      <c r="B62" s="45"/>
      <c r="C62" s="450" t="s">
        <v>848</v>
      </c>
      <c r="D62" s="45" t="s">
        <v>147</v>
      </c>
      <c r="E62" s="45"/>
      <c r="F62" s="747" t="s">
        <v>431</v>
      </c>
      <c r="G62" s="409"/>
      <c r="H62" s="48">
        <f t="shared" si="8"/>
        <v>0</v>
      </c>
      <c r="I62" s="58"/>
      <c r="J62" s="48"/>
      <c r="K62" s="48"/>
      <c r="L62" s="48"/>
      <c r="M62" s="48">
        <f t="shared" si="9"/>
        <v>0</v>
      </c>
    </row>
    <row r="63" spans="1:13" s="308" customFormat="1" ht="16.5" x14ac:dyDescent="0.25">
      <c r="A63" s="120"/>
      <c r="B63" s="45"/>
      <c r="C63" s="450" t="s">
        <v>849</v>
      </c>
      <c r="D63" s="45" t="s">
        <v>147</v>
      </c>
      <c r="E63" s="45"/>
      <c r="F63" s="747" t="s">
        <v>431</v>
      </c>
      <c r="G63" s="409"/>
      <c r="H63" s="48">
        <f t="shared" si="8"/>
        <v>0</v>
      </c>
      <c r="I63" s="58"/>
      <c r="J63" s="48"/>
      <c r="K63" s="48"/>
      <c r="L63" s="48"/>
      <c r="M63" s="48">
        <f t="shared" si="9"/>
        <v>0</v>
      </c>
    </row>
    <row r="64" spans="1:13" s="308" customFormat="1" ht="16.5" x14ac:dyDescent="0.25">
      <c r="A64" s="120"/>
      <c r="B64" s="45"/>
      <c r="C64" s="450" t="s">
        <v>850</v>
      </c>
      <c r="D64" s="45" t="s">
        <v>147</v>
      </c>
      <c r="E64" s="45"/>
      <c r="F64" s="747" t="s">
        <v>431</v>
      </c>
      <c r="G64" s="409"/>
      <c r="H64" s="48">
        <f t="shared" si="8"/>
        <v>0</v>
      </c>
      <c r="I64" s="58"/>
      <c r="J64" s="48"/>
      <c r="K64" s="48"/>
      <c r="L64" s="48"/>
      <c r="M64" s="48">
        <f t="shared" si="9"/>
        <v>0</v>
      </c>
    </row>
    <row r="65" spans="1:13" s="308" customFormat="1" ht="16.5" x14ac:dyDescent="0.25">
      <c r="A65" s="120"/>
      <c r="B65" s="45"/>
      <c r="C65" s="450" t="s">
        <v>851</v>
      </c>
      <c r="D65" s="45" t="s">
        <v>147</v>
      </c>
      <c r="E65" s="45"/>
      <c r="F65" s="747" t="s">
        <v>431</v>
      </c>
      <c r="G65" s="409"/>
      <c r="H65" s="48">
        <f t="shared" si="8"/>
        <v>0</v>
      </c>
      <c r="I65" s="58"/>
      <c r="J65" s="48"/>
      <c r="K65" s="48"/>
      <c r="L65" s="48"/>
      <c r="M65" s="48">
        <f t="shared" si="9"/>
        <v>0</v>
      </c>
    </row>
    <row r="66" spans="1:13" s="308" customFormat="1" ht="16.5" x14ac:dyDescent="0.25">
      <c r="A66" s="118"/>
      <c r="B66" s="45"/>
      <c r="C66" s="450" t="s">
        <v>852</v>
      </c>
      <c r="D66" s="45" t="s">
        <v>147</v>
      </c>
      <c r="E66" s="45"/>
      <c r="F66" s="747" t="s">
        <v>431</v>
      </c>
      <c r="G66" s="409"/>
      <c r="H66" s="48">
        <f t="shared" si="8"/>
        <v>0</v>
      </c>
      <c r="I66" s="58"/>
      <c r="J66" s="48"/>
      <c r="K66" s="48"/>
      <c r="L66" s="48"/>
      <c r="M66" s="48">
        <f t="shared" si="9"/>
        <v>0</v>
      </c>
    </row>
    <row r="67" spans="1:13" s="308" customFormat="1" ht="31.5" x14ac:dyDescent="0.25">
      <c r="A67" s="45" t="s">
        <v>436</v>
      </c>
      <c r="B67" s="45"/>
      <c r="C67" s="257" t="s">
        <v>220</v>
      </c>
      <c r="D67" s="45"/>
      <c r="E67" s="266"/>
      <c r="F67" s="266"/>
      <c r="G67" s="268"/>
      <c r="H67" s="268"/>
      <c r="I67" s="269"/>
      <c r="J67" s="268"/>
      <c r="K67" s="268"/>
      <c r="L67" s="268"/>
      <c r="M67" s="268"/>
    </row>
    <row r="68" spans="1:13" s="308" customFormat="1" ht="40.5" x14ac:dyDescent="0.25">
      <c r="A68" s="873" t="s">
        <v>383</v>
      </c>
      <c r="B68" s="122" t="s">
        <v>222</v>
      </c>
      <c r="C68" s="133" t="s">
        <v>223</v>
      </c>
      <c r="D68" s="270" t="s">
        <v>147</v>
      </c>
      <c r="E68" s="271"/>
      <c r="F68" s="134">
        <f>F71</f>
        <v>16</v>
      </c>
      <c r="G68" s="126"/>
      <c r="H68" s="139"/>
      <c r="I68" s="139"/>
      <c r="J68" s="139"/>
      <c r="K68" s="139"/>
      <c r="L68" s="139"/>
      <c r="M68" s="139"/>
    </row>
    <row r="69" spans="1:13" s="308" customFormat="1" ht="16.5" x14ac:dyDescent="0.25">
      <c r="A69" s="873"/>
      <c r="B69" s="131"/>
      <c r="C69" s="128" t="s">
        <v>73</v>
      </c>
      <c r="D69" s="270" t="s">
        <v>9</v>
      </c>
      <c r="E69" s="273">
        <v>0.9</v>
      </c>
      <c r="F69" s="132">
        <f>E69*F68</f>
        <v>14.4</v>
      </c>
      <c r="G69" s="126"/>
      <c r="H69" s="139"/>
      <c r="I69" s="139"/>
      <c r="J69" s="139">
        <f>F69*I69</f>
        <v>0</v>
      </c>
      <c r="K69" s="139"/>
      <c r="L69" s="139"/>
      <c r="M69" s="139">
        <f>J69</f>
        <v>0</v>
      </c>
    </row>
    <row r="70" spans="1:13" s="308" customFormat="1" ht="16.5" x14ac:dyDescent="0.25">
      <c r="A70" s="873"/>
      <c r="B70" s="131"/>
      <c r="C70" s="135" t="s">
        <v>8</v>
      </c>
      <c r="D70" s="270" t="s">
        <v>7</v>
      </c>
      <c r="E70" s="273">
        <v>7.0000000000000007E-2</v>
      </c>
      <c r="F70" s="273">
        <f>E70*F68</f>
        <v>1.1200000000000001</v>
      </c>
      <c r="G70" s="126"/>
      <c r="H70" s="139"/>
      <c r="I70" s="139"/>
      <c r="J70" s="139"/>
      <c r="K70" s="139"/>
      <c r="L70" s="139">
        <f>F70*K70</f>
        <v>0</v>
      </c>
      <c r="M70" s="139">
        <f>L70</f>
        <v>0</v>
      </c>
    </row>
    <row r="71" spans="1:13" s="308" customFormat="1" ht="31.5" x14ac:dyDescent="0.25">
      <c r="A71" s="873"/>
      <c r="B71" s="276" t="s">
        <v>224</v>
      </c>
      <c r="C71" s="135" t="s">
        <v>225</v>
      </c>
      <c r="D71" s="277" t="s">
        <v>147</v>
      </c>
      <c r="E71" s="278"/>
      <c r="F71" s="132">
        <v>16</v>
      </c>
      <c r="G71" s="126"/>
      <c r="H71" s="139">
        <f>F71*G71</f>
        <v>0</v>
      </c>
      <c r="I71" s="139"/>
      <c r="J71" s="139"/>
      <c r="K71" s="139"/>
      <c r="L71" s="139"/>
      <c r="M71" s="139">
        <f>H71</f>
        <v>0</v>
      </c>
    </row>
    <row r="72" spans="1:13" s="308" customFormat="1" ht="31.5" x14ac:dyDescent="0.25">
      <c r="A72" s="873"/>
      <c r="B72" s="276" t="s">
        <v>226</v>
      </c>
      <c r="C72" s="135" t="s">
        <v>227</v>
      </c>
      <c r="D72" s="277" t="s">
        <v>147</v>
      </c>
      <c r="E72" s="278"/>
      <c r="F72" s="132">
        <v>16</v>
      </c>
      <c r="G72" s="126"/>
      <c r="H72" s="139">
        <f t="shared" ref="H72:H79" si="10">F72*G72</f>
        <v>0</v>
      </c>
      <c r="I72" s="139"/>
      <c r="J72" s="139"/>
      <c r="K72" s="139"/>
      <c r="L72" s="139"/>
      <c r="M72" s="139">
        <f t="shared" ref="M72:M74" si="11">H72</f>
        <v>0</v>
      </c>
    </row>
    <row r="73" spans="1:13" s="308" customFormat="1" ht="16.5" x14ac:dyDescent="0.25">
      <c r="A73" s="873"/>
      <c r="B73" s="276"/>
      <c r="C73" s="135" t="s">
        <v>853</v>
      </c>
      <c r="D73" s="277" t="s">
        <v>147</v>
      </c>
      <c r="E73" s="278"/>
      <c r="F73" s="132">
        <v>1</v>
      </c>
      <c r="G73" s="126"/>
      <c r="H73" s="139">
        <f t="shared" si="10"/>
        <v>0</v>
      </c>
      <c r="I73" s="139"/>
      <c r="J73" s="139"/>
      <c r="K73" s="139"/>
      <c r="L73" s="139"/>
      <c r="M73" s="139">
        <f t="shared" si="11"/>
        <v>0</v>
      </c>
    </row>
    <row r="74" spans="1:13" s="308" customFormat="1" ht="16.5" x14ac:dyDescent="0.25">
      <c r="A74" s="873"/>
      <c r="B74" s="131"/>
      <c r="C74" s="128" t="s">
        <v>10</v>
      </c>
      <c r="D74" s="270" t="s">
        <v>7</v>
      </c>
      <c r="E74" s="273">
        <v>0.14000000000000001</v>
      </c>
      <c r="F74" s="132">
        <f>E74*F68</f>
        <v>2.2400000000000002</v>
      </c>
      <c r="G74" s="126"/>
      <c r="H74" s="139">
        <f t="shared" si="10"/>
        <v>0</v>
      </c>
      <c r="I74" s="126"/>
      <c r="J74" s="139"/>
      <c r="K74" s="126"/>
      <c r="L74" s="139"/>
      <c r="M74" s="139">
        <f t="shared" si="11"/>
        <v>0</v>
      </c>
    </row>
    <row r="75" spans="1:13" s="308" customFormat="1" ht="47.25" x14ac:dyDescent="0.25">
      <c r="A75" s="873" t="s">
        <v>387</v>
      </c>
      <c r="B75" s="122" t="s">
        <v>229</v>
      </c>
      <c r="C75" s="133" t="s">
        <v>230</v>
      </c>
      <c r="D75" s="277" t="s">
        <v>94</v>
      </c>
      <c r="E75" s="271"/>
      <c r="F75" s="134">
        <f>F78</f>
        <v>16</v>
      </c>
      <c r="G75" s="126"/>
      <c r="H75" s="139"/>
      <c r="I75" s="139"/>
      <c r="J75" s="139"/>
      <c r="K75" s="139"/>
      <c r="L75" s="139"/>
      <c r="M75" s="139"/>
    </row>
    <row r="76" spans="1:13" s="308" customFormat="1" ht="16.5" x14ac:dyDescent="0.25">
      <c r="A76" s="873"/>
      <c r="B76" s="131"/>
      <c r="C76" s="128" t="s">
        <v>73</v>
      </c>
      <c r="D76" s="270" t="s">
        <v>9</v>
      </c>
      <c r="E76" s="273">
        <v>0.12</v>
      </c>
      <c r="F76" s="132">
        <f>E76*F75</f>
        <v>1.92</v>
      </c>
      <c r="G76" s="126"/>
      <c r="H76" s="139"/>
      <c r="I76" s="139"/>
      <c r="J76" s="139">
        <f t="shared" ref="J76" si="12">F76*I76</f>
        <v>0</v>
      </c>
      <c r="K76" s="139"/>
      <c r="L76" s="139"/>
      <c r="M76" s="139">
        <f>J76</f>
        <v>0</v>
      </c>
    </row>
    <row r="77" spans="1:13" s="308" customFormat="1" ht="16.5" x14ac:dyDescent="0.25">
      <c r="A77" s="873"/>
      <c r="B77" s="131"/>
      <c r="C77" s="135" t="s">
        <v>8</v>
      </c>
      <c r="D77" s="270" t="s">
        <v>7</v>
      </c>
      <c r="E77" s="273">
        <v>8.9999999999999993E-3</v>
      </c>
      <c r="F77" s="273">
        <f>E77*F75</f>
        <v>0.14399999999999999</v>
      </c>
      <c r="G77" s="126"/>
      <c r="H77" s="139"/>
      <c r="I77" s="139"/>
      <c r="J77" s="139"/>
      <c r="K77" s="139"/>
      <c r="L77" s="139">
        <f t="shared" ref="L77" si="13">F77*K77</f>
        <v>0</v>
      </c>
      <c r="M77" s="139">
        <f>L77</f>
        <v>0</v>
      </c>
    </row>
    <row r="78" spans="1:13" s="308" customFormat="1" ht="31.5" x14ac:dyDescent="0.25">
      <c r="A78" s="873"/>
      <c r="B78" s="276" t="s">
        <v>231</v>
      </c>
      <c r="C78" s="135" t="s">
        <v>232</v>
      </c>
      <c r="D78" s="277" t="s">
        <v>94</v>
      </c>
      <c r="E78" s="278"/>
      <c r="F78" s="132">
        <v>16</v>
      </c>
      <c r="G78" s="126"/>
      <c r="H78" s="139">
        <f t="shared" si="10"/>
        <v>0</v>
      </c>
      <c r="I78" s="139"/>
      <c r="J78" s="139"/>
      <c r="K78" s="139"/>
      <c r="L78" s="139"/>
      <c r="M78" s="139">
        <f>H78</f>
        <v>0</v>
      </c>
    </row>
    <row r="79" spans="1:13" s="308" customFormat="1" ht="16.5" x14ac:dyDescent="0.25">
      <c r="A79" s="873"/>
      <c r="B79" s="131"/>
      <c r="C79" s="128" t="s">
        <v>10</v>
      </c>
      <c r="D79" s="270" t="s">
        <v>7</v>
      </c>
      <c r="E79" s="273">
        <v>0.14000000000000001</v>
      </c>
      <c r="F79" s="132">
        <f>E79*F75</f>
        <v>2.2400000000000002</v>
      </c>
      <c r="G79" s="126"/>
      <c r="H79" s="139">
        <f t="shared" si="10"/>
        <v>0</v>
      </c>
      <c r="I79" s="126"/>
      <c r="J79" s="139"/>
      <c r="K79" s="126"/>
      <c r="L79" s="139"/>
      <c r="M79" s="139">
        <f>H79</f>
        <v>0</v>
      </c>
    </row>
    <row r="80" spans="1:13" s="308" customFormat="1" ht="31.5" x14ac:dyDescent="0.25">
      <c r="A80" s="382"/>
      <c r="B80" s="382"/>
      <c r="C80" s="584" t="s">
        <v>800</v>
      </c>
      <c r="D80" s="382"/>
      <c r="E80" s="237"/>
      <c r="F80" s="731"/>
      <c r="G80" s="383"/>
      <c r="H80" s="383">
        <f>SUM(H45:H79)</f>
        <v>0</v>
      </c>
      <c r="I80" s="383"/>
      <c r="J80" s="383">
        <f>SUM(J45:J79)</f>
        <v>0</v>
      </c>
      <c r="K80" s="383"/>
      <c r="L80" s="383">
        <f>SUM(L45:L79)</f>
        <v>0</v>
      </c>
      <c r="M80" s="383">
        <f>H80+J80+L80</f>
        <v>0</v>
      </c>
    </row>
    <row r="81" spans="1:13" s="308" customFormat="1" ht="63" x14ac:dyDescent="0.25">
      <c r="A81" s="45"/>
      <c r="B81" s="117"/>
      <c r="C81" s="668" t="s">
        <v>801</v>
      </c>
      <c r="D81" s="384"/>
      <c r="E81" s="243"/>
      <c r="F81" s="669"/>
      <c r="G81" s="670"/>
      <c r="H81" s="670"/>
      <c r="I81" s="670"/>
      <c r="J81" s="670"/>
      <c r="K81" s="670"/>
      <c r="L81" s="670"/>
      <c r="M81" s="670">
        <f>H80*F81</f>
        <v>0</v>
      </c>
    </row>
    <row r="82" spans="1:13" s="308" customFormat="1" ht="16.5" x14ac:dyDescent="0.25">
      <c r="A82" s="45"/>
      <c r="B82" s="117"/>
      <c r="C82" s="671"/>
      <c r="D82" s="384"/>
      <c r="E82" s="243"/>
      <c r="F82" s="243"/>
      <c r="G82" s="670"/>
      <c r="H82" s="670"/>
      <c r="I82" s="670"/>
      <c r="J82" s="670"/>
      <c r="K82" s="670"/>
      <c r="L82" s="670"/>
      <c r="M82" s="670"/>
    </row>
    <row r="83" spans="1:13" s="308" customFormat="1" ht="47.25" x14ac:dyDescent="0.25">
      <c r="A83" s="45"/>
      <c r="B83" s="45"/>
      <c r="C83" s="403" t="s">
        <v>854</v>
      </c>
      <c r="D83" s="38"/>
      <c r="E83" s="47"/>
      <c r="F83" s="748"/>
      <c r="G83" s="48"/>
      <c r="H83" s="48"/>
      <c r="I83" s="48"/>
      <c r="J83" s="48"/>
      <c r="K83" s="48"/>
      <c r="L83" s="48"/>
      <c r="M83" s="48">
        <f>J80*F83</f>
        <v>0</v>
      </c>
    </row>
    <row r="84" spans="1:13" s="308" customFormat="1" ht="16.5" x14ac:dyDescent="0.25">
      <c r="A84" s="382"/>
      <c r="B84" s="382"/>
      <c r="C84" s="584" t="s">
        <v>855</v>
      </c>
      <c r="D84" s="382"/>
      <c r="E84" s="237"/>
      <c r="F84" s="584"/>
      <c r="G84" s="383"/>
      <c r="H84" s="383"/>
      <c r="I84" s="383"/>
      <c r="J84" s="383"/>
      <c r="K84" s="383"/>
      <c r="L84" s="383"/>
      <c r="M84" s="383">
        <f>M80+M81+M83</f>
        <v>0</v>
      </c>
    </row>
    <row r="85" spans="1:13" s="308" customFormat="1" ht="16.5" x14ac:dyDescent="0.25">
      <c r="A85" s="578"/>
      <c r="B85" s="578"/>
      <c r="C85" s="577" t="s">
        <v>856</v>
      </c>
      <c r="D85" s="578"/>
      <c r="E85" s="579"/>
      <c r="F85" s="577"/>
      <c r="G85" s="667"/>
      <c r="H85" s="667"/>
      <c r="I85" s="667"/>
      <c r="J85" s="667"/>
      <c r="K85" s="667"/>
      <c r="L85" s="667"/>
      <c r="M85" s="667">
        <f>M43+M84</f>
        <v>0</v>
      </c>
    </row>
    <row r="86" spans="1:13" s="308" customFormat="1" ht="16.5" x14ac:dyDescent="0.25">
      <c r="A86" s="45"/>
      <c r="B86" s="45"/>
      <c r="C86" s="403" t="s">
        <v>857</v>
      </c>
      <c r="D86" s="38"/>
      <c r="E86" s="47"/>
      <c r="F86" s="748"/>
      <c r="G86" s="48"/>
      <c r="H86" s="48">
        <f>M85-H48</f>
        <v>0</v>
      </c>
      <c r="I86" s="48"/>
      <c r="J86" s="48"/>
      <c r="K86" s="48"/>
      <c r="L86" s="48"/>
      <c r="M86" s="48">
        <f>H86*F86</f>
        <v>0</v>
      </c>
    </row>
    <row r="87" spans="1:13" s="308" customFormat="1" ht="16.5" x14ac:dyDescent="0.25">
      <c r="A87" s="749"/>
      <c r="B87" s="681"/>
      <c r="C87" s="750" t="s">
        <v>858</v>
      </c>
      <c r="D87" s="681"/>
      <c r="E87" s="682"/>
      <c r="F87" s="751"/>
      <c r="G87" s="683"/>
      <c r="H87" s="683"/>
      <c r="I87" s="683"/>
      <c r="J87" s="683" t="s">
        <v>41</v>
      </c>
      <c r="K87" s="683"/>
      <c r="L87" s="683"/>
      <c r="M87" s="667">
        <f>M85+M86</f>
        <v>0</v>
      </c>
    </row>
    <row r="88" spans="1:13" s="308" customFormat="1" ht="16.5" x14ac:dyDescent="0.25">
      <c r="A88" s="472"/>
      <c r="B88" s="472"/>
      <c r="C88" s="570"/>
      <c r="D88" s="311"/>
      <c r="E88" s="687"/>
      <c r="F88" s="753"/>
      <c r="G88" s="398"/>
      <c r="H88" s="398"/>
      <c r="I88" s="398"/>
      <c r="J88" s="398"/>
      <c r="K88" s="398"/>
      <c r="L88" s="398"/>
      <c r="M88" s="398"/>
    </row>
    <row r="89" spans="1:13" s="308" customFormat="1" ht="33" x14ac:dyDescent="0.25">
      <c r="A89" s="754" t="s">
        <v>859</v>
      </c>
      <c r="B89" s="754"/>
      <c r="C89" s="755" t="s">
        <v>860</v>
      </c>
      <c r="D89" s="754"/>
      <c r="E89" s="754"/>
      <c r="F89" s="754"/>
      <c r="G89" s="754"/>
      <c r="H89" s="754"/>
      <c r="I89" s="754"/>
      <c r="J89" s="754"/>
      <c r="K89" s="754"/>
      <c r="L89" s="754"/>
      <c r="M89" s="754"/>
    </row>
    <row r="90" spans="1:13" s="308" customFormat="1" ht="16.5" x14ac:dyDescent="0.25">
      <c r="A90" s="996" t="s">
        <v>431</v>
      </c>
      <c r="B90" s="756"/>
      <c r="C90" s="468" t="s">
        <v>861</v>
      </c>
      <c r="D90" s="373" t="s">
        <v>202</v>
      </c>
      <c r="E90" s="757"/>
      <c r="F90" s="88">
        <v>4</v>
      </c>
      <c r="G90" s="47"/>
      <c r="H90" s="48">
        <f>F90*G90</f>
        <v>0</v>
      </c>
      <c r="I90" s="47"/>
      <c r="J90" s="48"/>
      <c r="K90" s="47"/>
      <c r="L90" s="48"/>
      <c r="M90" s="48">
        <f t="shared" ref="M90:M98" si="14">H90+J90+L90</f>
        <v>0</v>
      </c>
    </row>
    <row r="91" spans="1:13" s="308" customFormat="1" ht="16.5" x14ac:dyDescent="0.25">
      <c r="A91" s="997"/>
      <c r="B91" s="756"/>
      <c r="C91" s="468" t="s">
        <v>862</v>
      </c>
      <c r="D91" s="373" t="s">
        <v>202</v>
      </c>
      <c r="E91" s="504"/>
      <c r="F91" s="88">
        <v>1</v>
      </c>
      <c r="G91" s="47"/>
      <c r="H91" s="48">
        <f t="shared" ref="H91:H95" si="15">F91*G91</f>
        <v>0</v>
      </c>
      <c r="I91" s="47"/>
      <c r="J91" s="48"/>
      <c r="K91" s="47"/>
      <c r="L91" s="48"/>
      <c r="M91" s="48">
        <f t="shared" si="14"/>
        <v>0</v>
      </c>
    </row>
    <row r="92" spans="1:13" s="308" customFormat="1" ht="30.75" x14ac:dyDescent="0.25">
      <c r="A92" s="997"/>
      <c r="B92" s="756"/>
      <c r="C92" s="468" t="s">
        <v>863</v>
      </c>
      <c r="D92" s="373" t="s">
        <v>202</v>
      </c>
      <c r="E92" s="504"/>
      <c r="F92" s="88">
        <v>1</v>
      </c>
      <c r="G92" s="47"/>
      <c r="H92" s="48">
        <f t="shared" si="15"/>
        <v>0</v>
      </c>
      <c r="I92" s="47"/>
      <c r="J92" s="48"/>
      <c r="K92" s="47"/>
      <c r="L92" s="48"/>
      <c r="M92" s="48">
        <f t="shared" si="14"/>
        <v>0</v>
      </c>
    </row>
    <row r="93" spans="1:13" s="308" customFormat="1" ht="16.5" x14ac:dyDescent="0.25">
      <c r="A93" s="997"/>
      <c r="B93" s="756"/>
      <c r="C93" s="758" t="s">
        <v>864</v>
      </c>
      <c r="D93" s="373" t="s">
        <v>211</v>
      </c>
      <c r="E93" s="504"/>
      <c r="F93" s="47">
        <v>200</v>
      </c>
      <c r="G93" s="47"/>
      <c r="H93" s="48">
        <f t="shared" si="15"/>
        <v>0</v>
      </c>
      <c r="I93" s="47"/>
      <c r="J93" s="48"/>
      <c r="K93" s="47"/>
      <c r="L93" s="48"/>
      <c r="M93" s="48">
        <f t="shared" si="14"/>
        <v>0</v>
      </c>
    </row>
    <row r="94" spans="1:13" s="308" customFormat="1" ht="16.5" x14ac:dyDescent="0.25">
      <c r="A94" s="997"/>
      <c r="B94" s="756"/>
      <c r="C94" s="468" t="s">
        <v>865</v>
      </c>
      <c r="D94" s="373" t="s">
        <v>202</v>
      </c>
      <c r="E94" s="504"/>
      <c r="F94" s="47">
        <v>1</v>
      </c>
      <c r="G94" s="47"/>
      <c r="H94" s="48">
        <f t="shared" si="15"/>
        <v>0</v>
      </c>
      <c r="I94" s="47"/>
      <c r="J94" s="48"/>
      <c r="K94" s="47"/>
      <c r="L94" s="48"/>
      <c r="M94" s="48">
        <f t="shared" si="14"/>
        <v>0</v>
      </c>
    </row>
    <row r="95" spans="1:13" s="308" customFormat="1" ht="16.5" x14ac:dyDescent="0.25">
      <c r="A95" s="997"/>
      <c r="B95" s="756"/>
      <c r="C95" s="468" t="s">
        <v>866</v>
      </c>
      <c r="D95" s="373" t="s">
        <v>202</v>
      </c>
      <c r="E95" s="504"/>
      <c r="F95" s="47">
        <v>1</v>
      </c>
      <c r="G95" s="47"/>
      <c r="H95" s="48">
        <f t="shared" si="15"/>
        <v>0</v>
      </c>
      <c r="I95" s="47"/>
      <c r="J95" s="48"/>
      <c r="K95" s="47"/>
      <c r="L95" s="48"/>
      <c r="M95" s="48">
        <f t="shared" si="14"/>
        <v>0</v>
      </c>
    </row>
    <row r="96" spans="1:13" s="308" customFormat="1" ht="31.5" x14ac:dyDescent="0.25">
      <c r="A96" s="998"/>
      <c r="B96" s="756"/>
      <c r="C96" s="468" t="s">
        <v>867</v>
      </c>
      <c r="D96" s="373" t="s">
        <v>868</v>
      </c>
      <c r="E96" s="504"/>
      <c r="F96" s="47">
        <v>1</v>
      </c>
      <c r="G96" s="47"/>
      <c r="H96" s="48"/>
      <c r="I96" s="47"/>
      <c r="J96" s="48">
        <f t="shared" ref="J96" si="16">F96*I96</f>
        <v>0</v>
      </c>
      <c r="K96" s="47"/>
      <c r="L96" s="48"/>
      <c r="M96" s="48">
        <f t="shared" si="14"/>
        <v>0</v>
      </c>
    </row>
    <row r="97" spans="1:13" s="308" customFormat="1" ht="16.5" x14ac:dyDescent="0.25">
      <c r="A97" s="759"/>
      <c r="B97" s="759"/>
      <c r="C97" s="759"/>
      <c r="D97" s="759"/>
      <c r="E97" s="760"/>
      <c r="F97" s="47"/>
      <c r="G97" s="47"/>
      <c r="H97" s="48"/>
      <c r="I97" s="47"/>
      <c r="J97" s="48"/>
      <c r="K97" s="47"/>
      <c r="L97" s="48"/>
      <c r="M97" s="48">
        <f t="shared" si="14"/>
        <v>0</v>
      </c>
    </row>
    <row r="98" spans="1:13" s="308" customFormat="1" ht="31.5" x14ac:dyDescent="0.25">
      <c r="A98" s="761"/>
      <c r="B98" s="761"/>
      <c r="C98" s="579" t="s">
        <v>800</v>
      </c>
      <c r="D98" s="761"/>
      <c r="E98" s="761"/>
      <c r="F98" s="579"/>
      <c r="G98" s="579"/>
      <c r="H98" s="667">
        <f>SUM(H90:H97)</f>
        <v>0</v>
      </c>
      <c r="I98" s="667"/>
      <c r="J98" s="667">
        <f>SUM(J90:J97)</f>
        <v>0</v>
      </c>
      <c r="K98" s="667"/>
      <c r="L98" s="667">
        <f>SUM(L97:L97)</f>
        <v>0</v>
      </c>
      <c r="M98" s="667">
        <f t="shared" si="14"/>
        <v>0</v>
      </c>
    </row>
    <row r="99" spans="1:13" s="308" customFormat="1" ht="63" x14ac:dyDescent="0.25">
      <c r="A99" s="45"/>
      <c r="B99" s="117"/>
      <c r="C99" s="668" t="s">
        <v>801</v>
      </c>
      <c r="D99" s="384"/>
      <c r="E99" s="243"/>
      <c r="F99" s="669"/>
      <c r="G99" s="670"/>
      <c r="H99" s="670"/>
      <c r="I99" s="670"/>
      <c r="J99" s="670"/>
      <c r="K99" s="670"/>
      <c r="L99" s="670"/>
      <c r="M99" s="670">
        <f>H98*F99</f>
        <v>0</v>
      </c>
    </row>
    <row r="100" spans="1:13" s="308" customFormat="1" ht="16.5" x14ac:dyDescent="0.25">
      <c r="A100" s="45"/>
      <c r="B100" s="117"/>
      <c r="C100" s="671"/>
      <c r="D100" s="384"/>
      <c r="E100" s="243"/>
      <c r="F100" s="243"/>
      <c r="G100" s="670"/>
      <c r="H100" s="670"/>
      <c r="I100" s="670"/>
      <c r="J100" s="670"/>
      <c r="K100" s="670"/>
      <c r="L100" s="670"/>
      <c r="M100" s="670"/>
    </row>
    <row r="101" spans="1:13" s="308" customFormat="1" ht="47.25" x14ac:dyDescent="0.25">
      <c r="A101" s="504"/>
      <c r="B101" s="504"/>
      <c r="C101" s="47" t="s">
        <v>869</v>
      </c>
      <c r="D101" s="504"/>
      <c r="E101" s="504"/>
      <c r="F101" s="762"/>
      <c r="G101" s="47"/>
      <c r="H101" s="47"/>
      <c r="I101" s="47"/>
      <c r="J101" s="48"/>
      <c r="K101" s="48"/>
      <c r="L101" s="48"/>
      <c r="M101" s="48">
        <f>J98*F101</f>
        <v>0</v>
      </c>
    </row>
    <row r="102" spans="1:13" s="308" customFormat="1" ht="16.5" x14ac:dyDescent="0.25">
      <c r="A102" s="504"/>
      <c r="B102" s="504"/>
      <c r="C102" s="47"/>
      <c r="D102" s="504"/>
      <c r="E102" s="504"/>
      <c r="F102" s="47"/>
      <c r="G102" s="47"/>
      <c r="H102" s="47"/>
      <c r="I102" s="47"/>
      <c r="J102" s="48" t="s">
        <v>41</v>
      </c>
      <c r="K102" s="48"/>
      <c r="L102" s="48"/>
      <c r="M102" s="48">
        <f>M98+M99+M101</f>
        <v>0</v>
      </c>
    </row>
    <row r="103" spans="1:13" s="308" customFormat="1" ht="16.5" x14ac:dyDescent="0.25">
      <c r="A103" s="504"/>
      <c r="B103" s="504"/>
      <c r="C103" s="47" t="s">
        <v>857</v>
      </c>
      <c r="D103" s="504"/>
      <c r="E103" s="504"/>
      <c r="F103" s="762"/>
      <c r="G103" s="47"/>
      <c r="H103" s="47"/>
      <c r="I103" s="47"/>
      <c r="J103" s="48"/>
      <c r="K103" s="48"/>
      <c r="L103" s="48"/>
      <c r="M103" s="48">
        <f>M102*F103</f>
        <v>0</v>
      </c>
    </row>
    <row r="104" spans="1:13" s="308" customFormat="1" ht="16.5" x14ac:dyDescent="0.25">
      <c r="A104" s="763"/>
      <c r="B104" s="763"/>
      <c r="C104" s="579" t="s">
        <v>870</v>
      </c>
      <c r="D104" s="763"/>
      <c r="E104" s="763"/>
      <c r="F104" s="648"/>
      <c r="G104" s="648"/>
      <c r="H104" s="648"/>
      <c r="I104" s="648"/>
      <c r="J104" s="685" t="s">
        <v>41</v>
      </c>
      <c r="K104" s="685"/>
      <c r="L104" s="685"/>
      <c r="M104" s="667">
        <f>M102+M103</f>
        <v>0</v>
      </c>
    </row>
    <row r="105" spans="1:13" s="308" customFormat="1" ht="16.5" x14ac:dyDescent="0.25">
      <c r="A105" s="472"/>
      <c r="B105" s="472"/>
      <c r="C105" s="570"/>
      <c r="D105" s="311"/>
      <c r="E105" s="687"/>
      <c r="F105" s="753"/>
      <c r="G105" s="398"/>
      <c r="H105" s="398"/>
      <c r="I105" s="398"/>
      <c r="J105" s="398"/>
      <c r="K105" s="398"/>
      <c r="L105" s="398"/>
      <c r="M105" s="398"/>
    </row>
    <row r="106" spans="1:13" s="308" customFormat="1" ht="16.5" x14ac:dyDescent="0.25">
      <c r="A106" s="764"/>
      <c r="B106" s="764"/>
      <c r="C106" s="765" t="s">
        <v>873</v>
      </c>
      <c r="D106" s="766"/>
      <c r="E106" s="767"/>
      <c r="F106" s="768"/>
      <c r="G106" s="580"/>
      <c r="H106" s="580"/>
      <c r="I106" s="580"/>
      <c r="J106" s="580"/>
      <c r="K106" s="580"/>
      <c r="L106" s="580"/>
      <c r="M106" s="395">
        <f>M87+M104</f>
        <v>0</v>
      </c>
    </row>
    <row r="107" spans="1:13" s="308" customFormat="1" ht="25.9" customHeight="1" x14ac:dyDescent="0.25">
      <c r="A107" s="504"/>
      <c r="B107" s="504"/>
      <c r="C107" s="47" t="s">
        <v>871</v>
      </c>
      <c r="D107" s="504"/>
      <c r="E107" s="504"/>
      <c r="F107" s="471">
        <v>0.03</v>
      </c>
      <c r="G107" s="47"/>
      <c r="H107" s="47"/>
      <c r="I107" s="47"/>
      <c r="J107" s="48"/>
      <c r="K107" s="48"/>
      <c r="L107" s="48"/>
      <c r="M107" s="48">
        <f>M106*F107</f>
        <v>0</v>
      </c>
    </row>
    <row r="108" spans="1:13" s="308" customFormat="1" ht="16.5" x14ac:dyDescent="0.25">
      <c r="A108" s="504"/>
      <c r="B108" s="504"/>
      <c r="C108" s="47"/>
      <c r="D108" s="504"/>
      <c r="E108" s="504"/>
      <c r="F108" s="47"/>
      <c r="G108" s="47"/>
      <c r="H108" s="47"/>
      <c r="I108" s="47"/>
      <c r="J108" s="48" t="s">
        <v>41</v>
      </c>
      <c r="K108" s="48"/>
      <c r="L108" s="48"/>
      <c r="M108" s="48">
        <f>M106+M107</f>
        <v>0</v>
      </c>
    </row>
    <row r="109" spans="1:13" s="308" customFormat="1" ht="16.5" x14ac:dyDescent="0.25">
      <c r="A109" s="504"/>
      <c r="B109" s="504"/>
      <c r="C109" s="47" t="s">
        <v>872</v>
      </c>
      <c r="D109" s="504"/>
      <c r="E109" s="504"/>
      <c r="F109" s="471">
        <v>0.18</v>
      </c>
      <c r="G109" s="47"/>
      <c r="H109" s="47"/>
      <c r="I109" s="47"/>
      <c r="J109" s="48"/>
      <c r="K109" s="48"/>
      <c r="L109" s="48"/>
      <c r="M109" s="48">
        <f>M108*F109</f>
        <v>0</v>
      </c>
    </row>
    <row r="110" spans="1:13" s="308" customFormat="1" ht="31.5" x14ac:dyDescent="0.25">
      <c r="A110" s="764"/>
      <c r="B110" s="764"/>
      <c r="C110" s="765" t="s">
        <v>874</v>
      </c>
      <c r="D110" s="766"/>
      <c r="E110" s="767"/>
      <c r="F110" s="768"/>
      <c r="G110" s="580"/>
      <c r="H110" s="580"/>
      <c r="I110" s="580"/>
      <c r="J110" s="580" t="s">
        <v>41</v>
      </c>
      <c r="K110" s="580"/>
      <c r="L110" s="580"/>
      <c r="M110" s="395">
        <f>M108+M109</f>
        <v>0</v>
      </c>
    </row>
    <row r="111" spans="1:13" s="308" customFormat="1" ht="16.5" x14ac:dyDescent="0.25">
      <c r="A111" s="472"/>
      <c r="B111" s="472"/>
      <c r="C111" s="570"/>
      <c r="D111" s="311"/>
      <c r="E111" s="687"/>
      <c r="F111" s="753"/>
      <c r="G111" s="398"/>
      <c r="H111" s="398"/>
      <c r="I111" s="398"/>
      <c r="J111" s="398"/>
      <c r="K111" s="398"/>
      <c r="L111" s="398"/>
      <c r="M111" s="398"/>
    </row>
    <row r="112" spans="1:13" s="308" customFormat="1" ht="16.5" x14ac:dyDescent="0.25">
      <c r="A112" s="472"/>
      <c r="B112" s="472"/>
      <c r="C112" s="570"/>
      <c r="D112" s="311"/>
      <c r="E112" s="687"/>
      <c r="F112" s="753"/>
      <c r="G112" s="398"/>
      <c r="H112" s="398"/>
      <c r="I112" s="398"/>
      <c r="J112" s="398"/>
      <c r="K112" s="398"/>
      <c r="L112" s="398"/>
      <c r="M112" s="398"/>
    </row>
  </sheetData>
  <mergeCells count="27">
    <mergeCell ref="A16:A17"/>
    <mergeCell ref="A1:M1"/>
    <mergeCell ref="A2:M2"/>
    <mergeCell ref="A3:M3"/>
    <mergeCell ref="A5:M5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M8"/>
    <mergeCell ref="A13:A15"/>
    <mergeCell ref="A90:A96"/>
    <mergeCell ref="A18:A19"/>
    <mergeCell ref="A20:A22"/>
    <mergeCell ref="A23:A27"/>
    <mergeCell ref="A28:A30"/>
    <mergeCell ref="A31:A32"/>
    <mergeCell ref="A33:A38"/>
    <mergeCell ref="A45:A49"/>
    <mergeCell ref="A50:A55"/>
    <mergeCell ref="A68:A74"/>
    <mergeCell ref="A75:A79"/>
  </mergeCells>
  <pageMargins left="0.70866141732283472" right="0.27" top="0.26" bottom="0.18" header="0.22" footer="0.15"/>
  <pageSetup paperSize="9" orientation="landscape" horizontalDpi="1200" verticalDpi="1200" r:id="rId1"/>
  <headerFooter>
    <oddHeader>&amp;R&amp;P--&amp;N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krebsiti</vt:lpstr>
      <vt:lpstr>#1-1</vt:lpstr>
      <vt:lpstr>#1-2</vt:lpstr>
      <vt:lpstr>#1-3</vt:lpstr>
      <vt:lpstr>#2-1</vt:lpstr>
      <vt:lpstr>#2-2</vt:lpstr>
      <vt:lpstr>#2-3</vt:lpstr>
      <vt:lpstr>#3-1</vt:lpstr>
      <vt:lpstr>#3-2</vt:lpstr>
      <vt:lpstr>#3-3</vt:lpstr>
      <vt:lpstr>#3-4</vt:lpstr>
      <vt:lpstr>'#1-1'!Print_Area</vt:lpstr>
      <vt:lpstr>'#1-2'!Print_Area</vt:lpstr>
      <vt:lpstr>'#1-3'!Print_Area</vt:lpstr>
      <vt:lpstr>'#2-1'!Print_Area</vt:lpstr>
      <vt:lpstr>'#2-2'!Print_Area</vt:lpstr>
      <vt:lpstr>'#2-3'!Print_Area</vt:lpstr>
      <vt:lpstr>'#3-1'!Print_Area</vt:lpstr>
      <vt:lpstr>'#3-2'!Print_Area</vt:lpstr>
      <vt:lpstr>'#3-3'!Print_Area</vt:lpstr>
      <vt:lpstr>'#3-4'!Print_Area</vt:lpstr>
      <vt:lpstr>krebsiti!Print_Area</vt:lpstr>
      <vt:lpstr>'#1-1'!Print_Titles</vt:lpstr>
      <vt:lpstr>'#1-2'!Print_Titles</vt:lpstr>
      <vt:lpstr>'#1-3'!Print_Titles</vt:lpstr>
      <vt:lpstr>'#2-1'!Print_Titles</vt:lpstr>
      <vt:lpstr>'#2-2'!Print_Titles</vt:lpstr>
      <vt:lpstr>'#2-3'!Print_Titles</vt:lpstr>
      <vt:lpstr>'#3-1'!Print_Titles</vt:lpstr>
      <vt:lpstr>'#3-2'!Print_Titles</vt:lpstr>
      <vt:lpstr>'#3-3'!Print_Titles</vt:lpstr>
      <vt:lpstr>'#3-4'!Print_Titles</vt:lpstr>
      <vt:lpstr>krebsiti!Print_Titles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2019-08-06T06:36:26Z</dcterms:modified>
</cp:coreProperties>
</file>