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5"/>
  </bookViews>
  <sheets>
    <sheet name="კრებსითი" sheetId="4" r:id="rId1"/>
    <sheet name="1-1" sheetId="5" r:id="rId2"/>
    <sheet name="2-1" sheetId="9" r:id="rId3"/>
    <sheet name="3-1" sheetId="13" r:id="rId4"/>
    <sheet name="4-1" sheetId="24" r:id="rId5"/>
    <sheet name="5-1" sheetId="25" r:id="rId6"/>
    <sheet name="სატენდერო კრებსითი" sheetId="31" r:id="rId7"/>
    <sheet name="სატენდერო" sheetId="30" r:id="rId8"/>
    <sheet name="ტრანსპორტირება" sheetId="29" r:id="rId9"/>
  </sheets>
  <externalReferences>
    <externalReference r:id="rId10"/>
  </externalReferences>
  <definedNames>
    <definedName name="_xlnm.Print_Area" localSheetId="1">'1-1'!$A$1:$M$40</definedName>
    <definedName name="_xlnm.Print_Area" localSheetId="2">'2-1'!$A$1:$M$55</definedName>
    <definedName name="_xlnm.Print_Area" localSheetId="3">'3-1'!$A$1:$M$113</definedName>
    <definedName name="_xlnm.Print_Area" localSheetId="4">'4-1'!$A$1:$M$69</definedName>
    <definedName name="_xlnm.Print_Area" localSheetId="5">'5-1'!$A$1:$M$90</definedName>
    <definedName name="_xlnm.Print_Area" localSheetId="0">კრებსითი!$A$1:$G$35</definedName>
    <definedName name="_xlnm.Print_Area" localSheetId="7">სატენდერო!$A$1:$I$94</definedName>
    <definedName name="_xlnm.Print_Area" localSheetId="6">'სატენდერო კრებსითი'!$A$1:$D$35</definedName>
    <definedName name="_xlnm.Print_Area" localSheetId="8">ტრანსპორტირება!$A$1:$L$74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10">[1]ტრანსპორტირება!$J$71</definedName>
    <definedName name="დეკორატიულიქვა11">[1]ტრანსპორტირება!$K$71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/>
  <c r="E19"/>
  <c r="D19"/>
  <c r="F17"/>
  <c r="E17"/>
  <c r="D17"/>
  <c r="G19"/>
  <c r="F15"/>
  <c r="E15"/>
  <c r="D15"/>
  <c r="G15" s="1"/>
  <c r="F13"/>
  <c r="E13"/>
  <c r="D13"/>
  <c r="G13" s="1"/>
  <c r="F11"/>
  <c r="E11"/>
  <c r="E21" s="1"/>
  <c r="D11"/>
  <c r="G11" s="1"/>
  <c r="F96" i="13"/>
  <c r="F100" s="1"/>
  <c r="F90"/>
  <c r="F89"/>
  <c r="F91" s="1"/>
  <c r="F82"/>
  <c r="F86" s="1"/>
  <c r="E78"/>
  <c r="F77"/>
  <c r="F78" s="1"/>
  <c r="F73"/>
  <c r="F70"/>
  <c r="F74" s="1"/>
  <c r="E64"/>
  <c r="F55"/>
  <c r="F65" s="1"/>
  <c r="F48"/>
  <c r="F52" s="1"/>
  <c r="F41"/>
  <c r="F45" s="1"/>
  <c r="F33"/>
  <c r="F34" s="1"/>
  <c r="F31"/>
  <c r="F28"/>
  <c r="F29" s="1"/>
  <c r="E26"/>
  <c r="F25"/>
  <c r="F21"/>
  <c r="F18"/>
  <c r="F20" s="1"/>
  <c r="E15"/>
  <c r="E14"/>
  <c r="E13"/>
  <c r="E11"/>
  <c r="F10"/>
  <c r="F15" s="1"/>
  <c r="F21" i="4" l="1"/>
  <c r="G17"/>
  <c r="G21" s="1"/>
  <c r="G23" s="1"/>
  <c r="G24" s="1"/>
  <c r="G25" s="1"/>
  <c r="G26" s="1"/>
  <c r="D21"/>
  <c r="F97" i="13"/>
  <c r="F99"/>
  <c r="F101"/>
  <c r="F98"/>
  <c r="F93"/>
  <c r="F92"/>
  <c r="F83"/>
  <c r="F85"/>
  <c r="F84"/>
  <c r="F79"/>
  <c r="F72"/>
  <c r="F71"/>
  <c r="F64"/>
  <c r="F56"/>
  <c r="F62"/>
  <c r="F67"/>
  <c r="F66"/>
  <c r="F57"/>
  <c r="F59"/>
  <c r="F58"/>
  <c r="F61"/>
  <c r="F63"/>
  <c r="F51"/>
  <c r="F50"/>
  <c r="F49"/>
  <c r="F44"/>
  <c r="F43"/>
  <c r="F42"/>
  <c r="F38"/>
  <c r="F36"/>
  <c r="F37"/>
  <c r="F35"/>
  <c r="F19"/>
  <c r="F26"/>
  <c r="F22"/>
  <c r="F11"/>
  <c r="F12"/>
  <c r="F13"/>
  <c r="F14"/>
  <c r="G27" i="4" l="1"/>
  <c r="G28" s="1"/>
  <c r="G29" l="1"/>
  <c r="G31" s="1"/>
  <c r="F50" i="25" l="1"/>
  <c r="F51" s="1"/>
  <c r="F52" s="1"/>
  <c r="F35"/>
  <c r="F66"/>
  <c r="F69" s="1"/>
  <c r="E63"/>
  <c r="E62"/>
  <c r="E57"/>
  <c r="E48"/>
  <c r="E47"/>
  <c r="E42"/>
  <c r="F40"/>
  <c r="F55" s="1"/>
  <c r="F36"/>
  <c r="F38" s="1"/>
  <c r="E33"/>
  <c r="E32"/>
  <c r="F31"/>
  <c r="E30"/>
  <c r="F29"/>
  <c r="E29"/>
  <c r="E28"/>
  <c r="F27"/>
  <c r="E26"/>
  <c r="F25"/>
  <c r="E25"/>
  <c r="F24"/>
  <c r="F30" s="1"/>
  <c r="F20"/>
  <c r="F17"/>
  <c r="F15"/>
  <c r="F19" s="1"/>
  <c r="F11"/>
  <c r="F10"/>
  <c r="F12" s="1"/>
  <c r="E34" i="24"/>
  <c r="E33"/>
  <c r="E28"/>
  <c r="F58"/>
  <c r="F52"/>
  <c r="E49"/>
  <c r="E48"/>
  <c r="E43"/>
  <c r="F41"/>
  <c r="F37"/>
  <c r="F38" s="1"/>
  <c r="F27"/>
  <c r="F42" s="1"/>
  <c r="F22"/>
  <c r="F23" s="1"/>
  <c r="F19"/>
  <c r="F18"/>
  <c r="F17"/>
  <c r="F10"/>
  <c r="F16" s="1"/>
  <c r="F32" i="9"/>
  <c r="F39"/>
  <c r="F40" s="1"/>
  <c r="F35"/>
  <c r="F36" s="1"/>
  <c r="F34"/>
  <c r="F29"/>
  <c r="F28"/>
  <c r="F26"/>
  <c r="F30" s="1"/>
  <c r="F18"/>
  <c r="F19" s="1"/>
  <c r="F16"/>
  <c r="F10"/>
  <c r="F14" s="1"/>
  <c r="E18" i="5"/>
  <c r="F18" s="1"/>
  <c r="F68" i="25" l="1"/>
  <c r="F67"/>
  <c r="F71"/>
  <c r="F70"/>
  <c r="F72"/>
  <c r="F53"/>
  <c r="F37"/>
  <c r="F32"/>
  <c r="F26"/>
  <c r="F28"/>
  <c r="F33"/>
  <c r="F18"/>
  <c r="F16"/>
  <c r="F21"/>
  <c r="F41"/>
  <c r="F28" i="24"/>
  <c r="F31"/>
  <c r="F33"/>
  <c r="F24"/>
  <c r="F13"/>
  <c r="F14"/>
  <c r="F32"/>
  <c r="F34"/>
  <c r="F43"/>
  <c r="F48"/>
  <c r="F45"/>
  <c r="F46"/>
  <c r="F47"/>
  <c r="F49"/>
  <c r="F44"/>
  <c r="F39"/>
  <c r="F12"/>
  <c r="F30"/>
  <c r="F11"/>
  <c r="F15"/>
  <c r="F29"/>
  <c r="F23" i="9"/>
  <c r="F22"/>
  <c r="F13"/>
  <c r="F41"/>
  <c r="F21"/>
  <c r="F11"/>
  <c r="F20"/>
  <c r="F27"/>
  <c r="F12"/>
  <c r="F47" i="25" l="1"/>
  <c r="F46"/>
  <c r="F42"/>
  <c r="F56"/>
  <c r="F43"/>
  <c r="F48"/>
  <c r="F44"/>
  <c r="F45"/>
  <c r="F58" l="1"/>
  <c r="F63"/>
  <c r="F59"/>
  <c r="F60"/>
  <c r="F62"/>
  <c r="F61"/>
  <c r="F57"/>
  <c r="J31" i="29" l="1"/>
  <c r="J29"/>
  <c r="J28"/>
  <c r="J27"/>
  <c r="F57" i="24" l="1"/>
  <c r="F56"/>
  <c r="F55"/>
  <c r="F54"/>
  <c r="F53"/>
  <c r="I54" i="30" l="1"/>
  <c r="I53"/>
  <c r="I52"/>
  <c r="I51"/>
  <c r="I50"/>
  <c r="I49"/>
  <c r="I48"/>
  <c r="I47"/>
  <c r="I46"/>
  <c r="I45"/>
  <c r="I44"/>
  <c r="I43"/>
  <c r="I42"/>
  <c r="I41"/>
  <c r="H43"/>
  <c r="D54"/>
  <c r="D53"/>
  <c r="D52"/>
  <c r="D51"/>
  <c r="D50"/>
  <c r="D49"/>
  <c r="D48"/>
  <c r="D47"/>
  <c r="D43"/>
  <c r="D42"/>
  <c r="D41"/>
  <c r="C54"/>
  <c r="C53"/>
  <c r="E53" s="1"/>
  <c r="C52"/>
  <c r="C51"/>
  <c r="E51" s="1"/>
  <c r="C50"/>
  <c r="E50" s="1"/>
  <c r="C49"/>
  <c r="C48"/>
  <c r="E48" s="1"/>
  <c r="C47"/>
  <c r="C46"/>
  <c r="E46" s="1"/>
  <c r="C45"/>
  <c r="E45" s="1"/>
  <c r="C44"/>
  <c r="E44" s="1"/>
  <c r="C43"/>
  <c r="E43" s="1"/>
  <c r="C42"/>
  <c r="E42" s="1"/>
  <c r="C41"/>
  <c r="A54"/>
  <c r="A53"/>
  <c r="A52"/>
  <c r="A51"/>
  <c r="A50"/>
  <c r="A49"/>
  <c r="A48"/>
  <c r="A47"/>
  <c r="A46"/>
  <c r="A45"/>
  <c r="A44"/>
  <c r="A43"/>
  <c r="A42"/>
  <c r="A41"/>
  <c r="B54"/>
  <c r="B53"/>
  <c r="B52"/>
  <c r="B51"/>
  <c r="B50"/>
  <c r="B49"/>
  <c r="B48"/>
  <c r="B47"/>
  <c r="B46"/>
  <c r="B45"/>
  <c r="B44"/>
  <c r="B43"/>
  <c r="B42"/>
  <c r="B41"/>
  <c r="H45"/>
  <c r="F54" l="1"/>
  <c r="D45"/>
  <c r="F45" s="1"/>
  <c r="G45" s="1"/>
  <c r="D46"/>
  <c r="F46" s="1"/>
  <c r="F41"/>
  <c r="F49"/>
  <c r="D44"/>
  <c r="F44" s="1"/>
  <c r="F47"/>
  <c r="F52"/>
  <c r="E54"/>
  <c r="E49"/>
  <c r="E47"/>
  <c r="F50"/>
  <c r="F43"/>
  <c r="G43" s="1"/>
  <c r="E41"/>
  <c r="E52"/>
  <c r="F48"/>
  <c r="F53"/>
  <c r="F51"/>
  <c r="F42"/>
  <c r="H52"/>
  <c r="H41"/>
  <c r="H44"/>
  <c r="H50"/>
  <c r="H53"/>
  <c r="G50" l="1"/>
  <c r="H54"/>
  <c r="G54" s="1"/>
  <c r="G52"/>
  <c r="G53"/>
  <c r="G41"/>
  <c r="H51"/>
  <c r="G51" s="1"/>
  <c r="H47"/>
  <c r="G47" s="1"/>
  <c r="H42"/>
  <c r="G42" s="1"/>
  <c r="G44"/>
  <c r="H48"/>
  <c r="G48" s="1"/>
  <c r="H49" l="1"/>
  <c r="G49" s="1"/>
  <c r="H46"/>
  <c r="G46" s="1"/>
  <c r="G70" i="29" l="1"/>
  <c r="K70" s="1"/>
  <c r="G6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80" i="30" l="1"/>
  <c r="I79"/>
  <c r="I78"/>
  <c r="I77"/>
  <c r="I76"/>
  <c r="I75"/>
  <c r="I74"/>
  <c r="I73"/>
  <c r="D80"/>
  <c r="D78"/>
  <c r="D77"/>
  <c r="D76"/>
  <c r="D75"/>
  <c r="D74"/>
  <c r="D73"/>
  <c r="C80"/>
  <c r="C79"/>
  <c r="E79" s="1"/>
  <c r="C78"/>
  <c r="E78" s="1"/>
  <c r="C77"/>
  <c r="F77" s="1"/>
  <c r="C76"/>
  <c r="E76" s="1"/>
  <c r="C75"/>
  <c r="F75" s="1"/>
  <c r="C74"/>
  <c r="E74" s="1"/>
  <c r="C73"/>
  <c r="F73" s="1"/>
  <c r="A80"/>
  <c r="A79"/>
  <c r="A78"/>
  <c r="A77"/>
  <c r="A76"/>
  <c r="A75"/>
  <c r="A74"/>
  <c r="A73"/>
  <c r="B80"/>
  <c r="B79"/>
  <c r="B78"/>
  <c r="B77"/>
  <c r="B76"/>
  <c r="B75"/>
  <c r="B74"/>
  <c r="B73"/>
  <c r="B72"/>
  <c r="B27" i="31" s="1"/>
  <c r="I66" i="30"/>
  <c r="I65"/>
  <c r="I64"/>
  <c r="I63"/>
  <c r="I62"/>
  <c r="I61"/>
  <c r="D66"/>
  <c r="D64"/>
  <c r="D63"/>
  <c r="D62"/>
  <c r="D61"/>
  <c r="C66"/>
  <c r="E66" s="1"/>
  <c r="C65"/>
  <c r="E65" s="1"/>
  <c r="C64"/>
  <c r="E64" s="1"/>
  <c r="C63"/>
  <c r="E63" s="1"/>
  <c r="C62"/>
  <c r="E62" s="1"/>
  <c r="C61"/>
  <c r="E61" s="1"/>
  <c r="A66"/>
  <c r="A65"/>
  <c r="A64"/>
  <c r="A63"/>
  <c r="A62"/>
  <c r="A61"/>
  <c r="B66"/>
  <c r="B65"/>
  <c r="B64"/>
  <c r="B63"/>
  <c r="B62"/>
  <c r="B61"/>
  <c r="B60"/>
  <c r="B25" i="31" s="1"/>
  <c r="B40" i="30"/>
  <c r="B23" i="31" s="1"/>
  <c r="I34" i="30"/>
  <c r="I33"/>
  <c r="I32"/>
  <c r="I31"/>
  <c r="I30"/>
  <c r="I29"/>
  <c r="I28"/>
  <c r="D34"/>
  <c r="D31"/>
  <c r="D28"/>
  <c r="C34"/>
  <c r="E34" s="1"/>
  <c r="C33"/>
  <c r="C32"/>
  <c r="C31"/>
  <c r="C30"/>
  <c r="E30" s="1"/>
  <c r="C29"/>
  <c r="E29" s="1"/>
  <c r="C28"/>
  <c r="A34"/>
  <c r="A33"/>
  <c r="A32"/>
  <c r="A31"/>
  <c r="A30"/>
  <c r="A29"/>
  <c r="A28"/>
  <c r="B34"/>
  <c r="B33"/>
  <c r="B32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80" i="30" l="1"/>
  <c r="F63"/>
  <c r="F78"/>
  <c r="E77"/>
  <c r="F61"/>
  <c r="E75"/>
  <c r="E80"/>
  <c r="F66"/>
  <c r="E73"/>
  <c r="F76"/>
  <c r="F64"/>
  <c r="F62"/>
  <c r="F74"/>
  <c r="F31"/>
  <c r="E31"/>
  <c r="F34"/>
  <c r="F28"/>
  <c r="E33"/>
  <c r="E28"/>
  <c r="E32"/>
  <c r="F21"/>
  <c r="E21"/>
  <c r="D79" l="1"/>
  <c r="F79" s="1"/>
  <c r="H73"/>
  <c r="G73" s="1"/>
  <c r="D65" l="1"/>
  <c r="F65" s="1"/>
  <c r="K69" i="29" l="1"/>
  <c r="A22"/>
  <c r="H34" i="30" l="1"/>
  <c r="G34" s="1"/>
  <c r="D33" l="1"/>
  <c r="F33" s="1"/>
  <c r="D32"/>
  <c r="F32" s="1"/>
  <c r="H33"/>
  <c r="H32"/>
  <c r="D30"/>
  <c r="F30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H80" i="30" s="1"/>
  <c r="G80" s="1"/>
  <c r="K36" i="29"/>
  <c r="K35"/>
  <c r="H65" i="30" s="1"/>
  <c r="G65" s="1"/>
  <c r="K34" i="29"/>
  <c r="K33"/>
  <c r="K32"/>
  <c r="K31"/>
  <c r="K30"/>
  <c r="K29"/>
  <c r="K28"/>
  <c r="K27"/>
  <c r="K26"/>
  <c r="K25"/>
  <c r="K24"/>
  <c r="K23"/>
  <c r="K22"/>
  <c r="K21"/>
  <c r="A3"/>
  <c r="G32" i="30" l="1"/>
  <c r="G33"/>
  <c r="H77"/>
  <c r="G77" s="1"/>
  <c r="H63"/>
  <c r="G63" s="1"/>
  <c r="H78"/>
  <c r="G78" s="1"/>
  <c r="H64"/>
  <c r="G64" s="1"/>
  <c r="H31"/>
  <c r="G31" s="1"/>
  <c r="A7" i="29"/>
  <c r="H55" i="30" l="1"/>
  <c r="H56" s="1"/>
  <c r="H57" s="1"/>
  <c r="H58" s="1"/>
  <c r="H59" s="1"/>
  <c r="D23" i="31" s="1"/>
  <c r="H74" i="30" l="1"/>
  <c r="G74" s="1"/>
  <c r="H75"/>
  <c r="G75" s="1"/>
  <c r="H76"/>
  <c r="G76" s="1"/>
  <c r="H79"/>
  <c r="H62"/>
  <c r="G62" s="1"/>
  <c r="H66" l="1"/>
  <c r="G66" s="1"/>
  <c r="G79"/>
  <c r="H81"/>
  <c r="H82" s="1"/>
  <c r="H83" s="1"/>
  <c r="H84" s="1"/>
  <c r="H85" s="1"/>
  <c r="D27" i="31" s="1"/>
  <c r="H61" i="30" l="1"/>
  <c r="G61" l="1"/>
  <c r="H67"/>
  <c r="H68" s="1"/>
  <c r="H69" s="1"/>
  <c r="H70" s="1"/>
  <c r="H71" s="1"/>
  <c r="D25" i="31" s="1"/>
  <c r="D29" i="30" l="1"/>
  <c r="F29" s="1"/>
  <c r="H29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5"/>
  <c r="H36" s="1"/>
  <c r="H37" s="1"/>
  <c r="H38" s="1"/>
  <c r="H39" s="1"/>
  <c r="D21" i="31" s="1"/>
  <c r="D28" l="1"/>
  <c r="D29" s="1"/>
  <c r="D30" s="1"/>
  <c r="D31" s="1"/>
  <c r="D32" s="1"/>
</calcChain>
</file>

<file path=xl/sharedStrings.xml><?xml version="1.0" encoding="utf-8"?>
<sst xmlns="http://schemas.openxmlformats.org/spreadsheetml/2006/main" count="1167" uniqueCount="398">
  <si>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</si>
  <si>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</si>
  <si>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</si>
  <si>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</si>
  <si>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</si>
  <si>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</si>
  <si>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</si>
  <si>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</si>
  <si>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</si>
  <si>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</si>
  <si>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</si>
  <si>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</si>
  <si>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</si>
  <si>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</si>
  <si>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</si>
  <si>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</si>
  <si>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</si>
  <si>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</si>
  <si>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</si>
  <si>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</si>
  <si>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</si>
  <si>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</si>
  <si>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</si>
  <si>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</si>
  <si>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</si>
  <si>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</si>
  <si>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</si>
  <si>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</si>
  <si>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</si>
  <si>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</si>
  <si>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</si>
  <si>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</si>
  <si>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</si>
  <si>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</si>
  <si>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</si>
  <si>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</si>
  <si>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</si>
  <si>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</si>
  <si>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</si>
  <si>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</si>
  <si>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</si>
  <si>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</si>
  <si>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</si>
  <si>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</si>
  <si>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</si>
  <si>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</si>
  <si>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</si>
  <si>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</si>
  <si>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</si>
  <si>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</si>
  <si>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</si>
  <si>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</si>
  <si>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</si>
  <si>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</si>
  <si>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</si>
  <si>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</si>
  <si>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</si>
  <si>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თავი 5. გზის კუთვნილება და მოწყობილობა</t>
  </si>
  <si>
    <t>მიწის ვაკისი</t>
  </si>
  <si>
    <t xml:space="preserve">ხარჯთაღმრიცხველი: </t>
  </si>
  <si>
    <t>1.6.1</t>
  </si>
  <si>
    <t>1.6.2</t>
  </si>
  <si>
    <t>1.7.1</t>
  </si>
  <si>
    <t>1.7.2</t>
  </si>
  <si>
    <t>1.8.1</t>
  </si>
  <si>
    <t>1.8.2</t>
  </si>
  <si>
    <t>1.9.1</t>
  </si>
  <si>
    <t>1.9.2</t>
  </si>
  <si>
    <t>1.10.1</t>
  </si>
  <si>
    <t>1.10.2</t>
  </si>
  <si>
    <t>1.11.1</t>
  </si>
  <si>
    <t>1.13.1</t>
  </si>
  <si>
    <t>1.13.2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</si>
  <si>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</si>
  <si>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</si>
  <si>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</si>
  <si>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</si>
  <si>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</si>
  <si>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</si>
  <si>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</si>
  <si>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</si>
  <si>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თხევადი ბიტუმის მოსხმა</t>
  </si>
  <si>
    <t>27-63-1</t>
  </si>
  <si>
    <t>ავტოგუდრონატორი 3500 ლ</t>
  </si>
  <si>
    <t>თვითმავალი სატკეპნი საგზაო, პნევმოსვლით 18 ტ</t>
  </si>
  <si>
    <t>თვითმავალი სატკეპნი საგზაო 5 ტ</t>
  </si>
  <si>
    <t>თვითმავალი სატკეპნი საგზაო 10 ტ</t>
  </si>
  <si>
    <t>ქვის ნამტვრევების გამანაწილებელი მანქანა</t>
  </si>
  <si>
    <t>ბიტუმის ემულსია</t>
  </si>
  <si>
    <t>27-39-1-2                            27-40-1-2</t>
  </si>
  <si>
    <t>ასფალტობეტონის დამგები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</si>
  <si>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</si>
  <si>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</si>
  <si>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</si>
  <si>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საპრ.</t>
  </si>
  <si>
    <t>100 მ</t>
  </si>
  <si>
    <t xml:space="preserve">გრუნტის დატვირთვა ავტოთვითმცლელზე ხელით </t>
  </si>
  <si>
    <t>ქვიშა-ხრეშოვანი ნარევი</t>
  </si>
  <si>
    <t>რ/ბ ანაკრები კიუვეტი</t>
  </si>
  <si>
    <t>მ</t>
  </si>
  <si>
    <t>მიერთებებისა და ადგილობრივი შესასვლელების მოწყობის სამუშაოები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</si>
  <si>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</si>
  <si>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</si>
  <si>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</si>
  <si>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</si>
  <si>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</si>
  <si>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</si>
  <si>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</si>
  <si>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</si>
  <si>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</si>
  <si>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</si>
  <si>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შემასწორებელი ფენის მოწყობა ქვიშა-ხრეშოვანი ნარევით</t>
  </si>
  <si>
    <t xml:space="preserve">წყალი </t>
  </si>
  <si>
    <t xml:space="preserve">მოსარწყავ-მოსარეცხი მანქანა 6000 ლ </t>
  </si>
  <si>
    <t xml:space="preserve">თვითმავალი სატკეპნი საგზაო 10 ტ </t>
  </si>
  <si>
    <t xml:space="preserve">თვითმავალი სატკეპნი საგზაო 5 ტ </t>
  </si>
  <si>
    <t xml:space="preserve">ავტოგრეიდერი საშუალო ტიპის 79 კვტ (108 ც.ძ.) 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</si>
  <si>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</si>
  <si>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</si>
  <si>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</si>
  <si>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</si>
  <si>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</si>
  <si>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</si>
  <si>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</si>
  <si>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</si>
  <si>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</si>
  <si>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</si>
  <si>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</si>
  <si>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</si>
  <si>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</si>
  <si>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</si>
  <si>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ამწე მუხლუხა სვლაზე 10 ტ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</si>
  <si>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</si>
  <si>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</si>
  <si>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</si>
  <si>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</si>
  <si>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</si>
  <si>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</si>
  <si>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</si>
  <si>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ღორღი, ფრაქცია 0-40 მმ, მარკა 600-1200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</si>
  <si>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</si>
  <si>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</si>
  <si>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</si>
  <si>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</si>
  <si>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</si>
  <si>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</si>
  <si>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</si>
  <si>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</si>
  <si>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</si>
  <si>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</si>
  <si>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</si>
  <si>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</si>
  <si>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</si>
  <si>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</si>
  <si>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</si>
  <si>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</si>
  <si>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</si>
  <si>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</si>
  <si>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</si>
  <si>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</si>
  <si>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</si>
  <si>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</si>
  <si>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</si>
  <si>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</si>
  <si>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</si>
  <si>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</si>
  <si>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</si>
  <si>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</si>
  <si>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</si>
  <si>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</si>
  <si>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</si>
  <si>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</si>
  <si>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</si>
  <si>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</si>
  <si>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</si>
  <si>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</si>
  <si>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</si>
  <si>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</si>
  <si>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</si>
  <si>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</si>
  <si>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</si>
  <si>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</si>
  <si>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</si>
  <si>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</si>
  <si>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</si>
  <si>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</si>
  <si>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</si>
  <si>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</si>
  <si>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</si>
  <si>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</si>
  <si>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</si>
  <si>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გრუნტის ტრანსპორტირება კარიერიდან 15 კმ მანძილზე</t>
  </si>
  <si>
    <t>1-22-14</t>
  </si>
  <si>
    <t xml:space="preserve">ხრეშოვანი გრუნტის დატვირთვა კარიერში ექსკავატორით ავტოთვითმცლელზე </t>
  </si>
  <si>
    <t>შემოტანილი გრუნტის მოსწორება ბულდოზერით</t>
  </si>
  <si>
    <t>3-1</t>
  </si>
  <si>
    <t>5-1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</si>
  <si>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</si>
  <si>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</si>
  <si>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</si>
  <si>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</si>
  <si>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</si>
  <si>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</si>
  <si>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</si>
  <si>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</si>
  <si>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</si>
  <si>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1.7.3</t>
  </si>
  <si>
    <t>1.7.4</t>
  </si>
  <si>
    <t>1.7.5</t>
  </si>
  <si>
    <t>1.7.6</t>
  </si>
  <si>
    <t>1.7.7</t>
  </si>
  <si>
    <t>1.11.2</t>
  </si>
  <si>
    <t>1.14.1</t>
  </si>
  <si>
    <t>1.3.5</t>
  </si>
  <si>
    <t>1.3.6</t>
  </si>
  <si>
    <t>1.3.7</t>
  </si>
  <si>
    <t>1.5.5</t>
  </si>
  <si>
    <t>1.5.6</t>
  </si>
  <si>
    <t>1.6.3</t>
  </si>
  <si>
    <t>1.6.4</t>
  </si>
  <si>
    <t>1.8.3</t>
  </si>
  <si>
    <t>1.8.4</t>
  </si>
  <si>
    <t>1.8.5</t>
  </si>
  <si>
    <t>1.9.3</t>
  </si>
  <si>
    <t>1.9.4</t>
  </si>
  <si>
    <t>1.9.5</t>
  </si>
  <si>
    <t>1.9.6</t>
  </si>
  <si>
    <t>1.10.3</t>
  </si>
  <si>
    <t>1.10.4</t>
  </si>
  <si>
    <t>1.12.1</t>
  </si>
  <si>
    <t>1.12.2</t>
  </si>
  <si>
    <t>1.4.2</t>
  </si>
  <si>
    <t>1.4.3</t>
  </si>
  <si>
    <t>1.4.4</t>
  </si>
  <si>
    <t>1.14.2</t>
  </si>
  <si>
    <t>1.9.7</t>
  </si>
  <si>
    <t>1.5.7</t>
  </si>
  <si>
    <t>1.3.8</t>
  </si>
  <si>
    <t>მისაყრელი გვერდულების მოწყობა ქვიშა-ხრეშოვანი ნარევით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</si>
  <si>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</si>
  <si>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</si>
  <si>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</si>
  <si>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</si>
  <si>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</si>
  <si>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</si>
  <si>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</si>
  <si>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</si>
  <si>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</si>
  <si>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</si>
  <si>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</si>
  <si>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</si>
  <si>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</si>
  <si>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</si>
  <si>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ქვიშა-ხრეშოვანი ქვესაგები ფენის მოწყობა სისქით 20 სმ</t>
  </si>
  <si>
    <t>ბეტონის საგების  მომზადება სისქით 10 სმ</t>
  </si>
  <si>
    <t>დრენირებადი გრუნტის უკუჩაყრა</t>
  </si>
  <si>
    <t>რკინაბეტონის ანაკრები მილი d-1500 მმ L-1000 მმ</t>
  </si>
  <si>
    <t>წვრილმარცვლოვანი ასფალტობეტონი</t>
  </si>
  <si>
    <t>1.3.9</t>
  </si>
  <si>
    <t>საფუძვლის მოწყობა ქვიშა-ღორღის ნარევით h-10 სმ</t>
  </si>
  <si>
    <t>საფარის მოწყობა წვრილმარცვლოვანი მკვრივი ა/ბეტონის ცხელი ნარევით ტიპი B მარკა II , სისქით 3 სმ.</t>
  </si>
  <si>
    <t>1.8.6</t>
  </si>
  <si>
    <t>ერთ. ფასი</t>
  </si>
  <si>
    <t>სულ</t>
  </si>
  <si>
    <t>ქარხანა</t>
  </si>
  <si>
    <t>ქუთაისი</t>
  </si>
  <si>
    <t>1.1.7</t>
  </si>
  <si>
    <t>1.1.8</t>
  </si>
  <si>
    <t>1.1.9</t>
  </si>
  <si>
    <t>ბეტონის ქვაფენილი</t>
  </si>
  <si>
    <t>1.13.3</t>
  </si>
  <si>
    <t>1.13.4</t>
  </si>
  <si>
    <t>არსებული ღობის დემონტაჟი</t>
  </si>
  <si>
    <t>ავტოამწე საბურღი მოწყობილობით</t>
  </si>
  <si>
    <t>ამწე საავტომობილო სვლაზე 6,3ტ</t>
  </si>
  <si>
    <t xml:space="preserve">მე-3 კატეგორიის გრუნტის ფენის დამუშავება ხელით </t>
  </si>
  <si>
    <t>1.9.8</t>
  </si>
  <si>
    <t>1.9.9</t>
  </si>
  <si>
    <t>ქვაყრილის მოყრა</t>
  </si>
  <si>
    <t xml:space="preserve">ყორე ქვა </t>
  </si>
  <si>
    <t>პოხიერი თიხის ბალიშის მოწყობა სისქით 20 სმ</t>
  </si>
  <si>
    <t xml:space="preserve"> თიხა </t>
  </si>
  <si>
    <t xml:space="preserve"> წასაცხები ჰიდროიზოლაციის მოწყობა, 2 ფენა</t>
  </si>
  <si>
    <t>1.14.3</t>
  </si>
  <si>
    <t>1.14.4</t>
  </si>
  <si>
    <t>1.14.5</t>
  </si>
  <si>
    <t>ღობის მოწყობის სამუშაოები</t>
  </si>
  <si>
    <t>დაბა მესტიაში ფარჯიანის ჩიხის სარეაბილიტაციო სამუშაოების ლოკალურ-რესურსული ხარჯთაღრიცხვა</t>
  </si>
  <si>
    <t>საგზაო სამოსი</t>
  </si>
  <si>
    <t>მ³</t>
  </si>
  <si>
    <t>პროექტის კოდი: FARJ-BoQ</t>
  </si>
  <si>
    <t>შესრულების თარიღი: 13/06/2018</t>
  </si>
  <si>
    <t>ვალუტა: ლარი ₾</t>
  </si>
  <si>
    <t xml:space="preserve">ფასთა კრებული: 2018 წლის II კვარტალი 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</si>
  <si>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</si>
  <si>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</si>
  <si>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</si>
  <si>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</si>
  <si>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</si>
  <si>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</si>
  <si>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</si>
  <si>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</si>
  <si>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</si>
  <si>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მ3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</si>
  <si>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</si>
  <si>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</si>
  <si>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</si>
  <si>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</si>
  <si>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</si>
  <si>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15-ტრ-3</t>
  </si>
  <si>
    <t>14-1-142</t>
  </si>
  <si>
    <t>15-ტრ-15</t>
  </si>
  <si>
    <t>14-1-143</t>
  </si>
  <si>
    <t>ბულდოზერი 96 კვტ (130 ც.ძ.)</t>
  </si>
  <si>
    <t>მ2</t>
  </si>
  <si>
    <t>10 000 მ2</t>
  </si>
  <si>
    <t>14-1-200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</si>
  <si>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4 სმ</t>
  </si>
  <si>
    <t>27-7-2.</t>
  </si>
  <si>
    <t>საფუძვლის ფენის მოწყობა ქვიშა-ღორღის ნარევით (ფრ. 0-40მმ), სისქით 18სმ.</t>
  </si>
  <si>
    <t>100 მ3</t>
  </si>
  <si>
    <t>14-1-222</t>
  </si>
  <si>
    <t>14-1-228</t>
  </si>
  <si>
    <t>4-1-237</t>
  </si>
  <si>
    <t>ღორღი ბუნებრივი ქვის, ფრაქცია 0-40 მმ, მარკა 600-1200</t>
  </si>
  <si>
    <t>14-1-198</t>
  </si>
  <si>
    <t>14-1-538</t>
  </si>
  <si>
    <t>27-39-1; -2                            27-40-1; -2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</si>
  <si>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</t>
  </si>
  <si>
    <t>1000 მ2</t>
  </si>
  <si>
    <t>14-1-218</t>
  </si>
  <si>
    <t>14-1-219</t>
  </si>
  <si>
    <t>14-1-231</t>
  </si>
  <si>
    <t>4-1-522</t>
  </si>
  <si>
    <t>მსხვილმარცვლოვანი ასფალტობეტონი</t>
  </si>
  <si>
    <t>1000  მ2</t>
  </si>
  <si>
    <t>4-1-524</t>
  </si>
  <si>
    <t>4-1-341</t>
  </si>
  <si>
    <t>ბეტონი მ-200 (B-15)</t>
  </si>
  <si>
    <t>ბეტონის ბორდიურის მოწყობა, ზომით 150x300 მმ</t>
  </si>
  <si>
    <t>ბეტონის ბორდიური 150x300 მმ</t>
  </si>
  <si>
    <t>4-1-165</t>
  </si>
  <si>
    <t>4-1-370</t>
  </si>
  <si>
    <t>ხსნარი წყობის, ცემენტის მ-100</t>
  </si>
  <si>
    <t>27-19-2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</si>
  <si>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4 სმ</t>
  </si>
  <si>
    <t>4-1-228</t>
  </si>
  <si>
    <t>27-11-2.</t>
  </si>
  <si>
    <t>14-1-229</t>
  </si>
  <si>
    <t>4-1-234</t>
  </si>
  <si>
    <t>27-50-9.</t>
  </si>
  <si>
    <t>ტ.ნ. პ. 2.6</t>
  </si>
  <si>
    <t>კ=0.6</t>
  </si>
  <si>
    <t>14-1-299</t>
  </si>
  <si>
    <t>14-1-043</t>
  </si>
  <si>
    <t>კ=0.7</t>
  </si>
  <si>
    <t>კ=0.5</t>
  </si>
  <si>
    <t>1-80-3</t>
  </si>
  <si>
    <t>პ. 3.105</t>
  </si>
  <si>
    <t>კ=1.2</t>
  </si>
  <si>
    <t>Е1-22/1-а</t>
  </si>
  <si>
    <t>ЕНиР</t>
  </si>
  <si>
    <t>8-3-2.</t>
  </si>
  <si>
    <t>1 მ3</t>
  </si>
  <si>
    <t>6-1-1.</t>
  </si>
  <si>
    <t>4-1-339</t>
  </si>
  <si>
    <t>ბეტონი B 7.5</t>
  </si>
  <si>
    <t>6-11-7.</t>
  </si>
  <si>
    <r>
      <t xml:space="preserve">რ/ბ </t>
    </r>
    <r>
      <rPr>
        <b/>
        <sz val="10"/>
        <color rgb="FFFF0000"/>
        <rFont val="Arial"/>
        <family val="2"/>
        <charset val="204"/>
      </rPr>
      <t>საყრდენი</t>
    </r>
    <r>
      <rPr>
        <sz val="10"/>
        <color theme="1"/>
        <rFont val="Arial"/>
        <family val="2"/>
        <charset val="204"/>
      </rPr>
      <t xml:space="preserve"> კედლის მოწყობა</t>
    </r>
  </si>
  <si>
    <r>
      <t xml:space="preserve">სხვა </t>
    </r>
    <r>
      <rPr>
        <b/>
        <strike/>
        <sz val="10"/>
        <color rgb="FFFF0000"/>
        <rFont val="Arial"/>
        <family val="2"/>
        <charset val="204"/>
      </rPr>
      <t>მასალები</t>
    </r>
    <r>
      <rPr>
        <sz val="10"/>
        <color theme="1"/>
        <rFont val="Arial"/>
        <family val="2"/>
        <charset val="204"/>
      </rPr>
      <t xml:space="preserve"> მანქანები</t>
    </r>
  </si>
  <si>
    <t>4-1-357</t>
  </si>
  <si>
    <t>1-1-012</t>
  </si>
  <si>
    <t>5-1-132</t>
  </si>
  <si>
    <t>ფარი ყალიბის სისქით 18 მმ</t>
  </si>
  <si>
    <t>5-1-022</t>
  </si>
  <si>
    <r>
      <t xml:space="preserve">ფიცარი ჩამოგანილი სისქით </t>
    </r>
    <r>
      <rPr>
        <strike/>
        <sz val="10"/>
        <color rgb="FFFF0000"/>
        <rFont val="Arial"/>
        <family val="2"/>
        <charset val="204"/>
      </rPr>
      <t>25-32</t>
    </r>
    <r>
      <rPr>
        <sz val="10"/>
        <color theme="1"/>
        <rFont val="Arial"/>
        <family val="2"/>
        <charset val="204"/>
      </rPr>
      <t xml:space="preserve">  40-60 მმ, III ხარისხის</t>
    </r>
  </si>
  <si>
    <t>1-10-014</t>
  </si>
  <si>
    <t>ელექტროდი შედუღების</t>
  </si>
  <si>
    <t>კგ</t>
  </si>
  <si>
    <t>1-10-017</t>
  </si>
  <si>
    <t>სამშენებლო ჭანჭიკი</t>
  </si>
  <si>
    <t>1.9.10</t>
  </si>
  <si>
    <t>1.9.11</t>
  </si>
  <si>
    <t>1.9.12</t>
  </si>
  <si>
    <t>27-5-3.</t>
  </si>
  <si>
    <r>
      <t xml:space="preserve">პოლიეთილენის </t>
    </r>
    <r>
      <rPr>
        <b/>
        <sz val="10"/>
        <color rgb="FFFF0000"/>
        <rFont val="Arial"/>
        <family val="2"/>
        <charset val="204"/>
      </rPr>
      <t>სადრენაჟე</t>
    </r>
    <r>
      <rPr>
        <sz val="10"/>
        <color theme="1"/>
        <rFont val="Arial"/>
        <family val="2"/>
        <charset val="204"/>
      </rPr>
      <t xml:space="preserve"> მილის მონტაჟი</t>
    </r>
  </si>
  <si>
    <t>2-11-111</t>
  </si>
  <si>
    <t>გოფრირებული მილი სადრენაჟო Ø100 მმ</t>
  </si>
  <si>
    <t>პროექტი</t>
  </si>
  <si>
    <t>1-31-6; -16</t>
  </si>
  <si>
    <t>4-1-232</t>
  </si>
  <si>
    <t>8-4-8.</t>
  </si>
  <si>
    <t>4-1-216</t>
  </si>
  <si>
    <t>8-4-7.</t>
  </si>
  <si>
    <t>100 მ2</t>
  </si>
  <si>
    <t>4-1-539</t>
  </si>
  <si>
    <t>მასტიკა ბიტუმ-ზეთოვანი</t>
  </si>
  <si>
    <r>
      <t xml:space="preserve">1-29-6 </t>
    </r>
    <r>
      <rPr>
        <b/>
        <strike/>
        <sz val="10"/>
        <rFont val="Arial"/>
        <family val="2"/>
        <charset val="204"/>
      </rPr>
      <t xml:space="preserve"> -10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</si>
</sst>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trike/>
      <sz val="10"/>
      <color theme="1"/>
      <name val="Arial"/>
      <family val="2"/>
      <charset val="204"/>
    </font>
    <font>
      <strike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  <font>
      <b/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0" fontId="11" fillId="0" borderId="0"/>
    <xf numFmtId="0" fontId="12" fillId="0" borderId="0"/>
    <xf numFmtId="43" fontId="9" fillId="0" borderId="0" applyFont="0" applyFill="0" applyBorder="0" applyAlignment="0" applyProtection="0"/>
    <xf numFmtId="0" fontId="13" fillId="0" borderId="0"/>
    <xf numFmtId="0" fontId="14" fillId="0" borderId="0"/>
    <xf numFmtId="164" fontId="9" fillId="0" borderId="0" applyFont="0" applyFill="0" applyBorder="0" applyAlignment="0" applyProtection="0"/>
    <xf numFmtId="0" fontId="14" fillId="0" borderId="0"/>
    <xf numFmtId="0" fontId="12" fillId="0" borderId="0"/>
  </cellStyleXfs>
  <cellXfs count="200">
    <xf numFmtId="0" fontId="0" fillId="0" borderId="0" xfId="0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0" fillId="2" borderId="0" xfId="0" applyNumberForma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9" fontId="5" fillId="2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0" fillId="2" borderId="0" xfId="0" applyNumberFormat="1" applyFill="1"/>
    <xf numFmtId="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0" borderId="0" xfId="0" applyFont="1"/>
    <xf numFmtId="0" fontId="3" fillId="4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6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4" fontId="16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4" borderId="0" xfId="0" applyFont="1" applyFill="1"/>
    <xf numFmtId="0" fontId="2" fillId="3" borderId="0" xfId="0" applyFont="1" applyFill="1"/>
    <xf numFmtId="0" fontId="17" fillId="0" borderId="1" xfId="7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0" borderId="1" xfId="8" applyNumberFormat="1" applyFont="1" applyFill="1" applyBorder="1" applyAlignment="1" applyProtection="1">
      <alignment horizontal="center" vertical="center"/>
    </xf>
    <xf numFmtId="166" fontId="12" fillId="0" borderId="1" xfId="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0" fontId="1" fillId="2" borderId="1" xfId="0" applyFont="1" applyFill="1" applyBorder="1"/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Fill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indent="1"/>
    </xf>
    <xf numFmtId="49" fontId="1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0" fontId="12" fillId="0" borderId="0" xfId="0" applyFont="1" applyFill="1"/>
    <xf numFmtId="4" fontId="12" fillId="0" borderId="1" xfId="3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4" fontId="12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0" fillId="0" borderId="1" xfId="2" applyNumberFormat="1" applyFont="1" applyFill="1" applyBorder="1" applyAlignment="1">
      <alignment horizontal="center" vertical="center"/>
    </xf>
    <xf numFmtId="4" fontId="20" fillId="0" borderId="1" xfId="3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2" fillId="0" borderId="1" xfId="2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0df0e3fdb395e79/Projects/Absolute%20Service/1.%20&#4307;&#4304;&#4305;&#4304;%20&#4315;&#4308;&#4321;&#4322;&#4312;&#4304;/BoQ/&#4305;.&#4334;&#4308;&#4320;&#4306;&#4312;&#4304;&#4316;&#4312;&#4321;%20&#4325;&#4323;&#4329;&#4304;-Bo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4-1"/>
      <sheetName val="სატენდერო კრებსითი"/>
      <sheetName val="სატენდერო"/>
      <sheetName val="ტრანსპორტირებ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J71">
            <v>27</v>
          </cell>
          <cell r="K71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6"/>
  <sheetViews>
    <sheetView view="pageBreakPreview" zoomScaleNormal="55" zoomScaleSheetLayoutView="100" workbookViewId="0">
      <selection activeCell="M16" sqref="M16"/>
    </sheetView>
  </sheetViews>
  <sheetFormatPr defaultRowHeight="12.75"/>
  <cols>
    <col min="1" max="1" width="7.5703125" style="63" customWidth="1"/>
    <col min="2" max="2" width="70" style="63" customWidth="1"/>
    <col min="3" max="3" width="9.7109375" style="63" customWidth="1"/>
    <col min="4" max="4" width="27.85546875" style="63" customWidth="1"/>
    <col min="5" max="7" width="23.7109375" style="63" customWidth="1"/>
    <col min="8" max="10" width="20.7109375" style="60" customWidth="1"/>
    <col min="11" max="16384" width="9.140625" style="60"/>
  </cols>
  <sheetData>
    <row r="1" spans="1:7">
      <c r="A1" s="59"/>
      <c r="B1" s="59" t="s">
        <v>290</v>
      </c>
      <c r="C1" s="59"/>
      <c r="D1" s="59"/>
      <c r="E1" s="59"/>
      <c r="F1" s="59" t="s">
        <v>17</v>
      </c>
      <c r="G1" s="59"/>
    </row>
    <row r="2" spans="1:7">
      <c r="A2" s="59"/>
      <c r="B2" s="94" t="s">
        <v>293</v>
      </c>
      <c r="C2" s="59"/>
      <c r="D2" s="59"/>
      <c r="E2" s="59"/>
      <c r="F2" s="59" t="s">
        <v>18</v>
      </c>
      <c r="G2" s="59"/>
    </row>
    <row r="3" spans="1:7">
      <c r="A3" s="59"/>
      <c r="B3" s="94" t="s">
        <v>291</v>
      </c>
      <c r="C3" s="59"/>
      <c r="D3" s="59"/>
      <c r="E3" s="59"/>
      <c r="F3" s="59" t="s">
        <v>59</v>
      </c>
      <c r="G3" s="59" t="s">
        <v>20</v>
      </c>
    </row>
    <row r="4" spans="1:7">
      <c r="A4" s="59"/>
      <c r="B4" s="59" t="s">
        <v>292</v>
      </c>
      <c r="C4" s="59"/>
      <c r="D4" s="59"/>
      <c r="E4" s="59"/>
      <c r="F4" s="59" t="s">
        <v>19</v>
      </c>
      <c r="G4" s="59"/>
    </row>
    <row r="5" spans="1:7">
      <c r="A5" s="59"/>
      <c r="B5" s="59"/>
      <c r="C5" s="59"/>
      <c r="D5" s="59"/>
      <c r="E5" s="59"/>
      <c r="F5" s="59"/>
      <c r="G5" s="59"/>
    </row>
    <row r="6" spans="1:7" s="61" customFormat="1">
      <c r="A6" s="166" t="s">
        <v>48</v>
      </c>
      <c r="B6" s="167"/>
      <c r="C6" s="167"/>
      <c r="D6" s="167"/>
      <c r="E6" s="167"/>
      <c r="F6" s="167"/>
      <c r="G6" s="167"/>
    </row>
    <row r="7" spans="1:7" s="61" customFormat="1">
      <c r="A7" s="168" t="s">
        <v>2</v>
      </c>
      <c r="B7" s="168" t="s">
        <v>3</v>
      </c>
      <c r="C7" s="168" t="s">
        <v>12</v>
      </c>
      <c r="D7" s="165" t="s">
        <v>49</v>
      </c>
      <c r="E7" s="165" t="s">
        <v>50</v>
      </c>
      <c r="F7" s="165" t="s">
        <v>51</v>
      </c>
      <c r="G7" s="165" t="s">
        <v>52</v>
      </c>
    </row>
    <row r="8" spans="1:7" s="61" customFormat="1">
      <c r="A8" s="168"/>
      <c r="B8" s="168"/>
      <c r="C8" s="168"/>
      <c r="D8" s="165"/>
      <c r="E8" s="165"/>
      <c r="F8" s="165"/>
      <c r="G8" s="165"/>
    </row>
    <row r="9" spans="1:7" s="61" customForma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</row>
    <row r="10" spans="1:7" s="61" customFormat="1">
      <c r="A10" s="66"/>
      <c r="B10" s="66" t="s">
        <v>53</v>
      </c>
      <c r="C10" s="67"/>
      <c r="D10" s="67"/>
      <c r="E10" s="67"/>
      <c r="F10" s="67"/>
      <c r="G10" s="67"/>
    </row>
    <row r="11" spans="1:7" s="61" customFormat="1">
      <c r="A11" s="65" t="s">
        <v>155</v>
      </c>
      <c r="B11" s="68" t="s">
        <v>32</v>
      </c>
      <c r="C11" s="44"/>
      <c r="D11" s="78">
        <f>'1-1'!H20</f>
        <v>0</v>
      </c>
      <c r="E11" s="78">
        <f>'1-1'!J20</f>
        <v>0</v>
      </c>
      <c r="F11" s="78">
        <f>'1-1'!L20</f>
        <v>0</v>
      </c>
      <c r="G11" s="86">
        <f>SUM(D11:F11)</f>
        <v>0</v>
      </c>
    </row>
    <row r="12" spans="1:7" s="61" customFormat="1">
      <c r="A12" s="66"/>
      <c r="B12" s="66" t="s">
        <v>54</v>
      </c>
      <c r="C12" s="67"/>
      <c r="D12" s="93"/>
      <c r="E12" s="93"/>
      <c r="F12" s="93"/>
      <c r="G12" s="86"/>
    </row>
    <row r="13" spans="1:7" s="61" customFormat="1">
      <c r="A13" s="65" t="s">
        <v>168</v>
      </c>
      <c r="B13" s="68" t="s">
        <v>58</v>
      </c>
      <c r="C13" s="44"/>
      <c r="D13" s="78">
        <f>'2-1'!H43</f>
        <v>0</v>
      </c>
      <c r="E13" s="78">
        <f>'2-1'!J43</f>
        <v>0</v>
      </c>
      <c r="F13" s="78">
        <f>'2-1'!L43</f>
        <v>0</v>
      </c>
      <c r="G13" s="86">
        <f t="shared" ref="G13:G19" si="0">SUM(D13:F13)</f>
        <v>0</v>
      </c>
    </row>
    <row r="14" spans="1:7" s="61" customFormat="1">
      <c r="A14" s="66"/>
      <c r="B14" s="66" t="s">
        <v>55</v>
      </c>
      <c r="C14" s="67"/>
      <c r="D14" s="93"/>
      <c r="E14" s="93"/>
      <c r="F14" s="93"/>
      <c r="G14" s="86"/>
    </row>
    <row r="15" spans="1:7" s="61" customFormat="1">
      <c r="A15" s="65" t="s">
        <v>195</v>
      </c>
      <c r="B15" s="68" t="s">
        <v>286</v>
      </c>
      <c r="C15" s="44"/>
      <c r="D15" s="78">
        <f>'3-1'!H103</f>
        <v>0</v>
      </c>
      <c r="E15" s="78">
        <f>'3-1'!J103</f>
        <v>0</v>
      </c>
      <c r="F15" s="78">
        <f>'3-1'!L103</f>
        <v>0</v>
      </c>
      <c r="G15" s="86">
        <f t="shared" si="0"/>
        <v>0</v>
      </c>
    </row>
    <row r="16" spans="1:7" s="61" customFormat="1">
      <c r="A16" s="66"/>
      <c r="B16" s="66" t="s">
        <v>56</v>
      </c>
      <c r="C16" s="67"/>
      <c r="D16" s="93"/>
      <c r="E16" s="93"/>
      <c r="F16" s="93"/>
      <c r="G16" s="86"/>
    </row>
    <row r="17" spans="1:7" s="61" customFormat="1">
      <c r="A17" s="65" t="s">
        <v>182</v>
      </c>
      <c r="B17" s="68" t="s">
        <v>288</v>
      </c>
      <c r="C17" s="44"/>
      <c r="D17" s="78">
        <f>'4-1'!H60</f>
        <v>0</v>
      </c>
      <c r="E17" s="78">
        <f>'4-1'!J60</f>
        <v>0</v>
      </c>
      <c r="F17" s="78">
        <f>'4-1'!L60</f>
        <v>0</v>
      </c>
      <c r="G17" s="86">
        <f t="shared" si="0"/>
        <v>0</v>
      </c>
    </row>
    <row r="18" spans="1:7" s="61" customFormat="1">
      <c r="A18" s="66"/>
      <c r="B18" s="66" t="s">
        <v>57</v>
      </c>
      <c r="C18" s="67"/>
      <c r="D18" s="93"/>
      <c r="E18" s="93"/>
      <c r="F18" s="93"/>
      <c r="G18" s="86"/>
    </row>
    <row r="19" spans="1:7" s="61" customFormat="1">
      <c r="A19" s="65" t="s">
        <v>196</v>
      </c>
      <c r="B19" s="68" t="s">
        <v>100</v>
      </c>
      <c r="C19" s="44"/>
      <c r="D19" s="78">
        <f>'5-1'!H74</f>
        <v>0</v>
      </c>
      <c r="E19" s="78">
        <f>'5-1'!J74</f>
        <v>0</v>
      </c>
      <c r="F19" s="78">
        <f>'5-1'!L74</f>
        <v>0</v>
      </c>
      <c r="G19" s="86">
        <f t="shared" si="0"/>
        <v>0</v>
      </c>
    </row>
    <row r="20" spans="1:7" s="61" customFormat="1">
      <c r="A20" s="65"/>
      <c r="B20" s="68"/>
      <c r="C20" s="47"/>
      <c r="D20" s="69"/>
      <c r="E20" s="69"/>
      <c r="F20" s="69"/>
      <c r="G20" s="86"/>
    </row>
    <row r="21" spans="1:7" s="92" customFormat="1">
      <c r="A21" s="47"/>
      <c r="B21" s="47" t="s">
        <v>4</v>
      </c>
      <c r="C21" s="47"/>
      <c r="D21" s="69">
        <f t="shared" ref="D21:F21" si="1">SUM(D11:D20)</f>
        <v>0</v>
      </c>
      <c r="E21" s="69">
        <f t="shared" si="1"/>
        <v>0</v>
      </c>
      <c r="F21" s="69">
        <f t="shared" si="1"/>
        <v>0</v>
      </c>
      <c r="G21" s="69">
        <f>SUM(G11:G20)</f>
        <v>0</v>
      </c>
    </row>
    <row r="22" spans="1:7" s="61" customFormat="1">
      <c r="A22" s="47"/>
      <c r="B22" s="87"/>
      <c r="C22" s="85"/>
      <c r="D22" s="78"/>
      <c r="E22" s="78"/>
      <c r="F22" s="78"/>
      <c r="G22" s="78"/>
    </row>
    <row r="23" spans="1:7" s="61" customFormat="1">
      <c r="A23" s="62"/>
      <c r="B23" s="87" t="s">
        <v>10</v>
      </c>
      <c r="C23" s="85">
        <v>0.1</v>
      </c>
      <c r="D23" s="78"/>
      <c r="E23" s="78"/>
      <c r="F23" s="78"/>
      <c r="G23" s="78">
        <f>G21*C23</f>
        <v>0</v>
      </c>
    </row>
    <row r="24" spans="1:7" s="61" customFormat="1">
      <c r="A24" s="62"/>
      <c r="B24" s="88" t="s">
        <v>4</v>
      </c>
      <c r="C24" s="85"/>
      <c r="D24" s="78"/>
      <c r="E24" s="78"/>
      <c r="F24" s="78"/>
      <c r="G24" s="78">
        <f>SUM(G21:G23)</f>
        <v>0</v>
      </c>
    </row>
    <row r="25" spans="1:7" s="61" customFormat="1">
      <c r="A25" s="62"/>
      <c r="B25" s="87" t="s">
        <v>11</v>
      </c>
      <c r="C25" s="85">
        <v>0.08</v>
      </c>
      <c r="D25" s="78"/>
      <c r="E25" s="78"/>
      <c r="F25" s="78"/>
      <c r="G25" s="78">
        <f>G24*C25</f>
        <v>0</v>
      </c>
    </row>
    <row r="26" spans="1:7" s="61" customFormat="1">
      <c r="A26" s="62"/>
      <c r="B26" s="88" t="s">
        <v>4</v>
      </c>
      <c r="C26" s="85"/>
      <c r="D26" s="78"/>
      <c r="E26" s="78"/>
      <c r="F26" s="78"/>
      <c r="G26" s="78">
        <f>SUM(G24:G25)</f>
        <v>0</v>
      </c>
    </row>
    <row r="27" spans="1:7">
      <c r="A27" s="89"/>
      <c r="B27" s="87" t="s">
        <v>26</v>
      </c>
      <c r="C27" s="90">
        <v>0.05</v>
      </c>
      <c r="D27" s="78"/>
      <c r="E27" s="78"/>
      <c r="F27" s="78"/>
      <c r="G27" s="78">
        <f>G26*C27</f>
        <v>0</v>
      </c>
    </row>
    <row r="28" spans="1:7">
      <c r="A28" s="89"/>
      <c r="B28" s="88" t="s">
        <v>4</v>
      </c>
      <c r="C28" s="85"/>
      <c r="D28" s="78"/>
      <c r="E28" s="78"/>
      <c r="F28" s="78"/>
      <c r="G28" s="78">
        <f>SUM(G26:G27)</f>
        <v>0</v>
      </c>
    </row>
    <row r="29" spans="1:7">
      <c r="A29" s="89"/>
      <c r="B29" s="87" t="s">
        <v>27</v>
      </c>
      <c r="C29" s="90">
        <v>0.18</v>
      </c>
      <c r="D29" s="78"/>
      <c r="E29" s="78"/>
      <c r="F29" s="78"/>
      <c r="G29" s="78">
        <f>G28*C29</f>
        <v>0</v>
      </c>
    </row>
    <row r="30" spans="1:7">
      <c r="A30" s="89"/>
      <c r="B30" s="87"/>
      <c r="C30" s="91"/>
      <c r="D30" s="78"/>
      <c r="E30" s="78"/>
      <c r="F30" s="78"/>
      <c r="G30" s="78"/>
    </row>
    <row r="31" spans="1:7">
      <c r="A31" s="89"/>
      <c r="B31" s="47" t="s">
        <v>4</v>
      </c>
      <c r="C31" s="47"/>
      <c r="D31" s="69"/>
      <c r="E31" s="69"/>
      <c r="F31" s="69"/>
      <c r="G31" s="69">
        <f>SUM(G28:G30)</f>
        <v>0</v>
      </c>
    </row>
    <row r="32" spans="1:7">
      <c r="C32" s="64"/>
      <c r="D32" s="64"/>
      <c r="E32" s="64"/>
      <c r="F32" s="64"/>
      <c r="G32" s="64"/>
    </row>
    <row r="33" spans="3:7">
      <c r="C33" s="64"/>
      <c r="D33" s="64"/>
      <c r="E33" s="64"/>
      <c r="F33" s="64"/>
      <c r="G33" s="64"/>
    </row>
    <row r="34" spans="3:7">
      <c r="C34" s="64"/>
      <c r="D34" s="64"/>
      <c r="E34" s="64"/>
      <c r="F34" s="64"/>
      <c r="G34" s="64"/>
    </row>
    <row r="35" spans="3:7">
      <c r="C35" s="64"/>
      <c r="D35" s="64"/>
      <c r="E35" s="64"/>
      <c r="F35" s="64"/>
      <c r="G35" s="64"/>
    </row>
    <row r="36" spans="3:7">
      <c r="C36" s="64"/>
      <c r="D36" s="64"/>
      <c r="E36" s="64"/>
      <c r="F36" s="64"/>
      <c r="G36" s="64"/>
    </row>
    <row r="37" spans="3:7">
      <c r="C37" s="64"/>
      <c r="D37" s="64"/>
      <c r="E37" s="64"/>
      <c r="F37" s="64"/>
      <c r="G37" s="64"/>
    </row>
    <row r="38" spans="3:7">
      <c r="C38" s="64"/>
      <c r="D38" s="64"/>
      <c r="E38" s="64"/>
      <c r="F38" s="64"/>
      <c r="G38" s="64"/>
    </row>
    <row r="39" spans="3:7">
      <c r="C39" s="64"/>
      <c r="D39" s="64"/>
      <c r="E39" s="64"/>
      <c r="F39" s="64"/>
      <c r="G39" s="64"/>
    </row>
    <row r="40" spans="3:7">
      <c r="C40" s="64"/>
      <c r="D40" s="64"/>
      <c r="E40" s="64"/>
      <c r="F40" s="64"/>
      <c r="G40" s="64"/>
    </row>
    <row r="41" spans="3:7">
      <c r="C41" s="64"/>
      <c r="D41" s="64"/>
      <c r="E41" s="64"/>
      <c r="F41" s="64"/>
      <c r="G41" s="64"/>
    </row>
    <row r="42" spans="3:7">
      <c r="C42" s="64"/>
      <c r="D42" s="64"/>
      <c r="E42" s="64"/>
      <c r="F42" s="64"/>
      <c r="G42" s="64"/>
    </row>
    <row r="43" spans="3:7">
      <c r="C43" s="64"/>
      <c r="D43" s="64"/>
      <c r="E43" s="64"/>
      <c r="F43" s="64"/>
      <c r="G43" s="64"/>
    </row>
    <row r="44" spans="3:7">
      <c r="C44" s="64"/>
      <c r="D44" s="64"/>
      <c r="E44" s="64"/>
      <c r="F44" s="64"/>
      <c r="G44" s="64"/>
    </row>
    <row r="45" spans="3:7">
      <c r="C45" s="64"/>
      <c r="D45" s="64"/>
      <c r="E45" s="64"/>
      <c r="F45" s="64"/>
      <c r="G45" s="64"/>
    </row>
    <row r="46" spans="3:7">
      <c r="C46" s="64"/>
      <c r="D46" s="64"/>
      <c r="E46" s="64"/>
      <c r="F46" s="64"/>
      <c r="G46" s="64"/>
    </row>
    <row r="47" spans="3:7">
      <c r="C47" s="64"/>
      <c r="D47" s="64"/>
      <c r="E47" s="64"/>
      <c r="F47" s="64"/>
      <c r="G47" s="64"/>
    </row>
    <row r="48" spans="3:7">
      <c r="C48" s="64"/>
      <c r="D48" s="64"/>
      <c r="E48" s="64"/>
      <c r="F48" s="64"/>
      <c r="G48" s="64"/>
    </row>
    <row r="49" spans="3:7">
      <c r="C49" s="64"/>
      <c r="D49" s="64"/>
      <c r="E49" s="64"/>
      <c r="F49" s="64"/>
      <c r="G49" s="64"/>
    </row>
    <row r="50" spans="3:7">
      <c r="C50" s="64"/>
      <c r="D50" s="64"/>
      <c r="E50" s="64"/>
      <c r="F50" s="64"/>
      <c r="G50" s="64"/>
    </row>
    <row r="51" spans="3:7">
      <c r="C51" s="64"/>
      <c r="D51" s="64"/>
      <c r="E51" s="64"/>
      <c r="F51" s="64"/>
      <c r="G51" s="64"/>
    </row>
    <row r="52" spans="3:7">
      <c r="C52" s="64"/>
      <c r="D52" s="64"/>
      <c r="E52" s="64"/>
      <c r="F52" s="64"/>
      <c r="G52" s="64"/>
    </row>
    <row r="53" spans="3:7">
      <c r="C53" s="64"/>
      <c r="D53" s="64"/>
      <c r="E53" s="64"/>
      <c r="F53" s="64"/>
      <c r="G53" s="64"/>
    </row>
    <row r="54" spans="3:7">
      <c r="C54" s="64"/>
      <c r="D54" s="64"/>
      <c r="E54" s="64"/>
      <c r="F54" s="64"/>
      <c r="G54" s="64"/>
    </row>
    <row r="55" spans="3:7">
      <c r="C55" s="64"/>
      <c r="D55" s="64"/>
      <c r="E55" s="64"/>
      <c r="F55" s="64"/>
      <c r="G55" s="64"/>
    </row>
    <row r="56" spans="3:7">
      <c r="C56" s="64"/>
      <c r="D56" s="64"/>
      <c r="E56" s="64"/>
      <c r="F56" s="64"/>
      <c r="G56" s="64"/>
    </row>
    <row r="57" spans="3:7">
      <c r="C57" s="64"/>
      <c r="D57" s="64"/>
      <c r="E57" s="64"/>
      <c r="F57" s="64"/>
      <c r="G57" s="64"/>
    </row>
    <row r="58" spans="3:7">
      <c r="C58" s="64"/>
      <c r="D58" s="64"/>
      <c r="E58" s="64"/>
      <c r="F58" s="64"/>
      <c r="G58" s="64"/>
    </row>
    <row r="59" spans="3:7">
      <c r="C59" s="64"/>
      <c r="D59" s="64"/>
      <c r="E59" s="64"/>
      <c r="F59" s="64"/>
      <c r="G59" s="64"/>
    </row>
    <row r="60" spans="3:7">
      <c r="C60" s="64"/>
      <c r="D60" s="64"/>
      <c r="E60" s="64"/>
      <c r="F60" s="64"/>
      <c r="G60" s="64"/>
    </row>
    <row r="61" spans="3:7">
      <c r="C61" s="64"/>
      <c r="D61" s="64"/>
      <c r="E61" s="64"/>
      <c r="F61" s="64"/>
      <c r="G61" s="64"/>
    </row>
    <row r="62" spans="3:7">
      <c r="C62" s="64"/>
      <c r="D62" s="64"/>
      <c r="E62" s="64"/>
      <c r="F62" s="64"/>
      <c r="G62" s="64"/>
    </row>
    <row r="63" spans="3:7">
      <c r="C63" s="64"/>
      <c r="D63" s="64"/>
      <c r="E63" s="64"/>
      <c r="F63" s="64"/>
      <c r="G63" s="64"/>
    </row>
    <row r="64" spans="3:7">
      <c r="C64" s="64"/>
      <c r="D64" s="64"/>
      <c r="E64" s="64"/>
      <c r="F64" s="64"/>
      <c r="G64" s="64"/>
    </row>
    <row r="65" spans="3:7">
      <c r="C65" s="64"/>
      <c r="D65" s="64"/>
      <c r="E65" s="64"/>
      <c r="F65" s="64"/>
      <c r="G65" s="64"/>
    </row>
    <row r="66" spans="3:7">
      <c r="C66" s="64"/>
      <c r="D66" s="64"/>
      <c r="E66" s="64"/>
      <c r="F66" s="64"/>
      <c r="G66" s="64"/>
    </row>
  </sheetData>
  <mergeCells count="8">
    <mergeCell ref="G7:G8"/>
    <mergeCell ref="A6:G6"/>
    <mergeCell ref="A7:A8"/>
    <mergeCell ref="B7:B8"/>
    <mergeCell ref="C7:C8"/>
    <mergeCell ref="D7:D8"/>
    <mergeCell ref="E7:E8"/>
    <mergeCell ref="F7:F8"/>
  </mergeCells>
  <pageMargins left="0.39370078740157483" right="0.39370078740157483" top="0.78740157480314965" bottom="0.3937007874015748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5"/>
  <sheetViews>
    <sheetView view="pageBreakPreview" zoomScaleNormal="60" zoomScaleSheetLayoutView="100" workbookViewId="0">
      <selection activeCell="I20" sqref="I20"/>
    </sheetView>
  </sheetViews>
  <sheetFormatPr defaultRowHeight="12.75"/>
  <cols>
    <col min="1" max="1" width="8.42578125" style="114" customWidth="1"/>
    <col min="2" max="2" width="12.7109375" style="118" customWidth="1"/>
    <col min="3" max="3" width="55.5703125" style="118" customWidth="1"/>
    <col min="4" max="12" width="9.28515625" style="118" customWidth="1"/>
    <col min="13" max="13" width="13.28515625" style="102" customWidth="1"/>
    <col min="14" max="16" width="20.7109375" style="70" customWidth="1"/>
    <col min="17" max="16384" width="9.140625" style="70"/>
  </cols>
  <sheetData>
    <row r="1" spans="1:13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9"/>
    </row>
    <row r="2" spans="1:13">
      <c r="A2" s="96"/>
      <c r="B2" s="97"/>
      <c r="C2" s="98"/>
      <c r="D2" s="97"/>
      <c r="E2" s="97"/>
      <c r="F2" s="97"/>
      <c r="G2" s="97"/>
      <c r="H2" s="97"/>
      <c r="I2" s="97"/>
      <c r="J2" s="97"/>
      <c r="K2" s="97"/>
      <c r="L2" s="97"/>
      <c r="M2" s="99"/>
    </row>
    <row r="3" spans="1:13">
      <c r="A3" s="96"/>
      <c r="B3" s="100" t="s">
        <v>290</v>
      </c>
      <c r="C3" s="101"/>
      <c r="D3" s="97"/>
      <c r="E3" s="97"/>
      <c r="F3" s="97"/>
      <c r="G3" s="97"/>
      <c r="H3" s="97"/>
      <c r="I3" s="101" t="s">
        <v>17</v>
      </c>
      <c r="J3" s="101"/>
      <c r="K3" s="101"/>
      <c r="L3" s="101"/>
      <c r="M3" s="101"/>
    </row>
    <row r="4" spans="1:13">
      <c r="A4" s="96"/>
      <c r="B4" s="100" t="s">
        <v>293</v>
      </c>
      <c r="C4" s="101"/>
      <c r="D4" s="97"/>
      <c r="E4" s="97"/>
      <c r="F4" s="97"/>
      <c r="G4" s="97"/>
      <c r="H4" s="97"/>
      <c r="I4" s="101" t="s">
        <v>18</v>
      </c>
      <c r="J4" s="101"/>
      <c r="K4" s="101"/>
      <c r="L4" s="101"/>
    </row>
    <row r="5" spans="1:13">
      <c r="A5" s="96"/>
      <c r="B5" s="100" t="s">
        <v>291</v>
      </c>
      <c r="C5" s="101"/>
      <c r="D5" s="97"/>
      <c r="E5" s="97"/>
      <c r="F5" s="97"/>
      <c r="G5" s="97"/>
      <c r="H5" s="97"/>
      <c r="I5" s="101" t="s">
        <v>59</v>
      </c>
      <c r="J5" s="101"/>
      <c r="K5" s="101"/>
      <c r="L5" s="100" t="s">
        <v>20</v>
      </c>
      <c r="M5" s="101"/>
    </row>
    <row r="6" spans="1:13">
      <c r="A6" s="96"/>
      <c r="B6" s="100" t="s">
        <v>292</v>
      </c>
      <c r="C6" s="101"/>
      <c r="D6" s="97"/>
      <c r="E6" s="97"/>
      <c r="F6" s="97"/>
      <c r="G6" s="97"/>
      <c r="H6" s="97"/>
      <c r="I6" s="101" t="s">
        <v>19</v>
      </c>
      <c r="J6" s="101"/>
      <c r="K6" s="101"/>
      <c r="L6" s="101"/>
      <c r="M6" s="101"/>
    </row>
    <row r="7" spans="1:13">
      <c r="A7" s="96"/>
      <c r="B7" s="101"/>
      <c r="C7" s="101"/>
      <c r="D7" s="97"/>
      <c r="E7" s="97"/>
      <c r="F7" s="97"/>
      <c r="G7" s="97"/>
      <c r="H7" s="97"/>
      <c r="I7" s="101"/>
      <c r="J7" s="101"/>
      <c r="K7" s="101"/>
      <c r="L7" s="101"/>
      <c r="M7" s="101"/>
    </row>
    <row r="8" spans="1:13" s="71" customFormat="1">
      <c r="A8" s="174" t="s">
        <v>287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3" s="71" customForma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s="72" customFormat="1" ht="27" customHeight="1">
      <c r="A10" s="172" t="s">
        <v>294</v>
      </c>
      <c r="B10" s="173" t="s">
        <v>295</v>
      </c>
      <c r="C10" s="173" t="s">
        <v>296</v>
      </c>
      <c r="D10" s="173" t="s">
        <v>297</v>
      </c>
      <c r="E10" s="172" t="s">
        <v>298</v>
      </c>
      <c r="F10" s="172"/>
      <c r="G10" s="173" t="s">
        <v>299</v>
      </c>
      <c r="H10" s="173"/>
      <c r="I10" s="173" t="s">
        <v>6</v>
      </c>
      <c r="J10" s="173"/>
      <c r="K10" s="172" t="s">
        <v>300</v>
      </c>
      <c r="L10" s="172"/>
      <c r="M10" s="172" t="s">
        <v>4</v>
      </c>
    </row>
    <row r="11" spans="1:13" s="72" customFormat="1" ht="12.75" customHeight="1">
      <c r="A11" s="172"/>
      <c r="B11" s="173"/>
      <c r="C11" s="173"/>
      <c r="D11" s="173"/>
      <c r="E11" s="77" t="s">
        <v>301</v>
      </c>
      <c r="F11" s="77" t="s">
        <v>263</v>
      </c>
      <c r="G11" s="77" t="s">
        <v>301</v>
      </c>
      <c r="H11" s="77" t="s">
        <v>263</v>
      </c>
      <c r="I11" s="77" t="s">
        <v>301</v>
      </c>
      <c r="J11" s="77" t="s">
        <v>263</v>
      </c>
      <c r="K11" s="77" t="s">
        <v>301</v>
      </c>
      <c r="L11" s="77" t="s">
        <v>263</v>
      </c>
      <c r="M11" s="172"/>
    </row>
    <row r="12" spans="1:13" s="72" customFormat="1">
      <c r="A12" s="77">
        <v>1</v>
      </c>
      <c r="B12" s="77">
        <v>2</v>
      </c>
      <c r="C12" s="76">
        <v>3</v>
      </c>
      <c r="D12" s="77">
        <v>4</v>
      </c>
      <c r="E12" s="77">
        <v>5</v>
      </c>
      <c r="F12" s="77">
        <v>6</v>
      </c>
      <c r="G12" s="77">
        <v>7</v>
      </c>
      <c r="H12" s="74">
        <v>8</v>
      </c>
      <c r="I12" s="77">
        <v>9</v>
      </c>
      <c r="J12" s="74">
        <v>10</v>
      </c>
      <c r="K12" s="77">
        <v>11</v>
      </c>
      <c r="L12" s="74">
        <v>12</v>
      </c>
      <c r="M12" s="74">
        <v>13</v>
      </c>
    </row>
    <row r="13" spans="1:13" s="72" customFormat="1">
      <c r="A13" s="77"/>
      <c r="B13" s="77"/>
      <c r="C13" s="77"/>
      <c r="D13" s="77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s="72" customFormat="1">
      <c r="A14" s="77"/>
      <c r="B14" s="106"/>
      <c r="C14" s="76" t="s">
        <v>32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 customHeight="1">
      <c r="A15" s="77"/>
      <c r="B15" s="106"/>
      <c r="C15" s="76"/>
      <c r="D15" s="106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>
      <c r="A16" s="106">
        <v>1.1000000000000001</v>
      </c>
      <c r="B16" s="169" t="s">
        <v>302</v>
      </c>
      <c r="C16" s="109" t="s">
        <v>33</v>
      </c>
      <c r="D16" s="106" t="s">
        <v>34</v>
      </c>
      <c r="E16" s="108"/>
      <c r="F16" s="108">
        <v>0.14000000000000001</v>
      </c>
      <c r="G16" s="108"/>
      <c r="H16" s="108"/>
      <c r="I16" s="108"/>
      <c r="J16" s="108"/>
      <c r="K16" s="108"/>
      <c r="L16" s="108"/>
      <c r="M16" s="108"/>
    </row>
    <row r="17" spans="1:13" s="73" customFormat="1">
      <c r="A17" s="106"/>
      <c r="B17" s="170"/>
      <c r="C17" s="109"/>
      <c r="D17" s="106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s="73" customFormat="1">
      <c r="A18" s="106" t="s">
        <v>0</v>
      </c>
      <c r="B18" s="170"/>
      <c r="C18" s="110" t="s">
        <v>15</v>
      </c>
      <c r="D18" s="106" t="s">
        <v>1</v>
      </c>
      <c r="E18" s="108">
        <f>1.1*1.13*(127+67)</f>
        <v>241.14199999999997</v>
      </c>
      <c r="F18" s="108">
        <f>E18*F16</f>
        <v>33.759879999999995</v>
      </c>
      <c r="G18" s="108"/>
      <c r="H18" s="108"/>
      <c r="I18" s="108"/>
      <c r="J18" s="108"/>
      <c r="K18" s="108"/>
      <c r="L18" s="108"/>
      <c r="M18" s="108"/>
    </row>
    <row r="19" spans="1:13" s="73" customFormat="1">
      <c r="A19" s="106"/>
      <c r="B19" s="171"/>
      <c r="C19" s="109"/>
      <c r="D19" s="106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s="73" customFormat="1">
      <c r="A20" s="77"/>
      <c r="B20" s="111"/>
      <c r="C20" s="77" t="s">
        <v>4</v>
      </c>
      <c r="D20" s="77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s="73" customFormat="1">
      <c r="A21" s="106"/>
      <c r="B21" s="112"/>
      <c r="C21" s="106"/>
      <c r="D21" s="106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>
      <c r="A22" s="106"/>
      <c r="B22" s="112"/>
      <c r="C22" s="106" t="s">
        <v>10</v>
      </c>
      <c r="D22" s="113">
        <v>0.1</v>
      </c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>
      <c r="A23" s="106"/>
      <c r="B23" s="112"/>
      <c r="C23" s="106" t="s">
        <v>4</v>
      </c>
      <c r="D23" s="113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>
      <c r="A24" s="106"/>
      <c r="B24" s="112"/>
      <c r="C24" s="106" t="s">
        <v>11</v>
      </c>
      <c r="D24" s="113">
        <v>0.08</v>
      </c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>
      <c r="A25" s="106"/>
      <c r="B25" s="112"/>
      <c r="C25" s="106"/>
      <c r="D25" s="113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>
      <c r="A26" s="77"/>
      <c r="B26" s="111"/>
      <c r="C26" s="77" t="s">
        <v>4</v>
      </c>
      <c r="D26" s="77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6"/>
    </row>
    <row r="28" spans="1:13"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6"/>
    </row>
    <row r="29" spans="1:13"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6"/>
    </row>
    <row r="30" spans="1:13"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6"/>
    </row>
    <row r="31" spans="1:13"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6"/>
    </row>
    <row r="32" spans="1:13"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6"/>
    </row>
    <row r="33" spans="2:13"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6"/>
    </row>
    <row r="34" spans="2:13"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6"/>
    </row>
    <row r="35" spans="2:13"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6"/>
    </row>
    <row r="36" spans="2:13"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6"/>
    </row>
    <row r="37" spans="2:13"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6"/>
    </row>
    <row r="38" spans="2:13"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6"/>
    </row>
    <row r="39" spans="2:13"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6"/>
    </row>
    <row r="40" spans="2:13"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6"/>
    </row>
    <row r="41" spans="2:13"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6"/>
    </row>
    <row r="42" spans="2:13"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6"/>
    </row>
    <row r="43" spans="2:13"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6"/>
    </row>
    <row r="44" spans="2:13">
      <c r="B44" s="114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6"/>
    </row>
    <row r="45" spans="2:13"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6"/>
    </row>
    <row r="46" spans="2:13"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6"/>
    </row>
    <row r="47" spans="2:13"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6"/>
    </row>
    <row r="48" spans="2:13">
      <c r="B48" s="114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6"/>
    </row>
    <row r="49" spans="2:13">
      <c r="B49" s="114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6"/>
    </row>
    <row r="50" spans="2:13"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6"/>
    </row>
    <row r="51" spans="2:13"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6"/>
    </row>
    <row r="52" spans="2:13"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6"/>
    </row>
    <row r="53" spans="2:13">
      <c r="B53" s="114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6"/>
    </row>
    <row r="54" spans="2:13">
      <c r="B54" s="114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6"/>
    </row>
    <row r="55" spans="2:13">
      <c r="B55" s="114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6"/>
    </row>
    <row r="56" spans="2:13">
      <c r="B56" s="114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116"/>
    </row>
    <row r="57" spans="2:13">
      <c r="B57" s="114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116"/>
    </row>
    <row r="58" spans="2:13"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6"/>
    </row>
    <row r="59" spans="2:13">
      <c r="B59" s="114"/>
      <c r="C59" s="115"/>
      <c r="D59" s="114"/>
      <c r="E59" s="114"/>
      <c r="F59" s="114"/>
      <c r="G59" s="114"/>
      <c r="H59" s="114"/>
      <c r="I59" s="114"/>
      <c r="J59" s="114"/>
      <c r="K59" s="114"/>
      <c r="L59" s="114"/>
      <c r="M59" s="116"/>
    </row>
    <row r="60" spans="2:13">
      <c r="B60" s="114"/>
      <c r="C60" s="115"/>
      <c r="D60" s="114"/>
      <c r="E60" s="114"/>
      <c r="F60" s="114"/>
      <c r="G60" s="114"/>
      <c r="H60" s="114"/>
      <c r="I60" s="114"/>
      <c r="J60" s="114"/>
      <c r="K60" s="114"/>
      <c r="L60" s="114"/>
      <c r="M60" s="116"/>
    </row>
    <row r="61" spans="2:13">
      <c r="B61" s="114"/>
      <c r="C61" s="115"/>
      <c r="D61" s="114"/>
      <c r="E61" s="114"/>
      <c r="F61" s="114"/>
      <c r="G61" s="114"/>
      <c r="H61" s="114"/>
      <c r="I61" s="114"/>
      <c r="J61" s="114"/>
      <c r="K61" s="114"/>
      <c r="L61" s="114"/>
      <c r="M61" s="116"/>
    </row>
    <row r="62" spans="2:13">
      <c r="B62" s="114"/>
      <c r="C62" s="115"/>
      <c r="D62" s="114"/>
      <c r="E62" s="114"/>
      <c r="F62" s="114"/>
      <c r="G62" s="114"/>
      <c r="H62" s="114"/>
      <c r="I62" s="114"/>
      <c r="J62" s="114"/>
      <c r="K62" s="114"/>
      <c r="L62" s="114"/>
      <c r="M62" s="116"/>
    </row>
    <row r="63" spans="2:13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7"/>
    </row>
    <row r="64" spans="2:13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7"/>
    </row>
    <row r="65" spans="2:13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7"/>
    </row>
    <row r="66" spans="2:13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7"/>
    </row>
    <row r="67" spans="2:13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7"/>
    </row>
    <row r="68" spans="2:13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7"/>
    </row>
    <row r="69" spans="2:13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7"/>
    </row>
    <row r="70" spans="2:13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7"/>
    </row>
    <row r="71" spans="2:13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7"/>
    </row>
    <row r="72" spans="2:13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7"/>
    </row>
    <row r="73" spans="2:13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7"/>
    </row>
    <row r="74" spans="2:13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7"/>
    </row>
    <row r="75" spans="2:13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7"/>
    </row>
  </sheetData>
  <mergeCells count="11">
    <mergeCell ref="B16:B19"/>
    <mergeCell ref="E10:F10"/>
    <mergeCell ref="G10:H10"/>
    <mergeCell ref="I10:J10"/>
    <mergeCell ref="A8:M8"/>
    <mergeCell ref="A10:A11"/>
    <mergeCell ref="B10:B11"/>
    <mergeCell ref="C10:C11"/>
    <mergeCell ref="D10:D11"/>
    <mergeCell ref="M10:M11"/>
    <mergeCell ref="K10:L10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94"/>
  <sheetViews>
    <sheetView view="pageBreakPreview" zoomScaleNormal="60" zoomScaleSheetLayoutView="100" workbookViewId="0">
      <selection activeCell="I12" sqref="I12"/>
    </sheetView>
  </sheetViews>
  <sheetFormatPr defaultRowHeight="12.75"/>
  <cols>
    <col min="1" max="1" width="6.7109375" style="129" customWidth="1"/>
    <col min="2" max="2" width="14.28515625" style="118" customWidth="1"/>
    <col min="3" max="3" width="54.140625" style="118" customWidth="1"/>
    <col min="4" max="12" width="9.42578125" style="118" customWidth="1"/>
    <col min="13" max="13" width="9.42578125" style="102" customWidth="1"/>
    <col min="14" max="16384" width="9.140625" style="70"/>
  </cols>
  <sheetData>
    <row r="1" spans="1:13" s="71" customFormat="1">
      <c r="A1" s="175" t="s">
        <v>287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71" customForma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72" customFormat="1" ht="27" customHeight="1">
      <c r="A3" s="172" t="s">
        <v>294</v>
      </c>
      <c r="B3" s="173" t="s">
        <v>295</v>
      </c>
      <c r="C3" s="173" t="s">
        <v>296</v>
      </c>
      <c r="D3" s="173" t="s">
        <v>297</v>
      </c>
      <c r="E3" s="172" t="s">
        <v>298</v>
      </c>
      <c r="F3" s="172"/>
      <c r="G3" s="173" t="s">
        <v>299</v>
      </c>
      <c r="H3" s="173"/>
      <c r="I3" s="173" t="s">
        <v>6</v>
      </c>
      <c r="J3" s="173"/>
      <c r="K3" s="172" t="s">
        <v>300</v>
      </c>
      <c r="L3" s="172"/>
      <c r="M3" s="172" t="s">
        <v>4</v>
      </c>
    </row>
    <row r="4" spans="1:13" s="72" customFormat="1" ht="12.75" customHeight="1">
      <c r="A4" s="172"/>
      <c r="B4" s="173"/>
      <c r="C4" s="173"/>
      <c r="D4" s="173"/>
      <c r="E4" s="77" t="s">
        <v>301</v>
      </c>
      <c r="F4" s="77" t="s">
        <v>263</v>
      </c>
      <c r="G4" s="77" t="s">
        <v>301</v>
      </c>
      <c r="H4" s="77" t="s">
        <v>263</v>
      </c>
      <c r="I4" s="77" t="s">
        <v>301</v>
      </c>
      <c r="J4" s="77" t="s">
        <v>263</v>
      </c>
      <c r="K4" s="77" t="s">
        <v>301</v>
      </c>
      <c r="L4" s="77" t="s">
        <v>263</v>
      </c>
      <c r="M4" s="172"/>
    </row>
    <row r="5" spans="1:13" s="72" customFormat="1">
      <c r="A5" s="77">
        <v>1</v>
      </c>
      <c r="B5" s="77">
        <v>2</v>
      </c>
      <c r="C5" s="76">
        <v>3</v>
      </c>
      <c r="D5" s="77">
        <v>4</v>
      </c>
      <c r="E5" s="77">
        <v>5</v>
      </c>
      <c r="F5" s="77">
        <v>6</v>
      </c>
      <c r="G5" s="77">
        <v>7</v>
      </c>
      <c r="H5" s="74">
        <v>8</v>
      </c>
      <c r="I5" s="77">
        <v>9</v>
      </c>
      <c r="J5" s="74">
        <v>10</v>
      </c>
      <c r="K5" s="77">
        <v>11</v>
      </c>
      <c r="L5" s="74">
        <v>12</v>
      </c>
      <c r="M5" s="74">
        <v>13</v>
      </c>
    </row>
    <row r="6" spans="1:13" s="72" customForma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22"/>
    </row>
    <row r="7" spans="1:13" s="72" customFormat="1">
      <c r="A7" s="77"/>
      <c r="B7" s="106"/>
      <c r="C7" s="76" t="s">
        <v>58</v>
      </c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>
      <c r="A8" s="77"/>
      <c r="B8" s="106"/>
      <c r="C8" s="76"/>
      <c r="D8" s="106"/>
      <c r="E8" s="106"/>
      <c r="F8" s="106"/>
      <c r="G8" s="108"/>
      <c r="H8" s="108"/>
      <c r="I8" s="108"/>
      <c r="J8" s="108"/>
      <c r="K8" s="108"/>
      <c r="L8" s="108"/>
      <c r="M8" s="108"/>
    </row>
    <row r="9" spans="1:13" ht="25.5">
      <c r="A9" s="106">
        <v>1.1000000000000001</v>
      </c>
      <c r="B9" s="112" t="s">
        <v>77</v>
      </c>
      <c r="C9" s="123" t="s">
        <v>76</v>
      </c>
      <c r="D9" s="106" t="s">
        <v>303</v>
      </c>
      <c r="E9" s="108"/>
      <c r="F9" s="108">
        <v>72</v>
      </c>
      <c r="G9" s="108"/>
      <c r="H9" s="108"/>
      <c r="I9" s="108"/>
      <c r="J9" s="108"/>
      <c r="K9" s="108"/>
      <c r="L9" s="108"/>
      <c r="M9" s="108"/>
    </row>
    <row r="10" spans="1:13">
      <c r="A10" s="106"/>
      <c r="B10" s="112"/>
      <c r="C10" s="124"/>
      <c r="D10" s="106" t="s">
        <v>304</v>
      </c>
      <c r="E10" s="108"/>
      <c r="F10" s="125">
        <f>F9/1000</f>
        <v>7.1999999999999995E-2</v>
      </c>
      <c r="G10" s="108"/>
      <c r="H10" s="108"/>
      <c r="I10" s="108"/>
      <c r="J10" s="108"/>
      <c r="K10" s="108"/>
      <c r="L10" s="108"/>
      <c r="M10" s="119"/>
    </row>
    <row r="11" spans="1:13">
      <c r="A11" s="106" t="s">
        <v>0</v>
      </c>
      <c r="B11" s="112"/>
      <c r="C11" s="120" t="s">
        <v>15</v>
      </c>
      <c r="D11" s="106" t="s">
        <v>1</v>
      </c>
      <c r="E11" s="108">
        <v>20</v>
      </c>
      <c r="F11" s="108">
        <f>E11*F10</f>
        <v>1.44</v>
      </c>
      <c r="G11" s="108"/>
      <c r="H11" s="108"/>
      <c r="I11" s="108"/>
      <c r="J11" s="108"/>
      <c r="K11" s="108"/>
      <c r="L11" s="108"/>
      <c r="M11" s="119"/>
    </row>
    <row r="12" spans="1:13">
      <c r="A12" s="106" t="s">
        <v>197</v>
      </c>
      <c r="B12" s="112" t="s">
        <v>305</v>
      </c>
      <c r="C12" s="126" t="s">
        <v>306</v>
      </c>
      <c r="D12" s="106" t="s">
        <v>24</v>
      </c>
      <c r="E12" s="108">
        <v>44.8</v>
      </c>
      <c r="F12" s="108">
        <f>E12*F10</f>
        <v>3.2255999999999996</v>
      </c>
      <c r="G12" s="108"/>
      <c r="H12" s="108"/>
      <c r="I12" s="108"/>
      <c r="J12" s="108"/>
      <c r="K12" s="108"/>
      <c r="L12" s="108"/>
      <c r="M12" s="119"/>
    </row>
    <row r="13" spans="1:13">
      <c r="A13" s="106" t="s">
        <v>198</v>
      </c>
      <c r="B13" s="112"/>
      <c r="C13" s="126" t="s">
        <v>13</v>
      </c>
      <c r="D13" s="106" t="s">
        <v>25</v>
      </c>
      <c r="E13" s="108">
        <v>2.1</v>
      </c>
      <c r="F13" s="108">
        <f>E13*F10</f>
        <v>0.1512</v>
      </c>
      <c r="G13" s="108"/>
      <c r="H13" s="108"/>
      <c r="I13" s="108"/>
      <c r="J13" s="108"/>
      <c r="K13" s="108"/>
      <c r="L13" s="108"/>
      <c r="M13" s="119"/>
    </row>
    <row r="14" spans="1:13">
      <c r="A14" s="106" t="s">
        <v>199</v>
      </c>
      <c r="B14" s="112" t="s">
        <v>307</v>
      </c>
      <c r="C14" s="126" t="s">
        <v>308</v>
      </c>
      <c r="D14" s="106" t="s">
        <v>303</v>
      </c>
      <c r="E14" s="108">
        <v>0.05</v>
      </c>
      <c r="F14" s="108">
        <f>E14*F10</f>
        <v>3.5999999999999999E-3</v>
      </c>
      <c r="G14" s="108"/>
      <c r="H14" s="108"/>
      <c r="I14" s="108"/>
      <c r="J14" s="108"/>
      <c r="K14" s="108"/>
      <c r="L14" s="108"/>
      <c r="M14" s="119"/>
    </row>
    <row r="15" spans="1:13">
      <c r="A15" s="106"/>
      <c r="B15" s="112"/>
      <c r="C15" s="127"/>
      <c r="D15" s="106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>
      <c r="A16" s="106">
        <v>1.2</v>
      </c>
      <c r="B16" s="112" t="s">
        <v>309</v>
      </c>
      <c r="C16" s="123" t="s">
        <v>31</v>
      </c>
      <c r="D16" s="106" t="s">
        <v>23</v>
      </c>
      <c r="E16" s="108">
        <v>1.95</v>
      </c>
      <c r="F16" s="108">
        <f>F9*E16</f>
        <v>140.4</v>
      </c>
      <c r="G16" s="108"/>
      <c r="H16" s="108"/>
      <c r="I16" s="108"/>
      <c r="J16" s="108"/>
      <c r="K16" s="108"/>
      <c r="L16" s="108"/>
      <c r="M16" s="108"/>
    </row>
    <row r="17" spans="1:13">
      <c r="A17" s="106"/>
      <c r="B17" s="112"/>
      <c r="C17" s="123"/>
      <c r="D17" s="106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>
      <c r="A18" s="106">
        <v>1.3</v>
      </c>
      <c r="B18" s="112" t="s">
        <v>79</v>
      </c>
      <c r="C18" s="123" t="s">
        <v>78</v>
      </c>
      <c r="D18" s="106" t="s">
        <v>303</v>
      </c>
      <c r="E18" s="108"/>
      <c r="F18" s="108">
        <f>F9</f>
        <v>72</v>
      </c>
      <c r="G18" s="108"/>
      <c r="H18" s="108"/>
      <c r="I18" s="108"/>
      <c r="J18" s="108"/>
      <c r="K18" s="108"/>
      <c r="L18" s="108"/>
      <c r="M18" s="108"/>
    </row>
    <row r="19" spans="1:13">
      <c r="A19" s="106"/>
      <c r="B19" s="112"/>
      <c r="C19" s="123"/>
      <c r="D19" s="106" t="s">
        <v>304</v>
      </c>
      <c r="E19" s="108"/>
      <c r="F19" s="125">
        <f>F18/1000</f>
        <v>7.1999999999999995E-2</v>
      </c>
      <c r="G19" s="108"/>
      <c r="H19" s="108"/>
      <c r="I19" s="108"/>
      <c r="J19" s="108"/>
      <c r="K19" s="108"/>
      <c r="L19" s="108"/>
      <c r="M19" s="108"/>
    </row>
    <row r="20" spans="1:13">
      <c r="A20" s="106" t="s">
        <v>30</v>
      </c>
      <c r="B20" s="112"/>
      <c r="C20" s="123" t="s">
        <v>15</v>
      </c>
      <c r="D20" s="106" t="s">
        <v>1</v>
      </c>
      <c r="E20" s="108">
        <v>3.23</v>
      </c>
      <c r="F20" s="108">
        <f>E20*F19</f>
        <v>0.23255999999999999</v>
      </c>
      <c r="G20" s="108"/>
      <c r="H20" s="108"/>
      <c r="I20" s="108"/>
      <c r="J20" s="108"/>
      <c r="K20" s="108"/>
      <c r="L20" s="108"/>
      <c r="M20" s="108"/>
    </row>
    <row r="21" spans="1:13">
      <c r="A21" s="106" t="s">
        <v>45</v>
      </c>
      <c r="B21" s="112" t="s">
        <v>310</v>
      </c>
      <c r="C21" s="123" t="s">
        <v>80</v>
      </c>
      <c r="D21" s="106" t="s">
        <v>24</v>
      </c>
      <c r="E21" s="108">
        <v>3.62</v>
      </c>
      <c r="F21" s="108">
        <f>E21*F19</f>
        <v>0.26063999999999998</v>
      </c>
      <c r="G21" s="108"/>
      <c r="H21" s="108"/>
      <c r="I21" s="108"/>
      <c r="J21" s="108"/>
      <c r="K21" s="108"/>
      <c r="L21" s="108"/>
      <c r="M21" s="108"/>
    </row>
    <row r="22" spans="1:13">
      <c r="A22" s="106" t="s">
        <v>46</v>
      </c>
      <c r="B22" s="112"/>
      <c r="C22" s="123" t="s">
        <v>13</v>
      </c>
      <c r="D22" s="106" t="s">
        <v>25</v>
      </c>
      <c r="E22" s="108">
        <v>0.18</v>
      </c>
      <c r="F22" s="108">
        <f>E22*F19</f>
        <v>1.2959999999999999E-2</v>
      </c>
      <c r="G22" s="108"/>
      <c r="H22" s="108"/>
      <c r="I22" s="108"/>
      <c r="J22" s="108"/>
      <c r="K22" s="108"/>
      <c r="L22" s="108"/>
      <c r="M22" s="108"/>
    </row>
    <row r="23" spans="1:13">
      <c r="A23" s="106" t="s">
        <v>47</v>
      </c>
      <c r="B23" s="112" t="s">
        <v>307</v>
      </c>
      <c r="C23" s="126" t="s">
        <v>308</v>
      </c>
      <c r="D23" s="106" t="s">
        <v>303</v>
      </c>
      <c r="E23" s="108">
        <v>0.04</v>
      </c>
      <c r="F23" s="108">
        <f>E23*F19</f>
        <v>2.8799999999999997E-3</v>
      </c>
      <c r="G23" s="108"/>
      <c r="H23" s="108"/>
      <c r="I23" s="108"/>
      <c r="J23" s="108"/>
      <c r="K23" s="108"/>
      <c r="L23" s="108"/>
      <c r="M23" s="108"/>
    </row>
    <row r="24" spans="1:13">
      <c r="A24" s="106"/>
      <c r="B24" s="112"/>
      <c r="C24" s="127"/>
      <c r="D24" s="106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25.5">
      <c r="A25" s="128">
        <v>1.4</v>
      </c>
      <c r="B25" s="112" t="s">
        <v>77</v>
      </c>
      <c r="C25" s="123" t="s">
        <v>193</v>
      </c>
      <c r="D25" s="106" t="s">
        <v>303</v>
      </c>
      <c r="E25" s="108"/>
      <c r="F25" s="108">
        <v>6</v>
      </c>
      <c r="G25" s="108"/>
      <c r="H25" s="108"/>
      <c r="I25" s="108"/>
      <c r="J25" s="108"/>
      <c r="K25" s="108"/>
      <c r="L25" s="108"/>
      <c r="M25" s="108"/>
    </row>
    <row r="26" spans="1:13">
      <c r="A26" s="128"/>
      <c r="B26" s="112"/>
      <c r="C26" s="124"/>
      <c r="D26" s="106" t="s">
        <v>304</v>
      </c>
      <c r="E26" s="108"/>
      <c r="F26" s="125">
        <f>F25/1000</f>
        <v>6.0000000000000001E-3</v>
      </c>
      <c r="G26" s="108"/>
      <c r="H26" s="108"/>
      <c r="I26" s="108"/>
      <c r="J26" s="108"/>
      <c r="K26" s="108"/>
      <c r="L26" s="108"/>
      <c r="M26" s="119"/>
    </row>
    <row r="27" spans="1:13">
      <c r="A27" s="106" t="s">
        <v>22</v>
      </c>
      <c r="B27" s="112"/>
      <c r="C27" s="120" t="s">
        <v>15</v>
      </c>
      <c r="D27" s="106" t="s">
        <v>1</v>
      </c>
      <c r="E27" s="108">
        <v>20</v>
      </c>
      <c r="F27" s="108">
        <f>E27*F26</f>
        <v>0.12</v>
      </c>
      <c r="G27" s="108"/>
      <c r="H27" s="108"/>
      <c r="I27" s="108"/>
      <c r="J27" s="108"/>
      <c r="K27" s="108"/>
      <c r="L27" s="108"/>
      <c r="M27" s="119"/>
    </row>
    <row r="28" spans="1:13">
      <c r="A28" s="106" t="s">
        <v>231</v>
      </c>
      <c r="B28" s="112" t="s">
        <v>305</v>
      </c>
      <c r="C28" s="126" t="s">
        <v>306</v>
      </c>
      <c r="D28" s="106" t="s">
        <v>24</v>
      </c>
      <c r="E28" s="108">
        <v>44.8</v>
      </c>
      <c r="F28" s="108">
        <f>E28*F26</f>
        <v>0.26879999999999998</v>
      </c>
      <c r="G28" s="108"/>
      <c r="H28" s="108"/>
      <c r="I28" s="108"/>
      <c r="J28" s="108"/>
      <c r="K28" s="108"/>
      <c r="L28" s="108"/>
      <c r="M28" s="119"/>
    </row>
    <row r="29" spans="1:13">
      <c r="A29" s="106" t="s">
        <v>232</v>
      </c>
      <c r="B29" s="112"/>
      <c r="C29" s="126" t="s">
        <v>13</v>
      </c>
      <c r="D29" s="106" t="s">
        <v>25</v>
      </c>
      <c r="E29" s="108">
        <v>2.1</v>
      </c>
      <c r="F29" s="108">
        <f>E29*F26</f>
        <v>1.26E-2</v>
      </c>
      <c r="G29" s="108"/>
      <c r="H29" s="108"/>
      <c r="I29" s="108"/>
      <c r="J29" s="108"/>
      <c r="K29" s="108"/>
      <c r="L29" s="108"/>
      <c r="M29" s="119"/>
    </row>
    <row r="30" spans="1:13">
      <c r="A30" s="106" t="s">
        <v>233</v>
      </c>
      <c r="B30" s="112" t="s">
        <v>307</v>
      </c>
      <c r="C30" s="126" t="s">
        <v>308</v>
      </c>
      <c r="D30" s="106" t="s">
        <v>303</v>
      </c>
      <c r="E30" s="108">
        <v>0.05</v>
      </c>
      <c r="F30" s="108">
        <f>E30*F26</f>
        <v>3.0000000000000003E-4</v>
      </c>
      <c r="G30" s="108"/>
      <c r="H30" s="108"/>
      <c r="I30" s="108"/>
      <c r="J30" s="108"/>
      <c r="K30" s="108"/>
      <c r="L30" s="108"/>
      <c r="M30" s="119"/>
    </row>
    <row r="31" spans="1:13">
      <c r="A31" s="106"/>
      <c r="B31" s="112"/>
      <c r="C31" s="123"/>
      <c r="D31" s="106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>
      <c r="A32" s="128">
        <v>1.5</v>
      </c>
      <c r="B32" s="112" t="s">
        <v>311</v>
      </c>
      <c r="C32" s="123" t="s">
        <v>191</v>
      </c>
      <c r="D32" s="106" t="s">
        <v>23</v>
      </c>
      <c r="E32" s="108"/>
      <c r="F32" s="108">
        <f>F25*1.95</f>
        <v>11.7</v>
      </c>
      <c r="G32" s="108"/>
      <c r="H32" s="108"/>
      <c r="I32" s="108"/>
      <c r="J32" s="108"/>
      <c r="K32" s="108"/>
      <c r="L32" s="108"/>
      <c r="M32" s="108"/>
    </row>
    <row r="33" spans="1:13">
      <c r="A33" s="128"/>
      <c r="B33" s="112"/>
      <c r="C33" s="123"/>
      <c r="D33" s="106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>
      <c r="A34" s="106">
        <v>1.6</v>
      </c>
      <c r="B34" s="112" t="s">
        <v>397</v>
      </c>
      <c r="C34" s="127" t="s">
        <v>194</v>
      </c>
      <c r="D34" s="106" t="s">
        <v>303</v>
      </c>
      <c r="E34" s="108"/>
      <c r="F34" s="108">
        <f>F25</f>
        <v>6</v>
      </c>
      <c r="G34" s="108"/>
      <c r="H34" s="108"/>
      <c r="I34" s="108"/>
      <c r="J34" s="108"/>
      <c r="K34" s="108"/>
      <c r="L34" s="108"/>
      <c r="M34" s="108"/>
    </row>
    <row r="35" spans="1:13">
      <c r="A35" s="106"/>
      <c r="B35" s="112"/>
      <c r="C35" s="127"/>
      <c r="D35" s="106" t="s">
        <v>304</v>
      </c>
      <c r="E35" s="108"/>
      <c r="F35" s="125">
        <f>F34/1000</f>
        <v>6.0000000000000001E-3</v>
      </c>
      <c r="G35" s="108"/>
      <c r="H35" s="108"/>
      <c r="I35" s="108"/>
      <c r="J35" s="108"/>
      <c r="K35" s="108"/>
      <c r="L35" s="108"/>
      <c r="M35" s="108"/>
    </row>
    <row r="36" spans="1:13" s="73" customFormat="1">
      <c r="A36" s="106" t="s">
        <v>60</v>
      </c>
      <c r="B36" s="112" t="s">
        <v>312</v>
      </c>
      <c r="C36" s="124" t="s">
        <v>313</v>
      </c>
      <c r="D36" s="106" t="s">
        <v>24</v>
      </c>
      <c r="E36" s="108">
        <v>8.9</v>
      </c>
      <c r="F36" s="108">
        <f>E36*F35</f>
        <v>5.3400000000000003E-2</v>
      </c>
      <c r="G36" s="108"/>
      <c r="H36" s="108"/>
      <c r="I36" s="108"/>
      <c r="J36" s="108"/>
      <c r="K36" s="108"/>
      <c r="L36" s="108"/>
      <c r="M36" s="119"/>
    </row>
    <row r="37" spans="1:13" s="73" customFormat="1">
      <c r="A37" s="106"/>
      <c r="B37" s="112"/>
      <c r="C37" s="123"/>
      <c r="D37" s="106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s="73" customFormat="1">
      <c r="A38" s="128">
        <v>1.7</v>
      </c>
      <c r="B38" s="112" t="s">
        <v>118</v>
      </c>
      <c r="C38" s="123" t="s">
        <v>119</v>
      </c>
      <c r="D38" s="106" t="s">
        <v>314</v>
      </c>
      <c r="E38" s="108"/>
      <c r="F38" s="108">
        <v>599</v>
      </c>
      <c r="G38" s="108"/>
      <c r="H38" s="108"/>
      <c r="I38" s="108"/>
      <c r="J38" s="108"/>
      <c r="K38" s="108"/>
      <c r="L38" s="108"/>
      <c r="M38" s="108"/>
    </row>
    <row r="39" spans="1:13" s="73" customFormat="1">
      <c r="A39" s="128"/>
      <c r="B39" s="112"/>
      <c r="C39" s="124"/>
      <c r="D39" s="106" t="s">
        <v>315</v>
      </c>
      <c r="E39" s="108"/>
      <c r="F39" s="125">
        <f>F38/10000</f>
        <v>5.9900000000000002E-2</v>
      </c>
      <c r="G39" s="108"/>
      <c r="H39" s="108"/>
      <c r="I39" s="108"/>
      <c r="J39" s="108"/>
      <c r="K39" s="108"/>
      <c r="L39" s="108"/>
      <c r="M39" s="108"/>
    </row>
    <row r="40" spans="1:13" s="73" customFormat="1">
      <c r="A40" s="106" t="s">
        <v>62</v>
      </c>
      <c r="B40" s="112"/>
      <c r="C40" s="124" t="s">
        <v>15</v>
      </c>
      <c r="D40" s="106" t="s">
        <v>1</v>
      </c>
      <c r="E40" s="108">
        <v>0.31</v>
      </c>
      <c r="F40" s="108">
        <f>E40*F39</f>
        <v>1.8569000000000002E-2</v>
      </c>
      <c r="G40" s="108"/>
      <c r="H40" s="108"/>
      <c r="I40" s="108"/>
      <c r="J40" s="108"/>
      <c r="K40" s="108"/>
      <c r="L40" s="108"/>
      <c r="M40" s="108"/>
    </row>
    <row r="41" spans="1:13">
      <c r="A41" s="106" t="s">
        <v>63</v>
      </c>
      <c r="B41" s="112" t="s">
        <v>316</v>
      </c>
      <c r="C41" s="126" t="s">
        <v>73</v>
      </c>
      <c r="D41" s="106" t="s">
        <v>24</v>
      </c>
      <c r="E41" s="108">
        <v>1.1200000000000001</v>
      </c>
      <c r="F41" s="108">
        <f>E41*F39</f>
        <v>6.7088000000000009E-2</v>
      </c>
      <c r="G41" s="108"/>
      <c r="H41" s="108"/>
      <c r="I41" s="108"/>
      <c r="J41" s="108"/>
      <c r="K41" s="108"/>
      <c r="L41" s="108"/>
      <c r="M41" s="108"/>
    </row>
    <row r="42" spans="1:13">
      <c r="A42" s="106"/>
      <c r="B42" s="112"/>
      <c r="C42" s="126"/>
      <c r="D42" s="106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>
      <c r="A43" s="77"/>
      <c r="B43" s="112"/>
      <c r="C43" s="77" t="s">
        <v>4</v>
      </c>
      <c r="D43" s="106"/>
      <c r="E43" s="108"/>
      <c r="F43" s="108"/>
      <c r="G43" s="108"/>
      <c r="H43" s="105"/>
      <c r="I43" s="105"/>
      <c r="J43" s="105"/>
      <c r="K43" s="105"/>
      <c r="L43" s="105"/>
      <c r="M43" s="105"/>
    </row>
    <row r="44" spans="1:13">
      <c r="A44" s="106"/>
      <c r="B44" s="112"/>
      <c r="C44" s="106"/>
      <c r="D44" s="106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>
      <c r="A45" s="106"/>
      <c r="B45" s="112"/>
      <c r="C45" s="106" t="s">
        <v>10</v>
      </c>
      <c r="D45" s="113">
        <v>0.1</v>
      </c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>
      <c r="A46" s="106"/>
      <c r="B46" s="112"/>
      <c r="C46" s="106" t="s">
        <v>4</v>
      </c>
      <c r="D46" s="113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>
      <c r="A47" s="106"/>
      <c r="B47" s="112"/>
      <c r="C47" s="106" t="s">
        <v>11</v>
      </c>
      <c r="D47" s="113">
        <v>0.08</v>
      </c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>
      <c r="A48" s="106"/>
      <c r="B48" s="112"/>
      <c r="C48" s="106"/>
      <c r="D48" s="113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>
      <c r="A49" s="77"/>
      <c r="B49" s="111"/>
      <c r="C49" s="77" t="s">
        <v>4</v>
      </c>
      <c r="D49" s="77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3"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6"/>
    </row>
    <row r="51" spans="1:13"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6"/>
    </row>
    <row r="52" spans="1:13"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6"/>
    </row>
    <row r="53" spans="1:13">
      <c r="B53" s="114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6"/>
    </row>
    <row r="54" spans="1:13">
      <c r="B54" s="114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6"/>
    </row>
    <row r="55" spans="1:13">
      <c r="B55" s="114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6"/>
    </row>
    <row r="56" spans="1:13">
      <c r="B56" s="114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116"/>
    </row>
    <row r="57" spans="1:13">
      <c r="B57" s="114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116"/>
    </row>
    <row r="58" spans="1:13"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6"/>
    </row>
    <row r="59" spans="1:13">
      <c r="B59" s="114"/>
      <c r="C59" s="115"/>
      <c r="D59" s="114"/>
      <c r="E59" s="114"/>
      <c r="F59" s="114"/>
      <c r="G59" s="114"/>
      <c r="H59" s="114"/>
      <c r="I59" s="114"/>
      <c r="J59" s="114"/>
      <c r="K59" s="114"/>
      <c r="L59" s="114"/>
      <c r="M59" s="116"/>
    </row>
    <row r="60" spans="1:13">
      <c r="B60" s="114"/>
      <c r="C60" s="115"/>
      <c r="D60" s="114"/>
      <c r="E60" s="114"/>
      <c r="F60" s="114"/>
      <c r="G60" s="114"/>
      <c r="H60" s="114"/>
      <c r="I60" s="114"/>
      <c r="J60" s="114"/>
      <c r="K60" s="114"/>
      <c r="L60" s="114"/>
      <c r="M60" s="116"/>
    </row>
    <row r="61" spans="1:13">
      <c r="B61" s="114"/>
      <c r="C61" s="115"/>
      <c r="D61" s="114"/>
      <c r="E61" s="114"/>
      <c r="F61" s="114"/>
      <c r="G61" s="114"/>
      <c r="H61" s="114"/>
      <c r="I61" s="114"/>
      <c r="J61" s="114"/>
      <c r="K61" s="114"/>
      <c r="L61" s="114"/>
      <c r="M61" s="116"/>
    </row>
    <row r="62" spans="1:13">
      <c r="B62" s="114"/>
      <c r="C62" s="115"/>
      <c r="D62" s="114"/>
      <c r="E62" s="114"/>
      <c r="F62" s="114"/>
      <c r="G62" s="114"/>
      <c r="H62" s="114"/>
      <c r="I62" s="114"/>
      <c r="J62" s="114"/>
      <c r="K62" s="114"/>
      <c r="L62" s="114"/>
      <c r="M62" s="116"/>
    </row>
    <row r="63" spans="1:13">
      <c r="B63" s="114"/>
      <c r="C63" s="115"/>
      <c r="D63" s="114"/>
      <c r="E63" s="114"/>
      <c r="F63" s="114"/>
      <c r="G63" s="114"/>
      <c r="H63" s="114"/>
      <c r="I63" s="114"/>
      <c r="J63" s="114"/>
      <c r="K63" s="114"/>
      <c r="L63" s="114"/>
      <c r="M63" s="116"/>
    </row>
    <row r="64" spans="1:13">
      <c r="B64" s="114"/>
      <c r="C64" s="115"/>
      <c r="D64" s="114"/>
      <c r="E64" s="114"/>
      <c r="F64" s="114"/>
      <c r="G64" s="114"/>
      <c r="H64" s="114"/>
      <c r="I64" s="114"/>
      <c r="J64" s="114"/>
      <c r="K64" s="114"/>
      <c r="L64" s="114"/>
      <c r="M64" s="116"/>
    </row>
    <row r="65" spans="2:13">
      <c r="B65" s="114"/>
      <c r="C65" s="115"/>
      <c r="D65" s="114"/>
      <c r="E65" s="114"/>
      <c r="F65" s="114"/>
      <c r="G65" s="114"/>
      <c r="H65" s="114"/>
      <c r="I65" s="114"/>
      <c r="J65" s="114"/>
      <c r="K65" s="114"/>
      <c r="L65" s="114"/>
      <c r="M65" s="116"/>
    </row>
    <row r="66" spans="2:13">
      <c r="B66" s="114"/>
      <c r="C66" s="115"/>
      <c r="D66" s="114"/>
      <c r="E66" s="114"/>
      <c r="F66" s="114"/>
      <c r="G66" s="114"/>
      <c r="H66" s="114"/>
      <c r="I66" s="114"/>
      <c r="J66" s="114"/>
      <c r="K66" s="114"/>
      <c r="L66" s="114"/>
      <c r="M66" s="116"/>
    </row>
    <row r="67" spans="2:13">
      <c r="B67" s="114"/>
      <c r="C67" s="115"/>
      <c r="D67" s="114"/>
      <c r="E67" s="114"/>
      <c r="F67" s="114"/>
      <c r="G67" s="114"/>
      <c r="H67" s="114"/>
      <c r="I67" s="114"/>
      <c r="J67" s="114"/>
      <c r="K67" s="114"/>
      <c r="L67" s="114"/>
      <c r="M67" s="116"/>
    </row>
    <row r="68" spans="2:13">
      <c r="B68" s="114"/>
      <c r="C68" s="115"/>
      <c r="D68" s="114"/>
      <c r="E68" s="114"/>
      <c r="F68" s="114"/>
      <c r="G68" s="114"/>
      <c r="H68" s="114"/>
      <c r="I68" s="114"/>
      <c r="J68" s="114"/>
      <c r="K68" s="114"/>
      <c r="L68" s="114"/>
      <c r="M68" s="116"/>
    </row>
    <row r="69" spans="2:13">
      <c r="B69" s="114"/>
      <c r="C69" s="115"/>
      <c r="D69" s="114"/>
      <c r="E69" s="114"/>
      <c r="F69" s="114"/>
      <c r="G69" s="114"/>
      <c r="H69" s="114"/>
      <c r="I69" s="114"/>
      <c r="J69" s="114"/>
      <c r="K69" s="114"/>
      <c r="L69" s="114"/>
      <c r="M69" s="116"/>
    </row>
    <row r="70" spans="2:13">
      <c r="B70" s="114"/>
      <c r="C70" s="115"/>
      <c r="D70" s="114"/>
      <c r="E70" s="114"/>
      <c r="F70" s="114"/>
      <c r="G70" s="114"/>
      <c r="H70" s="114"/>
      <c r="I70" s="114"/>
      <c r="J70" s="114"/>
      <c r="K70" s="114"/>
      <c r="L70" s="114"/>
      <c r="M70" s="116"/>
    </row>
    <row r="71" spans="2:13">
      <c r="B71" s="114"/>
      <c r="C71" s="115"/>
      <c r="D71" s="114"/>
      <c r="E71" s="114"/>
      <c r="F71" s="114"/>
      <c r="G71" s="114"/>
      <c r="H71" s="114"/>
      <c r="I71" s="114"/>
      <c r="J71" s="114"/>
      <c r="K71" s="114"/>
      <c r="L71" s="114"/>
      <c r="M71" s="116"/>
    </row>
    <row r="72" spans="2:13">
      <c r="B72" s="114"/>
      <c r="C72" s="115"/>
      <c r="D72" s="114"/>
      <c r="E72" s="114"/>
      <c r="F72" s="114"/>
      <c r="G72" s="114"/>
      <c r="H72" s="114"/>
      <c r="I72" s="114"/>
      <c r="J72" s="114"/>
      <c r="K72" s="114"/>
      <c r="L72" s="114"/>
      <c r="M72" s="116"/>
    </row>
    <row r="73" spans="2:13">
      <c r="B73" s="114"/>
      <c r="C73" s="115"/>
      <c r="D73" s="114"/>
      <c r="E73" s="114"/>
      <c r="F73" s="114"/>
      <c r="G73" s="114"/>
      <c r="H73" s="114"/>
      <c r="I73" s="114"/>
      <c r="J73" s="114"/>
      <c r="K73" s="114"/>
      <c r="L73" s="114"/>
      <c r="M73" s="116"/>
    </row>
    <row r="74" spans="2:13">
      <c r="B74" s="114"/>
      <c r="C74" s="115"/>
      <c r="D74" s="114"/>
      <c r="E74" s="114"/>
      <c r="F74" s="114"/>
      <c r="G74" s="114"/>
      <c r="H74" s="114"/>
      <c r="I74" s="114"/>
      <c r="J74" s="114"/>
      <c r="K74" s="114"/>
      <c r="L74" s="114"/>
      <c r="M74" s="116"/>
    </row>
    <row r="75" spans="2:13">
      <c r="B75" s="114"/>
      <c r="C75" s="115"/>
      <c r="D75" s="114"/>
      <c r="E75" s="114"/>
      <c r="F75" s="114"/>
      <c r="G75" s="114"/>
      <c r="H75" s="114"/>
      <c r="I75" s="114"/>
      <c r="J75" s="114"/>
      <c r="K75" s="114"/>
      <c r="L75" s="114"/>
      <c r="M75" s="116"/>
    </row>
    <row r="76" spans="2:13">
      <c r="B76" s="114"/>
      <c r="C76" s="115"/>
      <c r="D76" s="114"/>
      <c r="E76" s="114"/>
      <c r="F76" s="114"/>
      <c r="G76" s="114"/>
      <c r="H76" s="114"/>
      <c r="I76" s="114"/>
      <c r="J76" s="114"/>
      <c r="K76" s="114"/>
      <c r="L76" s="114"/>
      <c r="M76" s="116"/>
    </row>
    <row r="77" spans="2:13">
      <c r="B77" s="114"/>
      <c r="C77" s="115"/>
      <c r="D77" s="114"/>
      <c r="E77" s="114"/>
      <c r="F77" s="114"/>
      <c r="G77" s="114"/>
      <c r="H77" s="114"/>
      <c r="I77" s="114"/>
      <c r="J77" s="114"/>
      <c r="K77" s="114"/>
      <c r="L77" s="114"/>
      <c r="M77" s="116"/>
    </row>
    <row r="78" spans="2:13">
      <c r="B78" s="114"/>
      <c r="C78" s="115"/>
      <c r="D78" s="114"/>
      <c r="E78" s="114"/>
      <c r="F78" s="114"/>
      <c r="G78" s="114"/>
      <c r="H78" s="114"/>
      <c r="I78" s="114"/>
      <c r="J78" s="114"/>
      <c r="K78" s="114"/>
      <c r="L78" s="114"/>
      <c r="M78" s="116"/>
    </row>
    <row r="79" spans="2:13">
      <c r="B79" s="114"/>
      <c r="C79" s="115"/>
      <c r="D79" s="114"/>
      <c r="E79" s="114"/>
      <c r="F79" s="114"/>
      <c r="G79" s="114"/>
      <c r="H79" s="114"/>
      <c r="I79" s="114"/>
      <c r="J79" s="114"/>
      <c r="K79" s="114"/>
      <c r="L79" s="114"/>
      <c r="M79" s="116"/>
    </row>
    <row r="80" spans="2:13"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6"/>
    </row>
    <row r="81" spans="2:13"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6"/>
    </row>
    <row r="82" spans="2:13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7"/>
    </row>
    <row r="83" spans="2:13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7"/>
    </row>
    <row r="84" spans="2:13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7"/>
    </row>
    <row r="85" spans="2:13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7"/>
    </row>
    <row r="86" spans="2:13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7"/>
    </row>
    <row r="87" spans="2:13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7"/>
    </row>
    <row r="88" spans="2:13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7"/>
    </row>
    <row r="89" spans="2:13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7"/>
    </row>
    <row r="90" spans="2:13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7"/>
    </row>
    <row r="91" spans="2:13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7"/>
    </row>
    <row r="92" spans="2:13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7"/>
    </row>
    <row r="93" spans="2:13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7"/>
    </row>
    <row r="94" spans="2:13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7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84" fitToHeight="0" orientation="landscape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M162"/>
  <sheetViews>
    <sheetView view="pageBreakPreview" zoomScaleNormal="60" zoomScaleSheetLayoutView="100" workbookViewId="0">
      <selection activeCell="K17" sqref="K17"/>
    </sheetView>
  </sheetViews>
  <sheetFormatPr defaultRowHeight="12.75"/>
  <cols>
    <col min="1" max="1" width="8" style="53" customWidth="1"/>
    <col min="2" max="2" width="12.28515625" style="50" bestFit="1" customWidth="1"/>
    <col min="3" max="3" width="53" style="50" customWidth="1"/>
    <col min="4" max="4" width="9" style="50" customWidth="1"/>
    <col min="5" max="11" width="9.140625" style="50" customWidth="1"/>
    <col min="12" max="12" width="10.140625" style="50" customWidth="1"/>
    <col min="13" max="13" width="10.140625" style="58" customWidth="1"/>
    <col min="14" max="16384" width="9.140625" style="42"/>
  </cols>
  <sheetData>
    <row r="1" spans="1:13" s="46" customFormat="1" ht="15" customHeight="1">
      <c r="A1" s="176" t="s">
        <v>287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46" customFormat="1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43" customFormat="1" ht="12.75" customHeight="1">
      <c r="A3" s="172" t="s">
        <v>294</v>
      </c>
      <c r="B3" s="173" t="s">
        <v>295</v>
      </c>
      <c r="C3" s="173" t="s">
        <v>296</v>
      </c>
      <c r="D3" s="173" t="s">
        <v>297</v>
      </c>
      <c r="E3" s="172" t="s">
        <v>298</v>
      </c>
      <c r="F3" s="172"/>
      <c r="G3" s="173" t="s">
        <v>299</v>
      </c>
      <c r="H3" s="173"/>
      <c r="I3" s="173" t="s">
        <v>6</v>
      </c>
      <c r="J3" s="173"/>
      <c r="K3" s="172" t="s">
        <v>300</v>
      </c>
      <c r="L3" s="172"/>
      <c r="M3" s="172" t="s">
        <v>4</v>
      </c>
    </row>
    <row r="4" spans="1:13" s="43" customFormat="1" ht="12.75" customHeight="1">
      <c r="A4" s="172"/>
      <c r="B4" s="173"/>
      <c r="C4" s="173"/>
      <c r="D4" s="173"/>
      <c r="E4" s="77" t="s">
        <v>301</v>
      </c>
      <c r="F4" s="77" t="s">
        <v>263</v>
      </c>
      <c r="G4" s="77" t="s">
        <v>301</v>
      </c>
      <c r="H4" s="77" t="s">
        <v>263</v>
      </c>
      <c r="I4" s="77" t="s">
        <v>301</v>
      </c>
      <c r="J4" s="77" t="s">
        <v>263</v>
      </c>
      <c r="K4" s="77" t="s">
        <v>301</v>
      </c>
      <c r="L4" s="77" t="s">
        <v>263</v>
      </c>
      <c r="M4" s="172"/>
    </row>
    <row r="5" spans="1:13" s="43" customFormat="1">
      <c r="A5" s="77">
        <v>1</v>
      </c>
      <c r="B5" s="77">
        <v>2</v>
      </c>
      <c r="C5" s="76">
        <v>3</v>
      </c>
      <c r="D5" s="77">
        <v>4</v>
      </c>
      <c r="E5" s="77">
        <v>5</v>
      </c>
      <c r="F5" s="77">
        <v>6</v>
      </c>
      <c r="G5" s="77">
        <v>7</v>
      </c>
      <c r="H5" s="74">
        <v>8</v>
      </c>
      <c r="I5" s="77">
        <v>9</v>
      </c>
      <c r="J5" s="74">
        <v>10</v>
      </c>
      <c r="K5" s="77">
        <v>11</v>
      </c>
      <c r="L5" s="74">
        <v>12</v>
      </c>
      <c r="M5" s="74">
        <v>13</v>
      </c>
    </row>
    <row r="6" spans="1:13" s="43" customForma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130"/>
    </row>
    <row r="7" spans="1:13" s="43" customFormat="1">
      <c r="A7" s="51"/>
      <c r="B7" s="131"/>
      <c r="C7" s="52" t="s">
        <v>286</v>
      </c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s="43" customFormat="1">
      <c r="A8" s="51"/>
      <c r="B8" s="131"/>
      <c r="C8" s="52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>
      <c r="A9" s="131">
        <v>1.1000000000000001</v>
      </c>
      <c r="B9" s="112" t="s">
        <v>350</v>
      </c>
      <c r="C9" s="133" t="s">
        <v>272</v>
      </c>
      <c r="D9" s="106" t="s">
        <v>99</v>
      </c>
      <c r="E9" s="108"/>
      <c r="F9" s="134">
        <v>20</v>
      </c>
      <c r="G9" s="108"/>
      <c r="H9" s="108"/>
      <c r="I9" s="108"/>
      <c r="J9" s="119"/>
      <c r="K9" s="108"/>
      <c r="L9" s="108"/>
      <c r="M9" s="135"/>
    </row>
    <row r="10" spans="1:13">
      <c r="A10" s="131"/>
      <c r="B10" s="112" t="s">
        <v>351</v>
      </c>
      <c r="C10" s="133"/>
      <c r="D10" s="106" t="s">
        <v>95</v>
      </c>
      <c r="E10" s="108"/>
      <c r="F10" s="136">
        <f>F9/100</f>
        <v>0.2</v>
      </c>
      <c r="G10" s="108"/>
      <c r="H10" s="108"/>
      <c r="I10" s="108"/>
      <c r="J10" s="119"/>
      <c r="K10" s="108"/>
      <c r="L10" s="108"/>
      <c r="M10" s="135"/>
    </row>
    <row r="11" spans="1:13">
      <c r="A11" s="131" t="s">
        <v>0</v>
      </c>
      <c r="B11" s="112" t="s">
        <v>352</v>
      </c>
      <c r="C11" s="120" t="s">
        <v>15</v>
      </c>
      <c r="D11" s="137" t="s">
        <v>1</v>
      </c>
      <c r="E11" s="108">
        <f>0.6*65.5</f>
        <v>39.299999999999997</v>
      </c>
      <c r="F11" s="134">
        <f>F10*E11</f>
        <v>7.8599999999999994</v>
      </c>
      <c r="G11" s="108"/>
      <c r="H11" s="108"/>
      <c r="I11" s="108"/>
      <c r="J11" s="135"/>
      <c r="K11" s="108"/>
      <c r="L11" s="108"/>
      <c r="M11" s="119"/>
    </row>
    <row r="12" spans="1:13">
      <c r="A12" s="131" t="s">
        <v>197</v>
      </c>
      <c r="B12" s="138" t="s">
        <v>353</v>
      </c>
      <c r="C12" s="139" t="s">
        <v>273</v>
      </c>
      <c r="D12" s="140" t="s">
        <v>24</v>
      </c>
      <c r="E12" s="141">
        <v>0</v>
      </c>
      <c r="F12" s="142">
        <f>F10*E12</f>
        <v>0</v>
      </c>
      <c r="G12" s="141"/>
      <c r="H12" s="141"/>
      <c r="I12" s="141"/>
      <c r="J12" s="143"/>
      <c r="K12" s="141"/>
      <c r="L12" s="144"/>
      <c r="M12" s="143"/>
    </row>
    <row r="13" spans="1:13">
      <c r="A13" s="131" t="s">
        <v>198</v>
      </c>
      <c r="B13" s="112" t="s">
        <v>354</v>
      </c>
      <c r="C13" s="133" t="s">
        <v>274</v>
      </c>
      <c r="D13" s="137" t="s">
        <v>24</v>
      </c>
      <c r="E13" s="108">
        <f>0.7*4.29</f>
        <v>3.0029999999999997</v>
      </c>
      <c r="F13" s="134">
        <f>F10*E13</f>
        <v>0.60060000000000002</v>
      </c>
      <c r="G13" s="108"/>
      <c r="H13" s="108"/>
      <c r="I13" s="108"/>
      <c r="J13" s="119"/>
      <c r="K13" s="108"/>
      <c r="L13" s="135"/>
      <c r="M13" s="119"/>
    </row>
    <row r="14" spans="1:13">
      <c r="A14" s="131" t="s">
        <v>199</v>
      </c>
      <c r="B14" s="112" t="s">
        <v>355</v>
      </c>
      <c r="C14" s="145" t="s">
        <v>13</v>
      </c>
      <c r="D14" s="137" t="s">
        <v>25</v>
      </c>
      <c r="E14" s="108">
        <f>0.7*0.44</f>
        <v>0.308</v>
      </c>
      <c r="F14" s="134">
        <f>F10*E14</f>
        <v>6.1600000000000002E-2</v>
      </c>
      <c r="G14" s="108"/>
      <c r="H14" s="108"/>
      <c r="I14" s="108"/>
      <c r="J14" s="119"/>
      <c r="K14" s="108"/>
      <c r="L14" s="135"/>
      <c r="M14" s="119"/>
    </row>
    <row r="15" spans="1:13">
      <c r="A15" s="131" t="s">
        <v>204</v>
      </c>
      <c r="B15" s="112" t="s">
        <v>356</v>
      </c>
      <c r="C15" s="120" t="s">
        <v>14</v>
      </c>
      <c r="D15" s="137" t="s">
        <v>25</v>
      </c>
      <c r="E15" s="108">
        <f>0.5*41.3</f>
        <v>20.65</v>
      </c>
      <c r="F15" s="134">
        <f>F10*E15</f>
        <v>4.13</v>
      </c>
      <c r="G15" s="108"/>
      <c r="H15" s="135"/>
      <c r="I15" s="108"/>
      <c r="J15" s="119"/>
      <c r="K15" s="135"/>
      <c r="L15" s="135"/>
      <c r="M15" s="119"/>
    </row>
    <row r="16" spans="1:13">
      <c r="A16" s="131"/>
      <c r="B16" s="112"/>
      <c r="C16" s="146"/>
      <c r="D16" s="131"/>
      <c r="E16" s="147"/>
      <c r="F16" s="148"/>
      <c r="G16" s="147"/>
      <c r="H16" s="132"/>
      <c r="I16" s="147"/>
      <c r="J16" s="119"/>
      <c r="K16" s="147"/>
      <c r="L16" s="108"/>
      <c r="M16" s="149"/>
    </row>
    <row r="17" spans="1:13" ht="25.5">
      <c r="A17" s="131">
        <v>1.2</v>
      </c>
      <c r="B17" s="81" t="s">
        <v>77</v>
      </c>
      <c r="C17" s="82" t="s">
        <v>76</v>
      </c>
      <c r="D17" s="137" t="s">
        <v>303</v>
      </c>
      <c r="E17" s="135"/>
      <c r="F17" s="135">
        <v>28</v>
      </c>
      <c r="G17" s="135"/>
      <c r="H17" s="135"/>
      <c r="I17" s="135"/>
      <c r="J17" s="135"/>
      <c r="K17" s="135"/>
      <c r="L17" s="135"/>
      <c r="M17" s="135"/>
    </row>
    <row r="18" spans="1:13">
      <c r="A18" s="131"/>
      <c r="B18" s="81"/>
      <c r="C18" s="82"/>
      <c r="D18" s="137" t="s">
        <v>304</v>
      </c>
      <c r="E18" s="135"/>
      <c r="F18" s="150">
        <f>F17/1000</f>
        <v>2.8000000000000001E-2</v>
      </c>
      <c r="G18" s="135"/>
      <c r="H18" s="135"/>
      <c r="I18" s="135"/>
      <c r="J18" s="135"/>
      <c r="K18" s="135"/>
      <c r="L18" s="135"/>
      <c r="M18" s="135"/>
    </row>
    <row r="19" spans="1:13">
      <c r="A19" s="131" t="s">
        <v>21</v>
      </c>
      <c r="B19" s="81"/>
      <c r="C19" s="120" t="s">
        <v>15</v>
      </c>
      <c r="D19" s="137" t="s">
        <v>1</v>
      </c>
      <c r="E19" s="135">
        <v>20</v>
      </c>
      <c r="F19" s="135">
        <f>E19*F18</f>
        <v>0.56000000000000005</v>
      </c>
      <c r="G19" s="135"/>
      <c r="H19" s="135"/>
      <c r="I19" s="108"/>
      <c r="J19" s="135"/>
      <c r="K19" s="135"/>
      <c r="L19" s="135"/>
      <c r="M19" s="135"/>
    </row>
    <row r="20" spans="1:13">
      <c r="A20" s="131" t="s">
        <v>35</v>
      </c>
      <c r="B20" s="81" t="s">
        <v>305</v>
      </c>
      <c r="C20" s="145" t="s">
        <v>306</v>
      </c>
      <c r="D20" s="137" t="s">
        <v>24</v>
      </c>
      <c r="E20" s="135">
        <v>44.8</v>
      </c>
      <c r="F20" s="135">
        <f>E20*F18</f>
        <v>1.2544</v>
      </c>
      <c r="G20" s="135"/>
      <c r="H20" s="135"/>
      <c r="I20" s="135"/>
      <c r="J20" s="135"/>
      <c r="K20" s="135"/>
      <c r="L20" s="135"/>
      <c r="M20" s="135"/>
    </row>
    <row r="21" spans="1:13">
      <c r="A21" s="131" t="s">
        <v>36</v>
      </c>
      <c r="B21" s="81"/>
      <c r="C21" s="145" t="s">
        <v>13</v>
      </c>
      <c r="D21" s="137" t="s">
        <v>25</v>
      </c>
      <c r="E21" s="135">
        <v>2.1</v>
      </c>
      <c r="F21" s="135">
        <f>E21*F18</f>
        <v>5.8800000000000005E-2</v>
      </c>
      <c r="G21" s="135"/>
      <c r="H21" s="135"/>
      <c r="I21" s="135"/>
      <c r="J21" s="135"/>
      <c r="K21" s="108"/>
      <c r="L21" s="135"/>
      <c r="M21" s="135"/>
    </row>
    <row r="22" spans="1:13">
      <c r="A22" s="131" t="s">
        <v>37</v>
      </c>
      <c r="B22" s="81" t="s">
        <v>307</v>
      </c>
      <c r="C22" s="145" t="s">
        <v>308</v>
      </c>
      <c r="D22" s="137" t="s">
        <v>303</v>
      </c>
      <c r="E22" s="135">
        <v>0.05</v>
      </c>
      <c r="F22" s="135">
        <f>E22*F18</f>
        <v>1.4000000000000002E-3</v>
      </c>
      <c r="G22" s="135"/>
      <c r="H22" s="135"/>
      <c r="I22" s="135"/>
      <c r="J22" s="135"/>
      <c r="K22" s="135"/>
      <c r="L22" s="135"/>
      <c r="M22" s="135"/>
    </row>
    <row r="23" spans="1:13">
      <c r="A23" s="131"/>
      <c r="B23" s="151"/>
      <c r="C23" s="152"/>
      <c r="D23" s="131"/>
      <c r="E23" s="131"/>
      <c r="F23" s="132"/>
      <c r="G23" s="153"/>
      <c r="H23" s="132"/>
      <c r="I23" s="153"/>
      <c r="J23" s="153"/>
      <c r="K23" s="153"/>
      <c r="L23" s="132"/>
      <c r="M23" s="132"/>
    </row>
    <row r="24" spans="1:13">
      <c r="A24" s="131">
        <v>1.3</v>
      </c>
      <c r="B24" s="81" t="s">
        <v>357</v>
      </c>
      <c r="C24" s="154" t="s">
        <v>275</v>
      </c>
      <c r="D24" s="137" t="s">
        <v>303</v>
      </c>
      <c r="E24" s="135"/>
      <c r="F24" s="135">
        <v>1</v>
      </c>
      <c r="G24" s="135"/>
      <c r="H24" s="135"/>
      <c r="I24" s="135"/>
      <c r="J24" s="135"/>
      <c r="K24" s="135"/>
      <c r="L24" s="135"/>
      <c r="M24" s="135"/>
    </row>
    <row r="25" spans="1:13">
      <c r="A25" s="131"/>
      <c r="B25" s="81" t="s">
        <v>358</v>
      </c>
      <c r="C25" s="154"/>
      <c r="D25" s="137" t="s">
        <v>320</v>
      </c>
      <c r="E25" s="135"/>
      <c r="F25" s="150">
        <f>F24/100</f>
        <v>0.01</v>
      </c>
      <c r="G25" s="135"/>
      <c r="H25" s="135"/>
      <c r="I25" s="135"/>
      <c r="J25" s="135"/>
      <c r="K25" s="135"/>
      <c r="L25" s="135"/>
      <c r="M25" s="135"/>
    </row>
    <row r="26" spans="1:13">
      <c r="A26" s="131" t="s">
        <v>30</v>
      </c>
      <c r="B26" s="81" t="s">
        <v>359</v>
      </c>
      <c r="C26" s="154" t="s">
        <v>15</v>
      </c>
      <c r="D26" s="137" t="s">
        <v>1</v>
      </c>
      <c r="E26" s="135">
        <f>206*1.2</f>
        <v>247.2</v>
      </c>
      <c r="F26" s="135">
        <f>E26*F25</f>
        <v>2.472</v>
      </c>
      <c r="G26" s="135"/>
      <c r="H26" s="135"/>
      <c r="I26" s="135"/>
      <c r="J26" s="135"/>
      <c r="K26" s="135"/>
      <c r="L26" s="135"/>
      <c r="M26" s="135"/>
    </row>
    <row r="27" spans="1:13">
      <c r="A27" s="131"/>
      <c r="B27" s="151"/>
      <c r="C27" s="152"/>
      <c r="D27" s="131"/>
      <c r="E27" s="131"/>
      <c r="F27" s="132"/>
      <c r="G27" s="153"/>
      <c r="H27" s="153"/>
      <c r="I27" s="153"/>
      <c r="J27" s="132"/>
      <c r="K27" s="153"/>
      <c r="L27" s="153"/>
      <c r="M27" s="132"/>
    </row>
    <row r="28" spans="1:13">
      <c r="A28" s="131">
        <v>1.4</v>
      </c>
      <c r="B28" s="79" t="s">
        <v>360</v>
      </c>
      <c r="C28" s="154" t="s">
        <v>96</v>
      </c>
      <c r="D28" s="137" t="s">
        <v>23</v>
      </c>
      <c r="E28" s="135">
        <v>1.95</v>
      </c>
      <c r="F28" s="135">
        <f>F24*E28</f>
        <v>1.95</v>
      </c>
      <c r="G28" s="135"/>
      <c r="H28" s="135"/>
      <c r="I28" s="135"/>
      <c r="J28" s="135"/>
      <c r="K28" s="135"/>
      <c r="L28" s="135"/>
      <c r="M28" s="135"/>
    </row>
    <row r="29" spans="1:13">
      <c r="A29" s="131" t="s">
        <v>22</v>
      </c>
      <c r="B29" s="80" t="s">
        <v>361</v>
      </c>
      <c r="C29" s="154" t="s">
        <v>15</v>
      </c>
      <c r="D29" s="137" t="s">
        <v>1</v>
      </c>
      <c r="E29" s="135">
        <v>0.53</v>
      </c>
      <c r="F29" s="135">
        <f>E29*F28</f>
        <v>1.0335000000000001</v>
      </c>
      <c r="G29" s="135"/>
      <c r="H29" s="135"/>
      <c r="I29" s="135"/>
      <c r="J29" s="135"/>
      <c r="K29" s="135"/>
      <c r="L29" s="135"/>
      <c r="M29" s="135"/>
    </row>
    <row r="30" spans="1:13">
      <c r="A30" s="131"/>
      <c r="B30" s="151"/>
      <c r="C30" s="152"/>
      <c r="D30" s="131"/>
      <c r="E30" s="131"/>
      <c r="F30" s="132"/>
      <c r="G30" s="153"/>
      <c r="H30" s="153"/>
      <c r="I30" s="153"/>
      <c r="J30" s="132"/>
      <c r="K30" s="153"/>
      <c r="L30" s="153"/>
      <c r="M30" s="132"/>
    </row>
    <row r="31" spans="1:13">
      <c r="A31" s="131">
        <v>1.5</v>
      </c>
      <c r="B31" s="81" t="s">
        <v>309</v>
      </c>
      <c r="C31" s="145" t="s">
        <v>31</v>
      </c>
      <c r="D31" s="137" t="s">
        <v>23</v>
      </c>
      <c r="E31" s="135">
        <v>1.95</v>
      </c>
      <c r="F31" s="135">
        <f>E31*(F17+F24)</f>
        <v>56.55</v>
      </c>
      <c r="G31" s="135"/>
      <c r="H31" s="135"/>
      <c r="I31" s="135"/>
      <c r="J31" s="135"/>
      <c r="K31" s="135"/>
      <c r="L31" s="135"/>
      <c r="M31" s="135"/>
    </row>
    <row r="32" spans="1:13">
      <c r="A32" s="131"/>
      <c r="B32" s="151"/>
      <c r="C32" s="152"/>
      <c r="D32" s="131"/>
      <c r="E32" s="131"/>
      <c r="F32" s="132"/>
      <c r="G32" s="153"/>
      <c r="H32" s="153"/>
      <c r="I32" s="153"/>
      <c r="J32" s="153"/>
      <c r="K32" s="132"/>
      <c r="L32" s="132"/>
      <c r="M32" s="132"/>
    </row>
    <row r="33" spans="1:13">
      <c r="A33" s="131">
        <v>1.6</v>
      </c>
      <c r="B33" s="81" t="s">
        <v>79</v>
      </c>
      <c r="C33" s="145" t="s">
        <v>78</v>
      </c>
      <c r="D33" s="137" t="s">
        <v>303</v>
      </c>
      <c r="E33" s="135"/>
      <c r="F33" s="135">
        <f>F17+F24</f>
        <v>29</v>
      </c>
      <c r="G33" s="135"/>
      <c r="H33" s="135"/>
      <c r="I33" s="135"/>
      <c r="J33" s="135"/>
      <c r="K33" s="135"/>
      <c r="L33" s="135"/>
      <c r="M33" s="135"/>
    </row>
    <row r="34" spans="1:13">
      <c r="A34" s="131"/>
      <c r="B34" s="81"/>
      <c r="C34" s="145"/>
      <c r="D34" s="137" t="s">
        <v>304</v>
      </c>
      <c r="E34" s="135"/>
      <c r="F34" s="150">
        <f>F33/1000</f>
        <v>2.9000000000000001E-2</v>
      </c>
      <c r="G34" s="135"/>
      <c r="H34" s="135"/>
      <c r="I34" s="135"/>
      <c r="J34" s="135"/>
      <c r="K34" s="135"/>
      <c r="L34" s="135"/>
      <c r="M34" s="135"/>
    </row>
    <row r="35" spans="1:13">
      <c r="A35" s="131" t="s">
        <v>60</v>
      </c>
      <c r="B35" s="81"/>
      <c r="C35" s="154" t="s">
        <v>15</v>
      </c>
      <c r="D35" s="137" t="s">
        <v>1</v>
      </c>
      <c r="E35" s="135">
        <v>3.23</v>
      </c>
      <c r="F35" s="135">
        <f>E35*F34</f>
        <v>9.3670000000000003E-2</v>
      </c>
      <c r="G35" s="135"/>
      <c r="H35" s="135"/>
      <c r="I35" s="135"/>
      <c r="J35" s="135"/>
      <c r="K35" s="135"/>
      <c r="L35" s="135"/>
      <c r="M35" s="135"/>
    </row>
    <row r="36" spans="1:13">
      <c r="A36" s="131" t="s">
        <v>61</v>
      </c>
      <c r="B36" s="81" t="s">
        <v>310</v>
      </c>
      <c r="C36" s="154" t="s">
        <v>80</v>
      </c>
      <c r="D36" s="137" t="s">
        <v>24</v>
      </c>
      <c r="E36" s="135">
        <v>3.62</v>
      </c>
      <c r="F36" s="135">
        <f>E36*F34</f>
        <v>0.10498</v>
      </c>
      <c r="G36" s="135"/>
      <c r="H36" s="135"/>
      <c r="I36" s="135"/>
      <c r="J36" s="135"/>
      <c r="K36" s="135"/>
      <c r="L36" s="135"/>
      <c r="M36" s="135"/>
    </row>
    <row r="37" spans="1:13">
      <c r="A37" s="131" t="s">
        <v>218</v>
      </c>
      <c r="B37" s="81"/>
      <c r="C37" s="154" t="s">
        <v>13</v>
      </c>
      <c r="D37" s="137" t="s">
        <v>25</v>
      </c>
      <c r="E37" s="135">
        <v>0.18</v>
      </c>
      <c r="F37" s="135">
        <f>E37*F34</f>
        <v>5.2199999999999998E-3</v>
      </c>
      <c r="G37" s="135"/>
      <c r="H37" s="135"/>
      <c r="I37" s="135"/>
      <c r="J37" s="135"/>
      <c r="K37" s="135"/>
      <c r="L37" s="135"/>
      <c r="M37" s="135"/>
    </row>
    <row r="38" spans="1:13">
      <c r="A38" s="131" t="s">
        <v>219</v>
      </c>
      <c r="B38" s="81" t="s">
        <v>307</v>
      </c>
      <c r="C38" s="145" t="s">
        <v>308</v>
      </c>
      <c r="D38" s="137" t="s">
        <v>303</v>
      </c>
      <c r="E38" s="135">
        <v>0.04</v>
      </c>
      <c r="F38" s="135">
        <f>E38*F34</f>
        <v>1.16E-3</v>
      </c>
      <c r="G38" s="135"/>
      <c r="H38" s="135"/>
      <c r="I38" s="135"/>
      <c r="J38" s="135"/>
      <c r="K38" s="135"/>
      <c r="L38" s="135"/>
      <c r="M38" s="135"/>
    </row>
    <row r="39" spans="1:13">
      <c r="A39" s="131"/>
      <c r="B39" s="151"/>
      <c r="C39" s="152"/>
      <c r="D39" s="131"/>
      <c r="E39" s="131"/>
      <c r="F39" s="132"/>
      <c r="G39" s="153"/>
      <c r="H39" s="132"/>
      <c r="I39" s="153"/>
      <c r="J39" s="153"/>
      <c r="K39" s="153"/>
      <c r="L39" s="132"/>
      <c r="M39" s="132"/>
    </row>
    <row r="40" spans="1:13">
      <c r="A40" s="131">
        <v>1.7</v>
      </c>
      <c r="B40" s="81" t="s">
        <v>362</v>
      </c>
      <c r="C40" s="155" t="s">
        <v>253</v>
      </c>
      <c r="D40" s="137" t="s">
        <v>303</v>
      </c>
      <c r="E40" s="135"/>
      <c r="F40" s="135">
        <v>4</v>
      </c>
      <c r="G40" s="135"/>
      <c r="H40" s="135"/>
      <c r="I40" s="135"/>
      <c r="J40" s="135"/>
      <c r="K40" s="135"/>
      <c r="L40" s="135"/>
      <c r="M40" s="135"/>
    </row>
    <row r="41" spans="1:13">
      <c r="A41" s="131"/>
      <c r="B41" s="81"/>
      <c r="C41" s="82"/>
      <c r="D41" s="137" t="s">
        <v>363</v>
      </c>
      <c r="E41" s="135"/>
      <c r="F41" s="135">
        <f>F40</f>
        <v>4</v>
      </c>
      <c r="G41" s="135"/>
      <c r="H41" s="135"/>
      <c r="I41" s="135"/>
      <c r="J41" s="135"/>
      <c r="K41" s="135"/>
      <c r="L41" s="135"/>
      <c r="M41" s="135"/>
    </row>
    <row r="42" spans="1:13">
      <c r="A42" s="131" t="s">
        <v>62</v>
      </c>
      <c r="B42" s="81"/>
      <c r="C42" s="82" t="s">
        <v>15</v>
      </c>
      <c r="D42" s="137" t="s">
        <v>1</v>
      </c>
      <c r="E42" s="135">
        <v>0.89</v>
      </c>
      <c r="F42" s="135">
        <f>E42*F41</f>
        <v>3.56</v>
      </c>
      <c r="G42" s="135"/>
      <c r="H42" s="135"/>
      <c r="I42" s="135"/>
      <c r="J42" s="135"/>
      <c r="K42" s="135"/>
      <c r="L42" s="135"/>
      <c r="M42" s="135"/>
    </row>
    <row r="43" spans="1:13">
      <c r="A43" s="131" t="s">
        <v>63</v>
      </c>
      <c r="B43" s="81" t="s">
        <v>346</v>
      </c>
      <c r="C43" s="82" t="s">
        <v>97</v>
      </c>
      <c r="D43" s="137" t="s">
        <v>303</v>
      </c>
      <c r="E43" s="135">
        <v>1.1499999999999999</v>
      </c>
      <c r="F43" s="135">
        <f>E43*F41</f>
        <v>4.5999999999999996</v>
      </c>
      <c r="G43" s="135"/>
      <c r="H43" s="135"/>
      <c r="I43" s="135"/>
      <c r="J43" s="135"/>
      <c r="K43" s="135"/>
      <c r="L43" s="135"/>
      <c r="M43" s="135"/>
    </row>
    <row r="44" spans="1:13">
      <c r="A44" s="131" t="s">
        <v>206</v>
      </c>
      <c r="B44" s="81"/>
      <c r="C44" s="154" t="s">
        <v>13</v>
      </c>
      <c r="D44" s="137" t="s">
        <v>25</v>
      </c>
      <c r="E44" s="135">
        <v>0.37</v>
      </c>
      <c r="F44" s="135">
        <f>E44*F41</f>
        <v>1.48</v>
      </c>
      <c r="G44" s="135"/>
      <c r="H44" s="135"/>
      <c r="I44" s="135"/>
      <c r="J44" s="135"/>
      <c r="K44" s="135"/>
      <c r="L44" s="135"/>
      <c r="M44" s="135"/>
    </row>
    <row r="45" spans="1:13">
      <c r="A45" s="131" t="s">
        <v>207</v>
      </c>
      <c r="B45" s="83"/>
      <c r="C45" s="82" t="s">
        <v>14</v>
      </c>
      <c r="D45" s="137" t="s">
        <v>25</v>
      </c>
      <c r="E45" s="135">
        <v>0.02</v>
      </c>
      <c r="F45" s="135">
        <f>E45*F41</f>
        <v>0.08</v>
      </c>
      <c r="G45" s="135"/>
      <c r="H45" s="135"/>
      <c r="I45" s="135"/>
      <c r="J45" s="135"/>
      <c r="K45" s="135"/>
      <c r="L45" s="135"/>
      <c r="M45" s="135"/>
    </row>
    <row r="46" spans="1:13">
      <c r="A46" s="131"/>
      <c r="B46" s="151"/>
      <c r="C46" s="152"/>
      <c r="D46" s="131"/>
      <c r="E46" s="131"/>
      <c r="F46" s="132"/>
      <c r="G46" s="153"/>
      <c r="H46" s="132"/>
      <c r="I46" s="153"/>
      <c r="J46" s="153"/>
      <c r="K46" s="153"/>
      <c r="L46" s="132"/>
      <c r="M46" s="132"/>
    </row>
    <row r="47" spans="1:13">
      <c r="A47" s="131">
        <v>1.8</v>
      </c>
      <c r="B47" s="81" t="s">
        <v>364</v>
      </c>
      <c r="C47" s="145" t="s">
        <v>254</v>
      </c>
      <c r="D47" s="137" t="s">
        <v>303</v>
      </c>
      <c r="E47" s="135"/>
      <c r="F47" s="135">
        <v>2</v>
      </c>
      <c r="G47" s="135"/>
      <c r="H47" s="135"/>
      <c r="I47" s="135"/>
      <c r="J47" s="135"/>
      <c r="K47" s="135"/>
      <c r="L47" s="135"/>
      <c r="M47" s="135"/>
    </row>
    <row r="48" spans="1:13">
      <c r="A48" s="131"/>
      <c r="B48" s="81"/>
      <c r="C48" s="145"/>
      <c r="D48" s="137" t="s">
        <v>320</v>
      </c>
      <c r="E48" s="135"/>
      <c r="F48" s="150">
        <f>F47/100</f>
        <v>0.02</v>
      </c>
      <c r="G48" s="135"/>
      <c r="H48" s="135"/>
      <c r="I48" s="135"/>
      <c r="J48" s="135"/>
      <c r="K48" s="135"/>
      <c r="L48" s="135"/>
      <c r="M48" s="135"/>
    </row>
    <row r="49" spans="1:13">
      <c r="A49" s="131" t="s">
        <v>64</v>
      </c>
      <c r="B49" s="81"/>
      <c r="C49" s="145" t="s">
        <v>15</v>
      </c>
      <c r="D49" s="137" t="s">
        <v>1</v>
      </c>
      <c r="E49" s="135">
        <v>137</v>
      </c>
      <c r="F49" s="86">
        <f>E49*F48</f>
        <v>2.74</v>
      </c>
      <c r="G49" s="135"/>
      <c r="H49" s="135"/>
      <c r="I49" s="135"/>
      <c r="J49" s="135"/>
      <c r="K49" s="135"/>
      <c r="L49" s="135"/>
      <c r="M49" s="135"/>
    </row>
    <row r="50" spans="1:13">
      <c r="A50" s="131" t="s">
        <v>65</v>
      </c>
      <c r="B50" s="81"/>
      <c r="C50" s="145" t="s">
        <v>13</v>
      </c>
      <c r="D50" s="137" t="s">
        <v>25</v>
      </c>
      <c r="E50" s="135">
        <v>28.3</v>
      </c>
      <c r="F50" s="86">
        <f>E50*F48</f>
        <v>0.56600000000000006</v>
      </c>
      <c r="G50" s="135"/>
      <c r="H50" s="135"/>
      <c r="I50" s="135"/>
      <c r="J50" s="135"/>
      <c r="K50" s="135"/>
      <c r="L50" s="135"/>
      <c r="M50" s="135"/>
    </row>
    <row r="51" spans="1:13">
      <c r="A51" s="131" t="s">
        <v>220</v>
      </c>
      <c r="B51" s="81" t="s">
        <v>365</v>
      </c>
      <c r="C51" s="82" t="s">
        <v>366</v>
      </c>
      <c r="D51" s="137" t="s">
        <v>303</v>
      </c>
      <c r="E51" s="135">
        <v>102</v>
      </c>
      <c r="F51" s="86">
        <f>E51*F48</f>
        <v>2.04</v>
      </c>
      <c r="G51" s="135"/>
      <c r="H51" s="135"/>
      <c r="I51" s="135"/>
      <c r="J51" s="135"/>
      <c r="K51" s="135"/>
      <c r="L51" s="135"/>
      <c r="M51" s="135"/>
    </row>
    <row r="52" spans="1:13">
      <c r="A52" s="131" t="s">
        <v>221</v>
      </c>
      <c r="B52" s="81"/>
      <c r="C52" s="145" t="s">
        <v>14</v>
      </c>
      <c r="D52" s="137" t="s">
        <v>25</v>
      </c>
      <c r="E52" s="135">
        <v>62</v>
      </c>
      <c r="F52" s="86">
        <f>E52*F48</f>
        <v>1.24</v>
      </c>
      <c r="G52" s="135"/>
      <c r="H52" s="135"/>
      <c r="I52" s="135"/>
      <c r="J52" s="135"/>
      <c r="K52" s="135"/>
      <c r="L52" s="135"/>
      <c r="M52" s="135"/>
    </row>
    <row r="53" spans="1:13">
      <c r="A53" s="131"/>
      <c r="B53" s="151"/>
      <c r="C53" s="152"/>
      <c r="D53" s="131"/>
      <c r="E53" s="131"/>
      <c r="F53" s="132"/>
      <c r="G53" s="153"/>
      <c r="H53" s="132"/>
      <c r="I53" s="153"/>
      <c r="J53" s="153"/>
      <c r="K53" s="153"/>
      <c r="L53" s="153"/>
      <c r="M53" s="132"/>
    </row>
    <row r="54" spans="1:13">
      <c r="A54" s="131">
        <v>1.9</v>
      </c>
      <c r="B54" s="83" t="s">
        <v>367</v>
      </c>
      <c r="C54" s="82" t="s">
        <v>368</v>
      </c>
      <c r="D54" s="137" t="s">
        <v>303</v>
      </c>
      <c r="E54" s="135"/>
      <c r="F54" s="135">
        <v>15</v>
      </c>
      <c r="G54" s="135"/>
      <c r="H54" s="135"/>
      <c r="I54" s="135"/>
      <c r="J54" s="135"/>
      <c r="K54" s="135"/>
      <c r="L54" s="135"/>
      <c r="M54" s="135"/>
    </row>
    <row r="55" spans="1:13">
      <c r="A55" s="131"/>
      <c r="B55" s="83"/>
      <c r="C55" s="82"/>
      <c r="D55" s="137" t="s">
        <v>320</v>
      </c>
      <c r="E55" s="135"/>
      <c r="F55" s="150">
        <f>F54/100</f>
        <v>0.15</v>
      </c>
      <c r="G55" s="135"/>
      <c r="H55" s="135"/>
      <c r="I55" s="135"/>
      <c r="J55" s="135"/>
      <c r="K55" s="135"/>
      <c r="L55" s="135"/>
      <c r="M55" s="135"/>
    </row>
    <row r="56" spans="1:13">
      <c r="A56" s="131" t="s">
        <v>66</v>
      </c>
      <c r="B56" s="83"/>
      <c r="C56" s="82" t="s">
        <v>40</v>
      </c>
      <c r="D56" s="137" t="s">
        <v>1</v>
      </c>
      <c r="E56" s="135">
        <v>599</v>
      </c>
      <c r="F56" s="135">
        <f>E56*F55</f>
        <v>89.85</v>
      </c>
      <c r="G56" s="135"/>
      <c r="H56" s="135"/>
      <c r="I56" s="135"/>
      <c r="J56" s="135"/>
      <c r="K56" s="135"/>
      <c r="L56" s="135"/>
      <c r="M56" s="135"/>
    </row>
    <row r="57" spans="1:13">
      <c r="A57" s="131" t="s">
        <v>67</v>
      </c>
      <c r="B57" s="83"/>
      <c r="C57" s="156" t="s">
        <v>131</v>
      </c>
      <c r="D57" s="140" t="s">
        <v>24</v>
      </c>
      <c r="E57" s="144">
        <v>0</v>
      </c>
      <c r="F57" s="144">
        <f>E57*F55</f>
        <v>0</v>
      </c>
      <c r="G57" s="144"/>
      <c r="H57" s="144"/>
      <c r="I57" s="144"/>
      <c r="J57" s="144"/>
      <c r="K57" s="144"/>
      <c r="L57" s="144"/>
      <c r="M57" s="144"/>
    </row>
    <row r="58" spans="1:13">
      <c r="A58" s="131" t="s">
        <v>223</v>
      </c>
      <c r="B58" s="83"/>
      <c r="C58" s="82" t="s">
        <v>369</v>
      </c>
      <c r="D58" s="137" t="s">
        <v>25</v>
      </c>
      <c r="E58" s="135">
        <v>109</v>
      </c>
      <c r="F58" s="135">
        <f>E58*F55</f>
        <v>16.349999999999998</v>
      </c>
      <c r="G58" s="135"/>
      <c r="H58" s="135"/>
      <c r="I58" s="135"/>
      <c r="J58" s="135"/>
      <c r="K58" s="135"/>
      <c r="L58" s="135"/>
      <c r="M58" s="135"/>
    </row>
    <row r="59" spans="1:13">
      <c r="A59" s="131" t="s">
        <v>224</v>
      </c>
      <c r="B59" s="83" t="s">
        <v>370</v>
      </c>
      <c r="C59" s="82" t="s">
        <v>185</v>
      </c>
      <c r="D59" s="137" t="s">
        <v>303</v>
      </c>
      <c r="E59" s="135">
        <v>101.5</v>
      </c>
      <c r="F59" s="135">
        <f>E59*F55</f>
        <v>15.225</v>
      </c>
      <c r="G59" s="135"/>
      <c r="H59" s="135"/>
      <c r="I59" s="135"/>
      <c r="J59" s="135"/>
      <c r="K59" s="135"/>
      <c r="L59" s="135"/>
      <c r="M59" s="135"/>
    </row>
    <row r="60" spans="1:13">
      <c r="A60" s="131" t="s">
        <v>225</v>
      </c>
      <c r="B60" s="83" t="s">
        <v>371</v>
      </c>
      <c r="C60" s="82" t="s">
        <v>134</v>
      </c>
      <c r="D60" s="137" t="s">
        <v>23</v>
      </c>
      <c r="E60" s="119" t="s">
        <v>94</v>
      </c>
      <c r="F60" s="150">
        <v>0.98</v>
      </c>
      <c r="G60" s="135"/>
      <c r="H60" s="135"/>
      <c r="I60" s="135"/>
      <c r="J60" s="135"/>
      <c r="K60" s="119"/>
      <c r="L60" s="135"/>
      <c r="M60" s="135"/>
    </row>
    <row r="61" spans="1:13">
      <c r="A61" s="131" t="s">
        <v>226</v>
      </c>
      <c r="B61" s="83"/>
      <c r="C61" s="156" t="s">
        <v>129</v>
      </c>
      <c r="D61" s="140" t="s">
        <v>303</v>
      </c>
      <c r="E61" s="144">
        <v>0</v>
      </c>
      <c r="F61" s="144">
        <f>E61*F55</f>
        <v>0</v>
      </c>
      <c r="G61" s="144"/>
      <c r="H61" s="144"/>
      <c r="I61" s="144"/>
      <c r="J61" s="144"/>
      <c r="K61" s="144"/>
      <c r="L61" s="144"/>
      <c r="M61" s="144"/>
    </row>
    <row r="62" spans="1:13">
      <c r="A62" s="131" t="s">
        <v>235</v>
      </c>
      <c r="B62" s="83"/>
      <c r="C62" s="156" t="s">
        <v>132</v>
      </c>
      <c r="D62" s="140" t="s">
        <v>303</v>
      </c>
      <c r="E62" s="144">
        <v>0</v>
      </c>
      <c r="F62" s="144">
        <f>E62*F55</f>
        <v>0</v>
      </c>
      <c r="G62" s="144"/>
      <c r="H62" s="144"/>
      <c r="I62" s="144"/>
      <c r="J62" s="144"/>
      <c r="K62" s="144"/>
      <c r="L62" s="144"/>
      <c r="M62" s="144"/>
    </row>
    <row r="63" spans="1:13">
      <c r="A63" s="131" t="s">
        <v>276</v>
      </c>
      <c r="B63" s="83" t="s">
        <v>372</v>
      </c>
      <c r="C63" s="82" t="s">
        <v>373</v>
      </c>
      <c r="D63" s="137" t="s">
        <v>314</v>
      </c>
      <c r="E63" s="135">
        <v>118</v>
      </c>
      <c r="F63" s="135">
        <f>E63*F55</f>
        <v>17.7</v>
      </c>
      <c r="G63" s="135"/>
      <c r="H63" s="135"/>
      <c r="I63" s="135"/>
      <c r="J63" s="135"/>
      <c r="K63" s="135"/>
      <c r="L63" s="135"/>
      <c r="M63" s="135"/>
    </row>
    <row r="64" spans="1:13">
      <c r="A64" s="131" t="s">
        <v>277</v>
      </c>
      <c r="B64" s="83" t="s">
        <v>374</v>
      </c>
      <c r="C64" s="82" t="s">
        <v>375</v>
      </c>
      <c r="D64" s="137" t="s">
        <v>303</v>
      </c>
      <c r="E64" s="135">
        <f>0.21+2.78</f>
        <v>2.9899999999999998</v>
      </c>
      <c r="F64" s="135">
        <f>E64*F55</f>
        <v>0.44849999999999995</v>
      </c>
      <c r="G64" s="135"/>
      <c r="H64" s="135"/>
      <c r="I64" s="135"/>
      <c r="J64" s="135"/>
      <c r="K64" s="135"/>
      <c r="L64" s="135"/>
      <c r="M64" s="135"/>
    </row>
    <row r="65" spans="1:13">
      <c r="A65" s="131" t="s">
        <v>381</v>
      </c>
      <c r="B65" s="83" t="s">
        <v>376</v>
      </c>
      <c r="C65" s="82" t="s">
        <v>377</v>
      </c>
      <c r="D65" s="137" t="s">
        <v>378</v>
      </c>
      <c r="E65" s="135">
        <v>110</v>
      </c>
      <c r="F65" s="135">
        <f>E65*F55</f>
        <v>16.5</v>
      </c>
      <c r="G65" s="135"/>
      <c r="H65" s="135"/>
      <c r="I65" s="135"/>
      <c r="J65" s="135"/>
      <c r="K65" s="135"/>
      <c r="L65" s="135"/>
      <c r="M65" s="135"/>
    </row>
    <row r="66" spans="1:13">
      <c r="A66" s="131" t="s">
        <v>382</v>
      </c>
      <c r="B66" s="83" t="s">
        <v>379</v>
      </c>
      <c r="C66" s="82" t="s">
        <v>380</v>
      </c>
      <c r="D66" s="137" t="s">
        <v>378</v>
      </c>
      <c r="E66" s="135">
        <v>140</v>
      </c>
      <c r="F66" s="135">
        <f>E66*F55</f>
        <v>21</v>
      </c>
      <c r="G66" s="135"/>
      <c r="H66" s="135"/>
      <c r="I66" s="135"/>
      <c r="J66" s="135"/>
      <c r="K66" s="135"/>
      <c r="L66" s="135"/>
      <c r="M66" s="135"/>
    </row>
    <row r="67" spans="1:13">
      <c r="A67" s="131" t="s">
        <v>383</v>
      </c>
      <c r="B67" s="83"/>
      <c r="C67" s="82" t="s">
        <v>103</v>
      </c>
      <c r="D67" s="137" t="s">
        <v>25</v>
      </c>
      <c r="E67" s="135">
        <v>32</v>
      </c>
      <c r="F67" s="135">
        <f>E67*F55</f>
        <v>4.8</v>
      </c>
      <c r="G67" s="135"/>
      <c r="H67" s="135"/>
      <c r="I67" s="135"/>
      <c r="J67" s="135"/>
      <c r="K67" s="135"/>
      <c r="L67" s="135"/>
      <c r="M67" s="135"/>
    </row>
    <row r="68" spans="1:13">
      <c r="A68" s="131"/>
      <c r="B68" s="151"/>
      <c r="C68" s="152"/>
      <c r="D68" s="131"/>
      <c r="E68" s="131"/>
      <c r="F68" s="132"/>
      <c r="G68" s="153"/>
      <c r="H68" s="132"/>
      <c r="I68" s="131"/>
      <c r="J68" s="131"/>
      <c r="K68" s="131"/>
      <c r="L68" s="132"/>
      <c r="M68" s="132"/>
    </row>
    <row r="69" spans="1:13">
      <c r="A69" s="132">
        <v>1.1000000000000001</v>
      </c>
      <c r="B69" s="83" t="s">
        <v>384</v>
      </c>
      <c r="C69" s="82" t="s">
        <v>385</v>
      </c>
      <c r="D69" s="137" t="s">
        <v>99</v>
      </c>
      <c r="E69" s="135"/>
      <c r="F69" s="135">
        <v>4</v>
      </c>
      <c r="G69" s="135"/>
      <c r="H69" s="135"/>
      <c r="I69" s="135"/>
      <c r="J69" s="135"/>
      <c r="K69" s="135"/>
      <c r="L69" s="135"/>
      <c r="M69" s="135"/>
    </row>
    <row r="70" spans="1:13">
      <c r="A70" s="132"/>
      <c r="B70" s="83"/>
      <c r="C70" s="82"/>
      <c r="D70" s="137" t="s">
        <v>95</v>
      </c>
      <c r="E70" s="135"/>
      <c r="F70" s="150">
        <f>F69/100</f>
        <v>0.04</v>
      </c>
      <c r="G70" s="135"/>
      <c r="H70" s="135"/>
      <c r="I70" s="135"/>
      <c r="J70" s="135"/>
      <c r="K70" s="135"/>
      <c r="L70" s="135"/>
      <c r="M70" s="135"/>
    </row>
    <row r="71" spans="1:13">
      <c r="A71" s="131" t="s">
        <v>68</v>
      </c>
      <c r="B71" s="83"/>
      <c r="C71" s="82" t="s">
        <v>40</v>
      </c>
      <c r="D71" s="137" t="s">
        <v>1</v>
      </c>
      <c r="E71" s="135">
        <v>33.1</v>
      </c>
      <c r="F71" s="135">
        <f>E71*F70</f>
        <v>1.3240000000000001</v>
      </c>
      <c r="G71" s="135"/>
      <c r="H71" s="135"/>
      <c r="I71" s="135"/>
      <c r="J71" s="135"/>
      <c r="K71" s="135"/>
      <c r="L71" s="135"/>
      <c r="M71" s="135"/>
    </row>
    <row r="72" spans="1:13">
      <c r="A72" s="131" t="s">
        <v>69</v>
      </c>
      <c r="B72" s="83"/>
      <c r="C72" s="82" t="s">
        <v>13</v>
      </c>
      <c r="D72" s="137" t="s">
        <v>25</v>
      </c>
      <c r="E72" s="135">
        <v>0.47</v>
      </c>
      <c r="F72" s="135">
        <f>E72*F70</f>
        <v>1.8800000000000001E-2</v>
      </c>
      <c r="G72" s="135"/>
      <c r="H72" s="135"/>
      <c r="I72" s="135"/>
      <c r="J72" s="135"/>
      <c r="K72" s="135"/>
      <c r="L72" s="135"/>
      <c r="M72" s="135"/>
    </row>
    <row r="73" spans="1:13">
      <c r="A73" s="131" t="s">
        <v>227</v>
      </c>
      <c r="B73" s="83" t="s">
        <v>386</v>
      </c>
      <c r="C73" s="124" t="s">
        <v>387</v>
      </c>
      <c r="D73" s="137" t="s">
        <v>99</v>
      </c>
      <c r="E73" s="135" t="s">
        <v>388</v>
      </c>
      <c r="F73" s="135">
        <f>F69</f>
        <v>4</v>
      </c>
      <c r="G73" s="135"/>
      <c r="H73" s="135"/>
      <c r="I73" s="135"/>
      <c r="J73" s="135"/>
      <c r="K73" s="135"/>
      <c r="L73" s="135"/>
      <c r="M73" s="135"/>
    </row>
    <row r="74" spans="1:13">
      <c r="A74" s="131" t="s">
        <v>228</v>
      </c>
      <c r="B74" s="83"/>
      <c r="C74" s="82" t="s">
        <v>103</v>
      </c>
      <c r="D74" s="137" t="s">
        <v>25</v>
      </c>
      <c r="E74" s="135">
        <v>10.9</v>
      </c>
      <c r="F74" s="135">
        <f>E74*F70</f>
        <v>0.436</v>
      </c>
      <c r="G74" s="135"/>
      <c r="H74" s="135"/>
      <c r="I74" s="135"/>
      <c r="J74" s="135"/>
      <c r="K74" s="135"/>
      <c r="L74" s="135"/>
      <c r="M74" s="135"/>
    </row>
    <row r="75" spans="1:13">
      <c r="A75" s="131"/>
      <c r="B75" s="151"/>
      <c r="C75" s="152"/>
      <c r="D75" s="131"/>
      <c r="E75" s="131"/>
      <c r="F75" s="132"/>
      <c r="G75" s="153"/>
      <c r="H75" s="132"/>
      <c r="I75" s="131"/>
      <c r="J75" s="131"/>
      <c r="K75" s="131"/>
      <c r="L75" s="132"/>
      <c r="M75" s="132"/>
    </row>
    <row r="76" spans="1:13">
      <c r="A76" s="132">
        <v>1.1100000000000001</v>
      </c>
      <c r="B76" s="81" t="s">
        <v>389</v>
      </c>
      <c r="C76" s="154" t="s">
        <v>278</v>
      </c>
      <c r="D76" s="137" t="s">
        <v>303</v>
      </c>
      <c r="E76" s="135"/>
      <c r="F76" s="135">
        <v>8</v>
      </c>
      <c r="G76" s="135"/>
      <c r="H76" s="135"/>
      <c r="I76" s="135"/>
      <c r="J76" s="135"/>
      <c r="K76" s="135"/>
      <c r="L76" s="135"/>
      <c r="M76" s="135"/>
    </row>
    <row r="77" spans="1:13">
      <c r="A77" s="132"/>
      <c r="B77" s="81"/>
      <c r="C77" s="82"/>
      <c r="D77" s="137" t="s">
        <v>304</v>
      </c>
      <c r="E77" s="135"/>
      <c r="F77" s="150">
        <f>F76/1000</f>
        <v>8.0000000000000002E-3</v>
      </c>
      <c r="G77" s="135"/>
      <c r="H77" s="135"/>
      <c r="I77" s="135"/>
      <c r="J77" s="135"/>
      <c r="K77" s="135"/>
      <c r="L77" s="135"/>
      <c r="M77" s="135"/>
    </row>
    <row r="78" spans="1:13">
      <c r="A78" s="131" t="s">
        <v>70</v>
      </c>
      <c r="B78" s="81" t="s">
        <v>312</v>
      </c>
      <c r="C78" s="82" t="s">
        <v>313</v>
      </c>
      <c r="D78" s="137" t="s">
        <v>24</v>
      </c>
      <c r="E78" s="135">
        <f>5.13+(4*2.04)</f>
        <v>13.29</v>
      </c>
      <c r="F78" s="135">
        <f>E78*F77</f>
        <v>0.10632</v>
      </c>
      <c r="G78" s="135"/>
      <c r="H78" s="135"/>
      <c r="I78" s="135"/>
      <c r="J78" s="135"/>
      <c r="K78" s="135"/>
      <c r="L78" s="135"/>
      <c r="M78" s="135"/>
    </row>
    <row r="79" spans="1:13">
      <c r="A79" s="131" t="s">
        <v>211</v>
      </c>
      <c r="B79" s="81" t="s">
        <v>390</v>
      </c>
      <c r="C79" s="82" t="s">
        <v>279</v>
      </c>
      <c r="D79" s="137" t="s">
        <v>303</v>
      </c>
      <c r="E79" s="135">
        <v>1010</v>
      </c>
      <c r="F79" s="135">
        <f>E79*F77</f>
        <v>8.08</v>
      </c>
      <c r="G79" s="135"/>
      <c r="H79" s="135"/>
      <c r="I79" s="135"/>
      <c r="J79" s="135"/>
      <c r="K79" s="135"/>
      <c r="L79" s="135"/>
      <c r="M79" s="135"/>
    </row>
    <row r="80" spans="1:13">
      <c r="A80" s="131"/>
      <c r="B80" s="151"/>
      <c r="C80" s="152"/>
      <c r="D80" s="131"/>
      <c r="E80" s="131"/>
      <c r="F80" s="132"/>
      <c r="G80" s="153"/>
      <c r="H80" s="153"/>
      <c r="I80" s="131"/>
      <c r="J80" s="131"/>
      <c r="K80" s="131"/>
      <c r="L80" s="153"/>
      <c r="M80" s="153"/>
    </row>
    <row r="81" spans="1:13">
      <c r="A81" s="131">
        <v>1.1200000000000001</v>
      </c>
      <c r="B81" s="81" t="s">
        <v>391</v>
      </c>
      <c r="C81" s="154" t="s">
        <v>280</v>
      </c>
      <c r="D81" s="137" t="s">
        <v>303</v>
      </c>
      <c r="E81" s="135"/>
      <c r="F81" s="135">
        <v>5</v>
      </c>
      <c r="G81" s="135"/>
      <c r="H81" s="135"/>
      <c r="I81" s="135"/>
      <c r="J81" s="135"/>
      <c r="K81" s="135"/>
      <c r="L81" s="135"/>
      <c r="M81" s="135"/>
    </row>
    <row r="82" spans="1:13">
      <c r="A82" s="131"/>
      <c r="B82" s="81"/>
      <c r="C82" s="82"/>
      <c r="D82" s="137" t="s">
        <v>363</v>
      </c>
      <c r="E82" s="135"/>
      <c r="F82" s="150">
        <f>F81</f>
        <v>5</v>
      </c>
      <c r="G82" s="135"/>
      <c r="H82" s="135"/>
      <c r="I82" s="135"/>
      <c r="J82" s="135"/>
      <c r="K82" s="135"/>
      <c r="L82" s="135"/>
      <c r="M82" s="135"/>
    </row>
    <row r="83" spans="1:13">
      <c r="A83" s="131" t="s">
        <v>229</v>
      </c>
      <c r="B83" s="81"/>
      <c r="C83" s="120" t="s">
        <v>15</v>
      </c>
      <c r="D83" s="137" t="s">
        <v>1</v>
      </c>
      <c r="E83" s="108">
        <v>6.5</v>
      </c>
      <c r="F83" s="134">
        <f>F82*E83</f>
        <v>32.5</v>
      </c>
      <c r="G83" s="157"/>
      <c r="H83" s="108"/>
      <c r="I83" s="108"/>
      <c r="J83" s="108"/>
      <c r="K83" s="157"/>
      <c r="L83" s="108"/>
      <c r="M83" s="135"/>
    </row>
    <row r="84" spans="1:13">
      <c r="A84" s="131"/>
      <c r="B84" s="83"/>
      <c r="C84" s="82" t="s">
        <v>13</v>
      </c>
      <c r="D84" s="137" t="s">
        <v>25</v>
      </c>
      <c r="E84" s="135">
        <v>2.16</v>
      </c>
      <c r="F84" s="135">
        <f>E84*F82</f>
        <v>10.8</v>
      </c>
      <c r="G84" s="135"/>
      <c r="H84" s="135"/>
      <c r="I84" s="135"/>
      <c r="J84" s="135"/>
      <c r="K84" s="135"/>
      <c r="L84" s="135"/>
      <c r="M84" s="135"/>
    </row>
    <row r="85" spans="1:13">
      <c r="A85" s="131" t="s">
        <v>230</v>
      </c>
      <c r="B85" s="81" t="s">
        <v>392</v>
      </c>
      <c r="C85" s="145" t="s">
        <v>281</v>
      </c>
      <c r="D85" s="137" t="s">
        <v>303</v>
      </c>
      <c r="E85" s="135">
        <v>1.1499999999999999</v>
      </c>
      <c r="F85" s="134">
        <f>F82*E85</f>
        <v>5.75</v>
      </c>
      <c r="G85" s="135"/>
      <c r="H85" s="135"/>
      <c r="I85" s="135"/>
      <c r="J85" s="135"/>
      <c r="K85" s="135"/>
      <c r="L85" s="135"/>
      <c r="M85" s="135"/>
    </row>
    <row r="86" spans="1:13">
      <c r="A86" s="131"/>
      <c r="B86" s="83"/>
      <c r="C86" s="82" t="s">
        <v>103</v>
      </c>
      <c r="D86" s="137" t="s">
        <v>25</v>
      </c>
      <c r="E86" s="135">
        <v>0.02</v>
      </c>
      <c r="F86" s="135">
        <f>E86*F82</f>
        <v>0.1</v>
      </c>
      <c r="G86" s="135"/>
      <c r="H86" s="135"/>
      <c r="I86" s="135"/>
      <c r="J86" s="135"/>
      <c r="K86" s="135"/>
      <c r="L86" s="135"/>
      <c r="M86" s="135"/>
    </row>
    <row r="87" spans="1:13">
      <c r="A87" s="131"/>
      <c r="B87" s="151"/>
      <c r="C87" s="152"/>
      <c r="D87" s="131"/>
      <c r="E87" s="131"/>
      <c r="F87" s="148"/>
      <c r="G87" s="153"/>
      <c r="H87" s="153"/>
      <c r="I87" s="131"/>
      <c r="J87" s="131"/>
      <c r="K87" s="131"/>
      <c r="L87" s="153"/>
      <c r="M87" s="153"/>
    </row>
    <row r="88" spans="1:13">
      <c r="A88" s="131">
        <v>1.1299999999999999</v>
      </c>
      <c r="B88" s="81" t="s">
        <v>192</v>
      </c>
      <c r="C88" s="145" t="s">
        <v>255</v>
      </c>
      <c r="D88" s="137" t="s">
        <v>303</v>
      </c>
      <c r="E88" s="135"/>
      <c r="F88" s="135">
        <v>33</v>
      </c>
      <c r="G88" s="135"/>
      <c r="H88" s="135"/>
      <c r="I88" s="135"/>
      <c r="J88" s="135"/>
      <c r="K88" s="135"/>
      <c r="L88" s="135"/>
      <c r="M88" s="135"/>
    </row>
    <row r="89" spans="1:13">
      <c r="A89" s="131"/>
      <c r="B89" s="81"/>
      <c r="C89" s="145"/>
      <c r="D89" s="137" t="s">
        <v>304</v>
      </c>
      <c r="E89" s="135"/>
      <c r="F89" s="150">
        <f>F88/1000</f>
        <v>3.3000000000000002E-2</v>
      </c>
      <c r="G89" s="135"/>
      <c r="H89" s="135"/>
      <c r="I89" s="135"/>
      <c r="J89" s="135"/>
      <c r="K89" s="135"/>
      <c r="L89" s="135"/>
      <c r="M89" s="135"/>
    </row>
    <row r="90" spans="1:13">
      <c r="A90" s="131" t="s">
        <v>71</v>
      </c>
      <c r="B90" s="81"/>
      <c r="C90" s="120" t="s">
        <v>15</v>
      </c>
      <c r="D90" s="137" t="s">
        <v>1</v>
      </c>
      <c r="E90" s="135">
        <v>15.5</v>
      </c>
      <c r="F90" s="135">
        <f>E90*F89</f>
        <v>0.51150000000000007</v>
      </c>
      <c r="G90" s="135"/>
      <c r="H90" s="135"/>
      <c r="I90" s="108"/>
      <c r="J90" s="135"/>
      <c r="K90" s="135"/>
      <c r="L90" s="135"/>
      <c r="M90" s="119"/>
    </row>
    <row r="91" spans="1:13">
      <c r="A91" s="131" t="s">
        <v>72</v>
      </c>
      <c r="B91" s="81" t="s">
        <v>305</v>
      </c>
      <c r="C91" s="145" t="s">
        <v>306</v>
      </c>
      <c r="D91" s="137" t="s">
        <v>24</v>
      </c>
      <c r="E91" s="135">
        <v>34.700000000000003</v>
      </c>
      <c r="F91" s="135">
        <f>E91*F89</f>
        <v>1.1451000000000002</v>
      </c>
      <c r="G91" s="135"/>
      <c r="H91" s="135"/>
      <c r="I91" s="135"/>
      <c r="J91" s="135"/>
      <c r="K91" s="135"/>
      <c r="L91" s="135"/>
      <c r="M91" s="119"/>
    </row>
    <row r="92" spans="1:13">
      <c r="A92" s="131" t="s">
        <v>270</v>
      </c>
      <c r="B92" s="81"/>
      <c r="C92" s="145" t="s">
        <v>13</v>
      </c>
      <c r="D92" s="137" t="s">
        <v>25</v>
      </c>
      <c r="E92" s="135">
        <v>2.09</v>
      </c>
      <c r="F92" s="135">
        <f>E92*F89</f>
        <v>6.8970000000000004E-2</v>
      </c>
      <c r="G92" s="135"/>
      <c r="H92" s="135"/>
      <c r="I92" s="135"/>
      <c r="J92" s="135"/>
      <c r="K92" s="108"/>
      <c r="L92" s="135"/>
      <c r="M92" s="119"/>
    </row>
    <row r="93" spans="1:13">
      <c r="A93" s="131" t="s">
        <v>271</v>
      </c>
      <c r="B93" s="81" t="s">
        <v>307</v>
      </c>
      <c r="C93" s="145" t="s">
        <v>308</v>
      </c>
      <c r="D93" s="137" t="s">
        <v>303</v>
      </c>
      <c r="E93" s="135">
        <v>0.04</v>
      </c>
      <c r="F93" s="150">
        <f>E93*F89</f>
        <v>1.32E-3</v>
      </c>
      <c r="G93" s="135"/>
      <c r="H93" s="135"/>
      <c r="I93" s="135"/>
      <c r="J93" s="135"/>
      <c r="K93" s="135"/>
      <c r="L93" s="135"/>
      <c r="M93" s="119"/>
    </row>
    <row r="94" spans="1:13">
      <c r="A94" s="131"/>
      <c r="B94" s="151"/>
      <c r="C94" s="152"/>
      <c r="D94" s="131"/>
      <c r="E94" s="131"/>
      <c r="F94" s="132"/>
      <c r="G94" s="153"/>
      <c r="H94" s="132"/>
      <c r="I94" s="153"/>
      <c r="J94" s="153"/>
      <c r="K94" s="153"/>
      <c r="L94" s="153"/>
      <c r="M94" s="132"/>
    </row>
    <row r="95" spans="1:13">
      <c r="A95" s="132">
        <v>1.1399999999999999</v>
      </c>
      <c r="B95" s="81" t="s">
        <v>393</v>
      </c>
      <c r="C95" s="145" t="s">
        <v>282</v>
      </c>
      <c r="D95" s="137" t="s">
        <v>314</v>
      </c>
      <c r="E95" s="135"/>
      <c r="F95" s="135">
        <v>60</v>
      </c>
      <c r="G95" s="135"/>
      <c r="H95" s="135"/>
      <c r="I95" s="135"/>
      <c r="J95" s="135"/>
      <c r="K95" s="135"/>
      <c r="L95" s="135"/>
      <c r="M95" s="135"/>
    </row>
    <row r="96" spans="1:13">
      <c r="A96" s="132"/>
      <c r="B96" s="81"/>
      <c r="C96" s="145"/>
      <c r="D96" s="137" t="s">
        <v>394</v>
      </c>
      <c r="E96" s="135"/>
      <c r="F96" s="150">
        <f>F95/100</f>
        <v>0.6</v>
      </c>
      <c r="G96" s="135"/>
      <c r="H96" s="135"/>
      <c r="I96" s="135"/>
      <c r="J96" s="135"/>
      <c r="K96" s="135"/>
      <c r="L96" s="135"/>
      <c r="M96" s="135"/>
    </row>
    <row r="97" spans="1:13">
      <c r="A97" s="131" t="s">
        <v>212</v>
      </c>
      <c r="B97" s="81"/>
      <c r="C97" s="82" t="s">
        <v>15</v>
      </c>
      <c r="D97" s="137" t="s">
        <v>1</v>
      </c>
      <c r="E97" s="135">
        <v>33.6</v>
      </c>
      <c r="F97" s="135">
        <f>E97*F96</f>
        <v>20.16</v>
      </c>
      <c r="G97" s="135"/>
      <c r="H97" s="135"/>
      <c r="I97" s="135"/>
      <c r="J97" s="135"/>
      <c r="K97" s="135"/>
      <c r="L97" s="135"/>
      <c r="M97" s="135"/>
    </row>
    <row r="98" spans="1:13">
      <c r="A98" s="131" t="s">
        <v>234</v>
      </c>
      <c r="B98" s="81"/>
      <c r="C98" s="82" t="s">
        <v>13</v>
      </c>
      <c r="D98" s="137" t="s">
        <v>25</v>
      </c>
      <c r="E98" s="135">
        <v>1.5</v>
      </c>
      <c r="F98" s="135">
        <f>E98*F96</f>
        <v>0.89999999999999991</v>
      </c>
      <c r="G98" s="135"/>
      <c r="H98" s="135"/>
      <c r="I98" s="135"/>
      <c r="J98" s="135"/>
      <c r="K98" s="135"/>
      <c r="L98" s="135"/>
      <c r="M98" s="135"/>
    </row>
    <row r="99" spans="1:13">
      <c r="A99" s="131" t="s">
        <v>283</v>
      </c>
      <c r="B99" s="81" t="s">
        <v>395</v>
      </c>
      <c r="C99" s="82" t="s">
        <v>396</v>
      </c>
      <c r="D99" s="137" t="s">
        <v>23</v>
      </c>
      <c r="E99" s="135">
        <v>0.24</v>
      </c>
      <c r="F99" s="135">
        <f>E99*F96</f>
        <v>0.14399999999999999</v>
      </c>
      <c r="G99" s="135"/>
      <c r="H99" s="135"/>
      <c r="I99" s="135"/>
      <c r="J99" s="135"/>
      <c r="K99" s="135"/>
      <c r="L99" s="135"/>
      <c r="M99" s="135"/>
    </row>
    <row r="100" spans="1:13">
      <c r="A100" s="131" t="s">
        <v>284</v>
      </c>
      <c r="B100" s="81"/>
      <c r="C100" s="156" t="s">
        <v>106</v>
      </c>
      <c r="D100" s="140" t="s">
        <v>303</v>
      </c>
      <c r="E100" s="144">
        <v>0</v>
      </c>
      <c r="F100" s="144">
        <f>E100*F96</f>
        <v>0</v>
      </c>
      <c r="G100" s="144"/>
      <c r="H100" s="144"/>
      <c r="I100" s="144"/>
      <c r="J100" s="144"/>
      <c r="K100" s="144"/>
      <c r="L100" s="144"/>
      <c r="M100" s="144"/>
    </row>
    <row r="101" spans="1:13">
      <c r="A101" s="131" t="s">
        <v>285</v>
      </c>
      <c r="B101" s="81"/>
      <c r="C101" s="82" t="s">
        <v>103</v>
      </c>
      <c r="D101" s="137" t="s">
        <v>25</v>
      </c>
      <c r="E101" s="135">
        <v>2.2799999999999998</v>
      </c>
      <c r="F101" s="135">
        <f>E101*F96</f>
        <v>1.3679999999999999</v>
      </c>
      <c r="G101" s="135"/>
      <c r="H101" s="135"/>
      <c r="I101" s="135"/>
      <c r="J101" s="135"/>
      <c r="K101" s="135"/>
      <c r="L101" s="135"/>
      <c r="M101" s="135"/>
    </row>
    <row r="102" spans="1:13">
      <c r="A102" s="131"/>
      <c r="B102" s="151"/>
      <c r="C102" s="152"/>
      <c r="D102" s="131"/>
      <c r="E102" s="131"/>
      <c r="F102" s="132"/>
      <c r="G102" s="153"/>
      <c r="H102" s="132"/>
      <c r="I102" s="131"/>
      <c r="J102" s="131"/>
      <c r="K102" s="131"/>
      <c r="L102" s="131"/>
      <c r="M102" s="132"/>
    </row>
    <row r="103" spans="1:13" s="84" customFormat="1">
      <c r="A103" s="51"/>
      <c r="B103" s="95"/>
      <c r="C103" s="51" t="s">
        <v>4</v>
      </c>
      <c r="D103" s="51"/>
      <c r="E103" s="51"/>
      <c r="F103" s="51"/>
      <c r="G103" s="51"/>
      <c r="H103" s="75"/>
      <c r="I103" s="75"/>
      <c r="J103" s="75"/>
      <c r="K103" s="75"/>
      <c r="L103" s="75"/>
      <c r="M103" s="75"/>
    </row>
    <row r="104" spans="1:13" s="45" customFormat="1">
      <c r="A104" s="51"/>
      <c r="B104" s="81"/>
      <c r="C104" s="137"/>
      <c r="D104" s="137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3" s="45" customFormat="1">
      <c r="A105" s="51"/>
      <c r="B105" s="81"/>
      <c r="C105" s="137" t="s">
        <v>10</v>
      </c>
      <c r="D105" s="158">
        <v>0.1</v>
      </c>
      <c r="E105" s="135"/>
      <c r="F105" s="135"/>
      <c r="G105" s="135"/>
      <c r="H105" s="135"/>
      <c r="I105" s="135"/>
      <c r="J105" s="135"/>
      <c r="K105" s="135"/>
      <c r="L105" s="135"/>
      <c r="M105" s="135"/>
    </row>
    <row r="106" spans="1:13" s="45" customFormat="1">
      <c r="A106" s="51"/>
      <c r="B106" s="81"/>
      <c r="C106" s="137" t="s">
        <v>4</v>
      </c>
      <c r="D106" s="158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3" s="45" customFormat="1">
      <c r="A107" s="51"/>
      <c r="B107" s="81"/>
      <c r="C107" s="137" t="s">
        <v>11</v>
      </c>
      <c r="D107" s="158">
        <v>0.08</v>
      </c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3" s="45" customFormat="1">
      <c r="A108" s="137"/>
      <c r="B108" s="137"/>
      <c r="C108" s="137"/>
      <c r="D108" s="158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1:13">
      <c r="A109" s="137"/>
      <c r="B109" s="137"/>
      <c r="C109" s="51" t="s">
        <v>4</v>
      </c>
      <c r="D109" s="51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>
      <c r="B110" s="54"/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6"/>
    </row>
    <row r="111" spans="1:13">
      <c r="B111" s="54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6"/>
    </row>
    <row r="112" spans="1:13">
      <c r="B112" s="54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6"/>
    </row>
    <row r="113" spans="2:13">
      <c r="B113" s="54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6"/>
    </row>
    <row r="114" spans="2:13">
      <c r="B114" s="54"/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6"/>
    </row>
    <row r="115" spans="2:13">
      <c r="B115" s="54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6"/>
    </row>
    <row r="116" spans="2:13">
      <c r="B116" s="54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6"/>
    </row>
    <row r="117" spans="2:13">
      <c r="B117" s="54"/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6"/>
    </row>
    <row r="118" spans="2:13">
      <c r="B118" s="54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6"/>
    </row>
    <row r="119" spans="2:13">
      <c r="B119" s="54"/>
      <c r="C119" s="55"/>
      <c r="D119" s="54"/>
      <c r="E119" s="54"/>
      <c r="F119" s="54"/>
      <c r="G119" s="54"/>
      <c r="H119" s="54"/>
      <c r="I119" s="54"/>
      <c r="J119" s="54"/>
      <c r="K119" s="54"/>
      <c r="L119" s="54"/>
      <c r="M119" s="56"/>
    </row>
    <row r="120" spans="2:13">
      <c r="B120" s="54"/>
      <c r="C120" s="55"/>
      <c r="D120" s="54"/>
      <c r="E120" s="54"/>
      <c r="F120" s="54"/>
      <c r="G120" s="54"/>
      <c r="H120" s="54"/>
      <c r="I120" s="54"/>
      <c r="J120" s="54"/>
      <c r="K120" s="54"/>
      <c r="L120" s="54"/>
      <c r="M120" s="56"/>
    </row>
    <row r="121" spans="2:13">
      <c r="B121" s="54"/>
      <c r="C121" s="55"/>
      <c r="D121" s="54"/>
      <c r="E121" s="54"/>
      <c r="F121" s="54"/>
      <c r="G121" s="54"/>
      <c r="H121" s="54"/>
      <c r="I121" s="54"/>
      <c r="J121" s="54"/>
      <c r="K121" s="54"/>
      <c r="L121" s="54"/>
      <c r="M121" s="56"/>
    </row>
    <row r="122" spans="2:13">
      <c r="B122" s="54"/>
      <c r="C122" s="55"/>
      <c r="D122" s="54"/>
      <c r="E122" s="54"/>
      <c r="F122" s="54"/>
      <c r="G122" s="54"/>
      <c r="H122" s="54"/>
      <c r="I122" s="54"/>
      <c r="J122" s="54"/>
      <c r="K122" s="54"/>
      <c r="L122" s="54"/>
      <c r="M122" s="56"/>
    </row>
    <row r="123" spans="2:13">
      <c r="B123" s="54"/>
      <c r="C123" s="55"/>
      <c r="D123" s="54"/>
      <c r="E123" s="54"/>
      <c r="F123" s="54"/>
      <c r="G123" s="54"/>
      <c r="H123" s="54"/>
      <c r="I123" s="54"/>
      <c r="J123" s="54"/>
      <c r="K123" s="54"/>
      <c r="L123" s="54"/>
      <c r="M123" s="56"/>
    </row>
    <row r="124" spans="2:13">
      <c r="B124" s="54"/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6"/>
    </row>
    <row r="125" spans="2:13">
      <c r="B125" s="54"/>
      <c r="C125" s="55"/>
      <c r="D125" s="54"/>
      <c r="E125" s="54"/>
      <c r="F125" s="54"/>
      <c r="G125" s="54"/>
      <c r="H125" s="54"/>
      <c r="I125" s="54"/>
      <c r="J125" s="54"/>
      <c r="K125" s="54"/>
      <c r="L125" s="54"/>
      <c r="M125" s="56"/>
    </row>
    <row r="126" spans="2:13">
      <c r="B126" s="54"/>
      <c r="C126" s="55"/>
      <c r="D126" s="54"/>
      <c r="E126" s="54"/>
      <c r="F126" s="54"/>
      <c r="G126" s="54"/>
      <c r="H126" s="54"/>
      <c r="I126" s="54"/>
      <c r="J126" s="54"/>
      <c r="K126" s="54"/>
      <c r="L126" s="54"/>
      <c r="M126" s="56"/>
    </row>
    <row r="127" spans="2:13">
      <c r="B127" s="54"/>
      <c r="C127" s="55"/>
      <c r="D127" s="54"/>
      <c r="E127" s="54"/>
      <c r="F127" s="54"/>
      <c r="G127" s="54"/>
      <c r="H127" s="54"/>
      <c r="I127" s="54"/>
      <c r="J127" s="54"/>
      <c r="K127" s="54"/>
      <c r="L127" s="54"/>
      <c r="M127" s="56"/>
    </row>
    <row r="128" spans="2:13">
      <c r="B128" s="54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6"/>
    </row>
    <row r="129" spans="2:13">
      <c r="B129" s="54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6"/>
    </row>
    <row r="130" spans="2:13">
      <c r="B130" s="54"/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6"/>
    </row>
    <row r="131" spans="2:13">
      <c r="B131" s="54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6"/>
    </row>
    <row r="132" spans="2:13">
      <c r="B132" s="54"/>
      <c r="C132" s="55"/>
      <c r="D132" s="54"/>
      <c r="E132" s="54"/>
      <c r="F132" s="54"/>
      <c r="G132" s="54"/>
      <c r="H132" s="54"/>
      <c r="I132" s="54"/>
      <c r="J132" s="54"/>
      <c r="K132" s="54"/>
      <c r="L132" s="54"/>
      <c r="M132" s="56"/>
    </row>
    <row r="133" spans="2:13">
      <c r="B133" s="54"/>
      <c r="C133" s="55"/>
      <c r="D133" s="54"/>
      <c r="E133" s="54"/>
      <c r="F133" s="54"/>
      <c r="G133" s="54"/>
      <c r="H133" s="54"/>
      <c r="I133" s="54"/>
      <c r="J133" s="54"/>
      <c r="K133" s="54"/>
      <c r="L133" s="54"/>
      <c r="M133" s="56"/>
    </row>
    <row r="134" spans="2:13">
      <c r="B134" s="54"/>
      <c r="C134" s="55"/>
      <c r="D134" s="54"/>
      <c r="E134" s="54"/>
      <c r="F134" s="54"/>
      <c r="G134" s="54"/>
      <c r="H134" s="54"/>
      <c r="I134" s="54"/>
      <c r="J134" s="54"/>
      <c r="K134" s="54"/>
      <c r="L134" s="54"/>
      <c r="M134" s="56"/>
    </row>
    <row r="135" spans="2:13">
      <c r="B135" s="54"/>
      <c r="C135" s="55"/>
      <c r="D135" s="54"/>
      <c r="E135" s="54"/>
      <c r="F135" s="54"/>
      <c r="G135" s="54"/>
      <c r="H135" s="54"/>
      <c r="I135" s="54"/>
      <c r="J135" s="54"/>
      <c r="K135" s="54"/>
      <c r="L135" s="54"/>
      <c r="M135" s="56"/>
    </row>
    <row r="136" spans="2:13">
      <c r="B136" s="54"/>
      <c r="C136" s="55"/>
      <c r="D136" s="54"/>
      <c r="E136" s="54"/>
      <c r="F136" s="54"/>
      <c r="G136" s="54"/>
      <c r="H136" s="54"/>
      <c r="I136" s="54"/>
      <c r="J136" s="54"/>
      <c r="K136" s="54"/>
      <c r="L136" s="54"/>
      <c r="M136" s="56"/>
    </row>
    <row r="137" spans="2:13">
      <c r="B137" s="54"/>
      <c r="C137" s="55"/>
      <c r="D137" s="54"/>
      <c r="E137" s="54"/>
      <c r="F137" s="54"/>
      <c r="G137" s="54"/>
      <c r="H137" s="54"/>
      <c r="I137" s="54"/>
      <c r="J137" s="54"/>
      <c r="K137" s="54"/>
      <c r="L137" s="54"/>
      <c r="M137" s="56"/>
    </row>
    <row r="138" spans="2:13">
      <c r="B138" s="54"/>
      <c r="C138" s="55"/>
      <c r="D138" s="54"/>
      <c r="E138" s="54"/>
      <c r="F138" s="54"/>
      <c r="G138" s="54"/>
      <c r="H138" s="54"/>
      <c r="I138" s="54"/>
      <c r="J138" s="54"/>
      <c r="K138" s="54"/>
      <c r="L138" s="54"/>
      <c r="M138" s="56"/>
    </row>
    <row r="139" spans="2:13">
      <c r="B139" s="54"/>
      <c r="C139" s="55"/>
      <c r="D139" s="54"/>
      <c r="E139" s="54"/>
      <c r="F139" s="54"/>
      <c r="G139" s="54"/>
      <c r="H139" s="54"/>
      <c r="I139" s="54"/>
      <c r="J139" s="54"/>
      <c r="K139" s="54"/>
      <c r="L139" s="54"/>
      <c r="M139" s="56"/>
    </row>
    <row r="140" spans="2:13">
      <c r="B140" s="54"/>
      <c r="C140" s="55"/>
      <c r="D140" s="54"/>
      <c r="E140" s="54"/>
      <c r="F140" s="54"/>
      <c r="G140" s="54"/>
      <c r="H140" s="54"/>
      <c r="I140" s="54"/>
      <c r="J140" s="54"/>
      <c r="K140" s="54"/>
      <c r="L140" s="54"/>
      <c r="M140" s="56"/>
    </row>
    <row r="141" spans="2:13">
      <c r="B141" s="54"/>
      <c r="C141" s="55"/>
      <c r="D141" s="54"/>
      <c r="E141" s="54"/>
      <c r="F141" s="54"/>
      <c r="G141" s="54"/>
      <c r="H141" s="54"/>
      <c r="I141" s="54"/>
      <c r="J141" s="54"/>
      <c r="K141" s="54"/>
      <c r="L141" s="54"/>
      <c r="M141" s="56"/>
    </row>
    <row r="142" spans="2:13">
      <c r="B142" s="54"/>
      <c r="C142" s="55"/>
      <c r="D142" s="54"/>
      <c r="E142" s="54"/>
      <c r="F142" s="54"/>
      <c r="G142" s="54"/>
      <c r="H142" s="54"/>
      <c r="I142" s="54"/>
      <c r="J142" s="54"/>
      <c r="K142" s="54"/>
      <c r="L142" s="54"/>
      <c r="M142" s="56"/>
    </row>
    <row r="143" spans="2:13">
      <c r="B143" s="54"/>
      <c r="C143" s="55"/>
      <c r="D143" s="54"/>
      <c r="E143" s="54"/>
      <c r="F143" s="54"/>
      <c r="G143" s="54"/>
      <c r="H143" s="54"/>
      <c r="I143" s="54"/>
      <c r="J143" s="54"/>
      <c r="K143" s="54"/>
      <c r="L143" s="54"/>
      <c r="M143" s="56"/>
    </row>
    <row r="144" spans="2:13">
      <c r="B144" s="54"/>
      <c r="C144" s="55"/>
      <c r="D144" s="54"/>
      <c r="E144" s="54"/>
      <c r="F144" s="54"/>
      <c r="G144" s="54"/>
      <c r="H144" s="54"/>
      <c r="I144" s="54"/>
      <c r="J144" s="54"/>
      <c r="K144" s="54"/>
      <c r="L144" s="54"/>
      <c r="M144" s="56"/>
    </row>
    <row r="145" spans="2:13">
      <c r="B145" s="54"/>
      <c r="C145" s="55"/>
      <c r="D145" s="54"/>
      <c r="E145" s="54"/>
      <c r="F145" s="54"/>
      <c r="G145" s="54"/>
      <c r="H145" s="54"/>
      <c r="I145" s="54"/>
      <c r="J145" s="54"/>
      <c r="K145" s="54"/>
      <c r="L145" s="54"/>
      <c r="M145" s="56"/>
    </row>
    <row r="146" spans="2:13">
      <c r="B146" s="54"/>
      <c r="C146" s="55"/>
      <c r="D146" s="54"/>
      <c r="E146" s="54"/>
      <c r="F146" s="54"/>
      <c r="G146" s="54"/>
      <c r="H146" s="54"/>
      <c r="I146" s="54"/>
      <c r="J146" s="54"/>
      <c r="K146" s="54"/>
      <c r="L146" s="54"/>
      <c r="M146" s="56"/>
    </row>
    <row r="147" spans="2:13">
      <c r="B147" s="54"/>
      <c r="C147" s="55"/>
      <c r="D147" s="54"/>
      <c r="E147" s="54"/>
      <c r="F147" s="54"/>
      <c r="G147" s="54"/>
      <c r="H147" s="54"/>
      <c r="I147" s="54"/>
      <c r="J147" s="54"/>
      <c r="K147" s="54"/>
      <c r="L147" s="54"/>
      <c r="M147" s="56"/>
    </row>
    <row r="148" spans="2:13">
      <c r="B148" s="54"/>
      <c r="C148" s="55"/>
      <c r="D148" s="54"/>
      <c r="E148" s="54"/>
      <c r="F148" s="54"/>
      <c r="G148" s="54"/>
      <c r="H148" s="54"/>
      <c r="I148" s="54"/>
      <c r="J148" s="54"/>
      <c r="K148" s="54"/>
      <c r="L148" s="54"/>
      <c r="M148" s="56"/>
    </row>
    <row r="149" spans="2:13">
      <c r="B149" s="54"/>
      <c r="C149" s="55"/>
      <c r="D149" s="54"/>
      <c r="E149" s="54"/>
      <c r="F149" s="54"/>
      <c r="G149" s="54"/>
      <c r="H149" s="54"/>
      <c r="I149" s="54"/>
      <c r="J149" s="54"/>
      <c r="K149" s="54"/>
      <c r="L149" s="54"/>
      <c r="M149" s="56"/>
    </row>
    <row r="150" spans="2:13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7"/>
    </row>
    <row r="151" spans="2:13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7"/>
    </row>
    <row r="152" spans="2:13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7"/>
    </row>
    <row r="153" spans="2:13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7"/>
    </row>
    <row r="154" spans="2:13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7"/>
    </row>
    <row r="155" spans="2:13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7"/>
    </row>
    <row r="156" spans="2:13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7"/>
    </row>
    <row r="157" spans="2:13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7"/>
    </row>
    <row r="158" spans="2:13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7"/>
    </row>
    <row r="159" spans="2:13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7"/>
    </row>
    <row r="160" spans="2:13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7"/>
    </row>
    <row r="161" spans="2:13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7"/>
    </row>
    <row r="162" spans="2:13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7"/>
    </row>
  </sheetData>
  <mergeCells count="10">
    <mergeCell ref="B3:B4"/>
    <mergeCell ref="C3:C4"/>
    <mergeCell ref="D3:D4"/>
    <mergeCell ref="M3:M4"/>
    <mergeCell ref="A1:M1"/>
    <mergeCell ref="I3:J3"/>
    <mergeCell ref="K3:L3"/>
    <mergeCell ref="E3:F3"/>
    <mergeCell ref="G3:H3"/>
    <mergeCell ref="A3:A4"/>
  </mergeCells>
  <conditionalFormatting sqref="L83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120"/>
  <sheetViews>
    <sheetView view="pageBreakPreview" zoomScaleNormal="60" zoomScaleSheetLayoutView="100" workbookViewId="0">
      <selection activeCell="K9" sqref="K9"/>
    </sheetView>
  </sheetViews>
  <sheetFormatPr defaultRowHeight="12.75"/>
  <cols>
    <col min="1" max="1" width="6.5703125" style="129" customWidth="1"/>
    <col min="2" max="2" width="13.140625" style="118" customWidth="1"/>
    <col min="3" max="3" width="63.85546875" style="118" customWidth="1"/>
    <col min="4" max="12" width="9.85546875" style="118" customWidth="1"/>
    <col min="13" max="13" width="9.85546875" style="102" customWidth="1"/>
    <col min="14" max="16" width="20.7109375" style="70" customWidth="1"/>
    <col min="17" max="16384" width="9.140625" style="70"/>
  </cols>
  <sheetData>
    <row r="1" spans="1:13" s="71" customFormat="1">
      <c r="A1" s="175" t="s">
        <v>287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71" customForma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72" customFormat="1" ht="30" customHeight="1">
      <c r="A3" s="172" t="s">
        <v>294</v>
      </c>
      <c r="B3" s="173" t="s">
        <v>295</v>
      </c>
      <c r="C3" s="173" t="s">
        <v>296</v>
      </c>
      <c r="D3" s="173" t="s">
        <v>297</v>
      </c>
      <c r="E3" s="172" t="s">
        <v>298</v>
      </c>
      <c r="F3" s="172"/>
      <c r="G3" s="173" t="s">
        <v>299</v>
      </c>
      <c r="H3" s="173"/>
      <c r="I3" s="173" t="s">
        <v>6</v>
      </c>
      <c r="J3" s="173"/>
      <c r="K3" s="172" t="s">
        <v>300</v>
      </c>
      <c r="L3" s="172"/>
      <c r="M3" s="172" t="s">
        <v>4</v>
      </c>
    </row>
    <row r="4" spans="1:13" s="72" customFormat="1" ht="12.75" customHeight="1">
      <c r="A4" s="172"/>
      <c r="B4" s="173"/>
      <c r="C4" s="173"/>
      <c r="D4" s="173"/>
      <c r="E4" s="77" t="s">
        <v>301</v>
      </c>
      <c r="F4" s="77" t="s">
        <v>263</v>
      </c>
      <c r="G4" s="77" t="s">
        <v>301</v>
      </c>
      <c r="H4" s="77" t="s">
        <v>263</v>
      </c>
      <c r="I4" s="77" t="s">
        <v>301</v>
      </c>
      <c r="J4" s="77" t="s">
        <v>263</v>
      </c>
      <c r="K4" s="77" t="s">
        <v>301</v>
      </c>
      <c r="L4" s="77" t="s">
        <v>263</v>
      </c>
      <c r="M4" s="172"/>
    </row>
    <row r="5" spans="1:13" s="72" customFormat="1">
      <c r="A5" s="77">
        <v>1</v>
      </c>
      <c r="B5" s="77">
        <v>2</v>
      </c>
      <c r="C5" s="76">
        <v>3</v>
      </c>
      <c r="D5" s="77">
        <v>4</v>
      </c>
      <c r="E5" s="77">
        <v>5</v>
      </c>
      <c r="F5" s="77">
        <v>6</v>
      </c>
      <c r="G5" s="77">
        <v>7</v>
      </c>
      <c r="H5" s="74">
        <v>8</v>
      </c>
      <c r="I5" s="77">
        <v>9</v>
      </c>
      <c r="J5" s="74">
        <v>10</v>
      </c>
      <c r="K5" s="77">
        <v>11</v>
      </c>
      <c r="L5" s="74">
        <v>12</v>
      </c>
      <c r="M5" s="74">
        <v>13</v>
      </c>
    </row>
    <row r="6" spans="1:13" s="72" customForma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59"/>
    </row>
    <row r="7" spans="1:13" s="72" customFormat="1">
      <c r="A7" s="77"/>
      <c r="B7" s="106"/>
      <c r="C7" s="76" t="s">
        <v>288</v>
      </c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>
      <c r="A8" s="77"/>
      <c r="B8" s="106"/>
      <c r="C8" s="76"/>
      <c r="D8" s="106"/>
      <c r="E8" s="106"/>
      <c r="F8" s="106"/>
      <c r="G8" s="106"/>
      <c r="H8" s="106"/>
      <c r="I8" s="106"/>
      <c r="J8" s="106"/>
      <c r="K8" s="106"/>
      <c r="L8" s="106"/>
      <c r="M8" s="107"/>
    </row>
    <row r="9" spans="1:13" ht="25.5">
      <c r="A9" s="106">
        <v>1.1000000000000001</v>
      </c>
      <c r="B9" s="112" t="s">
        <v>318</v>
      </c>
      <c r="C9" s="124" t="s">
        <v>319</v>
      </c>
      <c r="D9" s="106" t="s">
        <v>303</v>
      </c>
      <c r="E9" s="108"/>
      <c r="F9" s="108">
        <v>90</v>
      </c>
      <c r="G9" s="108"/>
      <c r="H9" s="108"/>
      <c r="I9" s="108"/>
      <c r="J9" s="108"/>
      <c r="K9" s="108"/>
      <c r="L9" s="108"/>
      <c r="M9" s="108"/>
    </row>
    <row r="10" spans="1:13">
      <c r="A10" s="106"/>
      <c r="B10" s="112"/>
      <c r="C10" s="126"/>
      <c r="D10" s="106" t="s">
        <v>320</v>
      </c>
      <c r="E10" s="108"/>
      <c r="F10" s="108">
        <f>F9/100</f>
        <v>0.9</v>
      </c>
      <c r="G10" s="108"/>
      <c r="H10" s="108"/>
      <c r="I10" s="108"/>
      <c r="J10" s="108"/>
      <c r="K10" s="108"/>
      <c r="L10" s="108"/>
      <c r="M10" s="108"/>
    </row>
    <row r="11" spans="1:13">
      <c r="A11" s="106" t="s">
        <v>0</v>
      </c>
      <c r="B11" s="112"/>
      <c r="C11" s="126" t="s">
        <v>15</v>
      </c>
      <c r="D11" s="106" t="s">
        <v>1</v>
      </c>
      <c r="E11" s="108">
        <v>15</v>
      </c>
      <c r="F11" s="108">
        <f>E11*F10</f>
        <v>13.5</v>
      </c>
      <c r="G11" s="108"/>
      <c r="H11" s="108"/>
      <c r="I11" s="108"/>
      <c r="J11" s="108"/>
      <c r="K11" s="108"/>
      <c r="L11" s="108"/>
      <c r="M11" s="108"/>
    </row>
    <row r="12" spans="1:13">
      <c r="A12" s="106" t="s">
        <v>197</v>
      </c>
      <c r="B12" s="112" t="s">
        <v>316</v>
      </c>
      <c r="C12" s="126" t="s">
        <v>73</v>
      </c>
      <c r="D12" s="106" t="s">
        <v>24</v>
      </c>
      <c r="E12" s="108">
        <v>2.16</v>
      </c>
      <c r="F12" s="108">
        <f>E12*F10</f>
        <v>1.9440000000000002</v>
      </c>
      <c r="G12" s="108"/>
      <c r="H12" s="108"/>
      <c r="I12" s="108"/>
      <c r="J12" s="108"/>
      <c r="K12" s="108"/>
      <c r="L12" s="108"/>
      <c r="M12" s="108"/>
    </row>
    <row r="13" spans="1:13">
      <c r="A13" s="106" t="s">
        <v>198</v>
      </c>
      <c r="B13" s="112" t="s">
        <v>321</v>
      </c>
      <c r="C13" s="126" t="s">
        <v>84</v>
      </c>
      <c r="D13" s="106" t="s">
        <v>24</v>
      </c>
      <c r="E13" s="108">
        <v>2.73</v>
      </c>
      <c r="F13" s="108">
        <f>E13*F10</f>
        <v>2.4569999999999999</v>
      </c>
      <c r="G13" s="108"/>
      <c r="H13" s="108"/>
      <c r="I13" s="108"/>
      <c r="J13" s="108"/>
      <c r="K13" s="108"/>
      <c r="L13" s="108"/>
      <c r="M13" s="108"/>
    </row>
    <row r="14" spans="1:13">
      <c r="A14" s="106" t="s">
        <v>199</v>
      </c>
      <c r="B14" s="112" t="s">
        <v>322</v>
      </c>
      <c r="C14" s="126" t="s">
        <v>74</v>
      </c>
      <c r="D14" s="106" t="s">
        <v>24</v>
      </c>
      <c r="E14" s="108">
        <v>0.97</v>
      </c>
      <c r="F14" s="108">
        <f>E14*F10</f>
        <v>0.873</v>
      </c>
      <c r="G14" s="108"/>
      <c r="H14" s="108"/>
      <c r="I14" s="108"/>
      <c r="J14" s="108"/>
      <c r="K14" s="108"/>
      <c r="L14" s="108"/>
      <c r="M14" s="108"/>
    </row>
    <row r="15" spans="1:13">
      <c r="A15" s="106" t="s">
        <v>204</v>
      </c>
      <c r="B15" s="112"/>
      <c r="C15" s="126" t="s">
        <v>75</v>
      </c>
      <c r="D15" s="106" t="s">
        <v>303</v>
      </c>
      <c r="E15" s="108">
        <v>7</v>
      </c>
      <c r="F15" s="108">
        <f>E15*F10</f>
        <v>6.3</v>
      </c>
      <c r="G15" s="108"/>
      <c r="H15" s="108"/>
      <c r="I15" s="108"/>
      <c r="J15" s="108"/>
      <c r="K15" s="108"/>
      <c r="L15" s="108"/>
      <c r="M15" s="108"/>
    </row>
    <row r="16" spans="1:13">
      <c r="A16" s="106" t="s">
        <v>205</v>
      </c>
      <c r="B16" s="112" t="s">
        <v>323</v>
      </c>
      <c r="C16" s="124" t="s">
        <v>324</v>
      </c>
      <c r="D16" s="106" t="s">
        <v>303</v>
      </c>
      <c r="E16" s="108">
        <v>122</v>
      </c>
      <c r="F16" s="108">
        <f>E16*F10</f>
        <v>109.8</v>
      </c>
      <c r="G16" s="108"/>
      <c r="H16" s="108"/>
      <c r="I16" s="108"/>
      <c r="J16" s="108"/>
      <c r="K16" s="108"/>
      <c r="L16" s="108"/>
      <c r="M16" s="108"/>
    </row>
    <row r="17" spans="1:13">
      <c r="A17" s="106" t="s">
        <v>266</v>
      </c>
      <c r="B17" s="138"/>
      <c r="C17" s="162" t="s">
        <v>74</v>
      </c>
      <c r="D17" s="160" t="s">
        <v>24</v>
      </c>
      <c r="E17" s="141">
        <v>0</v>
      </c>
      <c r="F17" s="141">
        <f>E17*F9</f>
        <v>0</v>
      </c>
      <c r="G17" s="141"/>
      <c r="H17" s="141"/>
      <c r="I17" s="141"/>
      <c r="J17" s="141"/>
      <c r="K17" s="141"/>
      <c r="L17" s="141"/>
      <c r="M17" s="141"/>
    </row>
    <row r="18" spans="1:13">
      <c r="A18" s="106" t="s">
        <v>267</v>
      </c>
      <c r="B18" s="138"/>
      <c r="C18" s="162" t="s">
        <v>75</v>
      </c>
      <c r="D18" s="160" t="s">
        <v>289</v>
      </c>
      <c r="E18" s="141">
        <v>0</v>
      </c>
      <c r="F18" s="141">
        <f>E18*F9</f>
        <v>0</v>
      </c>
      <c r="G18" s="141"/>
      <c r="H18" s="141"/>
      <c r="I18" s="141"/>
      <c r="J18" s="141"/>
      <c r="K18" s="141"/>
      <c r="L18" s="141"/>
      <c r="M18" s="141"/>
    </row>
    <row r="19" spans="1:13">
      <c r="A19" s="106" t="s">
        <v>268</v>
      </c>
      <c r="B19" s="138"/>
      <c r="C19" s="162" t="s">
        <v>139</v>
      </c>
      <c r="D19" s="160" t="s">
        <v>289</v>
      </c>
      <c r="E19" s="141">
        <v>0</v>
      </c>
      <c r="F19" s="141">
        <f>E19*F9</f>
        <v>0</v>
      </c>
      <c r="G19" s="141"/>
      <c r="H19" s="141"/>
      <c r="I19" s="141"/>
      <c r="J19" s="141"/>
      <c r="K19" s="141"/>
      <c r="L19" s="141"/>
      <c r="M19" s="141"/>
    </row>
    <row r="20" spans="1:13">
      <c r="A20" s="106"/>
      <c r="B20" s="112"/>
      <c r="C20" s="124"/>
      <c r="D20" s="106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>
      <c r="A21" s="106">
        <v>1.2</v>
      </c>
      <c r="B21" s="112" t="s">
        <v>82</v>
      </c>
      <c r="C21" s="124" t="s">
        <v>81</v>
      </c>
      <c r="D21" s="106" t="s">
        <v>23</v>
      </c>
      <c r="E21" s="108"/>
      <c r="F21" s="108">
        <v>0.36</v>
      </c>
      <c r="G21" s="108"/>
      <c r="H21" s="108"/>
      <c r="I21" s="108"/>
      <c r="J21" s="108"/>
      <c r="K21" s="108"/>
      <c r="L21" s="108"/>
      <c r="M21" s="108"/>
    </row>
    <row r="22" spans="1:13">
      <c r="A22" s="106"/>
      <c r="B22" s="112"/>
      <c r="C22" s="124"/>
      <c r="D22" s="106" t="s">
        <v>104</v>
      </c>
      <c r="E22" s="108"/>
      <c r="F22" s="125">
        <f>F21</f>
        <v>0.36</v>
      </c>
      <c r="G22" s="108"/>
      <c r="H22" s="108"/>
      <c r="I22" s="108"/>
      <c r="J22" s="108"/>
      <c r="K22" s="108"/>
      <c r="L22" s="108"/>
      <c r="M22" s="108"/>
    </row>
    <row r="23" spans="1:13">
      <c r="A23" s="106" t="s">
        <v>21</v>
      </c>
      <c r="B23" s="112" t="s">
        <v>325</v>
      </c>
      <c r="C23" s="124" t="s">
        <v>83</v>
      </c>
      <c r="D23" s="106" t="s">
        <v>24</v>
      </c>
      <c r="E23" s="108">
        <v>0.3</v>
      </c>
      <c r="F23" s="108">
        <f>ROUND(E23*F22,1)</f>
        <v>0.1</v>
      </c>
      <c r="G23" s="108"/>
      <c r="H23" s="108"/>
      <c r="I23" s="108"/>
      <c r="J23" s="108"/>
      <c r="K23" s="108"/>
      <c r="L23" s="108"/>
      <c r="M23" s="108"/>
    </row>
    <row r="24" spans="1:13">
      <c r="A24" s="106" t="s">
        <v>35</v>
      </c>
      <c r="B24" s="112" t="s">
        <v>326</v>
      </c>
      <c r="C24" s="124" t="s">
        <v>88</v>
      </c>
      <c r="D24" s="106" t="s">
        <v>23</v>
      </c>
      <c r="E24" s="108">
        <v>1.03</v>
      </c>
      <c r="F24" s="108">
        <f>ROUND(E24*F22,2)</f>
        <v>0.37</v>
      </c>
      <c r="G24" s="108"/>
      <c r="H24" s="108"/>
      <c r="I24" s="108"/>
      <c r="J24" s="108"/>
      <c r="K24" s="108"/>
      <c r="L24" s="108"/>
      <c r="M24" s="108"/>
    </row>
    <row r="25" spans="1:13">
      <c r="A25" s="106"/>
      <c r="B25" s="112"/>
      <c r="C25" s="124"/>
      <c r="D25" s="106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25.5">
      <c r="A26" s="106">
        <v>1.3</v>
      </c>
      <c r="B26" s="161" t="s">
        <v>327</v>
      </c>
      <c r="C26" s="124" t="s">
        <v>345</v>
      </c>
      <c r="D26" s="106" t="s">
        <v>314</v>
      </c>
      <c r="E26" s="108"/>
      <c r="F26" s="108">
        <v>600</v>
      </c>
      <c r="G26" s="108"/>
      <c r="H26" s="108"/>
      <c r="I26" s="108"/>
      <c r="J26" s="108"/>
      <c r="K26" s="108"/>
      <c r="L26" s="108"/>
      <c r="M26" s="108"/>
    </row>
    <row r="27" spans="1:13">
      <c r="A27" s="106"/>
      <c r="B27" s="161"/>
      <c r="C27" s="124"/>
      <c r="D27" s="106" t="s">
        <v>329</v>
      </c>
      <c r="E27" s="108"/>
      <c r="F27" s="125">
        <f>F26/1000</f>
        <v>0.6</v>
      </c>
      <c r="G27" s="108"/>
      <c r="H27" s="108"/>
      <c r="I27" s="108"/>
      <c r="J27" s="108"/>
      <c r="K27" s="108"/>
      <c r="L27" s="108"/>
      <c r="M27" s="108"/>
    </row>
    <row r="28" spans="1:13">
      <c r="A28" s="106" t="s">
        <v>30</v>
      </c>
      <c r="B28" s="161"/>
      <c r="C28" s="124" t="s">
        <v>15</v>
      </c>
      <c r="D28" s="106" t="s">
        <v>1</v>
      </c>
      <c r="E28" s="108">
        <f>37.5</f>
        <v>37.5</v>
      </c>
      <c r="F28" s="108">
        <f>E28*F27</f>
        <v>22.5</v>
      </c>
      <c r="G28" s="108"/>
      <c r="H28" s="108"/>
      <c r="I28" s="108"/>
      <c r="J28" s="108"/>
      <c r="K28" s="108"/>
      <c r="L28" s="108"/>
      <c r="M28" s="108"/>
    </row>
    <row r="29" spans="1:13">
      <c r="A29" s="106" t="s">
        <v>45</v>
      </c>
      <c r="B29" s="161" t="s">
        <v>330</v>
      </c>
      <c r="C29" s="124" t="s">
        <v>85</v>
      </c>
      <c r="D29" s="106" t="s">
        <v>24</v>
      </c>
      <c r="E29" s="108">
        <v>3.7</v>
      </c>
      <c r="F29" s="108">
        <f>E29*F27</f>
        <v>2.2200000000000002</v>
      </c>
      <c r="G29" s="108"/>
      <c r="H29" s="108"/>
      <c r="I29" s="108"/>
      <c r="J29" s="108"/>
      <c r="K29" s="108"/>
      <c r="L29" s="108"/>
      <c r="M29" s="108"/>
    </row>
    <row r="30" spans="1:13">
      <c r="A30" s="106" t="s">
        <v>46</v>
      </c>
      <c r="B30" s="161" t="s">
        <v>331</v>
      </c>
      <c r="C30" s="124" t="s">
        <v>86</v>
      </c>
      <c r="D30" s="106" t="s">
        <v>24</v>
      </c>
      <c r="E30" s="108">
        <v>11.1</v>
      </c>
      <c r="F30" s="108">
        <f>E30*F27</f>
        <v>6.6599999999999993</v>
      </c>
      <c r="G30" s="108"/>
      <c r="H30" s="108"/>
      <c r="I30" s="108"/>
      <c r="J30" s="108"/>
      <c r="K30" s="108"/>
      <c r="L30" s="108"/>
      <c r="M30" s="108"/>
    </row>
    <row r="31" spans="1:13">
      <c r="A31" s="106" t="s">
        <v>47</v>
      </c>
      <c r="B31" s="161" t="s">
        <v>332</v>
      </c>
      <c r="C31" s="124" t="s">
        <v>90</v>
      </c>
      <c r="D31" s="106" t="s">
        <v>24</v>
      </c>
      <c r="E31" s="108">
        <v>3.02</v>
      </c>
      <c r="F31" s="108">
        <f>E31*F27</f>
        <v>1.8119999999999998</v>
      </c>
      <c r="G31" s="108"/>
      <c r="H31" s="108"/>
      <c r="I31" s="108"/>
      <c r="J31" s="108"/>
      <c r="K31" s="108"/>
      <c r="L31" s="108"/>
      <c r="M31" s="108"/>
    </row>
    <row r="32" spans="1:13">
      <c r="A32" s="106" t="s">
        <v>213</v>
      </c>
      <c r="B32" s="161"/>
      <c r="C32" s="124" t="s">
        <v>13</v>
      </c>
      <c r="D32" s="106" t="s">
        <v>25</v>
      </c>
      <c r="E32" s="108">
        <v>2.2999999999999998</v>
      </c>
      <c r="F32" s="108">
        <f>E32*F27</f>
        <v>1.38</v>
      </c>
      <c r="G32" s="108"/>
      <c r="H32" s="108"/>
      <c r="I32" s="108"/>
      <c r="J32" s="108"/>
      <c r="K32" s="108"/>
      <c r="L32" s="108"/>
      <c r="M32" s="108"/>
    </row>
    <row r="33" spans="1:13">
      <c r="A33" s="106" t="s">
        <v>214</v>
      </c>
      <c r="B33" s="161" t="s">
        <v>336</v>
      </c>
      <c r="C33" s="124" t="s">
        <v>257</v>
      </c>
      <c r="D33" s="106" t="s">
        <v>23</v>
      </c>
      <c r="E33" s="108">
        <f>97.4</f>
        <v>97.4</v>
      </c>
      <c r="F33" s="108">
        <f>E33*F27</f>
        <v>58.44</v>
      </c>
      <c r="G33" s="108"/>
      <c r="H33" s="108"/>
      <c r="I33" s="108"/>
      <c r="J33" s="108"/>
      <c r="K33" s="108"/>
      <c r="L33" s="108"/>
      <c r="M33" s="108"/>
    </row>
    <row r="34" spans="1:13">
      <c r="A34" s="106" t="s">
        <v>215</v>
      </c>
      <c r="B34" s="161"/>
      <c r="C34" s="124" t="s">
        <v>14</v>
      </c>
      <c r="D34" s="106" t="s">
        <v>25</v>
      </c>
      <c r="E34" s="108">
        <f>14.5</f>
        <v>14.5</v>
      </c>
      <c r="F34" s="108">
        <f>E34*F27</f>
        <v>8.6999999999999993</v>
      </c>
      <c r="G34" s="108"/>
      <c r="H34" s="108"/>
      <c r="I34" s="108"/>
      <c r="J34" s="108"/>
      <c r="K34" s="108"/>
      <c r="L34" s="108"/>
      <c r="M34" s="108"/>
    </row>
    <row r="35" spans="1:13">
      <c r="A35" s="106"/>
      <c r="B35" s="161"/>
      <c r="C35" s="124"/>
      <c r="D35" s="106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>
      <c r="A36" s="106">
        <v>1.4</v>
      </c>
      <c r="B36" s="112" t="s">
        <v>82</v>
      </c>
      <c r="C36" s="124" t="s">
        <v>81</v>
      </c>
      <c r="D36" s="106" t="s">
        <v>23</v>
      </c>
      <c r="E36" s="108"/>
      <c r="F36" s="108">
        <v>0.18</v>
      </c>
      <c r="G36" s="108"/>
      <c r="H36" s="108"/>
      <c r="I36" s="108"/>
      <c r="J36" s="108"/>
      <c r="K36" s="108"/>
      <c r="L36" s="108"/>
      <c r="M36" s="108"/>
    </row>
    <row r="37" spans="1:13">
      <c r="A37" s="106"/>
      <c r="B37" s="112"/>
      <c r="C37" s="124"/>
      <c r="D37" s="106" t="s">
        <v>104</v>
      </c>
      <c r="E37" s="108"/>
      <c r="F37" s="125">
        <f>F36</f>
        <v>0.18</v>
      </c>
      <c r="G37" s="108"/>
      <c r="H37" s="108"/>
      <c r="I37" s="108"/>
      <c r="J37" s="108"/>
      <c r="K37" s="108"/>
      <c r="L37" s="108"/>
      <c r="M37" s="108"/>
    </row>
    <row r="38" spans="1:13">
      <c r="A38" s="106" t="s">
        <v>22</v>
      </c>
      <c r="B38" s="112" t="s">
        <v>325</v>
      </c>
      <c r="C38" s="124" t="s">
        <v>83</v>
      </c>
      <c r="D38" s="106" t="s">
        <v>24</v>
      </c>
      <c r="E38" s="108">
        <v>0.3</v>
      </c>
      <c r="F38" s="108">
        <f>ROUND(E38*F37,1)</f>
        <v>0.1</v>
      </c>
      <c r="G38" s="108"/>
      <c r="H38" s="108"/>
      <c r="I38" s="108"/>
      <c r="J38" s="108"/>
      <c r="K38" s="108"/>
      <c r="L38" s="108"/>
      <c r="M38" s="108"/>
    </row>
    <row r="39" spans="1:13">
      <c r="A39" s="106" t="s">
        <v>231</v>
      </c>
      <c r="B39" s="112" t="s">
        <v>326</v>
      </c>
      <c r="C39" s="124" t="s">
        <v>88</v>
      </c>
      <c r="D39" s="106" t="s">
        <v>23</v>
      </c>
      <c r="E39" s="108">
        <v>1.03</v>
      </c>
      <c r="F39" s="108">
        <f>ROUND(E39*F37,2)</f>
        <v>0.19</v>
      </c>
      <c r="G39" s="108"/>
      <c r="H39" s="108"/>
      <c r="I39" s="108"/>
      <c r="J39" s="108"/>
      <c r="K39" s="108"/>
      <c r="L39" s="108"/>
      <c r="M39" s="108"/>
    </row>
    <row r="40" spans="1:13">
      <c r="A40" s="106"/>
      <c r="B40" s="112"/>
      <c r="C40" s="124"/>
      <c r="D40" s="106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25.5">
      <c r="A41" s="106">
        <v>1.5</v>
      </c>
      <c r="B41" s="161" t="s">
        <v>327</v>
      </c>
      <c r="C41" s="124" t="s">
        <v>317</v>
      </c>
      <c r="D41" s="106" t="s">
        <v>314</v>
      </c>
      <c r="E41" s="108"/>
      <c r="F41" s="108">
        <f>F26</f>
        <v>600</v>
      </c>
      <c r="G41" s="108"/>
      <c r="H41" s="108"/>
      <c r="I41" s="108"/>
      <c r="J41" s="108"/>
      <c r="K41" s="108"/>
      <c r="L41" s="108"/>
      <c r="M41" s="108"/>
    </row>
    <row r="42" spans="1:13">
      <c r="A42" s="106"/>
      <c r="B42" s="161"/>
      <c r="C42" s="124"/>
      <c r="D42" s="106" t="s">
        <v>335</v>
      </c>
      <c r="E42" s="108"/>
      <c r="F42" s="125">
        <f>F27</f>
        <v>0.6</v>
      </c>
      <c r="G42" s="108"/>
      <c r="H42" s="108"/>
      <c r="I42" s="108"/>
      <c r="J42" s="108"/>
      <c r="K42" s="108"/>
      <c r="L42" s="108"/>
      <c r="M42" s="108"/>
    </row>
    <row r="43" spans="1:13">
      <c r="A43" s="106" t="s">
        <v>200</v>
      </c>
      <c r="B43" s="161"/>
      <c r="C43" s="124" t="s">
        <v>15</v>
      </c>
      <c r="D43" s="106" t="s">
        <v>1</v>
      </c>
      <c r="E43" s="108">
        <f>37.5</f>
        <v>37.5</v>
      </c>
      <c r="F43" s="108">
        <f>E43*F42</f>
        <v>22.5</v>
      </c>
      <c r="G43" s="108"/>
      <c r="H43" s="108"/>
      <c r="I43" s="108"/>
      <c r="J43" s="108"/>
      <c r="K43" s="108"/>
      <c r="L43" s="108"/>
      <c r="M43" s="108"/>
    </row>
    <row r="44" spans="1:13">
      <c r="A44" s="106" t="s">
        <v>201</v>
      </c>
      <c r="B44" s="161" t="s">
        <v>330</v>
      </c>
      <c r="C44" s="124" t="s">
        <v>85</v>
      </c>
      <c r="D44" s="106" t="s">
        <v>24</v>
      </c>
      <c r="E44" s="108">
        <v>3.7</v>
      </c>
      <c r="F44" s="108">
        <f>E44*F42</f>
        <v>2.2200000000000002</v>
      </c>
      <c r="G44" s="108"/>
      <c r="H44" s="108"/>
      <c r="I44" s="108"/>
      <c r="J44" s="108"/>
      <c r="K44" s="108"/>
      <c r="L44" s="108"/>
      <c r="M44" s="108"/>
    </row>
    <row r="45" spans="1:13">
      <c r="A45" s="106" t="s">
        <v>202</v>
      </c>
      <c r="B45" s="161" t="s">
        <v>331</v>
      </c>
      <c r="C45" s="124" t="s">
        <v>86</v>
      </c>
      <c r="D45" s="106" t="s">
        <v>24</v>
      </c>
      <c r="E45" s="108">
        <v>11.1</v>
      </c>
      <c r="F45" s="108">
        <f>E45*F42</f>
        <v>6.6599999999999993</v>
      </c>
      <c r="G45" s="108"/>
      <c r="H45" s="108"/>
      <c r="I45" s="108"/>
      <c r="J45" s="108"/>
      <c r="K45" s="108"/>
      <c r="L45" s="108"/>
      <c r="M45" s="108"/>
    </row>
    <row r="46" spans="1:13">
      <c r="A46" s="106" t="s">
        <v>203</v>
      </c>
      <c r="B46" s="161" t="s">
        <v>332</v>
      </c>
      <c r="C46" s="124" t="s">
        <v>90</v>
      </c>
      <c r="D46" s="106" t="s">
        <v>24</v>
      </c>
      <c r="E46" s="108">
        <v>3.02</v>
      </c>
      <c r="F46" s="108">
        <f>E46*F42</f>
        <v>1.8119999999999998</v>
      </c>
      <c r="G46" s="108"/>
      <c r="H46" s="108"/>
      <c r="I46" s="108"/>
      <c r="J46" s="108"/>
      <c r="K46" s="108"/>
      <c r="L46" s="108"/>
      <c r="M46" s="108"/>
    </row>
    <row r="47" spans="1:13">
      <c r="A47" s="106" t="s">
        <v>216</v>
      </c>
      <c r="B47" s="161"/>
      <c r="C47" s="124" t="s">
        <v>13</v>
      </c>
      <c r="D47" s="106" t="s">
        <v>25</v>
      </c>
      <c r="E47" s="108">
        <v>2.2999999999999998</v>
      </c>
      <c r="F47" s="108">
        <f>E47*F42</f>
        <v>1.38</v>
      </c>
      <c r="G47" s="108"/>
      <c r="H47" s="108"/>
      <c r="I47" s="108"/>
      <c r="J47" s="108"/>
      <c r="K47" s="108"/>
      <c r="L47" s="108"/>
      <c r="M47" s="108"/>
    </row>
    <row r="48" spans="1:13">
      <c r="A48" s="106" t="s">
        <v>217</v>
      </c>
      <c r="B48" s="161" t="s">
        <v>336</v>
      </c>
      <c r="C48" s="124" t="s">
        <v>257</v>
      </c>
      <c r="D48" s="106" t="s">
        <v>23</v>
      </c>
      <c r="E48" s="108">
        <f>97.4</f>
        <v>97.4</v>
      </c>
      <c r="F48" s="108">
        <f>E48*F42</f>
        <v>58.44</v>
      </c>
      <c r="G48" s="108"/>
      <c r="H48" s="108"/>
      <c r="I48" s="108"/>
      <c r="J48" s="108"/>
      <c r="K48" s="108"/>
      <c r="L48" s="108"/>
      <c r="M48" s="108"/>
    </row>
    <row r="49" spans="1:13">
      <c r="A49" s="106" t="s">
        <v>236</v>
      </c>
      <c r="B49" s="161"/>
      <c r="C49" s="124" t="s">
        <v>14</v>
      </c>
      <c r="D49" s="106" t="s">
        <v>25</v>
      </c>
      <c r="E49" s="108">
        <f>14.5</f>
        <v>14.5</v>
      </c>
      <c r="F49" s="108">
        <f>E49*F42</f>
        <v>8.6999999999999993</v>
      </c>
      <c r="G49" s="108"/>
      <c r="H49" s="108"/>
      <c r="I49" s="108"/>
      <c r="J49" s="108"/>
      <c r="K49" s="108"/>
      <c r="L49" s="108"/>
      <c r="M49" s="108"/>
    </row>
    <row r="50" spans="1:13">
      <c r="A50" s="106"/>
      <c r="B50" s="161"/>
      <c r="C50" s="124"/>
      <c r="D50" s="106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>
      <c r="A51" s="106">
        <v>1.7</v>
      </c>
      <c r="B51" s="161" t="s">
        <v>344</v>
      </c>
      <c r="C51" s="123" t="s">
        <v>339</v>
      </c>
      <c r="D51" s="106" t="s">
        <v>99</v>
      </c>
      <c r="E51" s="108"/>
      <c r="F51" s="108">
        <v>294</v>
      </c>
      <c r="G51" s="108"/>
      <c r="H51" s="108"/>
      <c r="I51" s="108"/>
      <c r="J51" s="108"/>
      <c r="K51" s="108"/>
      <c r="L51" s="108"/>
      <c r="M51" s="108"/>
    </row>
    <row r="52" spans="1:13">
      <c r="A52" s="106"/>
      <c r="B52" s="161"/>
      <c r="C52" s="123"/>
      <c r="D52" s="106" t="s">
        <v>95</v>
      </c>
      <c r="E52" s="108"/>
      <c r="F52" s="125">
        <f>F51/100</f>
        <v>2.94</v>
      </c>
      <c r="G52" s="108"/>
      <c r="H52" s="108"/>
      <c r="I52" s="108"/>
      <c r="J52" s="108"/>
      <c r="K52" s="108"/>
      <c r="L52" s="108"/>
      <c r="M52" s="108"/>
    </row>
    <row r="53" spans="1:13">
      <c r="A53" s="106" t="s">
        <v>62</v>
      </c>
      <c r="B53" s="161"/>
      <c r="C53" s="123" t="s">
        <v>15</v>
      </c>
      <c r="D53" s="106" t="s">
        <v>1</v>
      </c>
      <c r="E53" s="108">
        <v>74</v>
      </c>
      <c r="F53" s="108">
        <f>ROUND(E53*F52,2)</f>
        <v>217.56</v>
      </c>
      <c r="G53" s="108"/>
      <c r="H53" s="108"/>
      <c r="I53" s="108"/>
      <c r="J53" s="108"/>
      <c r="K53" s="108"/>
      <c r="L53" s="108"/>
      <c r="M53" s="108"/>
    </row>
    <row r="54" spans="1:13">
      <c r="A54" s="106" t="s">
        <v>63</v>
      </c>
      <c r="B54" s="161"/>
      <c r="C54" s="123" t="s">
        <v>13</v>
      </c>
      <c r="D54" s="106" t="s">
        <v>24</v>
      </c>
      <c r="E54" s="108">
        <v>0.71</v>
      </c>
      <c r="F54" s="108">
        <f>ROUND(E54*F52,1)</f>
        <v>2.1</v>
      </c>
      <c r="G54" s="108"/>
      <c r="H54" s="108"/>
      <c r="I54" s="108"/>
      <c r="J54" s="108"/>
      <c r="K54" s="108"/>
      <c r="L54" s="108"/>
      <c r="M54" s="108"/>
    </row>
    <row r="55" spans="1:13">
      <c r="A55" s="106" t="s">
        <v>206</v>
      </c>
      <c r="B55" s="161" t="s">
        <v>341</v>
      </c>
      <c r="C55" s="123" t="s">
        <v>340</v>
      </c>
      <c r="D55" s="106" t="s">
        <v>99</v>
      </c>
      <c r="E55" s="108">
        <v>100</v>
      </c>
      <c r="F55" s="108">
        <f>ROUND(E55*F52,1)</f>
        <v>294</v>
      </c>
      <c r="G55" s="108"/>
      <c r="H55" s="108"/>
      <c r="I55" s="108"/>
      <c r="J55" s="108"/>
      <c r="K55" s="108"/>
      <c r="L55" s="108"/>
      <c r="M55" s="108"/>
    </row>
    <row r="56" spans="1:13">
      <c r="A56" s="106" t="s">
        <v>207</v>
      </c>
      <c r="B56" s="161" t="s">
        <v>337</v>
      </c>
      <c r="C56" s="123" t="s">
        <v>338</v>
      </c>
      <c r="D56" s="106" t="s">
        <v>303</v>
      </c>
      <c r="E56" s="108">
        <v>3.5</v>
      </c>
      <c r="F56" s="108">
        <f>ROUND(E56*F52,2)</f>
        <v>10.29</v>
      </c>
      <c r="G56" s="108"/>
      <c r="H56" s="108"/>
      <c r="I56" s="108"/>
      <c r="J56" s="108"/>
      <c r="K56" s="108"/>
      <c r="L56" s="108"/>
      <c r="M56" s="108"/>
    </row>
    <row r="57" spans="1:13">
      <c r="A57" s="106" t="s">
        <v>208</v>
      </c>
      <c r="B57" s="161"/>
      <c r="C57" s="127" t="s">
        <v>14</v>
      </c>
      <c r="D57" s="106" t="s">
        <v>25</v>
      </c>
      <c r="E57" s="108">
        <v>9.6</v>
      </c>
      <c r="F57" s="108">
        <f>ROUND(E57*F52,1)</f>
        <v>28.2</v>
      </c>
      <c r="G57" s="108"/>
      <c r="H57" s="108"/>
      <c r="I57" s="108"/>
      <c r="J57" s="108"/>
      <c r="K57" s="108"/>
      <c r="L57" s="108"/>
      <c r="M57" s="108"/>
    </row>
    <row r="58" spans="1:13">
      <c r="A58" s="106" t="s">
        <v>209</v>
      </c>
      <c r="B58" s="161" t="s">
        <v>342</v>
      </c>
      <c r="C58" s="127" t="s">
        <v>343</v>
      </c>
      <c r="D58" s="106" t="s">
        <v>303</v>
      </c>
      <c r="E58" s="108">
        <v>0.06</v>
      </c>
      <c r="F58" s="108">
        <f>E58*F52</f>
        <v>0.1764</v>
      </c>
      <c r="G58" s="108"/>
      <c r="H58" s="108"/>
      <c r="I58" s="108"/>
      <c r="J58" s="108"/>
      <c r="K58" s="108"/>
      <c r="L58" s="108"/>
      <c r="M58" s="108"/>
    </row>
    <row r="59" spans="1:13">
      <c r="A59" s="106"/>
      <c r="B59" s="161"/>
      <c r="C59" s="127"/>
      <c r="D59" s="106"/>
      <c r="E59" s="106"/>
      <c r="F59" s="128"/>
      <c r="G59" s="128"/>
      <c r="H59" s="128"/>
      <c r="I59" s="128"/>
      <c r="J59" s="128"/>
      <c r="K59" s="128"/>
      <c r="L59" s="128"/>
      <c r="M59" s="128"/>
    </row>
    <row r="60" spans="1:13">
      <c r="A60" s="77"/>
      <c r="B60" s="111"/>
      <c r="C60" s="77" t="s">
        <v>4</v>
      </c>
      <c r="D60" s="77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>
      <c r="A61" s="106"/>
      <c r="B61" s="112"/>
      <c r="C61" s="106"/>
      <c r="D61" s="106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>
      <c r="A62" s="106"/>
      <c r="B62" s="112"/>
      <c r="C62" s="106" t="s">
        <v>10</v>
      </c>
      <c r="D62" s="113">
        <v>0.1</v>
      </c>
      <c r="E62" s="108"/>
      <c r="F62" s="108"/>
      <c r="G62" s="108"/>
      <c r="H62" s="108"/>
      <c r="I62" s="108"/>
      <c r="J62" s="108"/>
      <c r="K62" s="108"/>
      <c r="L62" s="108"/>
      <c r="M62" s="108"/>
    </row>
    <row r="63" spans="1:13">
      <c r="A63" s="106"/>
      <c r="B63" s="112"/>
      <c r="C63" s="106" t="s">
        <v>4</v>
      </c>
      <c r="D63" s="113"/>
      <c r="E63" s="108"/>
      <c r="F63" s="108"/>
      <c r="G63" s="108"/>
      <c r="H63" s="108"/>
      <c r="I63" s="108"/>
      <c r="J63" s="108"/>
      <c r="K63" s="108"/>
      <c r="L63" s="108"/>
      <c r="M63" s="108"/>
    </row>
    <row r="64" spans="1:13">
      <c r="A64" s="106"/>
      <c r="B64" s="112"/>
      <c r="C64" s="106" t="s">
        <v>11</v>
      </c>
      <c r="D64" s="113">
        <v>0.08</v>
      </c>
      <c r="E64" s="108"/>
      <c r="F64" s="108"/>
      <c r="G64" s="108"/>
      <c r="H64" s="108"/>
      <c r="I64" s="108"/>
      <c r="J64" s="108"/>
      <c r="K64" s="108"/>
      <c r="L64" s="108"/>
      <c r="M64" s="108"/>
    </row>
    <row r="65" spans="1:13">
      <c r="A65" s="106"/>
      <c r="B65" s="112"/>
      <c r="C65" s="106"/>
      <c r="D65" s="113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>
      <c r="A66" s="77"/>
      <c r="B66" s="111"/>
      <c r="C66" s="77" t="s">
        <v>4</v>
      </c>
      <c r="D66" s="77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>
      <c r="A67" s="106"/>
      <c r="B67" s="161"/>
      <c r="C67" s="123"/>
      <c r="D67" s="106"/>
      <c r="E67" s="106"/>
      <c r="F67" s="107"/>
      <c r="G67" s="128"/>
      <c r="H67" s="107"/>
      <c r="I67" s="128"/>
      <c r="J67" s="128"/>
      <c r="K67" s="128"/>
      <c r="L67" s="128"/>
      <c r="M67" s="107"/>
    </row>
    <row r="68" spans="1:13">
      <c r="A68" s="106"/>
      <c r="B68" s="161"/>
      <c r="C68" s="123"/>
      <c r="D68" s="106"/>
      <c r="E68" s="106"/>
      <c r="F68" s="107"/>
      <c r="G68" s="128"/>
      <c r="H68" s="107"/>
      <c r="I68" s="128"/>
      <c r="J68" s="128"/>
      <c r="K68" s="128"/>
      <c r="L68" s="128"/>
      <c r="M68" s="107"/>
    </row>
    <row r="69" spans="1:13">
      <c r="A69" s="106"/>
      <c r="B69" s="161"/>
      <c r="C69" s="123"/>
      <c r="D69" s="106"/>
      <c r="E69" s="106"/>
      <c r="F69" s="107"/>
      <c r="G69" s="128"/>
      <c r="H69" s="107"/>
      <c r="I69" s="128"/>
      <c r="J69" s="128"/>
      <c r="K69" s="128"/>
      <c r="L69" s="128"/>
      <c r="M69" s="107"/>
    </row>
    <row r="70" spans="1:13">
      <c r="B70" s="114"/>
      <c r="C70" s="115"/>
      <c r="D70" s="114"/>
      <c r="E70" s="114"/>
      <c r="F70" s="114"/>
      <c r="G70" s="114"/>
      <c r="H70" s="114"/>
      <c r="I70" s="114"/>
      <c r="J70" s="114"/>
      <c r="K70" s="114"/>
      <c r="L70" s="114"/>
      <c r="M70" s="116"/>
    </row>
    <row r="71" spans="1:13">
      <c r="B71" s="114"/>
      <c r="C71" s="115"/>
      <c r="D71" s="114"/>
      <c r="E71" s="114"/>
      <c r="F71" s="114"/>
      <c r="G71" s="114"/>
      <c r="H71" s="114"/>
      <c r="I71" s="114"/>
      <c r="J71" s="114"/>
      <c r="K71" s="114"/>
      <c r="L71" s="114"/>
      <c r="M71" s="116"/>
    </row>
    <row r="72" spans="1:13">
      <c r="B72" s="114"/>
      <c r="C72" s="115"/>
      <c r="D72" s="114"/>
      <c r="E72" s="114"/>
      <c r="F72" s="114"/>
      <c r="G72" s="114"/>
      <c r="H72" s="114"/>
      <c r="I72" s="114"/>
      <c r="J72" s="114"/>
      <c r="K72" s="114"/>
      <c r="L72" s="114"/>
      <c r="M72" s="116"/>
    </row>
    <row r="73" spans="1:13">
      <c r="B73" s="114"/>
      <c r="C73" s="115"/>
      <c r="D73" s="114"/>
      <c r="E73" s="114"/>
      <c r="F73" s="114"/>
      <c r="G73" s="114"/>
      <c r="H73" s="114"/>
      <c r="I73" s="114"/>
      <c r="J73" s="114"/>
      <c r="K73" s="114"/>
      <c r="L73" s="114"/>
      <c r="M73" s="116"/>
    </row>
    <row r="74" spans="1:13">
      <c r="B74" s="114"/>
      <c r="C74" s="115"/>
      <c r="D74" s="114"/>
      <c r="E74" s="114"/>
      <c r="F74" s="114"/>
      <c r="G74" s="114"/>
      <c r="H74" s="114"/>
      <c r="I74" s="114"/>
      <c r="J74" s="114"/>
      <c r="K74" s="114"/>
      <c r="L74" s="114"/>
      <c r="M74" s="116"/>
    </row>
    <row r="75" spans="1:13">
      <c r="B75" s="114"/>
      <c r="C75" s="115"/>
      <c r="D75" s="114"/>
      <c r="E75" s="114"/>
      <c r="F75" s="114"/>
      <c r="G75" s="114"/>
      <c r="H75" s="114"/>
      <c r="I75" s="114"/>
      <c r="J75" s="114"/>
      <c r="K75" s="114"/>
      <c r="L75" s="114"/>
      <c r="M75" s="116"/>
    </row>
    <row r="76" spans="1:13">
      <c r="B76" s="114"/>
      <c r="C76" s="115"/>
      <c r="D76" s="114"/>
      <c r="E76" s="114"/>
      <c r="F76" s="114"/>
      <c r="G76" s="114"/>
      <c r="H76" s="114"/>
      <c r="I76" s="114"/>
      <c r="J76" s="114"/>
      <c r="K76" s="114"/>
      <c r="L76" s="114"/>
      <c r="M76" s="116"/>
    </row>
    <row r="77" spans="1:13">
      <c r="B77" s="114"/>
      <c r="C77" s="115"/>
      <c r="D77" s="114"/>
      <c r="E77" s="114"/>
      <c r="F77" s="114"/>
      <c r="G77" s="114"/>
      <c r="H77" s="114"/>
      <c r="I77" s="114"/>
      <c r="J77" s="114"/>
      <c r="K77" s="114"/>
      <c r="L77" s="114"/>
      <c r="M77" s="116"/>
    </row>
    <row r="78" spans="1:13">
      <c r="B78" s="114"/>
      <c r="C78" s="115"/>
      <c r="D78" s="114"/>
      <c r="E78" s="114"/>
      <c r="F78" s="114"/>
      <c r="G78" s="114"/>
      <c r="H78" s="114"/>
      <c r="I78" s="114"/>
      <c r="J78" s="114"/>
      <c r="K78" s="114"/>
      <c r="L78" s="114"/>
      <c r="M78" s="116"/>
    </row>
    <row r="79" spans="1:13">
      <c r="B79" s="114"/>
      <c r="C79" s="115"/>
      <c r="D79" s="114"/>
      <c r="E79" s="114"/>
      <c r="F79" s="114"/>
      <c r="G79" s="114"/>
      <c r="H79" s="114"/>
      <c r="I79" s="114"/>
      <c r="J79" s="114"/>
      <c r="K79" s="114"/>
      <c r="L79" s="114"/>
      <c r="M79" s="116"/>
    </row>
    <row r="80" spans="1:13"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6"/>
    </row>
    <row r="81" spans="2:13"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6"/>
    </row>
    <row r="82" spans="2:13"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6"/>
    </row>
    <row r="83" spans="2:13"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6"/>
    </row>
    <row r="84" spans="2:13"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6"/>
    </row>
    <row r="85" spans="2:13"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6"/>
    </row>
    <row r="86" spans="2:13">
      <c r="B86" s="114"/>
      <c r="C86" s="115"/>
      <c r="D86" s="114"/>
      <c r="E86" s="114"/>
      <c r="F86" s="114"/>
      <c r="G86" s="114"/>
      <c r="H86" s="114"/>
      <c r="I86" s="114"/>
      <c r="J86" s="114"/>
      <c r="K86" s="114"/>
      <c r="L86" s="114"/>
      <c r="M86" s="116"/>
    </row>
    <row r="87" spans="2:13">
      <c r="B87" s="114"/>
      <c r="C87" s="115"/>
      <c r="D87" s="114"/>
      <c r="E87" s="114"/>
      <c r="F87" s="114"/>
      <c r="G87" s="114"/>
      <c r="H87" s="114"/>
      <c r="I87" s="114"/>
      <c r="J87" s="114"/>
      <c r="K87" s="114"/>
      <c r="L87" s="114"/>
      <c r="M87" s="116"/>
    </row>
    <row r="88" spans="2:13">
      <c r="B88" s="114"/>
      <c r="C88" s="115"/>
      <c r="D88" s="114"/>
      <c r="E88" s="114"/>
      <c r="F88" s="114"/>
      <c r="G88" s="114"/>
      <c r="H88" s="114"/>
      <c r="I88" s="114"/>
      <c r="J88" s="114"/>
      <c r="K88" s="114"/>
      <c r="L88" s="114"/>
      <c r="M88" s="116"/>
    </row>
    <row r="89" spans="2:13">
      <c r="B89" s="114"/>
      <c r="C89" s="115"/>
      <c r="D89" s="114"/>
      <c r="E89" s="114"/>
      <c r="F89" s="114"/>
      <c r="G89" s="114"/>
      <c r="H89" s="114"/>
      <c r="I89" s="114"/>
      <c r="J89" s="114"/>
      <c r="K89" s="114"/>
      <c r="L89" s="114"/>
      <c r="M89" s="116"/>
    </row>
    <row r="90" spans="2:13">
      <c r="B90" s="114"/>
      <c r="C90" s="115"/>
      <c r="D90" s="114"/>
      <c r="E90" s="114"/>
      <c r="F90" s="114"/>
      <c r="G90" s="114"/>
      <c r="H90" s="114"/>
      <c r="I90" s="114"/>
      <c r="J90" s="114"/>
      <c r="K90" s="114"/>
      <c r="L90" s="114"/>
      <c r="M90" s="116"/>
    </row>
    <row r="91" spans="2:13"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6"/>
    </row>
    <row r="92" spans="2:13"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6"/>
    </row>
    <row r="93" spans="2:13"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6"/>
    </row>
    <row r="94" spans="2:13"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6"/>
    </row>
    <row r="95" spans="2:13"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6"/>
    </row>
    <row r="96" spans="2:13"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6"/>
    </row>
    <row r="97" spans="2:13"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6"/>
    </row>
    <row r="98" spans="2:13"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6"/>
    </row>
    <row r="99" spans="2:13"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6"/>
    </row>
    <row r="100" spans="2:13"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6"/>
    </row>
    <row r="101" spans="2:13"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6"/>
    </row>
    <row r="102" spans="2:13"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6"/>
    </row>
    <row r="103" spans="2:13">
      <c r="B103" s="114"/>
      <c r="C103" s="115"/>
      <c r="D103" s="114"/>
      <c r="E103" s="114"/>
      <c r="F103" s="114"/>
      <c r="G103" s="114"/>
      <c r="H103" s="114"/>
      <c r="I103" s="114"/>
      <c r="J103" s="114"/>
      <c r="K103" s="114"/>
      <c r="L103" s="114"/>
      <c r="M103" s="116"/>
    </row>
    <row r="104" spans="2:13">
      <c r="B104" s="114"/>
      <c r="C104" s="11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6"/>
    </row>
    <row r="105" spans="2:13">
      <c r="B105" s="114"/>
      <c r="C105" s="115"/>
      <c r="D105" s="114"/>
      <c r="E105" s="114"/>
      <c r="F105" s="114"/>
      <c r="G105" s="114"/>
      <c r="H105" s="114"/>
      <c r="I105" s="114"/>
      <c r="J105" s="114"/>
      <c r="K105" s="114"/>
      <c r="L105" s="114"/>
      <c r="M105" s="116"/>
    </row>
    <row r="106" spans="2:13">
      <c r="B106" s="114"/>
      <c r="C106" s="115"/>
      <c r="D106" s="114"/>
      <c r="E106" s="114"/>
      <c r="F106" s="114"/>
      <c r="G106" s="114"/>
      <c r="H106" s="114"/>
      <c r="I106" s="114"/>
      <c r="J106" s="114"/>
      <c r="K106" s="114"/>
      <c r="L106" s="114"/>
      <c r="M106" s="116"/>
    </row>
    <row r="107" spans="2:13">
      <c r="B107" s="114"/>
      <c r="C107" s="115"/>
      <c r="D107" s="114"/>
      <c r="E107" s="114"/>
      <c r="F107" s="114"/>
      <c r="G107" s="114"/>
      <c r="H107" s="114"/>
      <c r="I107" s="114"/>
      <c r="J107" s="114"/>
      <c r="K107" s="114"/>
      <c r="L107" s="114"/>
      <c r="M107" s="116"/>
    </row>
    <row r="108" spans="2:13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7"/>
    </row>
    <row r="109" spans="2:13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7"/>
    </row>
    <row r="110" spans="2:13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7"/>
    </row>
    <row r="111" spans="2:13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7"/>
    </row>
    <row r="112" spans="2:13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7"/>
    </row>
    <row r="113" spans="2:13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7"/>
    </row>
    <row r="114" spans="2:13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7"/>
    </row>
    <row r="115" spans="2:13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7"/>
    </row>
    <row r="116" spans="2:13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7"/>
    </row>
    <row r="117" spans="2:13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7"/>
    </row>
    <row r="118" spans="2:13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7"/>
    </row>
    <row r="119" spans="2:13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7"/>
    </row>
    <row r="120" spans="2:13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7"/>
    </row>
  </sheetData>
  <mergeCells count="10">
    <mergeCell ref="B3:B4"/>
    <mergeCell ref="C3:C4"/>
    <mergeCell ref="D3:D4"/>
    <mergeCell ref="M3:M4"/>
    <mergeCell ref="A1:M1"/>
    <mergeCell ref="E3:F3"/>
    <mergeCell ref="G3:H3"/>
    <mergeCell ref="I3:J3"/>
    <mergeCell ref="K3:L3"/>
    <mergeCell ref="A3:A4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124"/>
  <sheetViews>
    <sheetView tabSelected="1" view="pageBreakPreview" zoomScaleNormal="60" zoomScaleSheetLayoutView="100" workbookViewId="0">
      <selection activeCell="J14" sqref="J14"/>
    </sheetView>
  </sheetViews>
  <sheetFormatPr defaultRowHeight="12.75"/>
  <cols>
    <col min="1" max="1" width="6.42578125" style="129" customWidth="1"/>
    <col min="2" max="2" width="13" style="118" customWidth="1"/>
    <col min="3" max="3" width="64.140625" style="118" customWidth="1"/>
    <col min="4" max="12" width="9.85546875" style="118" customWidth="1"/>
    <col min="13" max="13" width="11.5703125" style="102" customWidth="1"/>
    <col min="14" max="16384" width="9.140625" style="50"/>
  </cols>
  <sheetData>
    <row r="1" spans="1:13" s="48" customFormat="1">
      <c r="A1" s="175" t="s">
        <v>287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48" customFormat="1">
      <c r="A2" s="16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27.75" customHeight="1">
      <c r="A3" s="172" t="s">
        <v>294</v>
      </c>
      <c r="B3" s="173" t="s">
        <v>295</v>
      </c>
      <c r="C3" s="173" t="s">
        <v>296</v>
      </c>
      <c r="D3" s="173" t="s">
        <v>297</v>
      </c>
      <c r="E3" s="172" t="s">
        <v>298</v>
      </c>
      <c r="F3" s="172"/>
      <c r="G3" s="173" t="s">
        <v>299</v>
      </c>
      <c r="H3" s="173"/>
      <c r="I3" s="173" t="s">
        <v>6</v>
      </c>
      <c r="J3" s="173"/>
      <c r="K3" s="172" t="s">
        <v>300</v>
      </c>
      <c r="L3" s="172"/>
      <c r="M3" s="172" t="s">
        <v>4</v>
      </c>
    </row>
    <row r="4" spans="1:13" ht="12.75" customHeight="1">
      <c r="A4" s="172"/>
      <c r="B4" s="173"/>
      <c r="C4" s="173"/>
      <c r="D4" s="173"/>
      <c r="E4" s="77" t="s">
        <v>301</v>
      </c>
      <c r="F4" s="77" t="s">
        <v>263</v>
      </c>
      <c r="G4" s="77" t="s">
        <v>301</v>
      </c>
      <c r="H4" s="77" t="s">
        <v>263</v>
      </c>
      <c r="I4" s="77" t="s">
        <v>301</v>
      </c>
      <c r="J4" s="77" t="s">
        <v>263</v>
      </c>
      <c r="K4" s="77" t="s">
        <v>301</v>
      </c>
      <c r="L4" s="77" t="s">
        <v>263</v>
      </c>
      <c r="M4" s="172"/>
    </row>
    <row r="5" spans="1:13">
      <c r="A5" s="77">
        <v>1</v>
      </c>
      <c r="B5" s="77">
        <v>2</v>
      </c>
      <c r="C5" s="76">
        <v>3</v>
      </c>
      <c r="D5" s="77">
        <v>4</v>
      </c>
      <c r="E5" s="77">
        <v>5</v>
      </c>
      <c r="F5" s="77">
        <v>6</v>
      </c>
      <c r="G5" s="77">
        <v>7</v>
      </c>
      <c r="H5" s="74">
        <v>8</v>
      </c>
      <c r="I5" s="77">
        <v>9</v>
      </c>
      <c r="J5" s="74">
        <v>10</v>
      </c>
      <c r="K5" s="77">
        <v>11</v>
      </c>
      <c r="L5" s="74">
        <v>12</v>
      </c>
      <c r="M5" s="74">
        <v>13</v>
      </c>
    </row>
    <row r="6" spans="1:1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59"/>
    </row>
    <row r="7" spans="1:13" ht="25.5">
      <c r="A7" s="77"/>
      <c r="B7" s="106"/>
      <c r="C7" s="76" t="s">
        <v>100</v>
      </c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>
      <c r="A8" s="77"/>
      <c r="B8" s="106"/>
      <c r="C8" s="76"/>
      <c r="D8" s="106"/>
      <c r="E8" s="106"/>
      <c r="F8" s="106"/>
      <c r="G8" s="106"/>
      <c r="H8" s="106"/>
      <c r="I8" s="106"/>
      <c r="J8" s="106"/>
      <c r="K8" s="106"/>
      <c r="L8" s="106"/>
      <c r="M8" s="107"/>
    </row>
    <row r="9" spans="1:13">
      <c r="A9" s="106">
        <v>1.1000000000000001</v>
      </c>
      <c r="B9" s="112" t="s">
        <v>118</v>
      </c>
      <c r="C9" s="123" t="s">
        <v>119</v>
      </c>
      <c r="D9" s="106" t="s">
        <v>314</v>
      </c>
      <c r="E9" s="106"/>
      <c r="F9" s="108">
        <v>424</v>
      </c>
      <c r="G9" s="128"/>
      <c r="H9" s="128"/>
      <c r="I9" s="128"/>
      <c r="J9" s="128"/>
      <c r="K9" s="128"/>
      <c r="L9" s="128"/>
      <c r="M9" s="107"/>
    </row>
    <row r="10" spans="1:13">
      <c r="A10" s="106"/>
      <c r="B10" s="112"/>
      <c r="C10" s="124"/>
      <c r="D10" s="106" t="s">
        <v>315</v>
      </c>
      <c r="E10" s="108"/>
      <c r="F10" s="125">
        <f>F9/10000</f>
        <v>4.24E-2</v>
      </c>
      <c r="G10" s="108"/>
      <c r="H10" s="108"/>
      <c r="I10" s="108"/>
      <c r="J10" s="108"/>
      <c r="K10" s="108"/>
      <c r="L10" s="108"/>
      <c r="M10" s="108"/>
    </row>
    <row r="11" spans="1:13">
      <c r="A11" s="106" t="s">
        <v>0</v>
      </c>
      <c r="B11" s="112"/>
      <c r="C11" s="124" t="s">
        <v>15</v>
      </c>
      <c r="D11" s="106" t="s">
        <v>1</v>
      </c>
      <c r="E11" s="108">
        <v>0.31</v>
      </c>
      <c r="F11" s="108">
        <f>E11*F10</f>
        <v>1.3143999999999999E-2</v>
      </c>
      <c r="G11" s="108"/>
      <c r="H11" s="108"/>
      <c r="I11" s="108"/>
      <c r="J11" s="108"/>
      <c r="K11" s="108"/>
      <c r="L11" s="108"/>
      <c r="M11" s="108"/>
    </row>
    <row r="12" spans="1:13">
      <c r="A12" s="106" t="s">
        <v>197</v>
      </c>
      <c r="B12" s="112" t="s">
        <v>316</v>
      </c>
      <c r="C12" s="126" t="s">
        <v>73</v>
      </c>
      <c r="D12" s="106" t="s">
        <v>24</v>
      </c>
      <c r="E12" s="108">
        <v>1.1200000000000001</v>
      </c>
      <c r="F12" s="108">
        <f>E12*F10</f>
        <v>4.7488000000000002E-2</v>
      </c>
      <c r="G12" s="108"/>
      <c r="H12" s="108"/>
      <c r="I12" s="108"/>
      <c r="J12" s="108"/>
      <c r="K12" s="108"/>
      <c r="L12" s="108"/>
      <c r="M12" s="108"/>
    </row>
    <row r="13" spans="1:13">
      <c r="A13" s="106"/>
      <c r="B13" s="112"/>
      <c r="C13" s="123"/>
      <c r="D13" s="106"/>
      <c r="E13" s="106"/>
      <c r="F13" s="107"/>
      <c r="G13" s="128"/>
      <c r="H13" s="128"/>
      <c r="I13" s="128"/>
      <c r="J13" s="128"/>
      <c r="K13" s="107"/>
      <c r="L13" s="107"/>
      <c r="M13" s="107"/>
    </row>
    <row r="14" spans="1:13">
      <c r="A14" s="106">
        <v>1.2</v>
      </c>
      <c r="B14" s="112" t="s">
        <v>318</v>
      </c>
      <c r="C14" s="123" t="s">
        <v>111</v>
      </c>
      <c r="D14" s="106" t="s">
        <v>303</v>
      </c>
      <c r="E14" s="106"/>
      <c r="F14" s="106">
        <v>27.4</v>
      </c>
      <c r="G14" s="128"/>
      <c r="H14" s="128"/>
      <c r="I14" s="128"/>
      <c r="J14" s="128"/>
      <c r="K14" s="128"/>
      <c r="L14" s="128"/>
      <c r="M14" s="107"/>
    </row>
    <row r="15" spans="1:13">
      <c r="A15" s="106"/>
      <c r="B15" s="112"/>
      <c r="C15" s="124"/>
      <c r="D15" s="106" t="s">
        <v>320</v>
      </c>
      <c r="E15" s="108"/>
      <c r="F15" s="125">
        <f>F14/100</f>
        <v>0.27399999999999997</v>
      </c>
      <c r="G15" s="108"/>
      <c r="H15" s="108"/>
      <c r="I15" s="108"/>
      <c r="J15" s="108"/>
      <c r="K15" s="108"/>
      <c r="L15" s="108"/>
      <c r="M15" s="108"/>
    </row>
    <row r="16" spans="1:13">
      <c r="A16" s="106" t="s">
        <v>21</v>
      </c>
      <c r="B16" s="112"/>
      <c r="C16" s="126" t="s">
        <v>15</v>
      </c>
      <c r="D16" s="106" t="s">
        <v>1</v>
      </c>
      <c r="E16" s="108">
        <v>15</v>
      </c>
      <c r="F16" s="108">
        <f>E16*F15</f>
        <v>4.1099999999999994</v>
      </c>
      <c r="G16" s="108"/>
      <c r="H16" s="108"/>
      <c r="I16" s="108"/>
      <c r="J16" s="108"/>
      <c r="K16" s="108"/>
      <c r="L16" s="108"/>
      <c r="M16" s="108"/>
    </row>
    <row r="17" spans="1:13">
      <c r="A17" s="106" t="s">
        <v>35</v>
      </c>
      <c r="B17" s="112" t="s">
        <v>316</v>
      </c>
      <c r="C17" s="126" t="s">
        <v>73</v>
      </c>
      <c r="D17" s="106" t="s">
        <v>24</v>
      </c>
      <c r="E17" s="108">
        <v>2.16</v>
      </c>
      <c r="F17" s="108">
        <f>E17*F15</f>
        <v>0.59183999999999992</v>
      </c>
      <c r="G17" s="108"/>
      <c r="H17" s="108"/>
      <c r="I17" s="108"/>
      <c r="J17" s="108"/>
      <c r="K17" s="108"/>
      <c r="L17" s="108"/>
      <c r="M17" s="108"/>
    </row>
    <row r="18" spans="1:13">
      <c r="A18" s="106" t="s">
        <v>36</v>
      </c>
      <c r="B18" s="112" t="s">
        <v>321</v>
      </c>
      <c r="C18" s="126" t="s">
        <v>84</v>
      </c>
      <c r="D18" s="106" t="s">
        <v>24</v>
      </c>
      <c r="E18" s="108">
        <v>2.73</v>
      </c>
      <c r="F18" s="108">
        <f>E18*F15</f>
        <v>0.74801999999999991</v>
      </c>
      <c r="G18" s="108"/>
      <c r="H18" s="108"/>
      <c r="I18" s="108"/>
      <c r="J18" s="108"/>
      <c r="K18" s="108"/>
      <c r="L18" s="108"/>
      <c r="M18" s="108"/>
    </row>
    <row r="19" spans="1:13">
      <c r="A19" s="106" t="s">
        <v>37</v>
      </c>
      <c r="B19" s="112" t="s">
        <v>322</v>
      </c>
      <c r="C19" s="126" t="s">
        <v>74</v>
      </c>
      <c r="D19" s="106" t="s">
        <v>24</v>
      </c>
      <c r="E19" s="108">
        <v>0.97</v>
      </c>
      <c r="F19" s="108">
        <f>E19*F15</f>
        <v>0.26577999999999996</v>
      </c>
      <c r="G19" s="108"/>
      <c r="H19" s="108"/>
      <c r="I19" s="108"/>
      <c r="J19" s="108"/>
      <c r="K19" s="108"/>
      <c r="L19" s="108"/>
      <c r="M19" s="108"/>
    </row>
    <row r="20" spans="1:13">
      <c r="A20" s="106" t="s">
        <v>38</v>
      </c>
      <c r="B20" s="112"/>
      <c r="C20" s="126" t="s">
        <v>75</v>
      </c>
      <c r="D20" s="106" t="s">
        <v>303</v>
      </c>
      <c r="E20" s="108">
        <v>7</v>
      </c>
      <c r="F20" s="108">
        <f>E20*F15</f>
        <v>1.9179999999999997</v>
      </c>
      <c r="G20" s="108"/>
      <c r="H20" s="108"/>
      <c r="I20" s="108"/>
      <c r="J20" s="108"/>
      <c r="K20" s="108"/>
      <c r="L20" s="108"/>
      <c r="M20" s="108"/>
    </row>
    <row r="21" spans="1:13">
      <c r="A21" s="106" t="s">
        <v>39</v>
      </c>
      <c r="B21" s="112" t="s">
        <v>346</v>
      </c>
      <c r="C21" s="126" t="s">
        <v>163</v>
      </c>
      <c r="D21" s="106" t="s">
        <v>303</v>
      </c>
      <c r="E21" s="108">
        <v>122</v>
      </c>
      <c r="F21" s="108">
        <f>E21*F15</f>
        <v>33.427999999999997</v>
      </c>
      <c r="G21" s="108"/>
      <c r="H21" s="108"/>
      <c r="I21" s="108"/>
      <c r="J21" s="108"/>
      <c r="K21" s="108"/>
      <c r="L21" s="108"/>
      <c r="M21" s="108"/>
    </row>
    <row r="22" spans="1:13">
      <c r="A22" s="106"/>
      <c r="B22" s="112"/>
      <c r="C22" s="123"/>
      <c r="D22" s="106"/>
      <c r="E22" s="106"/>
      <c r="F22" s="128"/>
      <c r="G22" s="128"/>
      <c r="H22" s="107"/>
      <c r="I22" s="128"/>
      <c r="J22" s="128"/>
      <c r="K22" s="107"/>
      <c r="L22" s="107"/>
      <c r="M22" s="107"/>
    </row>
    <row r="23" spans="1:13">
      <c r="A23" s="106">
        <v>1.3</v>
      </c>
      <c r="B23" s="112" t="s">
        <v>347</v>
      </c>
      <c r="C23" s="123" t="s">
        <v>259</v>
      </c>
      <c r="D23" s="106" t="s">
        <v>314</v>
      </c>
      <c r="E23" s="106"/>
      <c r="F23" s="108">
        <v>343</v>
      </c>
      <c r="G23" s="128"/>
      <c r="H23" s="128"/>
      <c r="I23" s="128"/>
      <c r="J23" s="128"/>
      <c r="K23" s="128"/>
      <c r="L23" s="128"/>
      <c r="M23" s="107"/>
    </row>
    <row r="24" spans="1:13">
      <c r="A24" s="106"/>
      <c r="B24" s="112"/>
      <c r="C24" s="124"/>
      <c r="D24" s="106" t="s">
        <v>329</v>
      </c>
      <c r="E24" s="108"/>
      <c r="F24" s="125">
        <f>F23/1000</f>
        <v>0.34300000000000003</v>
      </c>
      <c r="G24" s="108"/>
      <c r="H24" s="108"/>
      <c r="I24" s="108"/>
      <c r="J24" s="108"/>
      <c r="K24" s="108"/>
      <c r="L24" s="108"/>
      <c r="M24" s="164"/>
    </row>
    <row r="25" spans="1:13">
      <c r="A25" s="106" t="s">
        <v>30</v>
      </c>
      <c r="B25" s="112"/>
      <c r="C25" s="124" t="s">
        <v>40</v>
      </c>
      <c r="D25" s="106" t="s">
        <v>1</v>
      </c>
      <c r="E25" s="108">
        <f>33</f>
        <v>33</v>
      </c>
      <c r="F25" s="108">
        <f>E25*F24</f>
        <v>11.319000000000001</v>
      </c>
      <c r="G25" s="108"/>
      <c r="H25" s="108"/>
      <c r="I25" s="108"/>
      <c r="J25" s="108"/>
      <c r="K25" s="108"/>
      <c r="L25" s="108"/>
      <c r="M25" s="164"/>
    </row>
    <row r="26" spans="1:13">
      <c r="A26" s="106" t="s">
        <v>45</v>
      </c>
      <c r="B26" s="112" t="s">
        <v>316</v>
      </c>
      <c r="C26" s="124" t="s">
        <v>116</v>
      </c>
      <c r="D26" s="106" t="s">
        <v>24</v>
      </c>
      <c r="E26" s="108">
        <f>1.91</f>
        <v>1.91</v>
      </c>
      <c r="F26" s="108">
        <f>E26*F24</f>
        <v>0.65512999999999999</v>
      </c>
      <c r="G26" s="108"/>
      <c r="H26" s="108"/>
      <c r="I26" s="108"/>
      <c r="J26" s="108"/>
      <c r="K26" s="108"/>
      <c r="L26" s="108"/>
      <c r="M26" s="164"/>
    </row>
    <row r="27" spans="1:13">
      <c r="A27" s="106" t="s">
        <v>46</v>
      </c>
      <c r="B27" s="112" t="s">
        <v>310</v>
      </c>
      <c r="C27" s="124" t="s">
        <v>80</v>
      </c>
      <c r="D27" s="106" t="s">
        <v>24</v>
      </c>
      <c r="E27" s="108">
        <v>2.58</v>
      </c>
      <c r="F27" s="108">
        <f>E27*F24</f>
        <v>0.88494000000000006</v>
      </c>
      <c r="G27" s="108"/>
      <c r="H27" s="108"/>
      <c r="I27" s="108"/>
      <c r="J27" s="108"/>
      <c r="K27" s="108"/>
      <c r="L27" s="108"/>
      <c r="M27" s="164"/>
    </row>
    <row r="28" spans="1:13">
      <c r="A28" s="106" t="s">
        <v>47</v>
      </c>
      <c r="B28" s="112" t="s">
        <v>330</v>
      </c>
      <c r="C28" s="124" t="s">
        <v>115</v>
      </c>
      <c r="D28" s="106" t="s">
        <v>24</v>
      </c>
      <c r="E28" s="108">
        <f>11.2</f>
        <v>11.2</v>
      </c>
      <c r="F28" s="108">
        <f>E28*F24</f>
        <v>3.8416000000000001</v>
      </c>
      <c r="G28" s="108"/>
      <c r="H28" s="108"/>
      <c r="I28" s="108"/>
      <c r="J28" s="108"/>
      <c r="K28" s="108"/>
      <c r="L28" s="108"/>
      <c r="M28" s="164"/>
    </row>
    <row r="29" spans="1:13">
      <c r="A29" s="106" t="s">
        <v>213</v>
      </c>
      <c r="B29" s="112" t="s">
        <v>331</v>
      </c>
      <c r="C29" s="124" t="s">
        <v>114</v>
      </c>
      <c r="D29" s="106" t="s">
        <v>24</v>
      </c>
      <c r="E29" s="108">
        <f>24.8</f>
        <v>24.8</v>
      </c>
      <c r="F29" s="108">
        <f>E29*F24</f>
        <v>8.5064000000000011</v>
      </c>
      <c r="G29" s="108"/>
      <c r="H29" s="108"/>
      <c r="I29" s="108"/>
      <c r="J29" s="108"/>
      <c r="K29" s="108"/>
      <c r="L29" s="108"/>
      <c r="M29" s="164"/>
    </row>
    <row r="30" spans="1:13">
      <c r="A30" s="106" t="s">
        <v>214</v>
      </c>
      <c r="B30" s="112" t="s">
        <v>322</v>
      </c>
      <c r="C30" s="124" t="s">
        <v>113</v>
      </c>
      <c r="D30" s="106" t="s">
        <v>24</v>
      </c>
      <c r="E30" s="108">
        <f>4.14</f>
        <v>4.1399999999999997</v>
      </c>
      <c r="F30" s="108">
        <f>E30*F24</f>
        <v>1.4200200000000001</v>
      </c>
      <c r="G30" s="108"/>
      <c r="H30" s="108"/>
      <c r="I30" s="108"/>
      <c r="J30" s="108"/>
      <c r="K30" s="108"/>
      <c r="L30" s="108"/>
      <c r="M30" s="164"/>
    </row>
    <row r="31" spans="1:13">
      <c r="A31" s="106" t="s">
        <v>215</v>
      </c>
      <c r="B31" s="112" t="s">
        <v>348</v>
      </c>
      <c r="C31" s="124" t="s">
        <v>87</v>
      </c>
      <c r="D31" s="106" t="s">
        <v>24</v>
      </c>
      <c r="E31" s="108">
        <v>0.53</v>
      </c>
      <c r="F31" s="108">
        <f>E31*F24</f>
        <v>0.18179000000000003</v>
      </c>
      <c r="G31" s="108"/>
      <c r="H31" s="108"/>
      <c r="I31" s="108"/>
      <c r="J31" s="108"/>
      <c r="K31" s="108"/>
      <c r="L31" s="108"/>
      <c r="M31" s="164"/>
    </row>
    <row r="32" spans="1:13">
      <c r="A32" s="106" t="s">
        <v>237</v>
      </c>
      <c r="B32" s="112"/>
      <c r="C32" s="124" t="s">
        <v>112</v>
      </c>
      <c r="D32" s="106" t="s">
        <v>303</v>
      </c>
      <c r="E32" s="108">
        <f>30</f>
        <v>30</v>
      </c>
      <c r="F32" s="108">
        <f>E32*F24</f>
        <v>10.290000000000001</v>
      </c>
      <c r="G32" s="108"/>
      <c r="H32" s="108"/>
      <c r="I32" s="108"/>
      <c r="J32" s="108"/>
      <c r="K32" s="108"/>
      <c r="L32" s="108"/>
      <c r="M32" s="164"/>
    </row>
    <row r="33" spans="1:13">
      <c r="A33" s="106" t="s">
        <v>258</v>
      </c>
      <c r="B33" s="112" t="s">
        <v>349</v>
      </c>
      <c r="C33" s="124" t="s">
        <v>139</v>
      </c>
      <c r="D33" s="106" t="s">
        <v>303</v>
      </c>
      <c r="E33" s="108">
        <f>204-12.6*5</f>
        <v>141</v>
      </c>
      <c r="F33" s="108">
        <f>E33*F24</f>
        <v>48.363000000000007</v>
      </c>
      <c r="G33" s="108"/>
      <c r="H33" s="108"/>
      <c r="I33" s="108"/>
      <c r="J33" s="108"/>
      <c r="K33" s="108"/>
      <c r="L33" s="108"/>
      <c r="M33" s="164"/>
    </row>
    <row r="34" spans="1:13">
      <c r="A34" s="106"/>
      <c r="B34" s="112"/>
      <c r="C34" s="123"/>
      <c r="D34" s="106"/>
      <c r="E34" s="106"/>
      <c r="F34" s="107"/>
      <c r="G34" s="128"/>
      <c r="H34" s="107"/>
      <c r="I34" s="128"/>
      <c r="J34" s="128"/>
      <c r="K34" s="107"/>
      <c r="L34" s="107"/>
      <c r="M34" s="107"/>
    </row>
    <row r="35" spans="1:13">
      <c r="A35" s="106">
        <v>1.4</v>
      </c>
      <c r="B35" s="112" t="s">
        <v>82</v>
      </c>
      <c r="C35" s="123" t="s">
        <v>81</v>
      </c>
      <c r="D35" s="106" t="s">
        <v>23</v>
      </c>
      <c r="E35" s="106"/>
      <c r="F35" s="125">
        <f>0.7*F23/1000</f>
        <v>0.24010000000000001</v>
      </c>
      <c r="G35" s="128"/>
      <c r="H35" s="128"/>
      <c r="I35" s="128"/>
      <c r="J35" s="128"/>
      <c r="K35" s="128"/>
      <c r="L35" s="128"/>
      <c r="M35" s="107"/>
    </row>
    <row r="36" spans="1:13">
      <c r="A36" s="106"/>
      <c r="B36" s="112"/>
      <c r="C36" s="124"/>
      <c r="D36" s="106" t="s">
        <v>104</v>
      </c>
      <c r="E36" s="108"/>
      <c r="F36" s="125">
        <f>F35</f>
        <v>0.24010000000000001</v>
      </c>
      <c r="G36" s="108"/>
      <c r="H36" s="108"/>
      <c r="I36" s="108"/>
      <c r="J36" s="108"/>
      <c r="K36" s="108"/>
      <c r="L36" s="108"/>
      <c r="M36" s="108"/>
    </row>
    <row r="37" spans="1:13">
      <c r="A37" s="106" t="s">
        <v>22</v>
      </c>
      <c r="B37" s="112" t="s">
        <v>325</v>
      </c>
      <c r="C37" s="124" t="s">
        <v>83</v>
      </c>
      <c r="D37" s="106" t="s">
        <v>24</v>
      </c>
      <c r="E37" s="108">
        <v>0.3</v>
      </c>
      <c r="F37" s="108">
        <f>ROUND(E37*F36,1)</f>
        <v>0.1</v>
      </c>
      <c r="G37" s="108"/>
      <c r="H37" s="108"/>
      <c r="I37" s="108"/>
      <c r="J37" s="108"/>
      <c r="K37" s="108"/>
      <c r="L37" s="108"/>
      <c r="M37" s="108"/>
    </row>
    <row r="38" spans="1:13">
      <c r="A38" s="106" t="s">
        <v>231</v>
      </c>
      <c r="B38" s="112" t="s">
        <v>326</v>
      </c>
      <c r="C38" s="124" t="s">
        <v>88</v>
      </c>
      <c r="D38" s="106" t="s">
        <v>23</v>
      </c>
      <c r="E38" s="108">
        <v>1.03</v>
      </c>
      <c r="F38" s="108">
        <f>ROUND(E38*F36,2)</f>
        <v>0.25</v>
      </c>
      <c r="G38" s="108"/>
      <c r="H38" s="108"/>
      <c r="I38" s="108"/>
      <c r="J38" s="108"/>
      <c r="K38" s="108"/>
      <c r="L38" s="108"/>
      <c r="M38" s="108"/>
    </row>
    <row r="39" spans="1:13">
      <c r="A39" s="106"/>
      <c r="B39" s="112"/>
      <c r="C39" s="123"/>
      <c r="D39" s="106"/>
      <c r="E39" s="106"/>
      <c r="F39" s="107"/>
      <c r="G39" s="128"/>
      <c r="H39" s="107"/>
      <c r="I39" s="128"/>
      <c r="J39" s="128"/>
      <c r="K39" s="107"/>
      <c r="L39" s="107"/>
      <c r="M39" s="107"/>
    </row>
    <row r="40" spans="1:13" ht="25.5">
      <c r="A40" s="106">
        <v>1.5</v>
      </c>
      <c r="B40" s="161" t="s">
        <v>89</v>
      </c>
      <c r="C40" s="123" t="s">
        <v>328</v>
      </c>
      <c r="D40" s="106" t="s">
        <v>314</v>
      </c>
      <c r="E40" s="106"/>
      <c r="F40" s="108">
        <f>F23</f>
        <v>343</v>
      </c>
      <c r="G40" s="128"/>
      <c r="H40" s="128"/>
      <c r="I40" s="128"/>
      <c r="J40" s="128"/>
      <c r="K40" s="128"/>
      <c r="L40" s="128"/>
      <c r="M40" s="107"/>
    </row>
    <row r="41" spans="1:13">
      <c r="A41" s="106"/>
      <c r="B41" s="161"/>
      <c r="C41" s="124"/>
      <c r="D41" s="106" t="s">
        <v>329</v>
      </c>
      <c r="E41" s="108"/>
      <c r="F41" s="125">
        <f>F40/1000</f>
        <v>0.34300000000000003</v>
      </c>
      <c r="G41" s="108"/>
      <c r="H41" s="108"/>
      <c r="I41" s="108"/>
      <c r="J41" s="108"/>
      <c r="K41" s="108"/>
      <c r="L41" s="108"/>
      <c r="M41" s="108"/>
    </row>
    <row r="42" spans="1:13">
      <c r="A42" s="106" t="s">
        <v>200</v>
      </c>
      <c r="B42" s="161"/>
      <c r="C42" s="124" t="s">
        <v>15</v>
      </c>
      <c r="D42" s="106" t="s">
        <v>1</v>
      </c>
      <c r="E42" s="108">
        <f>37.5+4*0.07</f>
        <v>37.78</v>
      </c>
      <c r="F42" s="108">
        <f>E42*F41</f>
        <v>12.958540000000001</v>
      </c>
      <c r="G42" s="108"/>
      <c r="H42" s="108"/>
      <c r="I42" s="108"/>
      <c r="J42" s="108"/>
      <c r="K42" s="108"/>
      <c r="L42" s="108"/>
      <c r="M42" s="108"/>
    </row>
    <row r="43" spans="1:13">
      <c r="A43" s="106" t="s">
        <v>201</v>
      </c>
      <c r="B43" s="161" t="s">
        <v>330</v>
      </c>
      <c r="C43" s="124" t="s">
        <v>85</v>
      </c>
      <c r="D43" s="106" t="s">
        <v>24</v>
      </c>
      <c r="E43" s="108">
        <v>3.7</v>
      </c>
      <c r="F43" s="108">
        <f>E43*F41</f>
        <v>1.2691000000000001</v>
      </c>
      <c r="G43" s="108"/>
      <c r="H43" s="108"/>
      <c r="I43" s="108"/>
      <c r="J43" s="108"/>
      <c r="K43" s="108"/>
      <c r="L43" s="108"/>
      <c r="M43" s="108"/>
    </row>
    <row r="44" spans="1:13">
      <c r="A44" s="106" t="s">
        <v>202</v>
      </c>
      <c r="B44" s="161" t="s">
        <v>331</v>
      </c>
      <c r="C44" s="124" t="s">
        <v>86</v>
      </c>
      <c r="D44" s="106" t="s">
        <v>24</v>
      </c>
      <c r="E44" s="108">
        <v>11.1</v>
      </c>
      <c r="F44" s="108">
        <f>E44*F41</f>
        <v>3.8073000000000001</v>
      </c>
      <c r="G44" s="108"/>
      <c r="H44" s="108"/>
      <c r="I44" s="108"/>
      <c r="J44" s="108"/>
      <c r="K44" s="108"/>
      <c r="L44" s="108"/>
      <c r="M44" s="108"/>
    </row>
    <row r="45" spans="1:13">
      <c r="A45" s="106" t="s">
        <v>203</v>
      </c>
      <c r="B45" s="161" t="s">
        <v>332</v>
      </c>
      <c r="C45" s="124" t="s">
        <v>90</v>
      </c>
      <c r="D45" s="106" t="s">
        <v>24</v>
      </c>
      <c r="E45" s="108">
        <v>3.02</v>
      </c>
      <c r="F45" s="108">
        <f>E45*F41</f>
        <v>1.03586</v>
      </c>
      <c r="G45" s="108"/>
      <c r="H45" s="108"/>
      <c r="I45" s="108"/>
      <c r="J45" s="108"/>
      <c r="K45" s="108"/>
      <c r="L45" s="108"/>
      <c r="M45" s="108"/>
    </row>
    <row r="46" spans="1:13">
      <c r="A46" s="106" t="s">
        <v>216</v>
      </c>
      <c r="B46" s="161"/>
      <c r="C46" s="124" t="s">
        <v>13</v>
      </c>
      <c r="D46" s="106" t="s">
        <v>25</v>
      </c>
      <c r="E46" s="108">
        <v>2.2999999999999998</v>
      </c>
      <c r="F46" s="108">
        <f>E46*F41</f>
        <v>0.78890000000000005</v>
      </c>
      <c r="G46" s="108"/>
      <c r="H46" s="108"/>
      <c r="I46" s="108"/>
      <c r="J46" s="108"/>
      <c r="K46" s="108"/>
      <c r="L46" s="108"/>
      <c r="M46" s="108"/>
    </row>
    <row r="47" spans="1:13">
      <c r="A47" s="106" t="s">
        <v>217</v>
      </c>
      <c r="B47" s="161" t="s">
        <v>333</v>
      </c>
      <c r="C47" s="124" t="s">
        <v>334</v>
      </c>
      <c r="D47" s="106" t="s">
        <v>23</v>
      </c>
      <c r="E47" s="108">
        <f>97.4+4*12.1</f>
        <v>145.80000000000001</v>
      </c>
      <c r="F47" s="108">
        <f>E47*F41</f>
        <v>50.009400000000007</v>
      </c>
      <c r="G47" s="108"/>
      <c r="H47" s="108"/>
      <c r="I47" s="108"/>
      <c r="J47" s="108"/>
      <c r="K47" s="108"/>
      <c r="L47" s="108"/>
      <c r="M47" s="108"/>
    </row>
    <row r="48" spans="1:13">
      <c r="A48" s="106" t="s">
        <v>236</v>
      </c>
      <c r="B48" s="161"/>
      <c r="C48" s="124" t="s">
        <v>14</v>
      </c>
      <c r="D48" s="106" t="s">
        <v>25</v>
      </c>
      <c r="E48" s="108">
        <f>14.5+4*0.2</f>
        <v>15.3</v>
      </c>
      <c r="F48" s="108">
        <f>E48*F41</f>
        <v>5.2479000000000005</v>
      </c>
      <c r="G48" s="108"/>
      <c r="H48" s="108"/>
      <c r="I48" s="108"/>
      <c r="J48" s="108"/>
      <c r="K48" s="108"/>
      <c r="L48" s="108"/>
      <c r="M48" s="108"/>
    </row>
    <row r="49" spans="1:13">
      <c r="A49" s="106"/>
      <c r="B49" s="161"/>
      <c r="C49" s="123"/>
      <c r="D49" s="106"/>
      <c r="E49" s="106"/>
      <c r="F49" s="107"/>
      <c r="G49" s="128"/>
      <c r="H49" s="107"/>
      <c r="I49" s="128"/>
      <c r="J49" s="128"/>
      <c r="K49" s="128"/>
      <c r="L49" s="128"/>
      <c r="M49" s="107"/>
    </row>
    <row r="50" spans="1:13">
      <c r="A50" s="106">
        <v>1.6</v>
      </c>
      <c r="B50" s="112" t="s">
        <v>82</v>
      </c>
      <c r="C50" s="123" t="s">
        <v>81</v>
      </c>
      <c r="D50" s="106" t="s">
        <v>23</v>
      </c>
      <c r="E50" s="106"/>
      <c r="F50" s="125">
        <f>0.7*0.5*F55/1000</f>
        <v>0.12005</v>
      </c>
      <c r="G50" s="128"/>
      <c r="H50" s="128"/>
      <c r="I50" s="128"/>
      <c r="J50" s="128"/>
      <c r="K50" s="128"/>
      <c r="L50" s="128"/>
      <c r="M50" s="107"/>
    </row>
    <row r="51" spans="1:13">
      <c r="A51" s="106"/>
      <c r="B51" s="112"/>
      <c r="C51" s="124"/>
      <c r="D51" s="106" t="s">
        <v>104</v>
      </c>
      <c r="E51" s="108"/>
      <c r="F51" s="125">
        <f>F50</f>
        <v>0.12005</v>
      </c>
      <c r="G51" s="108"/>
      <c r="H51" s="108"/>
      <c r="I51" s="108"/>
      <c r="J51" s="108"/>
      <c r="K51" s="108"/>
      <c r="L51" s="108"/>
      <c r="M51" s="108"/>
    </row>
    <row r="52" spans="1:13">
      <c r="A52" s="106" t="s">
        <v>60</v>
      </c>
      <c r="B52" s="112" t="s">
        <v>325</v>
      </c>
      <c r="C52" s="124" t="s">
        <v>83</v>
      </c>
      <c r="D52" s="106" t="s">
        <v>24</v>
      </c>
      <c r="E52" s="108">
        <v>0.3</v>
      </c>
      <c r="F52" s="108">
        <f>ROUND(E52*F51,1)</f>
        <v>0</v>
      </c>
      <c r="G52" s="108"/>
      <c r="H52" s="108"/>
      <c r="I52" s="108"/>
      <c r="J52" s="108"/>
      <c r="K52" s="108"/>
      <c r="L52" s="108"/>
      <c r="M52" s="108"/>
    </row>
    <row r="53" spans="1:13">
      <c r="A53" s="106" t="s">
        <v>61</v>
      </c>
      <c r="B53" s="112" t="s">
        <v>326</v>
      </c>
      <c r="C53" s="124" t="s">
        <v>88</v>
      </c>
      <c r="D53" s="106" t="s">
        <v>23</v>
      </c>
      <c r="E53" s="108">
        <v>1.03</v>
      </c>
      <c r="F53" s="108">
        <f>ROUND(E53*F51,2)</f>
        <v>0.12</v>
      </c>
      <c r="G53" s="108"/>
      <c r="H53" s="108"/>
      <c r="I53" s="108"/>
      <c r="J53" s="108"/>
      <c r="K53" s="108"/>
      <c r="L53" s="108"/>
      <c r="M53" s="108"/>
    </row>
    <row r="54" spans="1:13">
      <c r="A54" s="106"/>
      <c r="B54" s="112"/>
      <c r="C54" s="123"/>
      <c r="D54" s="106"/>
      <c r="E54" s="106"/>
      <c r="F54" s="107"/>
      <c r="G54" s="128"/>
      <c r="H54" s="107"/>
      <c r="I54" s="128"/>
      <c r="J54" s="128"/>
      <c r="K54" s="107"/>
      <c r="L54" s="107"/>
      <c r="M54" s="107"/>
    </row>
    <row r="55" spans="1:13" ht="25.5">
      <c r="A55" s="106">
        <v>1.7</v>
      </c>
      <c r="B55" s="161" t="s">
        <v>89</v>
      </c>
      <c r="C55" s="123" t="s">
        <v>260</v>
      </c>
      <c r="D55" s="106" t="s">
        <v>314</v>
      </c>
      <c r="E55" s="106"/>
      <c r="F55" s="108">
        <f>F40</f>
        <v>343</v>
      </c>
      <c r="G55" s="128"/>
      <c r="H55" s="128"/>
      <c r="I55" s="128"/>
      <c r="J55" s="128"/>
      <c r="K55" s="128"/>
      <c r="L55" s="128"/>
      <c r="M55" s="107"/>
    </row>
    <row r="56" spans="1:13">
      <c r="A56" s="106"/>
      <c r="B56" s="161"/>
      <c r="C56" s="124"/>
      <c r="D56" s="106" t="s">
        <v>335</v>
      </c>
      <c r="E56" s="108"/>
      <c r="F56" s="125">
        <f>F41</f>
        <v>0.34300000000000003</v>
      </c>
      <c r="G56" s="108"/>
      <c r="H56" s="108"/>
      <c r="I56" s="108"/>
      <c r="J56" s="108"/>
      <c r="K56" s="108"/>
      <c r="L56" s="108"/>
      <c r="M56" s="108"/>
    </row>
    <row r="57" spans="1:13">
      <c r="A57" s="106" t="s">
        <v>62</v>
      </c>
      <c r="B57" s="161"/>
      <c r="C57" s="124" t="s">
        <v>15</v>
      </c>
      <c r="D57" s="106" t="s">
        <v>1</v>
      </c>
      <c r="E57" s="108">
        <f>37.5-2*0.07</f>
        <v>37.36</v>
      </c>
      <c r="F57" s="108">
        <f>E57*F56</f>
        <v>12.814480000000001</v>
      </c>
      <c r="G57" s="108"/>
      <c r="H57" s="108"/>
      <c r="I57" s="108"/>
      <c r="J57" s="108"/>
      <c r="K57" s="108"/>
      <c r="L57" s="108"/>
      <c r="M57" s="108"/>
    </row>
    <row r="58" spans="1:13">
      <c r="A58" s="106" t="s">
        <v>63</v>
      </c>
      <c r="B58" s="161" t="s">
        <v>330</v>
      </c>
      <c r="C58" s="124" t="s">
        <v>85</v>
      </c>
      <c r="D58" s="106" t="s">
        <v>24</v>
      </c>
      <c r="E58" s="108">
        <v>3.7</v>
      </c>
      <c r="F58" s="108">
        <f>E58*F56</f>
        <v>1.2691000000000001</v>
      </c>
      <c r="G58" s="108"/>
      <c r="H58" s="108"/>
      <c r="I58" s="108"/>
      <c r="J58" s="108"/>
      <c r="K58" s="108"/>
      <c r="L58" s="108"/>
      <c r="M58" s="108"/>
    </row>
    <row r="59" spans="1:13">
      <c r="A59" s="106" t="s">
        <v>206</v>
      </c>
      <c r="B59" s="161" t="s">
        <v>331</v>
      </c>
      <c r="C59" s="124" t="s">
        <v>86</v>
      </c>
      <c r="D59" s="106" t="s">
        <v>24</v>
      </c>
      <c r="E59" s="108">
        <v>11.1</v>
      </c>
      <c r="F59" s="108">
        <f>E59*F56</f>
        <v>3.8073000000000001</v>
      </c>
      <c r="G59" s="108"/>
      <c r="H59" s="108"/>
      <c r="I59" s="108"/>
      <c r="J59" s="108"/>
      <c r="K59" s="108"/>
      <c r="L59" s="108"/>
      <c r="M59" s="108"/>
    </row>
    <row r="60" spans="1:13">
      <c r="A60" s="106" t="s">
        <v>207</v>
      </c>
      <c r="B60" s="161" t="s">
        <v>332</v>
      </c>
      <c r="C60" s="124" t="s">
        <v>90</v>
      </c>
      <c r="D60" s="106" t="s">
        <v>24</v>
      </c>
      <c r="E60" s="108">
        <v>3.02</v>
      </c>
      <c r="F60" s="108">
        <f>E60*F56</f>
        <v>1.03586</v>
      </c>
      <c r="G60" s="108"/>
      <c r="H60" s="108"/>
      <c r="I60" s="108"/>
      <c r="J60" s="108"/>
      <c r="K60" s="108"/>
      <c r="L60" s="108"/>
      <c r="M60" s="108"/>
    </row>
    <row r="61" spans="1:13">
      <c r="A61" s="106" t="s">
        <v>208</v>
      </c>
      <c r="B61" s="161"/>
      <c r="C61" s="124" t="s">
        <v>13</v>
      </c>
      <c r="D61" s="106" t="s">
        <v>25</v>
      </c>
      <c r="E61" s="108">
        <v>2.2999999999999998</v>
      </c>
      <c r="F61" s="108">
        <f>E61*F56</f>
        <v>0.78890000000000005</v>
      </c>
      <c r="G61" s="108"/>
      <c r="H61" s="108"/>
      <c r="I61" s="108"/>
      <c r="J61" s="108"/>
      <c r="K61" s="108"/>
      <c r="L61" s="108"/>
      <c r="M61" s="108"/>
    </row>
    <row r="62" spans="1:13">
      <c r="A62" s="106" t="s">
        <v>209</v>
      </c>
      <c r="B62" s="161" t="s">
        <v>336</v>
      </c>
      <c r="C62" s="124" t="s">
        <v>257</v>
      </c>
      <c r="D62" s="106" t="s">
        <v>23</v>
      </c>
      <c r="E62" s="108">
        <f>97.4-2*12.1</f>
        <v>73.2</v>
      </c>
      <c r="F62" s="108">
        <f>E62*F56</f>
        <v>25.107600000000001</v>
      </c>
      <c r="G62" s="108"/>
      <c r="H62" s="108"/>
      <c r="I62" s="108"/>
      <c r="J62" s="108"/>
      <c r="K62" s="108"/>
      <c r="L62" s="108"/>
      <c r="M62" s="108"/>
    </row>
    <row r="63" spans="1:13">
      <c r="A63" s="106" t="s">
        <v>210</v>
      </c>
      <c r="B63" s="161"/>
      <c r="C63" s="124" t="s">
        <v>14</v>
      </c>
      <c r="D63" s="106" t="s">
        <v>25</v>
      </c>
      <c r="E63" s="108">
        <f>14.5-2*0.2</f>
        <v>14.1</v>
      </c>
      <c r="F63" s="108">
        <f>E63*F56</f>
        <v>4.8363000000000005</v>
      </c>
      <c r="G63" s="108"/>
      <c r="H63" s="108"/>
      <c r="I63" s="108"/>
      <c r="J63" s="108"/>
      <c r="K63" s="108"/>
      <c r="L63" s="108"/>
      <c r="M63" s="108"/>
    </row>
    <row r="64" spans="1:13">
      <c r="A64" s="106"/>
      <c r="B64" s="161"/>
      <c r="C64" s="123"/>
      <c r="D64" s="106"/>
      <c r="E64" s="106"/>
      <c r="F64" s="107"/>
      <c r="G64" s="128"/>
      <c r="H64" s="107"/>
      <c r="I64" s="128"/>
      <c r="J64" s="128"/>
      <c r="K64" s="128"/>
      <c r="L64" s="128"/>
      <c r="M64" s="107"/>
    </row>
    <row r="65" spans="1:13">
      <c r="A65" s="106">
        <v>1.8</v>
      </c>
      <c r="B65" s="112" t="s">
        <v>318</v>
      </c>
      <c r="C65" s="127" t="s">
        <v>238</v>
      </c>
      <c r="D65" s="106" t="s">
        <v>303</v>
      </c>
      <c r="E65" s="106"/>
      <c r="F65" s="108">
        <v>7.7</v>
      </c>
      <c r="G65" s="128"/>
      <c r="H65" s="128"/>
      <c r="I65" s="128"/>
      <c r="J65" s="128"/>
      <c r="K65" s="128"/>
      <c r="L65" s="128"/>
      <c r="M65" s="107"/>
    </row>
    <row r="66" spans="1:13">
      <c r="A66" s="106"/>
      <c r="B66" s="112"/>
      <c r="C66" s="124"/>
      <c r="D66" s="106" t="s">
        <v>320</v>
      </c>
      <c r="E66" s="108"/>
      <c r="F66" s="125">
        <f>F65/100</f>
        <v>7.6999999999999999E-2</v>
      </c>
      <c r="G66" s="108"/>
      <c r="H66" s="108"/>
      <c r="I66" s="108"/>
      <c r="J66" s="108"/>
      <c r="K66" s="108"/>
      <c r="L66" s="108"/>
      <c r="M66" s="108"/>
    </row>
    <row r="67" spans="1:13">
      <c r="A67" s="106" t="s">
        <v>64</v>
      </c>
      <c r="B67" s="112"/>
      <c r="C67" s="126" t="s">
        <v>15</v>
      </c>
      <c r="D67" s="106" t="s">
        <v>1</v>
      </c>
      <c r="E67" s="108">
        <v>15</v>
      </c>
      <c r="F67" s="108">
        <f>E67*F66</f>
        <v>1.155</v>
      </c>
      <c r="G67" s="108"/>
      <c r="H67" s="108"/>
      <c r="I67" s="108"/>
      <c r="J67" s="108"/>
      <c r="K67" s="108"/>
      <c r="L67" s="108"/>
      <c r="M67" s="108"/>
    </row>
    <row r="68" spans="1:13">
      <c r="A68" s="106" t="s">
        <v>65</v>
      </c>
      <c r="B68" s="112" t="s">
        <v>316</v>
      </c>
      <c r="C68" s="126" t="s">
        <v>73</v>
      </c>
      <c r="D68" s="106" t="s">
        <v>24</v>
      </c>
      <c r="E68" s="108">
        <v>2.16</v>
      </c>
      <c r="F68" s="108">
        <f>E68*F66</f>
        <v>0.16632</v>
      </c>
      <c r="G68" s="108"/>
      <c r="H68" s="108"/>
      <c r="I68" s="108"/>
      <c r="J68" s="108"/>
      <c r="K68" s="108"/>
      <c r="L68" s="108"/>
      <c r="M68" s="108"/>
    </row>
    <row r="69" spans="1:13">
      <c r="A69" s="106" t="s">
        <v>220</v>
      </c>
      <c r="B69" s="112" t="s">
        <v>321</v>
      </c>
      <c r="C69" s="126" t="s">
        <v>84</v>
      </c>
      <c r="D69" s="106" t="s">
        <v>24</v>
      </c>
      <c r="E69" s="108">
        <v>2.73</v>
      </c>
      <c r="F69" s="108">
        <f>E69*F66</f>
        <v>0.21021000000000001</v>
      </c>
      <c r="G69" s="108"/>
      <c r="H69" s="108"/>
      <c r="I69" s="108"/>
      <c r="J69" s="108"/>
      <c r="K69" s="108"/>
      <c r="L69" s="108"/>
      <c r="M69" s="108"/>
    </row>
    <row r="70" spans="1:13">
      <c r="A70" s="106" t="s">
        <v>221</v>
      </c>
      <c r="B70" s="112" t="s">
        <v>322</v>
      </c>
      <c r="C70" s="126" t="s">
        <v>74</v>
      </c>
      <c r="D70" s="106" t="s">
        <v>24</v>
      </c>
      <c r="E70" s="108">
        <v>0.97</v>
      </c>
      <c r="F70" s="108">
        <f>E70*F66</f>
        <v>7.4689999999999993E-2</v>
      </c>
      <c r="G70" s="108"/>
      <c r="H70" s="108"/>
      <c r="I70" s="108"/>
      <c r="J70" s="108"/>
      <c r="K70" s="108"/>
      <c r="L70" s="108"/>
      <c r="M70" s="108"/>
    </row>
    <row r="71" spans="1:13">
      <c r="A71" s="106" t="s">
        <v>222</v>
      </c>
      <c r="B71" s="112"/>
      <c r="C71" s="126" t="s">
        <v>75</v>
      </c>
      <c r="D71" s="106" t="s">
        <v>303</v>
      </c>
      <c r="E71" s="108">
        <v>7</v>
      </c>
      <c r="F71" s="108">
        <f>E71*F66</f>
        <v>0.53900000000000003</v>
      </c>
      <c r="G71" s="108"/>
      <c r="H71" s="108"/>
      <c r="I71" s="108"/>
      <c r="J71" s="108"/>
      <c r="K71" s="108"/>
      <c r="L71" s="108"/>
      <c r="M71" s="108"/>
    </row>
    <row r="72" spans="1:13">
      <c r="A72" s="106" t="s">
        <v>261</v>
      </c>
      <c r="B72" s="112" t="s">
        <v>346</v>
      </c>
      <c r="C72" s="126" t="s">
        <v>163</v>
      </c>
      <c r="D72" s="106" t="s">
        <v>303</v>
      </c>
      <c r="E72" s="108">
        <v>122</v>
      </c>
      <c r="F72" s="108">
        <f>E72*F66</f>
        <v>9.3940000000000001</v>
      </c>
      <c r="G72" s="108"/>
      <c r="H72" s="108"/>
      <c r="I72" s="108"/>
      <c r="J72" s="108"/>
      <c r="K72" s="108"/>
      <c r="L72" s="108"/>
      <c r="M72" s="108"/>
    </row>
    <row r="73" spans="1:13">
      <c r="A73" s="106"/>
      <c r="B73" s="112"/>
      <c r="C73" s="123"/>
      <c r="D73" s="106"/>
      <c r="E73" s="106"/>
      <c r="F73" s="107"/>
      <c r="G73" s="128"/>
      <c r="H73" s="107"/>
      <c r="I73" s="128"/>
      <c r="J73" s="128"/>
      <c r="K73" s="107"/>
      <c r="L73" s="107"/>
      <c r="M73" s="107"/>
    </row>
    <row r="74" spans="1:13">
      <c r="A74" s="77"/>
      <c r="B74" s="112"/>
      <c r="C74" s="77" t="s">
        <v>4</v>
      </c>
      <c r="D74" s="77"/>
      <c r="E74" s="77"/>
      <c r="F74" s="77"/>
      <c r="G74" s="77"/>
      <c r="H74" s="105"/>
      <c r="I74" s="105"/>
      <c r="J74" s="105"/>
      <c r="K74" s="105"/>
      <c r="L74" s="105"/>
      <c r="M74" s="105"/>
    </row>
    <row r="75" spans="1:13">
      <c r="A75" s="106"/>
      <c r="B75" s="112"/>
      <c r="C75" s="106"/>
      <c r="D75" s="106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>
      <c r="A76" s="106"/>
      <c r="B76" s="112"/>
      <c r="C76" s="106" t="s">
        <v>10</v>
      </c>
      <c r="D76" s="113">
        <v>0.1</v>
      </c>
      <c r="E76" s="108"/>
      <c r="F76" s="108"/>
      <c r="G76" s="108"/>
      <c r="H76" s="108"/>
      <c r="I76" s="108"/>
      <c r="J76" s="108"/>
      <c r="K76" s="108"/>
      <c r="L76" s="108"/>
      <c r="M76" s="108"/>
    </row>
    <row r="77" spans="1:13">
      <c r="A77" s="106"/>
      <c r="B77" s="112"/>
      <c r="C77" s="106" t="s">
        <v>4</v>
      </c>
      <c r="D77" s="113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>
      <c r="A78" s="106"/>
      <c r="B78" s="112"/>
      <c r="C78" s="106" t="s">
        <v>11</v>
      </c>
      <c r="D78" s="113">
        <v>0.08</v>
      </c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>
      <c r="A79" s="106"/>
      <c r="B79" s="112"/>
      <c r="C79" s="106"/>
      <c r="D79" s="113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>
      <c r="A80" s="77"/>
      <c r="B80" s="111"/>
      <c r="C80" s="77" t="s">
        <v>4</v>
      </c>
      <c r="D80" s="77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2:13"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6"/>
    </row>
    <row r="82" spans="2:13"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6"/>
    </row>
    <row r="83" spans="2:13"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6"/>
    </row>
    <row r="84" spans="2:13"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6"/>
    </row>
    <row r="85" spans="2:13"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6"/>
    </row>
    <row r="86" spans="2:13">
      <c r="B86" s="114"/>
      <c r="C86" s="115"/>
      <c r="D86" s="114"/>
      <c r="E86" s="114"/>
      <c r="F86" s="114"/>
      <c r="G86" s="114"/>
      <c r="H86" s="114"/>
      <c r="I86" s="114"/>
      <c r="J86" s="114"/>
      <c r="K86" s="114"/>
      <c r="L86" s="114"/>
      <c r="M86" s="116"/>
    </row>
    <row r="87" spans="2:13">
      <c r="B87" s="114"/>
      <c r="C87" s="115"/>
      <c r="D87" s="114"/>
      <c r="E87" s="114"/>
      <c r="F87" s="114"/>
      <c r="G87" s="114"/>
      <c r="H87" s="114"/>
      <c r="I87" s="114"/>
      <c r="J87" s="114"/>
      <c r="K87" s="114"/>
      <c r="L87" s="114"/>
      <c r="M87" s="116"/>
    </row>
    <row r="88" spans="2:13">
      <c r="B88" s="114"/>
      <c r="C88" s="115"/>
      <c r="D88" s="114"/>
      <c r="E88" s="114"/>
      <c r="F88" s="114"/>
      <c r="G88" s="114"/>
      <c r="H88" s="114"/>
      <c r="I88" s="114"/>
      <c r="J88" s="114"/>
      <c r="K88" s="114"/>
      <c r="L88" s="114"/>
      <c r="M88" s="116"/>
    </row>
    <row r="89" spans="2:13">
      <c r="B89" s="114"/>
      <c r="C89" s="115"/>
      <c r="D89" s="114"/>
      <c r="E89" s="114"/>
      <c r="F89" s="114"/>
      <c r="G89" s="114"/>
      <c r="H89" s="114"/>
      <c r="I89" s="114"/>
      <c r="J89" s="114"/>
      <c r="K89" s="114"/>
      <c r="L89" s="114"/>
      <c r="M89" s="116"/>
    </row>
    <row r="90" spans="2:13">
      <c r="B90" s="114"/>
      <c r="C90" s="115"/>
      <c r="D90" s="114"/>
      <c r="E90" s="114"/>
      <c r="F90" s="114"/>
      <c r="G90" s="114"/>
      <c r="H90" s="114"/>
      <c r="I90" s="114"/>
      <c r="J90" s="114"/>
      <c r="K90" s="114"/>
      <c r="L90" s="114"/>
      <c r="M90" s="116"/>
    </row>
    <row r="91" spans="2:13"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6"/>
    </row>
    <row r="92" spans="2:13"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6"/>
    </row>
    <row r="93" spans="2:13"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6"/>
    </row>
    <row r="94" spans="2:13"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6"/>
    </row>
    <row r="95" spans="2:13"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6"/>
    </row>
    <row r="96" spans="2:13"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6"/>
    </row>
    <row r="97" spans="2:13"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6"/>
    </row>
    <row r="98" spans="2:13"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6"/>
    </row>
    <row r="99" spans="2:13"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6"/>
    </row>
    <row r="100" spans="2:13"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6"/>
    </row>
    <row r="101" spans="2:13"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6"/>
    </row>
    <row r="102" spans="2:13"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6"/>
    </row>
    <row r="103" spans="2:13">
      <c r="B103" s="114"/>
      <c r="C103" s="115"/>
      <c r="D103" s="114"/>
      <c r="E103" s="114"/>
      <c r="F103" s="114"/>
      <c r="G103" s="114"/>
      <c r="H103" s="114"/>
      <c r="I103" s="114"/>
      <c r="J103" s="114"/>
      <c r="K103" s="114"/>
      <c r="L103" s="114"/>
      <c r="M103" s="116"/>
    </row>
    <row r="104" spans="2:13">
      <c r="B104" s="114"/>
      <c r="C104" s="11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6"/>
    </row>
    <row r="105" spans="2:13">
      <c r="B105" s="114"/>
      <c r="C105" s="115"/>
      <c r="D105" s="114"/>
      <c r="E105" s="114"/>
      <c r="F105" s="114"/>
      <c r="G105" s="114"/>
      <c r="H105" s="114"/>
      <c r="I105" s="114"/>
      <c r="J105" s="114"/>
      <c r="K105" s="114"/>
      <c r="L105" s="114"/>
      <c r="M105" s="116"/>
    </row>
    <row r="106" spans="2:13">
      <c r="B106" s="114"/>
      <c r="C106" s="115"/>
      <c r="D106" s="114"/>
      <c r="E106" s="114"/>
      <c r="F106" s="114"/>
      <c r="G106" s="114"/>
      <c r="H106" s="114"/>
      <c r="I106" s="114"/>
      <c r="J106" s="114"/>
      <c r="K106" s="114"/>
      <c r="L106" s="114"/>
      <c r="M106" s="116"/>
    </row>
    <row r="107" spans="2:13">
      <c r="B107" s="114"/>
      <c r="C107" s="115"/>
      <c r="D107" s="114"/>
      <c r="E107" s="114"/>
      <c r="F107" s="114"/>
      <c r="G107" s="114"/>
      <c r="H107" s="114"/>
      <c r="I107" s="114"/>
      <c r="J107" s="114"/>
      <c r="K107" s="114"/>
      <c r="L107" s="114"/>
      <c r="M107" s="116"/>
    </row>
    <row r="108" spans="2:13">
      <c r="B108" s="114"/>
      <c r="C108" s="115"/>
      <c r="D108" s="114"/>
      <c r="E108" s="114"/>
      <c r="F108" s="114"/>
      <c r="G108" s="114"/>
      <c r="H108" s="114"/>
      <c r="I108" s="114"/>
      <c r="J108" s="114"/>
      <c r="K108" s="114"/>
      <c r="L108" s="114"/>
      <c r="M108" s="116"/>
    </row>
    <row r="109" spans="2:13">
      <c r="B109" s="114"/>
      <c r="C109" s="115"/>
      <c r="D109" s="114"/>
      <c r="E109" s="114"/>
      <c r="F109" s="114"/>
      <c r="G109" s="114"/>
      <c r="H109" s="114"/>
      <c r="I109" s="114"/>
      <c r="J109" s="114"/>
      <c r="K109" s="114"/>
      <c r="L109" s="114"/>
      <c r="M109" s="116"/>
    </row>
    <row r="110" spans="2:13">
      <c r="B110" s="114"/>
      <c r="C110" s="115"/>
      <c r="D110" s="114"/>
      <c r="E110" s="114"/>
      <c r="F110" s="114"/>
      <c r="G110" s="114"/>
      <c r="H110" s="114"/>
      <c r="I110" s="114"/>
      <c r="J110" s="114"/>
      <c r="K110" s="114"/>
      <c r="L110" s="114"/>
      <c r="M110" s="116"/>
    </row>
    <row r="111" spans="2:13">
      <c r="B111" s="114"/>
      <c r="C111" s="115"/>
      <c r="D111" s="114"/>
      <c r="E111" s="114"/>
      <c r="F111" s="114"/>
      <c r="G111" s="114"/>
      <c r="H111" s="114"/>
      <c r="I111" s="114"/>
      <c r="J111" s="114"/>
      <c r="K111" s="114"/>
      <c r="L111" s="114"/>
      <c r="M111" s="116"/>
    </row>
    <row r="112" spans="2:13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7"/>
    </row>
    <row r="113" spans="2:13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7"/>
    </row>
    <row r="114" spans="2:13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7"/>
    </row>
    <row r="115" spans="2:13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7"/>
    </row>
    <row r="116" spans="2:13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7"/>
    </row>
    <row r="117" spans="2:13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7"/>
    </row>
    <row r="118" spans="2:13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7"/>
    </row>
    <row r="119" spans="2:13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7"/>
    </row>
    <row r="120" spans="2:13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7"/>
    </row>
    <row r="121" spans="2:13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7"/>
    </row>
    <row r="122" spans="2:13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7"/>
    </row>
    <row r="123" spans="2:13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7"/>
    </row>
    <row r="124" spans="2:13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7"/>
    </row>
  </sheetData>
  <mergeCells count="10">
    <mergeCell ref="B3:B4"/>
    <mergeCell ref="C3:C4"/>
    <mergeCell ref="D3:D4"/>
    <mergeCell ref="M3:M4"/>
    <mergeCell ref="A1:M1"/>
    <mergeCell ref="E3:F3"/>
    <mergeCell ref="G3:H3"/>
    <mergeCell ref="I3:J3"/>
    <mergeCell ref="K3:L3"/>
    <mergeCell ref="A3:A4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view="pageBreakPreview" topLeftCell="A22" zoomScale="60" zoomScaleNormal="55" workbookViewId="0">
      <selection activeCell="M16" sqref="M16"/>
    </sheetView>
  </sheetViews>
  <sheetFormatPr defaultRowHeight="15"/>
  <cols>
    <col min="1" max="1" width="15.7109375" style="27" customWidth="1"/>
    <col min="2" max="2" width="200.7109375" style="27" customWidth="1"/>
    <col min="3" max="3" width="9.7109375" style="27" customWidth="1"/>
    <col min="4" max="4" width="34.7109375" style="27" customWidth="1"/>
    <col min="5" max="7" width="20.7109375" customWidth="1"/>
  </cols>
  <sheetData>
    <row r="1" spans="1:4">
      <c r="A1" s="10"/>
      <c r="B1" s="10"/>
      <c r="C1" s="1"/>
      <c r="D1" s="1"/>
    </row>
    <row r="2" spans="1:4">
      <c r="A2" s="10"/>
      <c r="B2" s="10"/>
      <c r="C2" s="1"/>
      <c r="D2" s="1"/>
    </row>
    <row r="3" spans="1:4" ht="15" customHeight="1">
      <c r="A3" s="11">
        <f>სატენდერო!A3</f>
        <v>0</v>
      </c>
      <c r="B3" s="11"/>
      <c r="C3" s="1"/>
      <c r="D3" s="177"/>
    </row>
    <row r="4" spans="1:4" ht="15" customHeight="1">
      <c r="A4" s="11"/>
      <c r="B4" s="11"/>
      <c r="C4" s="1"/>
      <c r="D4" s="177"/>
    </row>
    <row r="5" spans="1:4" ht="15" customHeight="1">
      <c r="A5" s="11" t="s">
        <v>28</v>
      </c>
      <c r="B5" s="11"/>
      <c r="C5" s="1"/>
      <c r="D5" s="177"/>
    </row>
    <row r="6" spans="1:4" ht="15" customHeight="1">
      <c r="A6" s="11"/>
      <c r="B6" s="11"/>
      <c r="C6" s="1"/>
      <c r="D6" s="177"/>
    </row>
    <row r="7" spans="1:4" ht="15" customHeight="1">
      <c r="A7" s="11">
        <f>სატენდერო!A7</f>
        <v>0</v>
      </c>
      <c r="B7" s="11"/>
      <c r="C7" s="1"/>
      <c r="D7" s="177"/>
    </row>
    <row r="8" spans="1:4" ht="15" customHeight="1">
      <c r="A8" s="11"/>
      <c r="B8" s="11"/>
      <c r="C8" s="1"/>
      <c r="D8" s="177"/>
    </row>
    <row r="9" spans="1:4" ht="15" customHeight="1">
      <c r="A9" s="11" t="s">
        <v>29</v>
      </c>
      <c r="B9" s="11"/>
      <c r="C9" s="1"/>
      <c r="D9" s="177"/>
    </row>
    <row r="10" spans="1:4" ht="15" customHeight="1">
      <c r="A10" s="11"/>
      <c r="B10" s="11"/>
      <c r="C10" s="2"/>
      <c r="D10" s="177"/>
    </row>
    <row r="11" spans="1:4" ht="15" customHeight="1">
      <c r="A11" s="177"/>
      <c r="B11" s="177"/>
      <c r="C11" s="1"/>
      <c r="D11" s="177"/>
    </row>
    <row r="12" spans="1:4" ht="15" customHeight="1">
      <c r="A12" s="177"/>
      <c r="B12" s="177"/>
      <c r="C12" s="1"/>
      <c r="D12" s="177"/>
    </row>
    <row r="13" spans="1:4" s="7" customFormat="1" ht="80.099999999999994" customHeight="1">
      <c r="A13" s="180" t="s">
        <v>48</v>
      </c>
      <c r="B13" s="181"/>
      <c r="C13" s="181"/>
      <c r="D13" s="181"/>
    </row>
    <row r="14" spans="1:4" s="7" customFormat="1" ht="39.950000000000003" customHeight="1">
      <c r="A14" s="182" t="s">
        <v>2</v>
      </c>
      <c r="B14" s="182" t="s">
        <v>3</v>
      </c>
      <c r="C14" s="182" t="s">
        <v>12</v>
      </c>
      <c r="D14" s="183" t="s">
        <v>52</v>
      </c>
    </row>
    <row r="15" spans="1:4" s="7" customFormat="1" ht="39.950000000000003" customHeight="1">
      <c r="A15" s="182"/>
      <c r="B15" s="182"/>
      <c r="C15" s="182"/>
      <c r="D15" s="183"/>
    </row>
    <row r="16" spans="1:4" s="7" customFormat="1" ht="39.950000000000003" customHeight="1">
      <c r="A16" s="182"/>
      <c r="B16" s="182"/>
      <c r="C16" s="182"/>
      <c r="D16" s="183"/>
    </row>
    <row r="17" spans="1:4" s="7" customFormat="1" ht="39.950000000000003" customHeight="1">
      <c r="A17" s="15">
        <v>1</v>
      </c>
      <c r="B17" s="15">
        <v>2</v>
      </c>
      <c r="C17" s="15">
        <v>3</v>
      </c>
      <c r="D17" s="15">
        <v>4</v>
      </c>
    </row>
    <row r="18" spans="1:4" s="6" customFormat="1" ht="39.950000000000003" customHeight="1">
      <c r="A18" s="178" t="s">
        <v>53</v>
      </c>
      <c r="B18" s="179"/>
      <c r="C18" s="179"/>
      <c r="D18" s="179"/>
    </row>
    <row r="19" spans="1:4" s="6" customFormat="1" ht="39.950000000000003" customHeight="1">
      <c r="A19" s="16" t="s">
        <v>155</v>
      </c>
      <c r="B19" s="17" t="str">
        <f>სატენდერო!B20</f>
        <v>მოსამზადებელი სამუშაოები</v>
      </c>
      <c r="C19" s="17"/>
      <c r="D19" s="18">
        <f>სატენდერო!H26</f>
        <v>0</v>
      </c>
    </row>
    <row r="20" spans="1:4" s="6" customFormat="1" ht="39.950000000000003" customHeight="1">
      <c r="A20" s="178" t="s">
        <v>54</v>
      </c>
      <c r="B20" s="179"/>
      <c r="C20" s="179"/>
      <c r="D20" s="179"/>
    </row>
    <row r="21" spans="1:4" s="6" customFormat="1" ht="39.950000000000003" customHeight="1">
      <c r="A21" s="16" t="s">
        <v>168</v>
      </c>
      <c r="B21" s="17" t="str">
        <f>სატენდერო!B27</f>
        <v>მიწის ვაკისი</v>
      </c>
      <c r="C21" s="17"/>
      <c r="D21" s="18">
        <f>სატენდერო!H39</f>
        <v>0</v>
      </c>
    </row>
    <row r="22" spans="1:4" s="6" customFormat="1" ht="39.950000000000003" customHeight="1">
      <c r="A22" s="178" t="s">
        <v>55</v>
      </c>
      <c r="B22" s="179"/>
      <c r="C22" s="179"/>
      <c r="D22" s="179"/>
    </row>
    <row r="23" spans="1:4" s="6" customFormat="1" ht="39.950000000000003" customHeight="1">
      <c r="A23" s="16" t="s">
        <v>195</v>
      </c>
      <c r="B23" s="17" t="str">
        <f>სატენდერო!B40</f>
        <v>ღობის მოწყობის სამუშაოები</v>
      </c>
      <c r="C23" s="17"/>
      <c r="D23" s="18">
        <f>სატენდერო!H59</f>
        <v>0</v>
      </c>
    </row>
    <row r="24" spans="1:4" s="6" customFormat="1" ht="39.950000000000003" customHeight="1">
      <c r="A24" s="178" t="s">
        <v>56</v>
      </c>
      <c r="B24" s="179"/>
      <c r="C24" s="179"/>
      <c r="D24" s="179"/>
    </row>
    <row r="25" spans="1:4" s="6" customFormat="1" ht="39.950000000000003" customHeight="1">
      <c r="A25" s="16" t="s">
        <v>182</v>
      </c>
      <c r="B25" s="17" t="str">
        <f>სატენდერო!B60</f>
        <v>საგზაო სამოსი</v>
      </c>
      <c r="C25" s="17"/>
      <c r="D25" s="18">
        <f>სატენდერო!H71</f>
        <v>0</v>
      </c>
    </row>
    <row r="26" spans="1:4" s="6" customFormat="1" ht="39.950000000000003" customHeight="1">
      <c r="A26" s="178" t="s">
        <v>57</v>
      </c>
      <c r="B26" s="179"/>
      <c r="C26" s="179"/>
      <c r="D26" s="179"/>
    </row>
    <row r="27" spans="1:4" s="6" customFormat="1" ht="39.950000000000003" customHeight="1">
      <c r="A27" s="16" t="s">
        <v>196</v>
      </c>
      <c r="B27" s="17">
        <f>სატენდერო!B72</f>
        <v>0</v>
      </c>
      <c r="C27" s="17"/>
      <c r="D27" s="18">
        <f>სატენდერო!H85</f>
        <v>0</v>
      </c>
    </row>
    <row r="28" spans="1:4" s="7" customFormat="1" ht="39.950000000000003" customHeight="1">
      <c r="A28" s="15"/>
      <c r="B28" s="17" t="s">
        <v>4</v>
      </c>
      <c r="C28" s="19"/>
      <c r="D28" s="20">
        <f>ROUND(D19+D21+D25+D23+D27,2)</f>
        <v>0</v>
      </c>
    </row>
    <row r="29" spans="1:4" s="7" customFormat="1" ht="39.950000000000003" customHeight="1">
      <c r="A29" s="21"/>
      <c r="B29" s="15" t="s">
        <v>26</v>
      </c>
      <c r="C29" s="22">
        <v>0.05</v>
      </c>
      <c r="D29" s="19">
        <f>ROUND(D28*C29,2)</f>
        <v>0</v>
      </c>
    </row>
    <row r="30" spans="1:4" s="7" customFormat="1" ht="39.950000000000003" customHeight="1">
      <c r="A30" s="21"/>
      <c r="B30" s="15" t="s">
        <v>4</v>
      </c>
      <c r="C30" s="15"/>
      <c r="D30" s="20">
        <f>ROUND(SUM(D28:D29),2)</f>
        <v>0</v>
      </c>
    </row>
    <row r="31" spans="1:4" s="7" customFormat="1" ht="39.950000000000003" customHeight="1">
      <c r="A31" s="21"/>
      <c r="B31" s="15" t="s">
        <v>27</v>
      </c>
      <c r="C31" s="22">
        <v>0.18</v>
      </c>
      <c r="D31" s="20">
        <f>ROUND(D30*C31,2)</f>
        <v>0</v>
      </c>
    </row>
    <row r="32" spans="1:4" s="7" customFormat="1" ht="39.950000000000003" customHeight="1">
      <c r="A32" s="21"/>
      <c r="B32" s="15" t="s">
        <v>4</v>
      </c>
      <c r="C32" s="15"/>
      <c r="D32" s="23">
        <f>ROUND(SUM(D30:D31),2)</f>
        <v>0</v>
      </c>
    </row>
    <row r="33" spans="1:4" ht="39.950000000000003" customHeight="1">
      <c r="A33" s="24"/>
      <c r="B33" s="25"/>
      <c r="C33" s="26"/>
      <c r="D33" s="26"/>
    </row>
    <row r="34" spans="1:4" ht="39.950000000000003" customHeight="1">
      <c r="A34" s="24"/>
      <c r="B34" s="25"/>
      <c r="C34" s="26"/>
      <c r="D34" s="33"/>
    </row>
    <row r="35" spans="1:4" ht="39.950000000000003" customHeight="1">
      <c r="A35" s="24"/>
      <c r="B35" s="25"/>
      <c r="C35" s="26"/>
      <c r="D35" s="26"/>
    </row>
    <row r="36" spans="1:4" ht="39.950000000000003" customHeight="1">
      <c r="A36" s="24"/>
      <c r="B36" s="25"/>
      <c r="C36" s="26"/>
      <c r="D36" s="26"/>
    </row>
    <row r="37" spans="1:4" ht="39.950000000000003" customHeight="1">
      <c r="A37" s="24"/>
      <c r="B37" s="25"/>
      <c r="C37" s="26"/>
      <c r="D37" s="26"/>
    </row>
    <row r="38" spans="1:4" ht="39.950000000000003" customHeight="1">
      <c r="A38" s="24"/>
      <c r="B38" s="25"/>
      <c r="C38" s="26"/>
      <c r="D38" s="26"/>
    </row>
    <row r="39" spans="1:4" ht="39.950000000000003" customHeight="1">
      <c r="A39" s="24"/>
      <c r="B39" s="25"/>
      <c r="C39" s="26"/>
      <c r="D39" s="26"/>
    </row>
    <row r="40" spans="1:4" ht="39.950000000000003" customHeight="1">
      <c r="A40" s="24"/>
      <c r="B40" s="25"/>
      <c r="C40" s="26"/>
      <c r="D40" s="26"/>
    </row>
    <row r="41" spans="1:4" ht="39.950000000000003" customHeight="1">
      <c r="A41" s="24"/>
      <c r="B41" s="25"/>
      <c r="C41" s="26"/>
      <c r="D41" s="26"/>
    </row>
    <row r="42" spans="1:4" ht="39.950000000000003" customHeight="1">
      <c r="A42" s="24"/>
      <c r="B42" s="25"/>
      <c r="C42" s="26"/>
      <c r="D42" s="26"/>
    </row>
    <row r="43" spans="1:4" ht="39.950000000000003" customHeight="1">
      <c r="A43" s="24"/>
      <c r="B43" s="25"/>
      <c r="C43" s="26"/>
      <c r="D43" s="26"/>
    </row>
    <row r="44" spans="1:4" ht="39.950000000000003" customHeight="1">
      <c r="A44" s="24"/>
      <c r="B44" s="25"/>
      <c r="C44" s="26"/>
      <c r="D44" s="26"/>
    </row>
    <row r="45" spans="1:4" ht="39.950000000000003" customHeight="1">
      <c r="A45" s="24"/>
      <c r="B45" s="25"/>
      <c r="C45" s="26"/>
      <c r="D45" s="26"/>
    </row>
    <row r="46" spans="1:4" ht="39.950000000000003" customHeight="1">
      <c r="A46" s="24"/>
      <c r="B46" s="25"/>
      <c r="C46" s="26"/>
      <c r="D46" s="26"/>
    </row>
    <row r="47" spans="1:4" ht="39.950000000000003" customHeight="1">
      <c r="A47" s="24"/>
      <c r="B47" s="25"/>
      <c r="C47" s="26"/>
      <c r="D47" s="26"/>
    </row>
    <row r="48" spans="1:4" ht="39.950000000000003" customHeight="1">
      <c r="A48" s="24"/>
      <c r="B48" s="25"/>
      <c r="C48" s="26"/>
      <c r="D48" s="26"/>
    </row>
    <row r="49" spans="1:4" ht="39.950000000000003" customHeight="1">
      <c r="A49" s="24"/>
      <c r="B49" s="25"/>
      <c r="C49" s="26"/>
      <c r="D49" s="26"/>
    </row>
    <row r="50" spans="1:4" ht="39.950000000000003" customHeight="1">
      <c r="A50" s="24"/>
      <c r="B50" s="25"/>
      <c r="C50" s="26"/>
      <c r="D50" s="26"/>
    </row>
    <row r="51" spans="1:4" ht="39.950000000000003" customHeight="1">
      <c r="A51" s="24"/>
      <c r="B51" s="25"/>
      <c r="C51" s="26"/>
      <c r="D51" s="26"/>
    </row>
    <row r="52" spans="1:4" ht="39.950000000000003" customHeight="1">
      <c r="A52" s="24"/>
      <c r="B52" s="25"/>
      <c r="C52" s="26"/>
      <c r="D52" s="26"/>
    </row>
    <row r="53" spans="1:4" ht="39.950000000000003" customHeight="1">
      <c r="A53" s="24"/>
      <c r="B53" s="25"/>
      <c r="C53" s="26"/>
      <c r="D53" s="26"/>
    </row>
    <row r="54" spans="1:4" ht="39.950000000000003" customHeight="1">
      <c r="A54" s="24"/>
      <c r="B54" s="25"/>
      <c r="C54" s="26"/>
      <c r="D54" s="26"/>
    </row>
    <row r="55" spans="1:4" ht="39.950000000000003" customHeight="1">
      <c r="A55" s="24"/>
      <c r="B55" s="25"/>
      <c r="C55" s="26"/>
      <c r="D55" s="26"/>
    </row>
    <row r="56" spans="1:4" ht="39.950000000000003" customHeight="1">
      <c r="A56" s="24"/>
      <c r="B56" s="25"/>
      <c r="C56" s="26"/>
      <c r="D56" s="26"/>
    </row>
    <row r="57" spans="1:4" ht="39.950000000000003" customHeight="1">
      <c r="A57" s="24"/>
      <c r="B57" s="25"/>
      <c r="C57" s="26"/>
      <c r="D57" s="26"/>
    </row>
    <row r="58" spans="1:4" ht="39.950000000000003" customHeight="1">
      <c r="A58" s="24"/>
      <c r="B58" s="25"/>
      <c r="C58" s="26"/>
      <c r="D58" s="26"/>
    </row>
    <row r="59" spans="1:4" ht="39.950000000000003" customHeight="1">
      <c r="A59" s="24"/>
      <c r="B59" s="25"/>
      <c r="C59" s="26"/>
      <c r="D59" s="26"/>
    </row>
    <row r="60" spans="1:4" ht="39.950000000000003" customHeight="1">
      <c r="A60" s="24"/>
      <c r="B60" s="25"/>
      <c r="C60" s="26"/>
      <c r="D60" s="26"/>
    </row>
    <row r="61" spans="1:4" ht="39.950000000000003" customHeight="1">
      <c r="A61" s="24"/>
      <c r="B61" s="25"/>
      <c r="C61" s="26"/>
      <c r="D61" s="26"/>
    </row>
    <row r="62" spans="1:4" ht="39.950000000000003" customHeight="1">
      <c r="A62" s="24"/>
      <c r="B62" s="25"/>
      <c r="C62" s="26"/>
      <c r="D62" s="26"/>
    </row>
    <row r="63" spans="1:4" ht="39.950000000000003" customHeight="1">
      <c r="A63" s="24"/>
      <c r="B63" s="25"/>
      <c r="C63" s="26"/>
      <c r="D63" s="26"/>
    </row>
    <row r="64" spans="1:4" ht="39.950000000000003" customHeight="1">
      <c r="A64" s="24"/>
      <c r="B64" s="25"/>
      <c r="C64" s="26"/>
      <c r="D64" s="26"/>
    </row>
    <row r="65" spans="1:4" ht="39.950000000000003" customHeight="1">
      <c r="A65" s="24"/>
      <c r="B65" s="25"/>
      <c r="C65" s="26"/>
      <c r="D65" s="26"/>
    </row>
    <row r="66" spans="1:4" ht="39.950000000000003" customHeight="1">
      <c r="A66" s="24"/>
      <c r="B66" s="25"/>
      <c r="C66" s="26"/>
      <c r="D66" s="26"/>
    </row>
    <row r="67" spans="1:4" ht="39.950000000000003" customHeight="1">
      <c r="A67" s="24"/>
      <c r="B67" s="25"/>
      <c r="C67" s="26"/>
      <c r="D67" s="26"/>
    </row>
    <row r="68" spans="1:4" ht="39.950000000000003" customHeight="1">
      <c r="A68" s="24"/>
      <c r="B68" s="25"/>
      <c r="C68" s="26"/>
      <c r="D68" s="26"/>
    </row>
    <row r="69" spans="1:4">
      <c r="B69" s="28"/>
      <c r="C69" s="29"/>
      <c r="D69" s="29"/>
    </row>
    <row r="70" spans="1:4">
      <c r="B70" s="28"/>
      <c r="C70" s="29"/>
      <c r="D70" s="29"/>
    </row>
    <row r="71" spans="1:4">
      <c r="B71" s="28"/>
      <c r="C71" s="29"/>
      <c r="D71" s="29"/>
    </row>
    <row r="72" spans="1:4">
      <c r="B72" s="28"/>
      <c r="C72" s="29"/>
      <c r="D72" s="29"/>
    </row>
    <row r="73" spans="1:4">
      <c r="B73" s="28"/>
      <c r="C73" s="28"/>
      <c r="D73" s="28"/>
    </row>
    <row r="74" spans="1:4">
      <c r="B74" s="28"/>
      <c r="C74" s="28"/>
      <c r="D74" s="28"/>
    </row>
    <row r="75" spans="1:4">
      <c r="B75" s="28"/>
      <c r="C75" s="28"/>
      <c r="D75" s="28"/>
    </row>
    <row r="76" spans="1:4">
      <c r="B76" s="28"/>
      <c r="C76" s="28"/>
      <c r="D76" s="28"/>
    </row>
    <row r="77" spans="1:4">
      <c r="B77" s="28"/>
      <c r="C77" s="28"/>
      <c r="D77" s="28"/>
    </row>
    <row r="78" spans="1:4">
      <c r="B78" s="28"/>
      <c r="C78" s="28"/>
      <c r="D78" s="28"/>
    </row>
    <row r="79" spans="1:4">
      <c r="B79" s="28"/>
      <c r="C79" s="28"/>
      <c r="D79" s="28"/>
    </row>
    <row r="80" spans="1:4">
      <c r="B80" s="28"/>
      <c r="C80" s="28"/>
      <c r="D80" s="28"/>
    </row>
    <row r="81" spans="2:4">
      <c r="B81" s="28"/>
      <c r="C81" s="28"/>
      <c r="D81" s="28"/>
    </row>
    <row r="82" spans="2:4">
      <c r="B82" s="28"/>
      <c r="C82" s="28"/>
      <c r="D82" s="28"/>
    </row>
    <row r="83" spans="2:4">
      <c r="B83" s="28"/>
      <c r="C83" s="28"/>
      <c r="D83" s="28"/>
    </row>
    <row r="84" spans="2:4">
      <c r="B84" s="28"/>
      <c r="C84" s="28"/>
      <c r="D84" s="28"/>
    </row>
    <row r="85" spans="2:4">
      <c r="B85" s="28"/>
      <c r="C85" s="28"/>
      <c r="D85" s="28"/>
    </row>
  </sheetData>
  <mergeCells count="16">
    <mergeCell ref="A20:D20"/>
    <mergeCell ref="A22:D22"/>
    <mergeCell ref="A24:D24"/>
    <mergeCell ref="A26:D26"/>
    <mergeCell ref="A13:D13"/>
    <mergeCell ref="A14:A16"/>
    <mergeCell ref="B14:B16"/>
    <mergeCell ref="C14:C16"/>
    <mergeCell ref="D14:D16"/>
    <mergeCell ref="A18:D18"/>
    <mergeCell ref="D3:D4"/>
    <mergeCell ref="D5:D6"/>
    <mergeCell ref="D7:D8"/>
    <mergeCell ref="D9:D10"/>
    <mergeCell ref="A11:B12"/>
    <mergeCell ref="D11:D12"/>
  </mergeCells>
  <pageMargins left="0.7" right="0.7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topLeftCell="A84" zoomScale="60" zoomScaleNormal="55" workbookViewId="0">
      <selection activeCell="M16" sqref="M16"/>
    </sheetView>
  </sheetViews>
  <sheetFormatPr defaultRowHeight="15"/>
  <cols>
    <col min="1" max="1" width="15.7109375" style="27" customWidth="1"/>
    <col min="2" max="2" width="181.7109375" style="27" customWidth="1"/>
    <col min="3" max="4" width="15.7109375" style="27" hidden="1" customWidth="1"/>
    <col min="5" max="5" width="17.7109375" style="27" customWidth="1"/>
    <col min="6" max="6" width="15.7109375" style="27" customWidth="1"/>
    <col min="7" max="7" width="17.7109375" style="27" customWidth="1"/>
    <col min="8" max="8" width="21.28515625" style="34" bestFit="1" customWidth="1"/>
    <col min="9" max="9" width="20.7109375" style="27" customWidth="1"/>
    <col min="10" max="11" width="20.7109375" customWidth="1"/>
  </cols>
  <sheetData>
    <row r="1" spans="1:9">
      <c r="A1" s="185"/>
      <c r="B1" s="185"/>
      <c r="C1" s="1"/>
      <c r="D1" s="1"/>
      <c r="E1" s="1"/>
      <c r="F1" s="1"/>
      <c r="G1" s="1"/>
      <c r="H1" s="4"/>
      <c r="I1" s="1"/>
    </row>
    <row r="2" spans="1:9">
      <c r="A2" s="185"/>
      <c r="B2" s="185"/>
      <c r="C2" s="1"/>
      <c r="D2" s="1"/>
      <c r="E2" s="1"/>
      <c r="F2" s="1"/>
      <c r="G2" s="1"/>
      <c r="H2" s="4"/>
      <c r="I2" s="1"/>
    </row>
    <row r="3" spans="1:9" ht="15" customHeight="1">
      <c r="A3" s="177">
        <f>'1-1'!A3:C3</f>
        <v>0</v>
      </c>
      <c r="B3" s="177"/>
      <c r="C3" s="1"/>
      <c r="D3" s="1"/>
      <c r="E3" s="184" t="s">
        <v>17</v>
      </c>
      <c r="F3" s="184"/>
      <c r="G3" s="184"/>
      <c r="H3" s="177"/>
      <c r="I3" s="177"/>
    </row>
    <row r="4" spans="1:9" ht="15" customHeight="1">
      <c r="A4" s="177"/>
      <c r="B4" s="177"/>
      <c r="C4" s="1"/>
      <c r="D4" s="1"/>
      <c r="E4" s="184"/>
      <c r="F4" s="184"/>
      <c r="G4" s="184"/>
      <c r="H4" s="177"/>
      <c r="I4" s="177"/>
    </row>
    <row r="5" spans="1:9" ht="15" customHeight="1">
      <c r="A5" s="177" t="s">
        <v>28</v>
      </c>
      <c r="B5" s="177"/>
      <c r="C5" s="1"/>
      <c r="D5" s="1"/>
      <c r="E5" s="184" t="s">
        <v>18</v>
      </c>
      <c r="F5" s="184"/>
      <c r="G5" s="184"/>
      <c r="H5" s="177"/>
      <c r="I5" s="177"/>
    </row>
    <row r="6" spans="1:9" ht="15" customHeight="1">
      <c r="A6" s="177"/>
      <c r="B6" s="177"/>
      <c r="C6" s="1"/>
      <c r="D6" s="1"/>
      <c r="E6" s="184"/>
      <c r="F6" s="184"/>
      <c r="G6" s="184"/>
      <c r="H6" s="177"/>
      <c r="I6" s="177"/>
    </row>
    <row r="7" spans="1:9" ht="15" customHeight="1">
      <c r="A7" s="177">
        <f>'1-1'!A5:C5</f>
        <v>0</v>
      </c>
      <c r="B7" s="177"/>
      <c r="C7" s="1"/>
      <c r="D7" s="1"/>
      <c r="E7" s="184" t="s">
        <v>59</v>
      </c>
      <c r="F7" s="184"/>
      <c r="G7" s="184"/>
      <c r="H7" s="177" t="s">
        <v>20</v>
      </c>
      <c r="I7" s="177"/>
    </row>
    <row r="8" spans="1:9" ht="15" customHeight="1">
      <c r="A8" s="177"/>
      <c r="B8" s="177"/>
      <c r="C8" s="1"/>
      <c r="D8" s="1"/>
      <c r="E8" s="184"/>
      <c r="F8" s="184"/>
      <c r="G8" s="184"/>
      <c r="H8" s="177"/>
      <c r="I8" s="177"/>
    </row>
    <row r="9" spans="1:9" ht="15" customHeight="1">
      <c r="A9" s="177" t="s">
        <v>29</v>
      </c>
      <c r="B9" s="177"/>
      <c r="C9" s="1"/>
      <c r="D9" s="1"/>
      <c r="E9" s="184" t="s">
        <v>19</v>
      </c>
      <c r="F9" s="184"/>
      <c r="G9" s="184"/>
      <c r="H9" s="177"/>
      <c r="I9" s="177"/>
    </row>
    <row r="10" spans="1:9" ht="15" customHeight="1">
      <c r="A10" s="177"/>
      <c r="B10" s="177"/>
      <c r="C10" s="1"/>
      <c r="D10" s="1"/>
      <c r="E10" s="184"/>
      <c r="F10" s="184"/>
      <c r="G10" s="184"/>
      <c r="H10" s="177"/>
      <c r="I10" s="177"/>
    </row>
    <row r="11" spans="1:9" ht="15" customHeight="1">
      <c r="A11" s="177"/>
      <c r="B11" s="177"/>
      <c r="C11" s="1"/>
      <c r="D11" s="184"/>
      <c r="E11" s="184"/>
      <c r="F11" s="184"/>
      <c r="G11" s="184"/>
      <c r="H11" s="177"/>
      <c r="I11" s="177"/>
    </row>
    <row r="12" spans="1:9" ht="15" customHeight="1">
      <c r="A12" s="177"/>
      <c r="B12" s="177"/>
      <c r="C12" s="1"/>
      <c r="D12" s="184"/>
      <c r="E12" s="184"/>
      <c r="F12" s="184"/>
      <c r="G12" s="184"/>
      <c r="H12" s="177"/>
      <c r="I12" s="177"/>
    </row>
    <row r="13" spans="1:9" ht="15" customHeight="1">
      <c r="A13" s="189" t="e">
        <f>'1-1'!A8:M9</f>
        <v>#VALUE!</v>
      </c>
      <c r="B13" s="189"/>
      <c r="C13" s="189"/>
      <c r="D13" s="189"/>
      <c r="E13" s="189"/>
      <c r="F13" s="189"/>
      <c r="G13" s="189"/>
      <c r="H13" s="189"/>
      <c r="I13" s="189"/>
    </row>
    <row r="14" spans="1:9" ht="15" customHeight="1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 customHeight="1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s="5" customFormat="1" ht="39.950000000000003" customHeight="1">
      <c r="A16" s="182" t="s">
        <v>2</v>
      </c>
      <c r="B16" s="190" t="s">
        <v>3</v>
      </c>
      <c r="C16" s="193" t="s">
        <v>7</v>
      </c>
      <c r="D16" s="193" t="s">
        <v>8</v>
      </c>
      <c r="E16" s="193" t="s">
        <v>7</v>
      </c>
      <c r="F16" s="193" t="s">
        <v>8</v>
      </c>
      <c r="G16" s="186" t="s">
        <v>262</v>
      </c>
      <c r="H16" s="182" t="s">
        <v>263</v>
      </c>
      <c r="I16" s="182" t="s">
        <v>5</v>
      </c>
    </row>
    <row r="17" spans="1:9" s="5" customFormat="1" ht="39.950000000000003" customHeight="1">
      <c r="A17" s="182"/>
      <c r="B17" s="191"/>
      <c r="C17" s="194"/>
      <c r="D17" s="194"/>
      <c r="E17" s="194"/>
      <c r="F17" s="194"/>
      <c r="G17" s="187"/>
      <c r="H17" s="182"/>
      <c r="I17" s="182"/>
    </row>
    <row r="18" spans="1:9" s="5" customFormat="1" ht="39.950000000000003" customHeight="1">
      <c r="A18" s="182"/>
      <c r="B18" s="192"/>
      <c r="C18" s="195"/>
      <c r="D18" s="195"/>
      <c r="E18" s="195"/>
      <c r="F18" s="195"/>
      <c r="G18" s="188"/>
      <c r="H18" s="182"/>
      <c r="I18" s="182"/>
    </row>
    <row r="19" spans="1:9" s="5" customFormat="1" ht="39.950000000000003" customHeight="1">
      <c r="A19" s="15">
        <v>1</v>
      </c>
      <c r="B19" s="15">
        <v>2</v>
      </c>
      <c r="C19" s="15">
        <v>3</v>
      </c>
      <c r="D19" s="15">
        <v>4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</row>
    <row r="20" spans="1:9" s="5" customFormat="1" ht="80.099999999999994" customHeight="1">
      <c r="A20" s="15"/>
      <c r="B20" s="17" t="str">
        <f>'1-1'!C14</f>
        <v>მოსამზადებელი სამუშაოები</v>
      </c>
      <c r="C20" s="19"/>
      <c r="D20" s="19"/>
      <c r="E20" s="19"/>
      <c r="F20" s="19"/>
      <c r="G20" s="19"/>
      <c r="H20" s="20"/>
      <c r="I20" s="19"/>
    </row>
    <row r="21" spans="1:9" ht="39.950000000000003" customHeight="1">
      <c r="A21" s="31">
        <f>'1-1'!A15</f>
        <v>0</v>
      </c>
      <c r="B21" s="31">
        <f>'1-1'!C15</f>
        <v>0</v>
      </c>
      <c r="C21" s="31">
        <f>'1-1'!D15</f>
        <v>0</v>
      </c>
      <c r="D21" s="31">
        <f>'1-1'!F15</f>
        <v>0</v>
      </c>
      <c r="E21" s="30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20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30" t="e">
        <f t="shared" ref="G21" si="2">ROUND(H21/F21,2)</f>
        <v>#DIV/0!</v>
      </c>
      <c r="H21" s="31">
        <f>'1-1'!M15</f>
        <v>0</v>
      </c>
      <c r="I21" s="31">
        <f>'1-1'!B15</f>
        <v>0</v>
      </c>
    </row>
    <row r="22" spans="1:9" s="5" customFormat="1" ht="39.950000000000003" customHeight="1">
      <c r="A22" s="21"/>
      <c r="B22" s="15" t="s">
        <v>4</v>
      </c>
      <c r="C22" s="19"/>
      <c r="D22" s="20"/>
      <c r="E22" s="20"/>
      <c r="F22" s="30"/>
      <c r="G22" s="20"/>
      <c r="H22" s="20">
        <f>ROUND(SUM(H21:H21),2)</f>
        <v>0</v>
      </c>
      <c r="I22" s="32"/>
    </row>
    <row r="23" spans="1:9" s="5" customFormat="1" ht="39.950000000000003" customHeight="1">
      <c r="A23" s="21"/>
      <c r="B23" s="15" t="s">
        <v>10</v>
      </c>
      <c r="C23" s="19"/>
      <c r="D23" s="19"/>
      <c r="E23" s="35" t="s">
        <v>12</v>
      </c>
      <c r="F23" s="19">
        <v>10</v>
      </c>
      <c r="G23" s="19"/>
      <c r="H23" s="20">
        <f>ROUND(H22*F23%,2)</f>
        <v>0</v>
      </c>
      <c r="I23" s="32"/>
    </row>
    <row r="24" spans="1:9" s="5" customFormat="1" ht="39.950000000000003" customHeight="1">
      <c r="A24" s="21"/>
      <c r="B24" s="15" t="s">
        <v>4</v>
      </c>
      <c r="C24" s="19"/>
      <c r="D24" s="19"/>
      <c r="E24" s="30"/>
      <c r="F24" s="19"/>
      <c r="G24" s="30"/>
      <c r="H24" s="30">
        <f>ROUND(SUM(H22:H23),2)</f>
        <v>0</v>
      </c>
      <c r="I24" s="32"/>
    </row>
    <row r="25" spans="1:9" s="5" customFormat="1" ht="39.950000000000003" customHeight="1">
      <c r="A25" s="21"/>
      <c r="B25" s="15" t="s">
        <v>11</v>
      </c>
      <c r="C25" s="19"/>
      <c r="D25" s="19"/>
      <c r="E25" s="35" t="s">
        <v>12</v>
      </c>
      <c r="F25" s="19">
        <v>8</v>
      </c>
      <c r="G25" s="19"/>
      <c r="H25" s="20">
        <f>ROUND(H24*F25%,2)</f>
        <v>0</v>
      </c>
      <c r="I25" s="32"/>
    </row>
    <row r="26" spans="1:9" s="5" customFormat="1" ht="39.950000000000003" customHeight="1">
      <c r="A26" s="21"/>
      <c r="B26" s="15" t="s">
        <v>4</v>
      </c>
      <c r="C26" s="19"/>
      <c r="D26" s="19"/>
      <c r="E26" s="19"/>
      <c r="F26" s="19"/>
      <c r="G26" s="19"/>
      <c r="H26" s="20">
        <f>ROUND(SUM(H24:H25),2)</f>
        <v>0</v>
      </c>
      <c r="I26" s="32"/>
    </row>
    <row r="27" spans="1:9" s="5" customFormat="1" ht="80.099999999999994" customHeight="1">
      <c r="A27" s="15"/>
      <c r="B27" s="17" t="str">
        <f>'2-1'!C7</f>
        <v>მიწის ვაკისი</v>
      </c>
      <c r="C27" s="19"/>
      <c r="D27" s="19"/>
      <c r="E27" s="19"/>
      <c r="F27" s="19"/>
      <c r="G27" s="19"/>
      <c r="H27" s="20"/>
      <c r="I27" s="19"/>
    </row>
    <row r="28" spans="1:9" ht="39.950000000000003" customHeight="1">
      <c r="A28" s="31">
        <f>'2-1'!A8</f>
        <v>0</v>
      </c>
      <c r="B28" s="31">
        <f>'2-1'!C8</f>
        <v>0</v>
      </c>
      <c r="C28" s="31">
        <f>'2-1'!D8</f>
        <v>0</v>
      </c>
      <c r="D28" s="31">
        <f>'2-1'!F8</f>
        <v>0</v>
      </c>
      <c r="E28" s="30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30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30" t="e">
        <f t="shared" ref="G28" si="5">ROUND(H28/F28,2)</f>
        <v>#DIV/0!</v>
      </c>
      <c r="H28" s="31">
        <f>'2-1'!M8</f>
        <v>0</v>
      </c>
      <c r="I28" s="31">
        <f>'2-1'!B8</f>
        <v>0</v>
      </c>
    </row>
    <row r="29" spans="1:9" ht="39.950000000000003" customHeight="1">
      <c r="A29" s="31" t="str">
        <f>'2-1'!A14</f>
        <v>1.1.4</v>
      </c>
      <c r="B29" s="31" t="str">
        <f>'2-1'!C14</f>
        <v>ღორღი ბუნებრივი ქვის ფრაქცია 40-70</v>
      </c>
      <c r="C29" s="31" t="str">
        <f>'2-1'!D14</f>
        <v>მ3</v>
      </c>
      <c r="D29" s="31">
        <f>'2-1'!F14</f>
        <v>3.5999999999999999E-3</v>
      </c>
      <c r="E29" s="30" t="b">
        <f t="shared" ref="E29:E34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0</v>
      </c>
      <c r="F29" s="30" t="b">
        <f t="shared" ref="F29:F34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</v>
      </c>
      <c r="G29" s="30" t="e">
        <f t="shared" ref="G29:G34" si="8">ROUND(H29/F29,2)</f>
        <v>#DIV/0!</v>
      </c>
      <c r="H29" s="31">
        <f>'2-1'!M14</f>
        <v>0</v>
      </c>
      <c r="I29" s="31" t="str">
        <f>'2-1'!B14</f>
        <v>4-1-238</v>
      </c>
    </row>
    <row r="30" spans="1:9" ht="39.950000000000003" customHeight="1">
      <c r="A30" s="31">
        <f>'2-1'!A16</f>
        <v>1.2</v>
      </c>
      <c r="B30" s="31" t="str">
        <f>'2-1'!C16</f>
        <v>ტვირთის ტრანსპორტირება ნაყარში 3 კმ მანძილზე</v>
      </c>
      <c r="C30" s="31" t="str">
        <f>'2-1'!D16</f>
        <v>ტ</v>
      </c>
      <c r="D30" s="31">
        <f>'2-1'!F16</f>
        <v>140.4</v>
      </c>
      <c r="E30" s="30" t="str">
        <f t="shared" si="6"/>
        <v>ტ</v>
      </c>
      <c r="F30" s="30">
        <f t="shared" si="7"/>
        <v>140.4</v>
      </c>
      <c r="G30" s="30">
        <f t="shared" si="8"/>
        <v>0</v>
      </c>
      <c r="H30" s="31">
        <f>'2-1'!M16</f>
        <v>0</v>
      </c>
      <c r="I30" s="31" t="str">
        <f>'2-1'!B16</f>
        <v>15-ტრ-3</v>
      </c>
    </row>
    <row r="31" spans="1:9" ht="39.950000000000003" customHeight="1">
      <c r="A31" s="31" t="str">
        <f>'2-1'!A22</f>
        <v>1.3.3</v>
      </c>
      <c r="B31" s="31" t="str">
        <f>'2-1'!C22</f>
        <v>სხვა მანქანები</v>
      </c>
      <c r="C31" s="31" t="str">
        <f>'2-1'!D22</f>
        <v>ლარი</v>
      </c>
      <c r="D31" s="31">
        <f>'2-1'!F22</f>
        <v>1.2959999999999999E-2</v>
      </c>
      <c r="E31" s="30" t="str">
        <f t="shared" si="6"/>
        <v>ლარი</v>
      </c>
      <c r="F31" s="30">
        <f t="shared" si="7"/>
        <v>1.2959999999999999E-2</v>
      </c>
      <c r="G31" s="30">
        <f t="shared" si="8"/>
        <v>0</v>
      </c>
      <c r="H31" s="31">
        <f>'2-1'!M22</f>
        <v>0</v>
      </c>
      <c r="I31" s="31">
        <f>'2-1'!B22</f>
        <v>0</v>
      </c>
    </row>
    <row r="32" spans="1:9" ht="39.950000000000003" customHeight="1">
      <c r="A32" s="31" t="str">
        <f>'2-1'!A28</f>
        <v>1.4.2</v>
      </c>
      <c r="B32" s="31" t="str">
        <f>'2-1'!C28</f>
        <v>ექსკავატორი პნევმოთვლიან სვლაზე 0.5 მ3</v>
      </c>
      <c r="C32" s="31" t="str">
        <f>'2-1'!D28</f>
        <v>მანქ/სთ</v>
      </c>
      <c r="D32" s="31">
        <f>'2-1'!F28</f>
        <v>0.26879999999999998</v>
      </c>
      <c r="E32" s="30" t="b">
        <f t="shared" si="6"/>
        <v>0</v>
      </c>
      <c r="F32" s="30" t="b">
        <f t="shared" si="7"/>
        <v>0</v>
      </c>
      <c r="G32" s="30" t="e">
        <f t="shared" si="8"/>
        <v>#DIV/0!</v>
      </c>
      <c r="H32" s="31">
        <f>'2-1'!M28</f>
        <v>0</v>
      </c>
      <c r="I32" s="31" t="str">
        <f>'2-1'!B28</f>
        <v>14-1-126</v>
      </c>
    </row>
    <row r="33" spans="1:10" ht="39.950000000000003" customHeight="1">
      <c r="A33" s="31" t="str">
        <f>'2-1'!A30</f>
        <v>1.4.4</v>
      </c>
      <c r="B33" s="31" t="str">
        <f>'2-1'!C30</f>
        <v>ღორღი ბუნებრივი ქვის ფრაქცია 40-70</v>
      </c>
      <c r="C33" s="31" t="str">
        <f>'2-1'!D30</f>
        <v>მ3</v>
      </c>
      <c r="D33" s="31">
        <f>'2-1'!F30</f>
        <v>3.0000000000000003E-4</v>
      </c>
      <c r="E33" s="30" t="b">
        <f t="shared" si="6"/>
        <v>0</v>
      </c>
      <c r="F33" s="30" t="b">
        <f t="shared" si="7"/>
        <v>0</v>
      </c>
      <c r="G33" s="30" t="e">
        <f t="shared" si="8"/>
        <v>#DIV/0!</v>
      </c>
      <c r="H33" s="31">
        <f>'2-1'!M30</f>
        <v>0</v>
      </c>
      <c r="I33" s="31" t="str">
        <f>'2-1'!B30</f>
        <v>4-1-238</v>
      </c>
      <c r="J33" s="3"/>
    </row>
    <row r="34" spans="1:10" ht="39.950000000000003" customHeight="1">
      <c r="A34" s="36">
        <f>'2-1'!A33</f>
        <v>0</v>
      </c>
      <c r="B34" s="31">
        <f>'2-1'!C33</f>
        <v>0</v>
      </c>
      <c r="C34" s="31">
        <f>'2-1'!D33</f>
        <v>0</v>
      </c>
      <c r="D34" s="31">
        <f>'2-1'!F33</f>
        <v>0</v>
      </c>
      <c r="E34" s="30" t="b">
        <f t="shared" si="6"/>
        <v>0</v>
      </c>
      <c r="F34" s="30" t="b">
        <f t="shared" si="7"/>
        <v>0</v>
      </c>
      <c r="G34" s="30" t="e">
        <f t="shared" si="8"/>
        <v>#DIV/0!</v>
      </c>
      <c r="H34" s="31">
        <f>'2-1'!M33</f>
        <v>0</v>
      </c>
      <c r="I34" s="31">
        <f>'2-1'!B33</f>
        <v>0</v>
      </c>
      <c r="J34" s="3"/>
    </row>
    <row r="35" spans="1:10" s="5" customFormat="1" ht="39.950000000000003" customHeight="1">
      <c r="A35" s="21"/>
      <c r="B35" s="15" t="s">
        <v>4</v>
      </c>
      <c r="C35" s="19"/>
      <c r="D35" s="20"/>
      <c r="E35" s="20"/>
      <c r="F35" s="30"/>
      <c r="G35" s="20"/>
      <c r="H35" s="20">
        <f>ROUND(SUM(H28:H34),2)</f>
        <v>0</v>
      </c>
      <c r="I35" s="32"/>
    </row>
    <row r="36" spans="1:10" s="5" customFormat="1" ht="39.950000000000003" customHeight="1">
      <c r="A36" s="21"/>
      <c r="B36" s="15" t="s">
        <v>10</v>
      </c>
      <c r="C36" s="19"/>
      <c r="D36" s="19"/>
      <c r="E36" s="35" t="s">
        <v>12</v>
      </c>
      <c r="F36" s="19">
        <v>10</v>
      </c>
      <c r="G36" s="19"/>
      <c r="H36" s="20">
        <f>ROUND(H35*F36%,2)</f>
        <v>0</v>
      </c>
      <c r="I36" s="32"/>
    </row>
    <row r="37" spans="1:10" s="5" customFormat="1" ht="39.950000000000003" customHeight="1">
      <c r="A37" s="21"/>
      <c r="B37" s="15" t="s">
        <v>4</v>
      </c>
      <c r="C37" s="19"/>
      <c r="D37" s="19"/>
      <c r="E37" s="30"/>
      <c r="F37" s="19"/>
      <c r="G37" s="30"/>
      <c r="H37" s="30">
        <f>ROUND(SUM(H35:H36),2)</f>
        <v>0</v>
      </c>
      <c r="I37" s="32"/>
    </row>
    <row r="38" spans="1:10" s="5" customFormat="1" ht="39.950000000000003" customHeight="1">
      <c r="A38" s="21"/>
      <c r="B38" s="15" t="s">
        <v>11</v>
      </c>
      <c r="C38" s="19"/>
      <c r="D38" s="19"/>
      <c r="E38" s="35" t="s">
        <v>12</v>
      </c>
      <c r="F38" s="19">
        <v>8</v>
      </c>
      <c r="G38" s="19"/>
      <c r="H38" s="20">
        <f>ROUND(H37*F38%,2)</f>
        <v>0</v>
      </c>
      <c r="I38" s="32"/>
    </row>
    <row r="39" spans="1:10" s="5" customFormat="1" ht="39.950000000000003" customHeight="1">
      <c r="A39" s="21"/>
      <c r="B39" s="15" t="s">
        <v>4</v>
      </c>
      <c r="C39" s="19"/>
      <c r="D39" s="19"/>
      <c r="E39" s="19"/>
      <c r="F39" s="19"/>
      <c r="G39" s="19"/>
      <c r="H39" s="20">
        <f>ROUND(SUM(H37:H38),2)</f>
        <v>0</v>
      </c>
      <c r="I39" s="32"/>
    </row>
    <row r="40" spans="1:10" s="5" customFormat="1" ht="80.099999999999994" customHeight="1">
      <c r="A40" s="15"/>
      <c r="B40" s="17" t="str">
        <f>'3-1'!C7</f>
        <v>ღობის მოწყობის სამუშაოები</v>
      </c>
      <c r="C40" s="19"/>
      <c r="D40" s="19"/>
      <c r="E40" s="19"/>
      <c r="F40" s="19"/>
      <c r="G40" s="19"/>
      <c r="H40" s="20"/>
      <c r="I40" s="19"/>
    </row>
    <row r="41" spans="1:10" ht="39.950000000000003" customHeight="1">
      <c r="A41" s="31">
        <f>'3-1'!A9</f>
        <v>1.1000000000000001</v>
      </c>
      <c r="B41" s="31" t="str">
        <f>'3-1'!C9</f>
        <v>არსებული ღობის დემონტაჟი</v>
      </c>
      <c r="C41" s="31" t="str">
        <f>'3-1'!D9</f>
        <v>მ</v>
      </c>
      <c r="D41" s="31">
        <f>'3-1'!F9</f>
        <v>20</v>
      </c>
      <c r="E41" s="30" t="str">
        <f t="shared" ref="E41" si="9">IF(C41="კმ","კმ",IF(C41="1 ჰა","1 ჰა",IF(C41="100 ც","ც",IF(C41="1 ც","ც",IF(C41="ც","ც",IF(C41="ტ","ტ",IF(C41="1 ტ","ტ",IF(C41="მ³","მ³",IF(C41="1 მ³","მ³",IF(C41="10 მ³","მ³",IF(C41="100 მ³","მ³",IF(C41="1000 მ³","მ³",IF(C41="1000 მ","მ",IF(C41="100 მ","მ",IF(C41="10 მ","მ",IF(C41="10 მ ","მ",IF(C41="მ","მ",IF(C41="1000 მ²","მ²",IF(C41="1000 მ² ","მ²",IF(C41="100 მ²","მ²",IF(C41="100 მ² ","მ²",IF(C41="10 მ²","მ²",IF(C41="მ² ","მ²",IF(C41="ლარი","ლარი",IF(C41="ხიდი","ლარი",IF(C41="100 მ","მ",IF(C41="გ.მ.","მ")))))))))))))))))))))))))))</f>
        <v>მ</v>
      </c>
      <c r="F41" s="30">
        <f t="shared" ref="F41" si="10">IF(C41="კმ",D41,IF(C41="1 ჰა",D41,IF(C41="100 ც",D41*100,IF(C41="1 ც",D41,IF(C41="ც",D41,IF(C41="ტ",D41,IF(C41="1 ტ",D41,IF(C41="მ³",D41,IF(C41="1 მ³",D41,IF(C41="10 მ³",D41*10,IF(C41="100 მ³",D41*100,IF(C41="1000 მ³",D41*1000,IF(C41="1000 მ",D41*1000,IF(C41="100 მ",D41*100,IF(C41="10 მ",D41*10,IF(C41="10 მ ",D41*10,IF(C41="მ",D41,IF(C41="1000 მ²",D41*1000,IF(C41="1000 მ² ",D41*1000,IF(C41="100 მ²",D41*100,IF(C41="100 მ² ",D41*100,IF(C41="10 მ²",D41*10,IF(C41="მ² ",D41,IF(C41="ლარი",D41,IF(C41="ხიდი",D41,IF(C41="100 მ",D41*100,IF(C41="გ.მ.",D41)))))))))))))))))))))))))))</f>
        <v>20</v>
      </c>
      <c r="G41" s="30">
        <f t="shared" ref="G41" si="11">ROUND(H41/F41,2)</f>
        <v>0</v>
      </c>
      <c r="H41" s="31">
        <f>'3-1'!M9</f>
        <v>0</v>
      </c>
      <c r="I41" s="31" t="str">
        <f>'3-1'!B9</f>
        <v>27-50-9.</v>
      </c>
    </row>
    <row r="42" spans="1:10" ht="39.950000000000003" customHeight="1">
      <c r="A42" s="31">
        <f>'3-1'!A17</f>
        <v>1.2</v>
      </c>
      <c r="B42" s="31" t="str">
        <f>'3-1'!C17</f>
        <v xml:space="preserve">მე-3 კატეგორიის გრუნტის დამუშავება და დატვირთვა ექსკავატორით ავტოთვითმცლელზე </v>
      </c>
      <c r="C42" s="31" t="str">
        <f>'3-1'!D17</f>
        <v>მ3</v>
      </c>
      <c r="D42" s="31">
        <f>'3-1'!F17</f>
        <v>28</v>
      </c>
      <c r="E42" s="30" t="b">
        <f t="shared" ref="E42:E54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0</v>
      </c>
      <c r="F42" s="30" t="b">
        <f t="shared" ref="F42:F54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0</v>
      </c>
      <c r="G42" s="30" t="e">
        <f t="shared" ref="G42:G54" si="14">ROUND(H42/F42,2)</f>
        <v>#DIV/0!</v>
      </c>
      <c r="H42" s="31">
        <f>'3-1'!M17</f>
        <v>0</v>
      </c>
      <c r="I42" s="31" t="str">
        <f>'3-1'!B17</f>
        <v>1-22-15</v>
      </c>
    </row>
    <row r="43" spans="1:10" ht="39.950000000000003" customHeight="1">
      <c r="A43" s="31">
        <f>'3-1'!A24</f>
        <v>1.3</v>
      </c>
      <c r="B43" s="31" t="str">
        <f>'3-1'!C24</f>
        <v xml:space="preserve">მე-3 კატეგორიის გრუნტის ფენის დამუშავება ხელით </v>
      </c>
      <c r="C43" s="31" t="str">
        <f>'3-1'!D24</f>
        <v>მ3</v>
      </c>
      <c r="D43" s="31">
        <f>'3-1'!F24</f>
        <v>1</v>
      </c>
      <c r="E43" s="30" t="b">
        <f t="shared" si="12"/>
        <v>0</v>
      </c>
      <c r="F43" s="30" t="b">
        <f t="shared" si="13"/>
        <v>0</v>
      </c>
      <c r="G43" s="30" t="e">
        <f t="shared" si="14"/>
        <v>#DIV/0!</v>
      </c>
      <c r="H43" s="31">
        <f>'3-1'!M24</f>
        <v>0</v>
      </c>
      <c r="I43" s="31" t="str">
        <f>'3-1'!B24</f>
        <v>1-80-3</v>
      </c>
    </row>
    <row r="44" spans="1:10" ht="39.950000000000003" customHeight="1">
      <c r="A44" s="31">
        <f>'3-1'!A28</f>
        <v>1.4</v>
      </c>
      <c r="B44" s="31" t="str">
        <f>'3-1'!C28</f>
        <v xml:space="preserve">გრუნტის დატვირთვა ავტოთვითმცლელზე ხელით </v>
      </c>
      <c r="C44" s="31" t="str">
        <f>'3-1'!D28</f>
        <v>ტ</v>
      </c>
      <c r="D44" s="31">
        <f>'3-1'!F28</f>
        <v>1.95</v>
      </c>
      <c r="E44" s="30" t="str">
        <f t="shared" si="12"/>
        <v>ტ</v>
      </c>
      <c r="F44" s="30">
        <f t="shared" si="13"/>
        <v>1.95</v>
      </c>
      <c r="G44" s="30">
        <f t="shared" si="14"/>
        <v>0</v>
      </c>
      <c r="H44" s="31">
        <f>'3-1'!M28</f>
        <v>0</v>
      </c>
      <c r="I44" s="31" t="str">
        <f>'3-1'!B28</f>
        <v>Е1-22/1-а</v>
      </c>
    </row>
    <row r="45" spans="1:10" ht="39.950000000000003" customHeight="1">
      <c r="A45" s="31">
        <f>'3-1'!A31</f>
        <v>1.5</v>
      </c>
      <c r="B45" s="31" t="str">
        <f>'3-1'!C31</f>
        <v>ტვირთის ტრანსპორტირება ნაყარში 3 კმ მანძილზე</v>
      </c>
      <c r="C45" s="31" t="str">
        <f>'3-1'!D31</f>
        <v>ტ</v>
      </c>
      <c r="D45" s="31">
        <f>'3-1'!F31</f>
        <v>56.55</v>
      </c>
      <c r="E45" s="30" t="str">
        <f t="shared" si="12"/>
        <v>ტ</v>
      </c>
      <c r="F45" s="30">
        <f t="shared" si="13"/>
        <v>56.55</v>
      </c>
      <c r="G45" s="30">
        <f t="shared" si="14"/>
        <v>0</v>
      </c>
      <c r="H45" s="31">
        <f>'3-1'!M31</f>
        <v>0</v>
      </c>
      <c r="I45" s="31" t="str">
        <f>'3-1'!B31</f>
        <v>15-ტრ-3</v>
      </c>
    </row>
    <row r="46" spans="1:10" ht="39.950000000000003" customHeight="1">
      <c r="A46" s="31">
        <f>'3-1'!A33</f>
        <v>1.6</v>
      </c>
      <c r="B46" s="31" t="str">
        <f>'3-1'!C33</f>
        <v>მე-3 კატეგორიის გრუნტის დამუშავება ნაყარში</v>
      </c>
      <c r="C46" s="31" t="str">
        <f>'3-1'!D33</f>
        <v>მ3</v>
      </c>
      <c r="D46" s="31">
        <f>'3-1'!F33</f>
        <v>29</v>
      </c>
      <c r="E46" s="30" t="b">
        <f t="shared" si="12"/>
        <v>0</v>
      </c>
      <c r="F46" s="30" t="b">
        <f t="shared" si="13"/>
        <v>0</v>
      </c>
      <c r="G46" s="30" t="e">
        <f t="shared" si="14"/>
        <v>#DIV/0!</v>
      </c>
      <c r="H46" s="31">
        <f>'3-1'!M33</f>
        <v>0</v>
      </c>
      <c r="I46" s="31" t="str">
        <f>'3-1'!B33</f>
        <v>1-25-2</v>
      </c>
    </row>
    <row r="47" spans="1:10" ht="39.950000000000003" customHeight="1">
      <c r="A47" s="31">
        <f>'3-1'!A40</f>
        <v>1.7</v>
      </c>
      <c r="B47" s="31" t="str">
        <f>'3-1'!C40</f>
        <v>ქვიშა-ხრეშოვანი ქვესაგები ფენის მოწყობა სისქით 20 სმ</v>
      </c>
      <c r="C47" s="31" t="str">
        <f>'3-1'!D40</f>
        <v>მ3</v>
      </c>
      <c r="D47" s="31">
        <f>'3-1'!F40</f>
        <v>4</v>
      </c>
      <c r="E47" s="30" t="b">
        <f t="shared" si="12"/>
        <v>0</v>
      </c>
      <c r="F47" s="30" t="b">
        <f t="shared" si="13"/>
        <v>0</v>
      </c>
      <c r="G47" s="30" t="e">
        <f t="shared" si="14"/>
        <v>#DIV/0!</v>
      </c>
      <c r="H47" s="31">
        <f>'3-1'!M40</f>
        <v>0</v>
      </c>
      <c r="I47" s="31" t="str">
        <f>'3-1'!B40</f>
        <v>8-3-2.</v>
      </c>
    </row>
    <row r="48" spans="1:10" ht="39.950000000000003" customHeight="1">
      <c r="A48" s="31">
        <f>'3-1'!A47</f>
        <v>1.8</v>
      </c>
      <c r="B48" s="31" t="str">
        <f>'3-1'!C47</f>
        <v>ბეტონის საგების  მომზადება სისქით 10 სმ</v>
      </c>
      <c r="C48" s="31" t="str">
        <f>'3-1'!D47</f>
        <v>მ3</v>
      </c>
      <c r="D48" s="31">
        <f>'3-1'!F47</f>
        <v>2</v>
      </c>
      <c r="E48" s="30" t="b">
        <f t="shared" si="12"/>
        <v>0</v>
      </c>
      <c r="F48" s="30" t="b">
        <f t="shared" si="13"/>
        <v>0</v>
      </c>
      <c r="G48" s="30" t="e">
        <f t="shared" si="14"/>
        <v>#DIV/0!</v>
      </c>
      <c r="H48" s="31">
        <f>'3-1'!M47</f>
        <v>0</v>
      </c>
      <c r="I48" s="31" t="str">
        <f>'3-1'!B47</f>
        <v>6-1-1.</v>
      </c>
    </row>
    <row r="49" spans="1:9" ht="39.950000000000003" customHeight="1">
      <c r="A49" s="31">
        <f>'3-1'!A54</f>
        <v>1.9</v>
      </c>
      <c r="B49" s="31" t="str">
        <f>'3-1'!C54</f>
        <v>რ/ბ საყრდენი კედლის მოწყობა</v>
      </c>
      <c r="C49" s="31" t="str">
        <f>'3-1'!D54</f>
        <v>მ3</v>
      </c>
      <c r="D49" s="31">
        <f>'3-1'!F54</f>
        <v>15</v>
      </c>
      <c r="E49" s="30" t="b">
        <f t="shared" si="12"/>
        <v>0</v>
      </c>
      <c r="F49" s="30" t="b">
        <f t="shared" si="13"/>
        <v>0</v>
      </c>
      <c r="G49" s="30" t="e">
        <f t="shared" si="14"/>
        <v>#DIV/0!</v>
      </c>
      <c r="H49" s="31">
        <f>'3-1'!M54</f>
        <v>0</v>
      </c>
      <c r="I49" s="31" t="str">
        <f>'3-1'!B54</f>
        <v>6-11-7.</v>
      </c>
    </row>
    <row r="50" spans="1:9" ht="39.950000000000003" customHeight="1">
      <c r="A50" s="37">
        <f>'3-1'!A69</f>
        <v>1.1000000000000001</v>
      </c>
      <c r="B50" s="31" t="str">
        <f>'3-1'!C69</f>
        <v>პოლიეთილენის სადრენაჟე მილის მონტაჟი</v>
      </c>
      <c r="C50" s="31" t="str">
        <f>'3-1'!D69</f>
        <v>მ</v>
      </c>
      <c r="D50" s="31">
        <f>'3-1'!F69</f>
        <v>4</v>
      </c>
      <c r="E50" s="30" t="str">
        <f t="shared" si="12"/>
        <v>მ</v>
      </c>
      <c r="F50" s="30">
        <f t="shared" si="13"/>
        <v>4</v>
      </c>
      <c r="G50" s="30">
        <f t="shared" si="14"/>
        <v>0</v>
      </c>
      <c r="H50" s="31">
        <f>'3-1'!M69</f>
        <v>0</v>
      </c>
      <c r="I50" s="31" t="str">
        <f>'3-1'!B69</f>
        <v>27-5-3.</v>
      </c>
    </row>
    <row r="51" spans="1:9" ht="39.950000000000003" customHeight="1">
      <c r="A51" s="31">
        <f>'3-1'!A76</f>
        <v>1.1100000000000001</v>
      </c>
      <c r="B51" s="31" t="str">
        <f>'3-1'!C76</f>
        <v>ქვაყრილის მოყრა</v>
      </c>
      <c r="C51" s="31" t="str">
        <f>'3-1'!D76</f>
        <v>მ3</v>
      </c>
      <c r="D51" s="31">
        <f>'3-1'!F76</f>
        <v>8</v>
      </c>
      <c r="E51" s="30" t="b">
        <f t="shared" si="12"/>
        <v>0</v>
      </c>
      <c r="F51" s="30" t="b">
        <f t="shared" si="13"/>
        <v>0</v>
      </c>
      <c r="G51" s="30" t="e">
        <f t="shared" si="14"/>
        <v>#DIV/0!</v>
      </c>
      <c r="H51" s="31">
        <f>'3-1'!M76</f>
        <v>0</v>
      </c>
      <c r="I51" s="31" t="str">
        <f>'3-1'!B76</f>
        <v>1-31-6; -16</v>
      </c>
    </row>
    <row r="52" spans="1:9" ht="39.950000000000003" customHeight="1">
      <c r="A52" s="31">
        <f>'3-1'!A81</f>
        <v>1.1200000000000001</v>
      </c>
      <c r="B52" s="31" t="str">
        <f>'3-1'!C81</f>
        <v>პოხიერი თიხის ბალიშის მოწყობა სისქით 20 სმ</v>
      </c>
      <c r="C52" s="31" t="str">
        <f>'3-1'!D81</f>
        <v>მ3</v>
      </c>
      <c r="D52" s="31">
        <f>'3-1'!F81</f>
        <v>5</v>
      </c>
      <c r="E52" s="30" t="b">
        <f t="shared" si="12"/>
        <v>0</v>
      </c>
      <c r="F52" s="30" t="b">
        <f t="shared" si="13"/>
        <v>0</v>
      </c>
      <c r="G52" s="30" t="e">
        <f t="shared" si="14"/>
        <v>#DIV/0!</v>
      </c>
      <c r="H52" s="31">
        <f>'3-1'!M81</f>
        <v>0</v>
      </c>
      <c r="I52" s="31" t="str">
        <f>'3-1'!B81</f>
        <v>8-4-8.</v>
      </c>
    </row>
    <row r="53" spans="1:9" ht="39.950000000000003" customHeight="1">
      <c r="A53" s="31">
        <f>'3-1'!A88</f>
        <v>1.1299999999999999</v>
      </c>
      <c r="B53" s="31" t="str">
        <f>'3-1'!C88</f>
        <v>დრენირებადი გრუნტის უკუჩაყრა</v>
      </c>
      <c r="C53" s="31" t="str">
        <f>'3-1'!D88</f>
        <v>მ3</v>
      </c>
      <c r="D53" s="31">
        <f>'3-1'!F88</f>
        <v>33</v>
      </c>
      <c r="E53" s="30" t="b">
        <f t="shared" si="12"/>
        <v>0</v>
      </c>
      <c r="F53" s="30" t="b">
        <f t="shared" si="13"/>
        <v>0</v>
      </c>
      <c r="G53" s="30" t="e">
        <f t="shared" si="14"/>
        <v>#DIV/0!</v>
      </c>
      <c r="H53" s="31">
        <f>'3-1'!M88</f>
        <v>0</v>
      </c>
      <c r="I53" s="31" t="str">
        <f>'3-1'!B88</f>
        <v>1-22-14</v>
      </c>
    </row>
    <row r="54" spans="1:9" ht="39.950000000000003" customHeight="1">
      <c r="A54" s="31">
        <f>'3-1'!A95</f>
        <v>1.1399999999999999</v>
      </c>
      <c r="B54" s="31" t="str">
        <f>'3-1'!C95</f>
        <v xml:space="preserve"> წასაცხები ჰიდროიზოლაციის მოწყობა, 2 ფენა</v>
      </c>
      <c r="C54" s="31" t="str">
        <f>'3-1'!D95</f>
        <v>მ2</v>
      </c>
      <c r="D54" s="31">
        <f>'3-1'!F95</f>
        <v>60</v>
      </c>
      <c r="E54" s="30" t="b">
        <f t="shared" si="12"/>
        <v>0</v>
      </c>
      <c r="F54" s="30" t="b">
        <f t="shared" si="13"/>
        <v>0</v>
      </c>
      <c r="G54" s="30" t="e">
        <f t="shared" si="14"/>
        <v>#DIV/0!</v>
      </c>
      <c r="H54" s="31">
        <f>'3-1'!M95</f>
        <v>0</v>
      </c>
      <c r="I54" s="31" t="str">
        <f>'3-1'!B95</f>
        <v>8-4-7.</v>
      </c>
    </row>
    <row r="55" spans="1:9" s="5" customFormat="1" ht="39.950000000000003" customHeight="1">
      <c r="A55" s="21"/>
      <c r="B55" s="15" t="s">
        <v>4</v>
      </c>
      <c r="C55" s="19"/>
      <c r="D55" s="20"/>
      <c r="E55" s="20"/>
      <c r="F55" s="30"/>
      <c r="G55" s="20"/>
      <c r="H55" s="20">
        <f>ROUND(SUM(H41:H54),2)</f>
        <v>0</v>
      </c>
      <c r="I55" s="32"/>
    </row>
    <row r="56" spans="1:9" s="5" customFormat="1" ht="39.950000000000003" customHeight="1">
      <c r="A56" s="21"/>
      <c r="B56" s="15" t="s">
        <v>10</v>
      </c>
      <c r="C56" s="19"/>
      <c r="D56" s="19"/>
      <c r="E56" s="35" t="s">
        <v>12</v>
      </c>
      <c r="F56" s="19">
        <v>10</v>
      </c>
      <c r="G56" s="19"/>
      <c r="H56" s="20">
        <f>ROUND(H55*F56%,2)</f>
        <v>0</v>
      </c>
      <c r="I56" s="32"/>
    </row>
    <row r="57" spans="1:9" s="5" customFormat="1" ht="39.950000000000003" customHeight="1">
      <c r="A57" s="21"/>
      <c r="B57" s="15" t="s">
        <v>4</v>
      </c>
      <c r="C57" s="19"/>
      <c r="D57" s="19"/>
      <c r="E57" s="30"/>
      <c r="F57" s="19"/>
      <c r="G57" s="30"/>
      <c r="H57" s="30">
        <f>ROUND(SUM(H55:H56),2)</f>
        <v>0</v>
      </c>
      <c r="I57" s="32"/>
    </row>
    <row r="58" spans="1:9" s="5" customFormat="1" ht="39.950000000000003" customHeight="1">
      <c r="A58" s="21"/>
      <c r="B58" s="15" t="s">
        <v>11</v>
      </c>
      <c r="C58" s="19"/>
      <c r="D58" s="19"/>
      <c r="E58" s="35" t="s">
        <v>12</v>
      </c>
      <c r="F58" s="19">
        <v>8</v>
      </c>
      <c r="G58" s="19"/>
      <c r="H58" s="20">
        <f>ROUND(H57*F58%,2)</f>
        <v>0</v>
      </c>
      <c r="I58" s="32"/>
    </row>
    <row r="59" spans="1:9" s="5" customFormat="1" ht="39.950000000000003" customHeight="1">
      <c r="A59" s="21"/>
      <c r="B59" s="15" t="s">
        <v>4</v>
      </c>
      <c r="C59" s="19"/>
      <c r="D59" s="19"/>
      <c r="E59" s="19"/>
      <c r="F59" s="19"/>
      <c r="G59" s="19"/>
      <c r="H59" s="20">
        <f>ROUND(SUM(H57:H58),2)</f>
        <v>0</v>
      </c>
      <c r="I59" s="32"/>
    </row>
    <row r="60" spans="1:9" s="5" customFormat="1" ht="80.099999999999994" customHeight="1">
      <c r="A60" s="15"/>
      <c r="B60" s="17" t="str">
        <f>'4-1'!C7</f>
        <v>საგზაო სამოსი</v>
      </c>
      <c r="C60" s="19"/>
      <c r="D60" s="19"/>
      <c r="E60" s="19"/>
      <c r="F60" s="19"/>
      <c r="G60" s="19"/>
      <c r="H60" s="20"/>
      <c r="I60" s="19"/>
    </row>
    <row r="61" spans="1:9" ht="39.950000000000003" customHeight="1">
      <c r="A61" s="31">
        <f>'4-1'!A8</f>
        <v>0</v>
      </c>
      <c r="B61" s="31">
        <f>'4-1'!C8</f>
        <v>0</v>
      </c>
      <c r="C61" s="31">
        <f>'4-1'!D8</f>
        <v>0</v>
      </c>
      <c r="D61" s="31">
        <f>'4-1'!F8</f>
        <v>0</v>
      </c>
      <c r="E61" s="30" t="b">
        <f t="shared" ref="E61" si="15">IF(C61="კმ","კმ",IF(C61="1 ჰა","1 ჰა",IF(C61="100 ც","ც",IF(C61="1 ც","ც",IF(C61="ც","ც",IF(C61="ტ","ტ",IF(C61="1 ტ","ტ",IF(C61="მ³","მ³",IF(C61="1 მ³","მ³",IF(C61="10 მ³","მ³",IF(C61="100 მ³","მ³",IF(C61="1000 მ³","მ³",IF(C61="1000 მ","მ",IF(C61="100 მ","მ",IF(C61="10 მ","მ",IF(C61="10 მ ","მ",IF(C61="მ","მ",IF(C61="1000 მ²","მ²",IF(C61="1000 მ² ","მ²",IF(C61="100 მ²","მ²",IF(C61="100 მ² ","მ²",IF(C61="10 მ²","მ²",IF(C61="მ² ","მ²",IF(C61="ლარი","ლარი",IF(C61="ხიდი","ლარი",IF(C61="100 მ","მ",IF(C61="გ.მ.","მ")))))))))))))))))))))))))))</f>
        <v>0</v>
      </c>
      <c r="F61" s="30" t="b">
        <f t="shared" ref="F61" si="16">IF(C61="კმ",D61,IF(C61="1 ჰა",D61,IF(C61="100 ც",D61*100,IF(C61="1 ც",D61,IF(C61="ც",D61,IF(C61="ტ",D61,IF(C61="1 ტ",D61,IF(C61="მ³",D61,IF(C61="1 მ³",D61,IF(C61="10 მ³",D61*10,IF(C61="100 მ³",D61*100,IF(C61="1000 მ³",D61*1000,IF(C61="1000 მ",D61*1000,IF(C61="100 მ",D61*100,IF(C61="10 მ",D61*10,IF(C61="10 მ ",D61*10,IF(C61="მ",D61,IF(C61="1000 მ²",D61*1000,IF(C61="1000 მ² ",D61*1000,IF(C61="100 მ²",D61*100,IF(C61="100 მ² ",D61*100,IF(C61="10 მ²",D61*10,IF(C61="მ² ",D61,IF(C61="ლარი",D61,IF(C61="ხიდი",D61,IF(C61="100 მ",D61*100,IF(C61="გ.მ.",D61)))))))))))))))))))))))))))</f>
        <v>0</v>
      </c>
      <c r="G61" s="30" t="e">
        <f t="shared" ref="G61" si="17">ROUND(H61/F61,2)</f>
        <v>#DIV/0!</v>
      </c>
      <c r="H61" s="31">
        <f>'4-1'!M8</f>
        <v>0</v>
      </c>
      <c r="I61" s="31">
        <f>'4-1'!B8</f>
        <v>0</v>
      </c>
    </row>
    <row r="62" spans="1:9" ht="39.950000000000003" customHeight="1">
      <c r="A62" s="31" t="str">
        <f>'4-1'!A19</f>
        <v>1.1.9</v>
      </c>
      <c r="B62" s="31" t="str">
        <f>'4-1'!C19</f>
        <v>ღორღი, ფრაქცია 0-40 მმ, მარკა 600-1200</v>
      </c>
      <c r="C62" s="31" t="str">
        <f>'4-1'!D19</f>
        <v>მ³</v>
      </c>
      <c r="D62" s="31">
        <f>'4-1'!F19</f>
        <v>0</v>
      </c>
      <c r="E62" s="30" t="str">
        <f t="shared" ref="E62:E66" si="18">IF(C62="კმ","კმ",IF(C62="1 ჰა","1 ჰა",IF(C62="100 ც","ც",IF(C62="1 ც","ც",IF(C62="ც","ც",IF(C62="ტ","ტ",IF(C62="1 ტ","ტ",IF(C62="მ³","მ³",IF(C62="1 მ³","მ³",IF(C62="10 მ³","მ³",IF(C62="100 მ³","მ³",IF(C62="1000 მ³","მ³",IF(C62="1000 მ","მ",IF(C62="100 მ","მ",IF(C62="10 მ","მ",IF(C62="10 მ ","მ",IF(C62="მ","მ",IF(C62="1000 მ²","მ²",IF(C62="1000 მ² ","მ²",IF(C62="100 მ²","მ²",IF(C62="100 მ² ","მ²",IF(C62="10 მ²","მ²",IF(C62="მ² ","მ²",IF(C62="ლარი","ლარი",IF(C62="ხიდი","ლარი",IF(C62="100 მ","მ",IF(C62="გ.მ.","მ")))))))))))))))))))))))))))</f>
        <v>მ³</v>
      </c>
      <c r="F62" s="30">
        <f t="shared" ref="F62:F66" si="19">IF(C62="კმ",D62,IF(C62="1 ჰა",D62,IF(C62="100 ც",D62*100,IF(C62="1 ც",D62,IF(C62="ც",D62,IF(C62="ტ",D62,IF(C62="1 ტ",D62,IF(C62="მ³",D62,IF(C62="1 მ³",D62,IF(C62="10 მ³",D62*10,IF(C62="100 მ³",D62*100,IF(C62="1000 მ³",D62*1000,IF(C62="1000 მ",D62*1000,IF(C62="100 მ",D62*100,IF(C62="10 მ",D62*10,IF(C62="10 მ ",D62*10,IF(C62="მ",D62,IF(C62="1000 მ²",D62*1000,IF(C62="1000 მ² ",D62*1000,IF(C62="100 მ²",D62*100,IF(C62="100 მ² ",D62*100,IF(C62="10 მ²",D62*10,IF(C62="მ² ",D62,IF(C62="ლარი",D62,IF(C62="ხიდი",D62,IF(C62="100 მ",D62*100,IF(C62="გ.მ.",D62)))))))))))))))))))))))))))</f>
        <v>0</v>
      </c>
      <c r="G62" s="30" t="e">
        <f t="shared" ref="G62:G66" si="20">ROUND(H62/F62,2)</f>
        <v>#DIV/0!</v>
      </c>
      <c r="H62" s="31">
        <f>'4-1'!M19</f>
        <v>0</v>
      </c>
      <c r="I62" s="31">
        <f>'4-1'!B19</f>
        <v>0</v>
      </c>
    </row>
    <row r="63" spans="1:9" ht="39.950000000000003" customHeight="1">
      <c r="A63" s="31" t="str">
        <f>'4-1'!A23</f>
        <v>1.2.1</v>
      </c>
      <c r="B63" s="31" t="str">
        <f>'4-1'!C23</f>
        <v>ავტოგუდრონატორი 3500 ლ</v>
      </c>
      <c r="C63" s="31" t="str">
        <f>'4-1'!D23</f>
        <v>მანქ/სთ</v>
      </c>
      <c r="D63" s="31">
        <f>'4-1'!F23</f>
        <v>0.1</v>
      </c>
      <c r="E63" s="30" t="b">
        <f t="shared" si="18"/>
        <v>0</v>
      </c>
      <c r="F63" s="30" t="b">
        <f t="shared" si="19"/>
        <v>0</v>
      </c>
      <c r="G63" s="30" t="e">
        <f t="shared" si="20"/>
        <v>#DIV/0!</v>
      </c>
      <c r="H63" s="31">
        <f>'4-1'!M23</f>
        <v>0</v>
      </c>
      <c r="I63" s="31" t="str">
        <f>'4-1'!B23</f>
        <v>14-1-198</v>
      </c>
    </row>
    <row r="64" spans="1:9" ht="39.950000000000003" customHeight="1">
      <c r="A64" s="31" t="str">
        <f>'4-1'!A32</f>
        <v>1.3.5</v>
      </c>
      <c r="B64" s="31" t="str">
        <f>'4-1'!C32</f>
        <v>სხვა მანქანები</v>
      </c>
      <c r="C64" s="31" t="str">
        <f>'4-1'!D32</f>
        <v>ლარი</v>
      </c>
      <c r="D64" s="31">
        <f>'4-1'!F32</f>
        <v>1.38</v>
      </c>
      <c r="E64" s="30" t="str">
        <f t="shared" si="18"/>
        <v>ლარი</v>
      </c>
      <c r="F64" s="30">
        <f t="shared" si="19"/>
        <v>1.38</v>
      </c>
      <c r="G64" s="30">
        <f t="shared" si="20"/>
        <v>0</v>
      </c>
      <c r="H64" s="31">
        <f>'4-1'!M32</f>
        <v>0</v>
      </c>
      <c r="I64" s="31">
        <f>'4-1'!B32</f>
        <v>0</v>
      </c>
    </row>
    <row r="65" spans="1:9" ht="39.950000000000003" customHeight="1">
      <c r="A65" s="31">
        <f>'4-1'!A36</f>
        <v>1.4</v>
      </c>
      <c r="B65" s="31" t="str">
        <f>'4-1'!C36</f>
        <v>თხევადი ბიტუმის მოსხმა</v>
      </c>
      <c r="C65" s="31" t="str">
        <f>'4-1'!D36</f>
        <v>ტ</v>
      </c>
      <c r="D65" s="31">
        <f>'4-1'!F36</f>
        <v>0.18</v>
      </c>
      <c r="E65" s="30" t="str">
        <f t="shared" si="18"/>
        <v>ტ</v>
      </c>
      <c r="F65" s="30">
        <f t="shared" si="19"/>
        <v>0.18</v>
      </c>
      <c r="G65" s="30">
        <f t="shared" si="20"/>
        <v>0</v>
      </c>
      <c r="H65" s="31">
        <f>'4-1'!M36</f>
        <v>0</v>
      </c>
      <c r="I65" s="31" t="str">
        <f>'4-1'!B36</f>
        <v>27-63-1</v>
      </c>
    </row>
    <row r="66" spans="1:9" ht="39.950000000000003" customHeight="1">
      <c r="A66" s="31">
        <f>'4-1'!A52</f>
        <v>0</v>
      </c>
      <c r="B66" s="31">
        <f>'4-1'!C52</f>
        <v>0</v>
      </c>
      <c r="C66" s="31" t="str">
        <f>'4-1'!D52</f>
        <v>100 მ</v>
      </c>
      <c r="D66" s="31">
        <f>'4-1'!F52</f>
        <v>2.94</v>
      </c>
      <c r="E66" s="30" t="str">
        <f t="shared" si="18"/>
        <v>მ</v>
      </c>
      <c r="F66" s="30">
        <f t="shared" si="19"/>
        <v>294</v>
      </c>
      <c r="G66" s="30">
        <f t="shared" si="20"/>
        <v>0</v>
      </c>
      <c r="H66" s="31">
        <f>'4-1'!M52</f>
        <v>0</v>
      </c>
      <c r="I66" s="31">
        <f>'4-1'!B52</f>
        <v>0</v>
      </c>
    </row>
    <row r="67" spans="1:9" s="5" customFormat="1" ht="39.950000000000003" customHeight="1">
      <c r="A67" s="21"/>
      <c r="B67" s="15" t="s">
        <v>4</v>
      </c>
      <c r="C67" s="19"/>
      <c r="D67" s="20"/>
      <c r="E67" s="20"/>
      <c r="F67" s="30"/>
      <c r="G67" s="20"/>
      <c r="H67" s="20">
        <f>ROUND(SUM(H61:H66),2)</f>
        <v>0</v>
      </c>
      <c r="I67" s="32"/>
    </row>
    <row r="68" spans="1:9" s="5" customFormat="1" ht="39.950000000000003" customHeight="1">
      <c r="A68" s="21"/>
      <c r="B68" s="15" t="s">
        <v>10</v>
      </c>
      <c r="C68" s="19"/>
      <c r="D68" s="19"/>
      <c r="E68" s="35" t="s">
        <v>12</v>
      </c>
      <c r="F68" s="19">
        <v>10</v>
      </c>
      <c r="G68" s="19"/>
      <c r="H68" s="20">
        <f>ROUND(H67*F68%,2)</f>
        <v>0</v>
      </c>
      <c r="I68" s="32"/>
    </row>
    <row r="69" spans="1:9" s="5" customFormat="1" ht="39.950000000000003" customHeight="1">
      <c r="A69" s="21"/>
      <c r="B69" s="15" t="s">
        <v>4</v>
      </c>
      <c r="C69" s="19"/>
      <c r="D69" s="19"/>
      <c r="E69" s="30"/>
      <c r="F69" s="19"/>
      <c r="G69" s="30"/>
      <c r="H69" s="20">
        <f>ROUND(SUM(H67:H68),2)</f>
        <v>0</v>
      </c>
      <c r="I69" s="32"/>
    </row>
    <row r="70" spans="1:9" s="5" customFormat="1" ht="39.950000000000003" customHeight="1">
      <c r="A70" s="21"/>
      <c r="B70" s="15" t="s">
        <v>11</v>
      </c>
      <c r="C70" s="19"/>
      <c r="D70" s="19"/>
      <c r="E70" s="35" t="s">
        <v>12</v>
      </c>
      <c r="F70" s="19">
        <v>8</v>
      </c>
      <c r="G70" s="19"/>
      <c r="H70" s="20">
        <f>ROUND(H69*F70%,2)</f>
        <v>0</v>
      </c>
      <c r="I70" s="32"/>
    </row>
    <row r="71" spans="1:9" s="5" customFormat="1" ht="39.75" customHeight="1">
      <c r="A71" s="21"/>
      <c r="B71" s="15" t="s">
        <v>4</v>
      </c>
      <c r="C71" s="19"/>
      <c r="D71" s="19"/>
      <c r="E71" s="19"/>
      <c r="F71" s="19"/>
      <c r="G71" s="19"/>
      <c r="H71" s="20">
        <f>ROUND(SUM(H69:H70),2)</f>
        <v>0</v>
      </c>
      <c r="I71" s="32"/>
    </row>
    <row r="72" spans="1:9" s="5" customFormat="1" ht="79.5" customHeight="1">
      <c r="A72" s="15"/>
      <c r="B72" s="17">
        <f>'5-1'!C8</f>
        <v>0</v>
      </c>
      <c r="C72" s="19"/>
      <c r="D72" s="19"/>
      <c r="E72" s="19"/>
      <c r="F72" s="19"/>
      <c r="G72" s="19"/>
      <c r="H72" s="20"/>
      <c r="I72" s="19"/>
    </row>
    <row r="73" spans="1:9" ht="39.950000000000003" customHeight="1">
      <c r="A73" s="31">
        <f>'5-1'!A9</f>
        <v>1.1000000000000001</v>
      </c>
      <c r="B73" s="31" t="str">
        <f>'5-1'!C9</f>
        <v>ტერიტორიის მოშანდაკება</v>
      </c>
      <c r="C73" s="31" t="str">
        <f>'5-1'!D9</f>
        <v>მ2</v>
      </c>
      <c r="D73" s="31">
        <f>'5-1'!F9</f>
        <v>424</v>
      </c>
      <c r="E73" s="30" t="b">
        <f t="shared" ref="E73" si="21">IF(C73="კმ","კმ",IF(C73="1 ჰა","1 ჰა",IF(C73="100 ც","ც",IF(C73="1 ც","ც",IF(C73="ც","ც",IF(C73="ტ","ტ",IF(C73="1 ტ","ტ",IF(C73="მ³","მ³",IF(C73="1 მ³","მ³",IF(C73="10 მ³","მ³",IF(C73="100 მ³","მ³",IF(C73="1000 მ³","მ³",IF(C73="1000 მ","მ",IF(C73="100 მ","მ",IF(C73="10 მ","მ",IF(C73="10 მ ","მ",IF(C73="მ","მ",IF(C73="1000 მ²","მ²",IF(C73="1000 მ² ","მ²",IF(C73="100 მ²","მ²",IF(C73="100 მ² ","მ²",IF(C73="10 მ²","მ²",IF(C73="მ² ","მ²",IF(C73="ლარი","ლარი",IF(C73="ხიდი","ლარი",IF(C73="100 მ","მ",IF(C73="გ.მ.","მ")))))))))))))))))))))))))))</f>
        <v>0</v>
      </c>
      <c r="F73" s="30" t="b">
        <f t="shared" ref="F73" si="22">IF(C73="კმ",D73,IF(C73="1 ჰა",D73,IF(C73="100 ც",D73*100,IF(C73="1 ც",D73,IF(C73="ც",D73,IF(C73="ტ",D73,IF(C73="1 ტ",D73,IF(C73="მ³",D73,IF(C73="1 მ³",D73,IF(C73="10 მ³",D73*10,IF(C73="100 მ³",D73*100,IF(C73="1000 მ³",D73*1000,IF(C73="1000 მ",D73*1000,IF(C73="100 მ",D73*100,IF(C73="10 მ",D73*10,IF(C73="10 მ ",D73*10,IF(C73="მ",D73,IF(C73="1000 მ²",D73*1000,IF(C73="1000 მ² ",D73*1000,IF(C73="100 მ²",D73*100,IF(C73="100 მ² ",D73*100,IF(C73="10 მ²",D73*10,IF(C73="მ² ",D73,IF(C73="ლარი",D73,IF(C73="ხიდი",D73,IF(C73="100 მ",D73*100,IF(C73="გ.მ.",D73)))))))))))))))))))))))))))</f>
        <v>0</v>
      </c>
      <c r="G73" s="30" t="e">
        <f t="shared" ref="G73" si="23">ROUND(H73/F73,2)</f>
        <v>#DIV/0!</v>
      </c>
      <c r="H73" s="31">
        <f>'5-1'!M9</f>
        <v>0</v>
      </c>
      <c r="I73" s="31" t="str">
        <f>'5-1'!B9</f>
        <v>1-68-3</v>
      </c>
    </row>
    <row r="74" spans="1:9" ht="39.950000000000003" customHeight="1">
      <c r="A74" s="31">
        <f>'5-1'!A13</f>
        <v>0</v>
      </c>
      <c r="B74" s="31">
        <f>'5-1'!C13</f>
        <v>0</v>
      </c>
      <c r="C74" s="31">
        <f>'5-1'!D13</f>
        <v>0</v>
      </c>
      <c r="D74" s="31">
        <f>'5-1'!F13</f>
        <v>0</v>
      </c>
      <c r="E74" s="30" t="b">
        <f t="shared" ref="E74:E80" si="24">IF(C74="კმ","კმ",IF(C74="1 ჰა","1 ჰა",IF(C74="100 ც","ც",IF(C74="1 ც","ც",IF(C74="ც","ც",IF(C74="ტ","ტ",IF(C74="1 ტ","ტ",IF(C74="მ³","მ³",IF(C74="1 მ³","მ³",IF(C74="10 მ³","მ³",IF(C74="100 მ³","მ³",IF(C74="1000 მ³","მ³",IF(C74="1000 მ","მ",IF(C74="100 მ","მ",IF(C74="10 მ","მ",IF(C74="10 მ ","მ",IF(C74="მ","მ",IF(C74="1000 მ²","მ²",IF(C74="1000 მ² ","მ²",IF(C74="100 მ²","მ²",IF(C74="100 მ² ","მ²",IF(C74="10 მ²","მ²",IF(C74="მ² ","მ²",IF(C74="ლარი","ლარი",IF(C74="ხიდი","ლარი",IF(C74="100 მ","მ",IF(C74="გ.მ.","მ")))))))))))))))))))))))))))</f>
        <v>0</v>
      </c>
      <c r="F74" s="30" t="b">
        <f t="shared" ref="F74:F80" si="25">IF(C74="კმ",D74,IF(C74="1 ჰა",D74,IF(C74="100 ც",D74*100,IF(C74="1 ც",D74,IF(C74="ც",D74,IF(C74="ტ",D74,IF(C74="1 ტ",D74,IF(C74="მ³",D74,IF(C74="1 მ³",D74,IF(C74="10 მ³",D74*10,IF(C74="100 მ³",D74*100,IF(C74="1000 მ³",D74*1000,IF(C74="1000 მ",D74*1000,IF(C74="100 მ",D74*100,IF(C74="10 მ",D74*10,IF(C74="10 მ ",D74*10,IF(C74="მ",D74,IF(C74="1000 მ²",D74*1000,IF(C74="1000 მ² ",D74*1000,IF(C74="100 მ²",D74*100,IF(C74="100 მ² ",D74*100,IF(C74="10 მ²",D74*10,IF(C74="მ² ",D74,IF(C74="ლარი",D74,IF(C74="ხიდი",D74,IF(C74="100 მ",D74*100,IF(C74="გ.მ.",D74)))))))))))))))))))))))))))</f>
        <v>0</v>
      </c>
      <c r="G74" s="30" t="e">
        <f t="shared" ref="G74:G80" si="26">ROUND(H74/F74,2)</f>
        <v>#DIV/0!</v>
      </c>
      <c r="H74" s="31">
        <f>'5-1'!M13</f>
        <v>0</v>
      </c>
      <c r="I74" s="31">
        <f>'5-1'!B13</f>
        <v>0</v>
      </c>
    </row>
    <row r="75" spans="1:9" ht="39.950000000000003" customHeight="1">
      <c r="A75" s="31" t="str">
        <f>'5-1'!A21</f>
        <v>1.2.6</v>
      </c>
      <c r="B75" s="31" t="str">
        <f>'5-1'!C21</f>
        <v xml:space="preserve">ქვიშახრეშოვანი ნარევი </v>
      </c>
      <c r="C75" s="31" t="str">
        <f>'5-1'!D21</f>
        <v>მ3</v>
      </c>
      <c r="D75" s="31">
        <f>'5-1'!F21</f>
        <v>33.427999999999997</v>
      </c>
      <c r="E75" s="30" t="b">
        <f t="shared" si="24"/>
        <v>0</v>
      </c>
      <c r="F75" s="30" t="b">
        <f t="shared" si="25"/>
        <v>0</v>
      </c>
      <c r="G75" s="30" t="e">
        <f t="shared" si="26"/>
        <v>#DIV/0!</v>
      </c>
      <c r="H75" s="31">
        <f>'5-1'!M21</f>
        <v>0</v>
      </c>
      <c r="I75" s="31" t="str">
        <f>'5-1'!B21</f>
        <v>4-1-228</v>
      </c>
    </row>
    <row r="76" spans="1:9" ht="39.950000000000003" customHeight="1">
      <c r="A76" s="31" t="str">
        <f>'5-1'!A32</f>
        <v>1.3.8</v>
      </c>
      <c r="B76" s="31" t="str">
        <f>'5-1'!C32</f>
        <v xml:space="preserve">წყალი </v>
      </c>
      <c r="C76" s="31" t="str">
        <f>'5-1'!D32</f>
        <v>მ3</v>
      </c>
      <c r="D76" s="31">
        <f>'5-1'!F32</f>
        <v>10.290000000000001</v>
      </c>
      <c r="E76" s="30" t="b">
        <f t="shared" si="24"/>
        <v>0</v>
      </c>
      <c r="F76" s="30" t="b">
        <f t="shared" si="25"/>
        <v>0</v>
      </c>
      <c r="G76" s="30" t="e">
        <f t="shared" si="26"/>
        <v>#DIV/0!</v>
      </c>
      <c r="H76" s="31">
        <f>'5-1'!M32</f>
        <v>0</v>
      </c>
      <c r="I76" s="31">
        <f>'5-1'!B32</f>
        <v>0</v>
      </c>
    </row>
    <row r="77" spans="1:9" ht="39.950000000000003" customHeight="1">
      <c r="A77" s="31">
        <f>'5-1'!A36</f>
        <v>0</v>
      </c>
      <c r="B77" s="31">
        <f>'5-1'!C36</f>
        <v>0</v>
      </c>
      <c r="C77" s="31" t="str">
        <f>'5-1'!D36</f>
        <v>1 ტ</v>
      </c>
      <c r="D77" s="31">
        <f>'5-1'!F36</f>
        <v>0.24010000000000001</v>
      </c>
      <c r="E77" s="30" t="str">
        <f t="shared" si="24"/>
        <v>ტ</v>
      </c>
      <c r="F77" s="30">
        <f t="shared" si="25"/>
        <v>0.24010000000000001</v>
      </c>
      <c r="G77" s="30">
        <f t="shared" si="26"/>
        <v>0</v>
      </c>
      <c r="H77" s="31">
        <f>'5-1'!M36</f>
        <v>0</v>
      </c>
      <c r="I77" s="31">
        <f>'5-1'!B36</f>
        <v>0</v>
      </c>
    </row>
    <row r="78" spans="1:9" ht="39.950000000000003" customHeight="1">
      <c r="A78" s="31" t="str">
        <f>'5-1'!A45</f>
        <v>1.5.4</v>
      </c>
      <c r="B78" s="31" t="str">
        <f>'5-1'!C45</f>
        <v>ასფალტობეტონის დამგები</v>
      </c>
      <c r="C78" s="31" t="str">
        <f>'5-1'!D45</f>
        <v>მანქ/სთ</v>
      </c>
      <c r="D78" s="31">
        <f>'5-1'!F45</f>
        <v>1.03586</v>
      </c>
      <c r="E78" s="30" t="b">
        <f t="shared" si="24"/>
        <v>0</v>
      </c>
      <c r="F78" s="30" t="b">
        <f t="shared" si="25"/>
        <v>0</v>
      </c>
      <c r="G78" s="30" t="e">
        <f t="shared" si="26"/>
        <v>#DIV/0!</v>
      </c>
      <c r="H78" s="31">
        <f>'5-1'!M45</f>
        <v>0</v>
      </c>
      <c r="I78" s="31" t="str">
        <f>'5-1'!B45</f>
        <v>14-1-231</v>
      </c>
    </row>
    <row r="79" spans="1:9" ht="39.950000000000003" customHeight="1">
      <c r="A79" s="31">
        <f>'5-1'!A49</f>
        <v>0</v>
      </c>
      <c r="B79" s="31">
        <f>'5-1'!C49</f>
        <v>0</v>
      </c>
      <c r="C79" s="31">
        <f>'5-1'!D49</f>
        <v>0</v>
      </c>
      <c r="D79" s="31">
        <f>'5-1'!F49</f>
        <v>0</v>
      </c>
      <c r="E79" s="30" t="b">
        <f t="shared" si="24"/>
        <v>0</v>
      </c>
      <c r="F79" s="30" t="b">
        <f t="shared" si="25"/>
        <v>0</v>
      </c>
      <c r="G79" s="30" t="e">
        <f t="shared" si="26"/>
        <v>#DIV/0!</v>
      </c>
      <c r="H79" s="31">
        <f>'5-1'!M49</f>
        <v>0</v>
      </c>
      <c r="I79" s="31">
        <f>'5-1'!B49</f>
        <v>0</v>
      </c>
    </row>
    <row r="80" spans="1:9" ht="39.950000000000003" customHeight="1">
      <c r="A80" s="31" t="str">
        <f>'5-1'!A58</f>
        <v>1.7.2</v>
      </c>
      <c r="B80" s="31" t="str">
        <f>'5-1'!C58</f>
        <v>თვითმავალი სატკეპნი საგზაო 5 ტ</v>
      </c>
      <c r="C80" s="31" t="str">
        <f>'5-1'!D58</f>
        <v>მანქ/სთ</v>
      </c>
      <c r="D80" s="31">
        <f>'5-1'!F58</f>
        <v>1.2691000000000001</v>
      </c>
      <c r="E80" s="30" t="b">
        <f t="shared" si="24"/>
        <v>0</v>
      </c>
      <c r="F80" s="30" t="b">
        <f t="shared" si="25"/>
        <v>0</v>
      </c>
      <c r="G80" s="30" t="e">
        <f t="shared" si="26"/>
        <v>#DIV/0!</v>
      </c>
      <c r="H80" s="31">
        <f>'5-1'!M58</f>
        <v>0</v>
      </c>
      <c r="I80" s="31" t="str">
        <f>'5-1'!B58</f>
        <v>14-1-218</v>
      </c>
    </row>
    <row r="81" spans="1:9" s="5" customFormat="1" ht="39.950000000000003" customHeight="1">
      <c r="A81" s="21"/>
      <c r="B81" s="15" t="s">
        <v>4</v>
      </c>
      <c r="C81" s="19"/>
      <c r="D81" s="20"/>
      <c r="E81" s="20"/>
      <c r="F81" s="30"/>
      <c r="G81" s="20"/>
      <c r="H81" s="20">
        <f>ROUND(SUM(H73:H80),2)</f>
        <v>0</v>
      </c>
      <c r="I81" s="32"/>
    </row>
    <row r="82" spans="1:9" s="5" customFormat="1" ht="39.950000000000003" customHeight="1">
      <c r="A82" s="21"/>
      <c r="B82" s="15" t="s">
        <v>10</v>
      </c>
      <c r="C82" s="19"/>
      <c r="D82" s="19"/>
      <c r="E82" s="35" t="s">
        <v>12</v>
      </c>
      <c r="F82" s="19">
        <v>10</v>
      </c>
      <c r="G82" s="19"/>
      <c r="H82" s="20">
        <f>ROUND(H81*F82%,2)</f>
        <v>0</v>
      </c>
      <c r="I82" s="32"/>
    </row>
    <row r="83" spans="1:9" s="5" customFormat="1" ht="39.950000000000003" customHeight="1">
      <c r="A83" s="21"/>
      <c r="B83" s="15" t="s">
        <v>4</v>
      </c>
      <c r="C83" s="19"/>
      <c r="D83" s="19"/>
      <c r="E83" s="30"/>
      <c r="F83" s="19"/>
      <c r="G83" s="30"/>
      <c r="H83" s="20">
        <f>ROUND(SUM(H81:H82),2)</f>
        <v>0</v>
      </c>
      <c r="I83" s="32"/>
    </row>
    <row r="84" spans="1:9" s="5" customFormat="1" ht="39.950000000000003" customHeight="1">
      <c r="A84" s="21"/>
      <c r="B84" s="15" t="s">
        <v>11</v>
      </c>
      <c r="C84" s="19"/>
      <c r="D84" s="19"/>
      <c r="E84" s="35" t="s">
        <v>12</v>
      </c>
      <c r="F84" s="19">
        <v>8</v>
      </c>
      <c r="G84" s="19"/>
      <c r="H84" s="20">
        <f>ROUND(H83*F84%,2)</f>
        <v>0</v>
      </c>
      <c r="I84" s="32"/>
    </row>
    <row r="85" spans="1:9" s="5" customFormat="1" ht="39.75" customHeight="1">
      <c r="A85" s="21"/>
      <c r="B85" s="15" t="s">
        <v>4</v>
      </c>
      <c r="C85" s="19"/>
      <c r="D85" s="19"/>
      <c r="E85" s="19"/>
      <c r="F85" s="19"/>
      <c r="G85" s="19"/>
      <c r="H85" s="20">
        <f>ROUND(SUM(H83:H84),2)</f>
        <v>0</v>
      </c>
      <c r="I85" s="32"/>
    </row>
  </sheetData>
  <mergeCells count="27"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  <mergeCell ref="A7:B8"/>
    <mergeCell ref="E7:G8"/>
    <mergeCell ref="H7:I8"/>
    <mergeCell ref="A9:B10"/>
    <mergeCell ref="E9:G10"/>
    <mergeCell ref="H9:I10"/>
    <mergeCell ref="A5:B6"/>
    <mergeCell ref="E5:G6"/>
    <mergeCell ref="H5:I6"/>
    <mergeCell ref="A1:B1"/>
    <mergeCell ref="A2:B2"/>
    <mergeCell ref="A3:B4"/>
    <mergeCell ref="E3:G4"/>
    <mergeCell ref="H3:I4"/>
  </mergeCells>
  <pageMargins left="0.7" right="0.7" top="0.75" bottom="0.75" header="0.3" footer="0.3"/>
  <pageSetup paperSize="9" scale="40" orientation="landscape" r:id="rId1"/>
  <rowBreaks count="2" manualBreakCount="2">
    <brk id="36" max="16383" man="1"/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zoomScale="55" zoomScaleNormal="55" zoomScaleSheetLayoutView="55" workbookViewId="0">
      <selection activeCell="M16" sqref="M16"/>
    </sheetView>
  </sheetViews>
  <sheetFormatPr defaultRowHeight="19.5"/>
  <cols>
    <col min="1" max="1" width="15.7109375" style="27" customWidth="1"/>
    <col min="2" max="2" width="105.7109375" style="27" customWidth="1"/>
    <col min="3" max="4" width="12.7109375" style="27" customWidth="1"/>
    <col min="5" max="5" width="25.7109375" style="27" customWidth="1"/>
    <col min="6" max="7" width="20.7109375" style="27" customWidth="1"/>
    <col min="8" max="9" width="13.28515625" style="27" customWidth="1"/>
    <col min="10" max="12" width="20.7109375" style="27" customWidth="1"/>
    <col min="13" max="15" width="20.7109375" customWidth="1"/>
    <col min="19" max="20" width="20.7109375" style="9" customWidth="1"/>
  </cols>
  <sheetData>
    <row r="1" spans="1:220">
      <c r="A1" s="185"/>
      <c r="B1" s="18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0">
      <c r="A2" s="185"/>
      <c r="B2" s="185"/>
      <c r="C2" s="1"/>
      <c r="D2" s="1"/>
      <c r="E2" s="1"/>
      <c r="F2" s="1"/>
      <c r="G2" s="1"/>
      <c r="H2" s="1"/>
      <c r="I2" s="1"/>
      <c r="J2" s="1"/>
      <c r="K2" s="1"/>
      <c r="L2" s="1"/>
      <c r="S2" s="196" t="s">
        <v>136</v>
      </c>
      <c r="T2" s="196"/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10</v>
      </c>
      <c r="AE2" s="9">
        <v>11</v>
      </c>
      <c r="AF2" s="9">
        <v>12</v>
      </c>
      <c r="AG2" s="9">
        <v>13</v>
      </c>
      <c r="AH2" s="9">
        <v>14</v>
      </c>
      <c r="AI2" s="9">
        <v>15</v>
      </c>
      <c r="AJ2" s="9">
        <v>16</v>
      </c>
      <c r="AK2" s="9">
        <v>17</v>
      </c>
      <c r="AL2" s="9">
        <v>18</v>
      </c>
      <c r="AM2" s="9">
        <v>19</v>
      </c>
      <c r="AN2" s="9">
        <v>20</v>
      </c>
      <c r="AO2" s="9">
        <v>21</v>
      </c>
      <c r="AP2" s="9">
        <v>22</v>
      </c>
      <c r="AQ2" s="9">
        <v>23</v>
      </c>
      <c r="AR2" s="9">
        <v>24</v>
      </c>
      <c r="AS2" s="9">
        <v>25</v>
      </c>
      <c r="AT2" s="9">
        <v>26</v>
      </c>
      <c r="AU2" s="9">
        <v>27</v>
      </c>
      <c r="AV2" s="9">
        <v>28</v>
      </c>
      <c r="AW2" s="9">
        <v>29</v>
      </c>
      <c r="AX2" s="9">
        <v>30</v>
      </c>
      <c r="AY2" s="9">
        <v>31</v>
      </c>
      <c r="AZ2" s="9">
        <v>32</v>
      </c>
      <c r="BA2" s="9">
        <v>33</v>
      </c>
      <c r="BB2" s="9">
        <v>34</v>
      </c>
      <c r="BC2" s="9">
        <v>35</v>
      </c>
      <c r="BD2" s="9">
        <v>36</v>
      </c>
      <c r="BE2" s="9">
        <v>37</v>
      </c>
      <c r="BF2" s="9">
        <v>38</v>
      </c>
      <c r="BG2" s="9">
        <v>39</v>
      </c>
      <c r="BH2" s="9">
        <v>40</v>
      </c>
      <c r="BI2" s="9">
        <v>41</v>
      </c>
      <c r="BJ2" s="9">
        <v>42</v>
      </c>
      <c r="BK2" s="9">
        <v>43</v>
      </c>
      <c r="BL2" s="9">
        <v>44</v>
      </c>
      <c r="BM2" s="9">
        <v>45</v>
      </c>
      <c r="BN2" s="9">
        <v>46</v>
      </c>
      <c r="BO2" s="9">
        <v>47</v>
      </c>
      <c r="BP2" s="9">
        <v>48</v>
      </c>
      <c r="BQ2" s="9">
        <v>49</v>
      </c>
      <c r="BR2" s="9">
        <v>50</v>
      </c>
      <c r="BS2" s="9">
        <v>51</v>
      </c>
      <c r="BT2" s="9">
        <v>52</v>
      </c>
      <c r="BU2" s="9">
        <v>53</v>
      </c>
      <c r="BV2" s="9">
        <v>54</v>
      </c>
      <c r="BW2" s="9">
        <v>55</v>
      </c>
      <c r="BX2" s="9">
        <v>56</v>
      </c>
      <c r="BY2" s="9">
        <v>57</v>
      </c>
      <c r="BZ2" s="9">
        <v>58</v>
      </c>
      <c r="CA2" s="9">
        <v>59</v>
      </c>
      <c r="CB2" s="9">
        <v>60</v>
      </c>
      <c r="CC2" s="9">
        <v>61</v>
      </c>
      <c r="CD2" s="9">
        <v>62</v>
      </c>
      <c r="CE2" s="9">
        <v>63</v>
      </c>
      <c r="CF2" s="9">
        <v>64</v>
      </c>
      <c r="CG2" s="9">
        <v>65</v>
      </c>
      <c r="CH2" s="9">
        <v>66</v>
      </c>
      <c r="CI2" s="9">
        <v>67</v>
      </c>
      <c r="CJ2" s="9">
        <v>68</v>
      </c>
      <c r="CK2" s="9">
        <v>69</v>
      </c>
      <c r="CL2" s="9">
        <v>70</v>
      </c>
      <c r="CM2" s="9">
        <v>71</v>
      </c>
      <c r="CN2" s="9">
        <v>72</v>
      </c>
      <c r="CO2" s="9">
        <v>73</v>
      </c>
      <c r="CP2" s="9">
        <v>74</v>
      </c>
      <c r="CQ2" s="9">
        <v>75</v>
      </c>
      <c r="CR2" s="9">
        <v>76</v>
      </c>
      <c r="CS2" s="9">
        <v>77</v>
      </c>
      <c r="CT2" s="9">
        <v>78</v>
      </c>
      <c r="CU2" s="9">
        <v>79</v>
      </c>
      <c r="CV2" s="9">
        <v>80</v>
      </c>
      <c r="CW2" s="9">
        <v>81</v>
      </c>
      <c r="CX2" s="9">
        <v>82</v>
      </c>
      <c r="CY2" s="9">
        <v>83</v>
      </c>
      <c r="CZ2" s="9">
        <v>84</v>
      </c>
      <c r="DA2" s="9">
        <v>85</v>
      </c>
      <c r="DB2" s="9">
        <v>86</v>
      </c>
      <c r="DC2" s="9">
        <v>87</v>
      </c>
      <c r="DD2" s="9">
        <v>88</v>
      </c>
      <c r="DE2" s="9">
        <v>89</v>
      </c>
      <c r="DF2" s="9">
        <v>90</v>
      </c>
      <c r="DG2" s="9">
        <v>91</v>
      </c>
      <c r="DH2" s="9">
        <v>92</v>
      </c>
      <c r="DI2" s="9">
        <v>93</v>
      </c>
      <c r="DJ2" s="9">
        <v>94</v>
      </c>
      <c r="DK2" s="9">
        <v>95</v>
      </c>
      <c r="DL2" s="9">
        <v>96</v>
      </c>
      <c r="DM2" s="9">
        <v>97</v>
      </c>
      <c r="DN2" s="9">
        <v>98</v>
      </c>
      <c r="DO2" s="9">
        <v>99</v>
      </c>
      <c r="DP2" s="9">
        <v>100</v>
      </c>
      <c r="DQ2" s="9">
        <v>101</v>
      </c>
      <c r="DR2" s="9">
        <v>102</v>
      </c>
      <c r="DS2" s="9">
        <v>103</v>
      </c>
      <c r="DT2" s="9">
        <v>104</v>
      </c>
      <c r="DU2" s="9">
        <v>105</v>
      </c>
      <c r="DV2" s="9">
        <v>106</v>
      </c>
      <c r="DW2" s="9">
        <v>107</v>
      </c>
      <c r="DX2" s="9">
        <v>108</v>
      </c>
      <c r="DY2" s="9">
        <v>109</v>
      </c>
      <c r="DZ2" s="9">
        <v>110</v>
      </c>
      <c r="EA2" s="9">
        <v>111</v>
      </c>
      <c r="EB2" s="9">
        <v>112</v>
      </c>
      <c r="EC2" s="9">
        <v>113</v>
      </c>
      <c r="ED2" s="9">
        <v>114</v>
      </c>
      <c r="EE2" s="9">
        <v>115</v>
      </c>
      <c r="EF2" s="9">
        <v>116</v>
      </c>
      <c r="EG2" s="9">
        <v>117</v>
      </c>
      <c r="EH2" s="9">
        <v>118</v>
      </c>
      <c r="EI2" s="9">
        <v>119</v>
      </c>
      <c r="EJ2" s="9">
        <v>120</v>
      </c>
      <c r="EK2" s="9">
        <v>121</v>
      </c>
      <c r="EL2" s="9">
        <v>122</v>
      </c>
      <c r="EM2" s="9">
        <v>123</v>
      </c>
      <c r="EN2" s="9">
        <v>124</v>
      </c>
      <c r="EO2" s="9">
        <v>125</v>
      </c>
      <c r="EP2" s="9">
        <v>126</v>
      </c>
      <c r="EQ2" s="9">
        <v>127</v>
      </c>
      <c r="ER2" s="9">
        <v>128</v>
      </c>
      <c r="ES2" s="9">
        <v>129</v>
      </c>
      <c r="ET2" s="9">
        <v>130</v>
      </c>
      <c r="EU2" s="9">
        <v>131</v>
      </c>
      <c r="EV2" s="9">
        <v>132</v>
      </c>
      <c r="EW2" s="9">
        <v>133</v>
      </c>
      <c r="EX2" s="9">
        <v>134</v>
      </c>
      <c r="EY2" s="9">
        <v>135</v>
      </c>
      <c r="EZ2" s="9">
        <v>136</v>
      </c>
      <c r="FA2" s="9">
        <v>137</v>
      </c>
      <c r="FB2" s="9">
        <v>138</v>
      </c>
      <c r="FC2" s="9">
        <v>139</v>
      </c>
      <c r="FD2" s="9">
        <v>140</v>
      </c>
      <c r="FE2" s="9">
        <v>141</v>
      </c>
      <c r="FF2" s="9">
        <v>142</v>
      </c>
      <c r="FG2" s="9">
        <v>143</v>
      </c>
      <c r="FH2" s="9">
        <v>144</v>
      </c>
      <c r="FI2" s="9">
        <v>145</v>
      </c>
      <c r="FJ2" s="9">
        <v>146</v>
      </c>
      <c r="FK2" s="9">
        <v>147</v>
      </c>
      <c r="FL2" s="9">
        <v>148</v>
      </c>
      <c r="FM2" s="9">
        <v>149</v>
      </c>
      <c r="FN2" s="9">
        <v>150</v>
      </c>
      <c r="FO2" s="9">
        <v>151</v>
      </c>
      <c r="FP2" s="9">
        <v>152</v>
      </c>
      <c r="FQ2" s="9">
        <v>153</v>
      </c>
      <c r="FR2" s="9">
        <v>154</v>
      </c>
      <c r="FS2" s="9">
        <v>155</v>
      </c>
      <c r="FT2" s="9">
        <v>156</v>
      </c>
      <c r="FU2" s="9">
        <v>157</v>
      </c>
      <c r="FV2" s="9">
        <v>158</v>
      </c>
      <c r="FW2" s="9">
        <v>159</v>
      </c>
      <c r="FX2" s="9">
        <v>160</v>
      </c>
      <c r="FY2" s="9">
        <v>161</v>
      </c>
      <c r="FZ2" s="9">
        <v>162</v>
      </c>
      <c r="GA2" s="9">
        <v>163</v>
      </c>
      <c r="GB2" s="9">
        <v>164</v>
      </c>
      <c r="GC2" s="9">
        <v>165</v>
      </c>
      <c r="GD2" s="9">
        <v>166</v>
      </c>
      <c r="GE2" s="9">
        <v>167</v>
      </c>
      <c r="GF2" s="9">
        <v>168</v>
      </c>
      <c r="GG2" s="9">
        <v>169</v>
      </c>
      <c r="GH2" s="9">
        <v>170</v>
      </c>
      <c r="GI2" s="9">
        <v>171</v>
      </c>
      <c r="GJ2" s="9">
        <v>172</v>
      </c>
      <c r="GK2" s="9">
        <v>173</v>
      </c>
      <c r="GL2" s="9">
        <v>174</v>
      </c>
      <c r="GM2" s="9">
        <v>175</v>
      </c>
      <c r="GN2" s="9">
        <v>176</v>
      </c>
      <c r="GO2" s="9">
        <v>177</v>
      </c>
      <c r="GP2" s="9">
        <v>178</v>
      </c>
      <c r="GQ2" s="9">
        <v>179</v>
      </c>
      <c r="GR2" s="9">
        <v>180</v>
      </c>
      <c r="GS2" s="9">
        <v>181</v>
      </c>
      <c r="GT2" s="9">
        <v>182</v>
      </c>
      <c r="GU2" s="9">
        <v>183</v>
      </c>
      <c r="GV2" s="9">
        <v>184</v>
      </c>
      <c r="GW2" s="9">
        <v>185</v>
      </c>
      <c r="GX2" s="9">
        <v>186</v>
      </c>
      <c r="GY2" s="9">
        <v>187</v>
      </c>
      <c r="GZ2" s="9">
        <v>188</v>
      </c>
      <c r="HA2" s="9">
        <v>189</v>
      </c>
      <c r="HB2" s="9">
        <v>190</v>
      </c>
      <c r="HC2" s="9">
        <v>191</v>
      </c>
      <c r="HD2" s="9">
        <v>192</v>
      </c>
      <c r="HE2" s="9">
        <v>193</v>
      </c>
      <c r="HF2" s="9">
        <v>194</v>
      </c>
      <c r="HG2" s="9">
        <v>195</v>
      </c>
      <c r="HH2" s="9">
        <v>196</v>
      </c>
      <c r="HI2" s="9">
        <v>197</v>
      </c>
      <c r="HJ2" s="9">
        <v>198</v>
      </c>
      <c r="HK2" s="9">
        <v>199</v>
      </c>
      <c r="HL2" s="9">
        <v>200</v>
      </c>
    </row>
    <row r="3" spans="1:220" ht="15" customHeight="1">
      <c r="A3" s="177">
        <f>კრებსითი!A1</f>
        <v>0</v>
      </c>
      <c r="B3" s="177"/>
      <c r="C3" s="1"/>
      <c r="D3" s="1"/>
      <c r="E3" s="1"/>
      <c r="F3" s="1"/>
      <c r="G3" s="1"/>
      <c r="H3" s="1"/>
      <c r="I3" s="1"/>
      <c r="J3" s="1"/>
      <c r="K3" s="177"/>
      <c r="L3" s="177"/>
      <c r="S3" s="196" t="s">
        <v>137</v>
      </c>
      <c r="T3" s="196"/>
      <c r="U3" s="9">
        <v>1.55</v>
      </c>
      <c r="V3" s="9">
        <v>1.93</v>
      </c>
      <c r="W3" s="9">
        <v>2.42</v>
      </c>
      <c r="X3" s="9">
        <v>2.84</v>
      </c>
      <c r="Y3" s="9">
        <v>3.32</v>
      </c>
      <c r="Z3" s="9">
        <v>3.8</v>
      </c>
      <c r="AA3" s="9">
        <v>4.26</v>
      </c>
      <c r="AB3" s="9">
        <v>4.7</v>
      </c>
      <c r="AC3" s="9">
        <v>5.17</v>
      </c>
      <c r="AD3" s="9">
        <v>5.63</v>
      </c>
      <c r="AE3" s="9">
        <v>6.27</v>
      </c>
      <c r="AF3" s="9">
        <v>6.73</v>
      </c>
      <c r="AG3" s="9">
        <v>7.24</v>
      </c>
      <c r="AH3" s="9">
        <v>7.54</v>
      </c>
      <c r="AI3" s="9">
        <v>7.82</v>
      </c>
      <c r="AJ3" s="9">
        <v>8.18</v>
      </c>
      <c r="AK3" s="9">
        <v>8.5399999999999991</v>
      </c>
      <c r="AL3" s="9">
        <v>8.94</v>
      </c>
      <c r="AM3" s="9">
        <v>9.31</v>
      </c>
      <c r="AN3" s="9">
        <v>9.75</v>
      </c>
      <c r="AO3" s="9">
        <v>10.79</v>
      </c>
      <c r="AP3" s="9">
        <v>10.79</v>
      </c>
      <c r="AQ3" s="9">
        <v>10.79</v>
      </c>
      <c r="AR3" s="9">
        <v>10.79</v>
      </c>
      <c r="AS3" s="9">
        <v>10.79</v>
      </c>
      <c r="AT3" s="9">
        <v>12.31</v>
      </c>
      <c r="AU3" s="9">
        <v>12.31</v>
      </c>
      <c r="AV3" s="9">
        <v>12.31</v>
      </c>
      <c r="AW3" s="9">
        <v>12.31</v>
      </c>
      <c r="AX3" s="9">
        <v>12.31</v>
      </c>
      <c r="AY3" s="9">
        <v>13.26</v>
      </c>
      <c r="AZ3" s="9">
        <v>13.26</v>
      </c>
      <c r="BA3" s="9">
        <v>13.26</v>
      </c>
      <c r="BB3" s="9">
        <v>13.26</v>
      </c>
      <c r="BC3" s="9">
        <v>13.26</v>
      </c>
      <c r="BD3" s="9">
        <v>14.94</v>
      </c>
      <c r="BE3" s="9">
        <v>14.94</v>
      </c>
      <c r="BF3" s="9">
        <v>14.94</v>
      </c>
      <c r="BG3" s="9">
        <v>14.94</v>
      </c>
      <c r="BH3" s="9">
        <v>14.94</v>
      </c>
      <c r="BI3" s="9">
        <v>16.41</v>
      </c>
      <c r="BJ3" s="9">
        <v>16.41</v>
      </c>
      <c r="BK3" s="9">
        <v>16.41</v>
      </c>
      <c r="BL3" s="9">
        <v>16.41</v>
      </c>
      <c r="BM3" s="9">
        <v>16.41</v>
      </c>
      <c r="BN3" s="9">
        <v>18.14</v>
      </c>
      <c r="BO3" s="9">
        <v>18.14</v>
      </c>
      <c r="BP3" s="9">
        <v>18.14</v>
      </c>
      <c r="BQ3" s="9">
        <v>18.14</v>
      </c>
      <c r="BR3" s="9">
        <v>18.14</v>
      </c>
      <c r="BS3" s="9">
        <v>19.64</v>
      </c>
      <c r="BT3" s="9">
        <v>19.64</v>
      </c>
      <c r="BU3" s="9">
        <v>19.64</v>
      </c>
      <c r="BV3" s="9">
        <v>19.64</v>
      </c>
      <c r="BW3" s="9">
        <v>19.64</v>
      </c>
      <c r="BX3" s="9">
        <v>21.44</v>
      </c>
      <c r="BY3" s="9">
        <v>21.44</v>
      </c>
      <c r="BZ3" s="9">
        <v>21.44</v>
      </c>
      <c r="CA3" s="9">
        <v>21.44</v>
      </c>
      <c r="CB3" s="9">
        <v>21.44</v>
      </c>
      <c r="CC3" s="9">
        <v>22.41</v>
      </c>
      <c r="CD3" s="9">
        <v>22.41</v>
      </c>
      <c r="CE3" s="9">
        <v>22.41</v>
      </c>
      <c r="CF3" s="9">
        <v>22.41</v>
      </c>
      <c r="CG3" s="9">
        <v>22.41</v>
      </c>
      <c r="CH3" s="9">
        <v>23.66</v>
      </c>
      <c r="CI3" s="9">
        <v>23.66</v>
      </c>
      <c r="CJ3" s="9">
        <v>23.66</v>
      </c>
      <c r="CK3" s="9">
        <v>23.66</v>
      </c>
      <c r="CL3" s="9">
        <v>23.66</v>
      </c>
      <c r="CM3" s="9">
        <v>25.25</v>
      </c>
      <c r="CN3" s="9">
        <v>25.25</v>
      </c>
      <c r="CO3" s="9">
        <v>25.25</v>
      </c>
      <c r="CP3" s="9">
        <v>25.25</v>
      </c>
      <c r="CQ3" s="9">
        <v>25.25</v>
      </c>
      <c r="CR3" s="9">
        <v>26.59</v>
      </c>
      <c r="CS3" s="9">
        <v>26.59</v>
      </c>
      <c r="CT3" s="9">
        <v>26.59</v>
      </c>
      <c r="CU3" s="9">
        <v>26.59</v>
      </c>
      <c r="CV3" s="9">
        <v>26.59</v>
      </c>
      <c r="CW3" s="9">
        <v>27.25</v>
      </c>
      <c r="CX3" s="9">
        <v>27.25</v>
      </c>
      <c r="CY3" s="9">
        <v>27.25</v>
      </c>
      <c r="CZ3" s="9">
        <v>27.25</v>
      </c>
      <c r="DA3" s="9">
        <v>27.25</v>
      </c>
      <c r="DB3" s="9">
        <v>28.38</v>
      </c>
      <c r="DC3" s="9">
        <v>28.38</v>
      </c>
      <c r="DD3" s="9">
        <v>28.38</v>
      </c>
      <c r="DE3" s="9">
        <v>28.38</v>
      </c>
      <c r="DF3" s="9">
        <v>28.38</v>
      </c>
      <c r="DG3" s="9">
        <v>29.93</v>
      </c>
      <c r="DH3" s="9">
        <v>29.93</v>
      </c>
      <c r="DI3" s="9">
        <v>29.93</v>
      </c>
      <c r="DJ3" s="9">
        <v>29.93</v>
      </c>
      <c r="DK3" s="9">
        <v>29.93</v>
      </c>
      <c r="DL3" s="9">
        <v>31.25</v>
      </c>
      <c r="DM3" s="9">
        <v>31.25</v>
      </c>
      <c r="DN3" s="9">
        <v>31.25</v>
      </c>
      <c r="DO3" s="9">
        <v>31.25</v>
      </c>
      <c r="DP3" s="9">
        <v>31.25</v>
      </c>
      <c r="DQ3" s="9">
        <v>32.340000000000003</v>
      </c>
      <c r="DR3" s="9">
        <v>32.340000000000003</v>
      </c>
      <c r="DS3" s="9">
        <v>32.340000000000003</v>
      </c>
      <c r="DT3" s="9">
        <v>32.340000000000003</v>
      </c>
      <c r="DU3" s="9">
        <v>32.340000000000003</v>
      </c>
      <c r="DV3" s="9">
        <v>33.64</v>
      </c>
      <c r="DW3" s="9">
        <v>33.64</v>
      </c>
      <c r="DX3" s="9">
        <v>33.64</v>
      </c>
      <c r="DY3" s="9">
        <v>33.64</v>
      </c>
      <c r="DZ3" s="9">
        <v>33.64</v>
      </c>
      <c r="EA3" s="9">
        <v>34.840000000000003</v>
      </c>
      <c r="EB3" s="9">
        <v>34.840000000000003</v>
      </c>
      <c r="EC3" s="9">
        <v>34.840000000000003</v>
      </c>
      <c r="ED3" s="9">
        <v>34.840000000000003</v>
      </c>
      <c r="EE3" s="9">
        <v>34.840000000000003</v>
      </c>
      <c r="EF3" s="9">
        <v>36.14</v>
      </c>
      <c r="EG3" s="9">
        <v>36.14</v>
      </c>
      <c r="EH3" s="9">
        <v>36.14</v>
      </c>
      <c r="EI3" s="9">
        <v>36.14</v>
      </c>
      <c r="EJ3" s="9">
        <v>36.14</v>
      </c>
      <c r="EK3" s="9">
        <v>36.56</v>
      </c>
      <c r="EL3" s="9">
        <v>36.56</v>
      </c>
      <c r="EM3" s="9">
        <v>36.56</v>
      </c>
      <c r="EN3" s="9">
        <v>36.56</v>
      </c>
      <c r="EO3" s="9">
        <v>36.56</v>
      </c>
      <c r="EP3" s="9">
        <v>38.54</v>
      </c>
      <c r="EQ3" s="9">
        <v>38.54</v>
      </c>
      <c r="ER3" s="9">
        <v>38.54</v>
      </c>
      <c r="ES3" s="9">
        <v>38.54</v>
      </c>
      <c r="ET3" s="9">
        <v>38.54</v>
      </c>
      <c r="EU3" s="9">
        <v>39.47</v>
      </c>
      <c r="EV3" s="9">
        <v>39.47</v>
      </c>
      <c r="EW3" s="9">
        <v>39.47</v>
      </c>
      <c r="EX3" s="9">
        <v>39.47</v>
      </c>
      <c r="EY3" s="9">
        <v>39.47</v>
      </c>
      <c r="EZ3" s="9">
        <v>40.69</v>
      </c>
      <c r="FA3" s="9">
        <v>40.69</v>
      </c>
      <c r="FB3" s="9">
        <v>40.69</v>
      </c>
      <c r="FC3" s="9">
        <v>40.69</v>
      </c>
      <c r="FD3" s="9">
        <v>40.69</v>
      </c>
      <c r="FE3" s="9">
        <v>41.88</v>
      </c>
      <c r="FF3" s="9">
        <v>41.88</v>
      </c>
      <c r="FG3" s="9">
        <v>41.88</v>
      </c>
      <c r="FH3" s="9">
        <v>41.88</v>
      </c>
      <c r="FI3" s="9">
        <v>41.88</v>
      </c>
      <c r="FJ3" s="9">
        <v>43.37</v>
      </c>
      <c r="FK3" s="9">
        <v>43.37</v>
      </c>
      <c r="FL3" s="9">
        <v>43.37</v>
      </c>
      <c r="FM3" s="9">
        <v>43.37</v>
      </c>
      <c r="FN3" s="9">
        <v>43.37</v>
      </c>
      <c r="FO3" s="9">
        <v>44.39</v>
      </c>
      <c r="FP3" s="9">
        <v>44.39</v>
      </c>
      <c r="FQ3" s="9">
        <v>44.39</v>
      </c>
      <c r="FR3" s="9">
        <v>44.39</v>
      </c>
      <c r="FS3" s="9">
        <v>44.39</v>
      </c>
      <c r="FT3" s="9">
        <v>45.49</v>
      </c>
      <c r="FU3" s="9">
        <v>45.49</v>
      </c>
      <c r="FV3" s="9">
        <v>45.49</v>
      </c>
      <c r="FW3" s="9">
        <v>45.49</v>
      </c>
      <c r="FX3" s="9">
        <v>45.49</v>
      </c>
      <c r="FY3" s="9">
        <v>46.79</v>
      </c>
      <c r="FZ3" s="9">
        <v>46.79</v>
      </c>
      <c r="GA3" s="9">
        <v>46.79</v>
      </c>
      <c r="GB3" s="9">
        <v>46.79</v>
      </c>
      <c r="GC3" s="9">
        <v>46.79</v>
      </c>
      <c r="GD3" s="9">
        <v>48.52</v>
      </c>
      <c r="GE3" s="9">
        <v>48.52</v>
      </c>
      <c r="GF3" s="9">
        <v>48.52</v>
      </c>
      <c r="GG3" s="9">
        <v>48.52</v>
      </c>
      <c r="GH3" s="9">
        <v>48.52</v>
      </c>
      <c r="GI3" s="9">
        <v>49.72</v>
      </c>
      <c r="GJ3" s="9">
        <v>49.72</v>
      </c>
      <c r="GK3" s="9">
        <v>49.72</v>
      </c>
      <c r="GL3" s="9">
        <v>49.72</v>
      </c>
      <c r="GM3" s="9">
        <v>49.72</v>
      </c>
      <c r="GN3" s="9">
        <v>50.9</v>
      </c>
      <c r="GO3" s="9">
        <v>50.9</v>
      </c>
      <c r="GP3" s="9">
        <v>50.9</v>
      </c>
      <c r="GQ3" s="9">
        <v>50.9</v>
      </c>
      <c r="GR3" s="9">
        <v>50.9</v>
      </c>
      <c r="GS3" s="9">
        <v>52.22</v>
      </c>
      <c r="GT3" s="9">
        <v>52.22</v>
      </c>
      <c r="GU3" s="9">
        <v>52.22</v>
      </c>
      <c r="GV3" s="9">
        <v>52.22</v>
      </c>
      <c r="GW3" s="9">
        <v>52.22</v>
      </c>
      <c r="GX3" s="9">
        <v>53.42</v>
      </c>
      <c r="GY3" s="9">
        <v>53.42</v>
      </c>
      <c r="GZ3" s="9">
        <v>53.42</v>
      </c>
      <c r="HA3" s="9">
        <v>53.42</v>
      </c>
      <c r="HB3" s="9">
        <v>53.42</v>
      </c>
      <c r="HC3" s="9">
        <v>54.07</v>
      </c>
      <c r="HD3" s="9">
        <v>54.07</v>
      </c>
      <c r="HE3" s="9">
        <v>54.07</v>
      </c>
      <c r="HF3" s="9">
        <v>54.07</v>
      </c>
      <c r="HG3" s="9">
        <v>54.07</v>
      </c>
      <c r="HH3" s="9">
        <v>54.71</v>
      </c>
      <c r="HI3" s="9">
        <v>54.71</v>
      </c>
      <c r="HJ3" s="9">
        <v>54.71</v>
      </c>
      <c r="HK3" s="9">
        <v>54.71</v>
      </c>
      <c r="HL3" s="9">
        <v>54.71</v>
      </c>
    </row>
    <row r="4" spans="1:220" ht="15" customHeight="1">
      <c r="A4" s="177"/>
      <c r="B4" s="177"/>
      <c r="C4" s="1"/>
      <c r="D4" s="1"/>
      <c r="E4" s="1"/>
      <c r="F4" s="1"/>
      <c r="G4" s="1"/>
      <c r="H4" s="1"/>
      <c r="I4" s="1"/>
      <c r="J4" s="1"/>
      <c r="K4" s="177"/>
      <c r="L4" s="177"/>
    </row>
    <row r="5" spans="1:220" ht="15" customHeight="1">
      <c r="A5" s="177" t="s">
        <v>28</v>
      </c>
      <c r="B5" s="177"/>
      <c r="C5" s="1"/>
      <c r="D5" s="1"/>
      <c r="E5" s="1"/>
      <c r="F5" s="1"/>
      <c r="G5" s="1"/>
      <c r="H5" s="1"/>
      <c r="I5" s="1"/>
      <c r="J5" s="1"/>
      <c r="K5" s="177"/>
      <c r="L5" s="177"/>
    </row>
    <row r="6" spans="1:220" ht="15" customHeight="1">
      <c r="A6" s="177"/>
      <c r="B6" s="177"/>
      <c r="C6" s="1"/>
      <c r="D6" s="1"/>
      <c r="E6" s="1"/>
      <c r="F6" s="1"/>
      <c r="G6" s="1"/>
      <c r="H6" s="1"/>
      <c r="I6" s="1"/>
      <c r="J6" s="1"/>
      <c r="K6" s="177"/>
      <c r="L6" s="177"/>
    </row>
    <row r="7" spans="1:220" ht="15" customHeight="1">
      <c r="A7" s="177">
        <f>კრებსითი!A3</f>
        <v>0</v>
      </c>
      <c r="B7" s="177"/>
      <c r="C7" s="1"/>
      <c r="D7" s="1"/>
      <c r="E7" s="1"/>
      <c r="F7" s="1"/>
      <c r="G7" s="1"/>
      <c r="H7" s="1"/>
      <c r="I7" s="1"/>
      <c r="J7" s="1"/>
      <c r="K7" s="177"/>
      <c r="L7" s="177"/>
      <c r="S7" s="197"/>
      <c r="T7" s="197"/>
    </row>
    <row r="8" spans="1:220" ht="15" customHeight="1">
      <c r="A8" s="177"/>
      <c r="B8" s="177"/>
      <c r="C8" s="1"/>
      <c r="D8" s="1"/>
      <c r="E8" s="1"/>
      <c r="F8" s="1"/>
      <c r="G8" s="1"/>
      <c r="H8" s="1"/>
      <c r="I8" s="1"/>
      <c r="J8" s="1"/>
      <c r="K8" s="177"/>
      <c r="L8" s="177"/>
      <c r="S8" s="197"/>
      <c r="T8" s="197"/>
    </row>
    <row r="9" spans="1:220" ht="15" customHeight="1">
      <c r="A9" s="177" t="s">
        <v>29</v>
      </c>
      <c r="B9" s="177"/>
      <c r="C9" s="1"/>
      <c r="D9" s="1"/>
      <c r="E9" s="1"/>
      <c r="F9" s="1"/>
      <c r="G9" s="1"/>
      <c r="H9" s="1"/>
      <c r="I9" s="1"/>
      <c r="J9" s="1"/>
      <c r="K9" s="177"/>
      <c r="L9" s="177"/>
      <c r="S9" s="197"/>
      <c r="T9" s="197"/>
    </row>
    <row r="10" spans="1:220" ht="15" customHeight="1">
      <c r="A10" s="177"/>
      <c r="B10" s="177"/>
      <c r="C10" s="2"/>
      <c r="D10" s="2"/>
      <c r="E10" s="2"/>
      <c r="F10" s="2"/>
      <c r="G10" s="1"/>
      <c r="H10" s="1"/>
      <c r="I10" s="1"/>
      <c r="J10" s="1"/>
      <c r="K10" s="177"/>
      <c r="L10" s="177"/>
      <c r="S10" s="197"/>
      <c r="T10" s="197"/>
    </row>
    <row r="11" spans="1:220" ht="15" customHeight="1">
      <c r="A11" s="177"/>
      <c r="B11" s="177"/>
      <c r="C11" s="1"/>
      <c r="D11" s="1"/>
      <c r="E11" s="1"/>
      <c r="F11" s="1"/>
      <c r="G11" s="1"/>
      <c r="H11" s="184"/>
      <c r="I11" s="14"/>
      <c r="J11" s="177"/>
      <c r="K11" s="177"/>
      <c r="L11" s="13"/>
      <c r="S11" s="197"/>
      <c r="T11" s="197"/>
    </row>
    <row r="12" spans="1:220" ht="15" customHeight="1">
      <c r="A12" s="177"/>
      <c r="B12" s="177"/>
      <c r="C12" s="1"/>
      <c r="D12" s="1"/>
      <c r="E12" s="1"/>
      <c r="F12" s="1"/>
      <c r="G12" s="1"/>
      <c r="H12" s="184"/>
      <c r="I12" s="14"/>
      <c r="J12" s="177"/>
      <c r="K12" s="177"/>
      <c r="L12" s="13"/>
      <c r="S12" s="197"/>
      <c r="T12" s="197"/>
    </row>
    <row r="13" spans="1:220" ht="15" customHeight="1">
      <c r="A13" s="198" t="s">
        <v>41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S13" s="197"/>
      <c r="T13" s="197"/>
    </row>
    <row r="14" spans="1:220" ht="15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S14" s="197"/>
      <c r="T14" s="197"/>
    </row>
    <row r="15" spans="1:220" ht="15" customHeight="1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S15" s="197"/>
      <c r="T15" s="197"/>
    </row>
    <row r="16" spans="1:220" s="7" customFormat="1" ht="39.950000000000003" customHeight="1">
      <c r="A16" s="182" t="s">
        <v>2</v>
      </c>
      <c r="B16" s="182" t="s">
        <v>42</v>
      </c>
      <c r="C16" s="183" t="s">
        <v>7</v>
      </c>
      <c r="D16" s="183" t="s">
        <v>124</v>
      </c>
      <c r="E16" s="183" t="s">
        <v>125</v>
      </c>
      <c r="F16" s="183" t="s">
        <v>44</v>
      </c>
      <c r="G16" s="183" t="s">
        <v>138</v>
      </c>
      <c r="H16" s="183" t="s">
        <v>126</v>
      </c>
      <c r="I16" s="183"/>
      <c r="J16" s="183" t="s">
        <v>140</v>
      </c>
      <c r="K16" s="183" t="s">
        <v>147</v>
      </c>
      <c r="L16" s="193" t="s">
        <v>142</v>
      </c>
      <c r="S16" s="8"/>
      <c r="T16" s="8"/>
    </row>
    <row r="17" spans="1:20" s="7" customFormat="1" ht="39.950000000000003" customHeight="1">
      <c r="A17" s="182"/>
      <c r="B17" s="182"/>
      <c r="C17" s="183"/>
      <c r="D17" s="183"/>
      <c r="E17" s="183"/>
      <c r="F17" s="183"/>
      <c r="G17" s="183"/>
      <c r="H17" s="183" t="s">
        <v>127</v>
      </c>
      <c r="I17" s="183" t="s">
        <v>128</v>
      </c>
      <c r="J17" s="183"/>
      <c r="K17" s="183"/>
      <c r="L17" s="194"/>
      <c r="S17" s="8"/>
      <c r="T17" s="8"/>
    </row>
    <row r="18" spans="1:20" s="7" customFormat="1" ht="39.950000000000003" customHeight="1">
      <c r="A18" s="182"/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95"/>
      <c r="S18" s="8"/>
      <c r="T18" s="8"/>
    </row>
    <row r="19" spans="1:20" s="7" customFormat="1" ht="39.950000000000003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S19" s="8"/>
      <c r="T19" s="8"/>
    </row>
    <row r="20" spans="1:20" s="7" customFormat="1" ht="80.099999999999994" customHeight="1">
      <c r="A20" s="15" t="s">
        <v>9</v>
      </c>
      <c r="B20" s="17" t="s">
        <v>43</v>
      </c>
      <c r="C20" s="19"/>
      <c r="D20" s="19"/>
      <c r="E20" s="19"/>
      <c r="F20" s="19"/>
      <c r="G20" s="38"/>
      <c r="H20" s="19"/>
      <c r="I20" s="19"/>
      <c r="J20" s="19"/>
      <c r="K20" s="19"/>
      <c r="L20" s="19"/>
      <c r="S20" s="8"/>
      <c r="T20" s="8"/>
    </row>
    <row r="21" spans="1:20" ht="39.950000000000003" customHeight="1">
      <c r="A21" s="30">
        <v>1.1000000000000001</v>
      </c>
      <c r="B21" s="31" t="s">
        <v>123</v>
      </c>
      <c r="C21" s="19" t="s">
        <v>104</v>
      </c>
      <c r="D21" s="20">
        <v>1.2</v>
      </c>
      <c r="E21" s="19" t="s">
        <v>169</v>
      </c>
      <c r="F21" s="19">
        <v>15</v>
      </c>
      <c r="G21" s="38">
        <f>IF(F21&lt;=200,HLOOKUP(F21,$U$2:$HL$3,2,TRUE),(((F21-200)*0.24)+54.71))</f>
        <v>7.82</v>
      </c>
      <c r="H21" s="30" t="s">
        <v>9</v>
      </c>
      <c r="I21" s="20">
        <v>1</v>
      </c>
      <c r="J21" s="19">
        <v>162</v>
      </c>
      <c r="K21" s="37">
        <f t="shared" ref="K21:K26" si="0">ROUND(D21*G21*I21,2)</f>
        <v>9.3800000000000008</v>
      </c>
      <c r="L21" s="32" t="s">
        <v>164</v>
      </c>
    </row>
    <row r="22" spans="1:20" ht="39.950000000000003" customHeight="1">
      <c r="A22" s="30">
        <f>A21+0.1</f>
        <v>1.2000000000000002</v>
      </c>
      <c r="B22" s="31" t="s">
        <v>106</v>
      </c>
      <c r="C22" s="19" t="s">
        <v>135</v>
      </c>
      <c r="D22" s="19">
        <v>2.2000000000000002</v>
      </c>
      <c r="E22" s="19" t="s">
        <v>169</v>
      </c>
      <c r="F22" s="19">
        <v>15</v>
      </c>
      <c r="G22" s="38">
        <f t="shared" ref="G22:G69" si="1">IF(F22&lt;=200,HLOOKUP(F22,$U$2:$HL$3,2,TRUE),(((F22-200)*0.24)+54.71))</f>
        <v>7.82</v>
      </c>
      <c r="H22" s="30" t="s">
        <v>9</v>
      </c>
      <c r="I22" s="30">
        <v>1</v>
      </c>
      <c r="J22" s="19">
        <v>95</v>
      </c>
      <c r="K22" s="37">
        <f t="shared" si="0"/>
        <v>17.2</v>
      </c>
      <c r="L22" s="19" t="s">
        <v>151</v>
      </c>
    </row>
    <row r="23" spans="1:20" ht="39.950000000000003" customHeight="1">
      <c r="A23" s="30">
        <v>1.3</v>
      </c>
      <c r="B23" s="31" t="s">
        <v>177</v>
      </c>
      <c r="C23" s="19" t="s">
        <v>135</v>
      </c>
      <c r="D23" s="19">
        <v>2.2000000000000002</v>
      </c>
      <c r="E23" s="19" t="s">
        <v>169</v>
      </c>
      <c r="F23" s="19">
        <v>15</v>
      </c>
      <c r="G23" s="38">
        <f t="shared" si="1"/>
        <v>7.82</v>
      </c>
      <c r="H23" s="30" t="s">
        <v>9</v>
      </c>
      <c r="I23" s="20">
        <v>1</v>
      </c>
      <c r="J23" s="19">
        <v>103</v>
      </c>
      <c r="K23" s="37">
        <f t="shared" si="0"/>
        <v>17.2</v>
      </c>
      <c r="L23" s="32" t="s">
        <v>180</v>
      </c>
    </row>
    <row r="24" spans="1:20" ht="39.950000000000003" customHeight="1">
      <c r="A24" s="19">
        <v>1.4</v>
      </c>
      <c r="B24" s="31" t="s">
        <v>107</v>
      </c>
      <c r="C24" s="19" t="s">
        <v>135</v>
      </c>
      <c r="D24" s="19">
        <v>2.2000000000000002</v>
      </c>
      <c r="E24" s="19" t="s">
        <v>169</v>
      </c>
      <c r="F24" s="19">
        <v>15</v>
      </c>
      <c r="G24" s="38">
        <f t="shared" si="1"/>
        <v>7.82</v>
      </c>
      <c r="H24" s="30" t="s">
        <v>9</v>
      </c>
      <c r="I24" s="20">
        <v>1</v>
      </c>
      <c r="J24" s="19">
        <v>92</v>
      </c>
      <c r="K24" s="37">
        <f t="shared" si="0"/>
        <v>17.2</v>
      </c>
      <c r="L24" s="32" t="s">
        <v>173</v>
      </c>
    </row>
    <row r="25" spans="1:20" ht="39.950000000000003" customHeight="1">
      <c r="A25" s="30">
        <v>1.5</v>
      </c>
      <c r="B25" s="31" t="s">
        <v>149</v>
      </c>
      <c r="C25" s="19" t="s">
        <v>135</v>
      </c>
      <c r="D25" s="19">
        <v>2.4</v>
      </c>
      <c r="E25" s="19" t="s">
        <v>169</v>
      </c>
      <c r="F25" s="19">
        <v>15</v>
      </c>
      <c r="G25" s="38">
        <f t="shared" si="1"/>
        <v>7.82</v>
      </c>
      <c r="H25" s="30" t="s">
        <v>9</v>
      </c>
      <c r="I25" s="30">
        <v>1</v>
      </c>
      <c r="J25" s="39">
        <v>89</v>
      </c>
      <c r="K25" s="37">
        <f t="shared" si="0"/>
        <v>18.77</v>
      </c>
      <c r="L25" s="37" t="s">
        <v>150</v>
      </c>
    </row>
    <row r="26" spans="1:20" ht="39.950000000000003" customHeight="1">
      <c r="A26" s="19">
        <v>1.6</v>
      </c>
      <c r="B26" s="31" t="s">
        <v>174</v>
      </c>
      <c r="C26" s="19" t="s">
        <v>135</v>
      </c>
      <c r="D26" s="19">
        <v>2.4</v>
      </c>
      <c r="E26" s="19" t="s">
        <v>169</v>
      </c>
      <c r="F26" s="19">
        <v>15</v>
      </c>
      <c r="G26" s="38">
        <f t="shared" si="1"/>
        <v>7.82</v>
      </c>
      <c r="H26" s="30" t="s">
        <v>9</v>
      </c>
      <c r="I26" s="20">
        <v>1</v>
      </c>
      <c r="J26" s="19">
        <v>97</v>
      </c>
      <c r="K26" s="37">
        <f t="shared" si="0"/>
        <v>18.77</v>
      </c>
      <c r="L26" s="32" t="s">
        <v>175</v>
      </c>
    </row>
    <row r="27" spans="1:20" ht="39.950000000000003" customHeight="1">
      <c r="A27" s="19">
        <v>1.8</v>
      </c>
      <c r="B27" s="31" t="s">
        <v>117</v>
      </c>
      <c r="C27" s="19" t="s">
        <v>135</v>
      </c>
      <c r="D27" s="19">
        <v>2.4</v>
      </c>
      <c r="E27" s="19" t="s">
        <v>169</v>
      </c>
      <c r="F27" s="19">
        <v>15</v>
      </c>
      <c r="G27" s="38">
        <f t="shared" si="1"/>
        <v>7.82</v>
      </c>
      <c r="H27" s="30" t="s">
        <v>9</v>
      </c>
      <c r="I27" s="30">
        <v>1</v>
      </c>
      <c r="J27" s="39">
        <f>106+13</f>
        <v>119</v>
      </c>
      <c r="K27" s="37">
        <f>ROUND(D27*G27*I27,2)</f>
        <v>18.77</v>
      </c>
      <c r="L27" s="37" t="s">
        <v>143</v>
      </c>
    </row>
    <row r="28" spans="1:20" ht="39.950000000000003" customHeight="1">
      <c r="A28" s="30">
        <v>1.7</v>
      </c>
      <c r="B28" s="31" t="s">
        <v>176</v>
      </c>
      <c r="C28" s="19" t="s">
        <v>135</v>
      </c>
      <c r="D28" s="19">
        <v>2.4</v>
      </c>
      <c r="E28" s="19" t="s">
        <v>169</v>
      </c>
      <c r="F28" s="19">
        <v>15</v>
      </c>
      <c r="G28" s="38">
        <f t="shared" si="1"/>
        <v>7.82</v>
      </c>
      <c r="H28" s="30" t="s">
        <v>9</v>
      </c>
      <c r="I28" s="30">
        <v>1</v>
      </c>
      <c r="J28" s="39">
        <f>108</f>
        <v>108</v>
      </c>
      <c r="K28" s="37">
        <f>ROUND(D28*G28*I28,2)</f>
        <v>18.77</v>
      </c>
      <c r="L28" s="37" t="s">
        <v>143</v>
      </c>
    </row>
    <row r="29" spans="1:20" ht="39.950000000000003" customHeight="1">
      <c r="A29" s="19">
        <v>1.8</v>
      </c>
      <c r="B29" s="31" t="s">
        <v>91</v>
      </c>
      <c r="C29" s="19" t="s">
        <v>135</v>
      </c>
      <c r="D29" s="19">
        <v>2.4</v>
      </c>
      <c r="E29" s="19" t="s">
        <v>169</v>
      </c>
      <c r="F29" s="19">
        <v>15</v>
      </c>
      <c r="G29" s="38">
        <f t="shared" si="1"/>
        <v>7.82</v>
      </c>
      <c r="H29" s="30" t="s">
        <v>9</v>
      </c>
      <c r="I29" s="30">
        <v>1</v>
      </c>
      <c r="J29" s="39">
        <f>108+13</f>
        <v>121</v>
      </c>
      <c r="K29" s="37">
        <f>ROUND(D29*G29*I29,2)</f>
        <v>18.77</v>
      </c>
      <c r="L29" s="37" t="s">
        <v>143</v>
      </c>
    </row>
    <row r="30" spans="1:20" ht="39.950000000000003" customHeight="1">
      <c r="A30" s="30">
        <v>1.9</v>
      </c>
      <c r="B30" s="31" t="s">
        <v>186</v>
      </c>
      <c r="C30" s="19" t="s">
        <v>135</v>
      </c>
      <c r="D30" s="19">
        <v>2.4</v>
      </c>
      <c r="E30" s="19" t="s">
        <v>169</v>
      </c>
      <c r="F30" s="19">
        <v>15</v>
      </c>
      <c r="G30" s="38">
        <f t="shared" si="1"/>
        <v>7.82</v>
      </c>
      <c r="H30" s="30" t="s">
        <v>9</v>
      </c>
      <c r="I30" s="30">
        <v>1</v>
      </c>
      <c r="J30" s="39">
        <v>113</v>
      </c>
      <c r="K30" s="37">
        <f>ROUND(D30*G30*I30,2)</f>
        <v>18.77</v>
      </c>
      <c r="L30" s="37" t="s">
        <v>143</v>
      </c>
    </row>
    <row r="31" spans="1:20" ht="39.950000000000003" customHeight="1">
      <c r="A31" s="20">
        <v>1.1000000000000001</v>
      </c>
      <c r="B31" s="31" t="s">
        <v>185</v>
      </c>
      <c r="C31" s="19" t="s">
        <v>135</v>
      </c>
      <c r="D31" s="19">
        <v>2.4</v>
      </c>
      <c r="E31" s="19" t="s">
        <v>169</v>
      </c>
      <c r="F31" s="19">
        <v>15</v>
      </c>
      <c r="G31" s="38">
        <f t="shared" si="1"/>
        <v>7.82</v>
      </c>
      <c r="H31" s="30" t="s">
        <v>9</v>
      </c>
      <c r="I31" s="30">
        <v>1</v>
      </c>
      <c r="J31" s="39">
        <f>113+13</f>
        <v>126</v>
      </c>
      <c r="K31" s="37">
        <f t="shared" ref="K31:K40" si="2">ROUND(D31*G31*I31,2)</f>
        <v>18.77</v>
      </c>
      <c r="L31" s="37" t="s">
        <v>143</v>
      </c>
    </row>
    <row r="32" spans="1:20" ht="39.950000000000003" customHeight="1">
      <c r="A32" s="20">
        <v>1.1100000000000001</v>
      </c>
      <c r="B32" s="31" t="s">
        <v>110</v>
      </c>
      <c r="C32" s="19" t="s">
        <v>154</v>
      </c>
      <c r="D32" s="19">
        <v>1</v>
      </c>
      <c r="E32" s="19" t="s">
        <v>265</v>
      </c>
      <c r="F32" s="19">
        <v>240</v>
      </c>
      <c r="G32" s="38">
        <f t="shared" si="1"/>
        <v>64.31</v>
      </c>
      <c r="H32" s="30" t="s">
        <v>9</v>
      </c>
      <c r="I32" s="30">
        <v>1</v>
      </c>
      <c r="J32" s="19">
        <v>1600</v>
      </c>
      <c r="K32" s="37">
        <f t="shared" si="2"/>
        <v>64.31</v>
      </c>
      <c r="L32" s="32" t="s">
        <v>170</v>
      </c>
    </row>
    <row r="33" spans="1:12" ht="39.950000000000003" customHeight="1">
      <c r="A33" s="20">
        <v>1.1200000000000001</v>
      </c>
      <c r="B33" s="31" t="s">
        <v>134</v>
      </c>
      <c r="C33" s="19" t="s">
        <v>154</v>
      </c>
      <c r="D33" s="19">
        <v>1</v>
      </c>
      <c r="E33" s="19" t="s">
        <v>265</v>
      </c>
      <c r="F33" s="19">
        <v>240</v>
      </c>
      <c r="G33" s="38">
        <f t="shared" si="1"/>
        <v>64.31</v>
      </c>
      <c r="H33" s="30" t="s">
        <v>9</v>
      </c>
      <c r="I33" s="30">
        <v>1</v>
      </c>
      <c r="J33" s="19">
        <v>1520</v>
      </c>
      <c r="K33" s="37">
        <f t="shared" si="2"/>
        <v>64.31</v>
      </c>
      <c r="L33" s="32" t="s">
        <v>155</v>
      </c>
    </row>
    <row r="34" spans="1:12" ht="39.950000000000003" customHeight="1">
      <c r="A34" s="20">
        <v>1.1299999999999999</v>
      </c>
      <c r="B34" s="31" t="s">
        <v>120</v>
      </c>
      <c r="C34" s="19" t="s">
        <v>104</v>
      </c>
      <c r="D34" s="19">
        <v>1</v>
      </c>
      <c r="E34" s="19" t="s">
        <v>264</v>
      </c>
      <c r="F34" s="19">
        <v>110</v>
      </c>
      <c r="G34" s="38">
        <f t="shared" si="1"/>
        <v>33.64</v>
      </c>
      <c r="H34" s="30" t="s">
        <v>9</v>
      </c>
      <c r="I34" s="20">
        <v>1</v>
      </c>
      <c r="J34" s="19">
        <v>101.7</v>
      </c>
      <c r="K34" s="37">
        <f t="shared" si="2"/>
        <v>33.64</v>
      </c>
      <c r="L34" s="32" t="s">
        <v>166</v>
      </c>
    </row>
    <row r="35" spans="1:12" ht="39.950000000000003" customHeight="1">
      <c r="A35" s="20">
        <v>1.1399999999999999</v>
      </c>
      <c r="B35" s="31" t="s">
        <v>121</v>
      </c>
      <c r="C35" s="19" t="s">
        <v>104</v>
      </c>
      <c r="D35" s="19">
        <v>1</v>
      </c>
      <c r="E35" s="19" t="s">
        <v>264</v>
      </c>
      <c r="F35" s="19">
        <v>110</v>
      </c>
      <c r="G35" s="38">
        <f t="shared" si="1"/>
        <v>33.64</v>
      </c>
      <c r="H35" s="30" t="s">
        <v>9</v>
      </c>
      <c r="I35" s="20">
        <v>1</v>
      </c>
      <c r="J35" s="19">
        <v>110.2</v>
      </c>
      <c r="K35" s="37">
        <f t="shared" si="2"/>
        <v>33.64</v>
      </c>
      <c r="L35" s="32" t="s">
        <v>167</v>
      </c>
    </row>
    <row r="36" spans="1:12" ht="39.950000000000003" customHeight="1">
      <c r="A36" s="20">
        <v>1.1499999999999999</v>
      </c>
      <c r="B36" s="31" t="s">
        <v>129</v>
      </c>
      <c r="C36" s="19" t="s">
        <v>135</v>
      </c>
      <c r="D36" s="19">
        <v>1.6</v>
      </c>
      <c r="E36" s="19" t="s">
        <v>160</v>
      </c>
      <c r="F36" s="19">
        <v>20</v>
      </c>
      <c r="G36" s="38">
        <f t="shared" si="1"/>
        <v>9.75</v>
      </c>
      <c r="H36" s="30" t="s">
        <v>9</v>
      </c>
      <c r="I36" s="30">
        <v>1</v>
      </c>
      <c r="J36" s="39">
        <v>17</v>
      </c>
      <c r="K36" s="37">
        <f t="shared" si="2"/>
        <v>15.6</v>
      </c>
      <c r="L36" s="37" t="s">
        <v>144</v>
      </c>
    </row>
    <row r="37" spans="1:12" ht="39.950000000000003" customHeight="1">
      <c r="A37" s="20">
        <v>1.1599999999999999</v>
      </c>
      <c r="B37" s="31" t="s">
        <v>97</v>
      </c>
      <c r="C37" s="19" t="s">
        <v>135</v>
      </c>
      <c r="D37" s="19">
        <v>1.55</v>
      </c>
      <c r="E37" s="19" t="s">
        <v>160</v>
      </c>
      <c r="F37" s="19">
        <v>20</v>
      </c>
      <c r="G37" s="38">
        <f t="shared" si="1"/>
        <v>9.75</v>
      </c>
      <c r="H37" s="30" t="s">
        <v>9</v>
      </c>
      <c r="I37" s="30">
        <v>1</v>
      </c>
      <c r="J37" s="19">
        <v>12.7</v>
      </c>
      <c r="K37" s="37">
        <f t="shared" si="2"/>
        <v>15.11</v>
      </c>
      <c r="L37" s="32" t="s">
        <v>157</v>
      </c>
    </row>
    <row r="38" spans="1:12" ht="39.950000000000003" customHeight="1">
      <c r="A38" s="20">
        <v>1.17</v>
      </c>
      <c r="B38" s="31" t="s">
        <v>130</v>
      </c>
      <c r="C38" s="19" t="s">
        <v>135</v>
      </c>
      <c r="D38" s="19">
        <v>1.5</v>
      </c>
      <c r="E38" s="19" t="s">
        <v>169</v>
      </c>
      <c r="F38" s="19">
        <v>15</v>
      </c>
      <c r="G38" s="38">
        <f t="shared" si="1"/>
        <v>7.82</v>
      </c>
      <c r="H38" s="30" t="s">
        <v>9</v>
      </c>
      <c r="I38" s="30">
        <v>1</v>
      </c>
      <c r="J38" s="19">
        <v>28</v>
      </c>
      <c r="K38" s="37">
        <f t="shared" si="2"/>
        <v>11.73</v>
      </c>
      <c r="L38" s="19" t="s">
        <v>148</v>
      </c>
    </row>
    <row r="39" spans="1:12" ht="39.950000000000003" customHeight="1">
      <c r="A39" s="20">
        <v>1.18</v>
      </c>
      <c r="B39" s="31" t="s">
        <v>178</v>
      </c>
      <c r="C39" s="19" t="s">
        <v>135</v>
      </c>
      <c r="D39" s="19">
        <v>1.5</v>
      </c>
      <c r="E39" s="19" t="s">
        <v>169</v>
      </c>
      <c r="F39" s="19">
        <v>15</v>
      </c>
      <c r="G39" s="38">
        <f t="shared" si="1"/>
        <v>7.82</v>
      </c>
      <c r="H39" s="30" t="s">
        <v>9</v>
      </c>
      <c r="I39" s="20">
        <v>1</v>
      </c>
      <c r="J39" s="19">
        <v>38</v>
      </c>
      <c r="K39" s="37">
        <f t="shared" si="2"/>
        <v>11.73</v>
      </c>
      <c r="L39" s="32" t="s">
        <v>179</v>
      </c>
    </row>
    <row r="40" spans="1:12" ht="39.950000000000003" customHeight="1">
      <c r="A40" s="20">
        <v>1.19</v>
      </c>
      <c r="B40" s="19" t="s">
        <v>158</v>
      </c>
      <c r="C40" s="19" t="s">
        <v>135</v>
      </c>
      <c r="D40" s="19">
        <v>2</v>
      </c>
      <c r="E40" s="19" t="s">
        <v>160</v>
      </c>
      <c r="F40" s="19">
        <v>20</v>
      </c>
      <c r="G40" s="38">
        <f t="shared" si="1"/>
        <v>9.75</v>
      </c>
      <c r="H40" s="30" t="s">
        <v>9</v>
      </c>
      <c r="I40" s="30">
        <v>1</v>
      </c>
      <c r="J40" s="19">
        <v>15</v>
      </c>
      <c r="K40" s="37">
        <f t="shared" si="2"/>
        <v>19.5</v>
      </c>
      <c r="L40" s="32" t="s">
        <v>159</v>
      </c>
    </row>
    <row r="41" spans="1:12" ht="39.950000000000003" customHeight="1">
      <c r="A41" s="20">
        <v>1.2</v>
      </c>
      <c r="B41" s="19" t="s">
        <v>240</v>
      </c>
      <c r="C41" s="19" t="s">
        <v>135</v>
      </c>
      <c r="D41" s="19">
        <v>2</v>
      </c>
      <c r="E41" s="19" t="s">
        <v>160</v>
      </c>
      <c r="F41" s="19">
        <v>20</v>
      </c>
      <c r="G41" s="38">
        <f t="shared" si="1"/>
        <v>9.75</v>
      </c>
      <c r="H41" s="30" t="s">
        <v>9</v>
      </c>
      <c r="I41" s="30">
        <v>1</v>
      </c>
      <c r="J41" s="19">
        <v>18</v>
      </c>
      <c r="K41" s="37">
        <f>ROUND(D41*G41*I41,2)</f>
        <v>19.5</v>
      </c>
      <c r="L41" s="32" t="s">
        <v>159</v>
      </c>
    </row>
    <row r="42" spans="1:12" ht="39.950000000000003" customHeight="1">
      <c r="A42" s="20">
        <v>1.21</v>
      </c>
      <c r="B42" s="31" t="s">
        <v>92</v>
      </c>
      <c r="C42" s="19" t="s">
        <v>141</v>
      </c>
      <c r="D42" s="19">
        <f>0.4*1*0.6</f>
        <v>0.24</v>
      </c>
      <c r="E42" s="19" t="s">
        <v>239</v>
      </c>
      <c r="F42" s="19">
        <v>130</v>
      </c>
      <c r="G42" s="38">
        <f t="shared" si="1"/>
        <v>38.54</v>
      </c>
      <c r="H42" s="30" t="s">
        <v>9</v>
      </c>
      <c r="I42" s="30">
        <v>1</v>
      </c>
      <c r="J42" s="39">
        <v>16</v>
      </c>
      <c r="K42" s="37">
        <f t="shared" ref="K42:K68" si="3">ROUND(D42*G42*I42,2)</f>
        <v>9.25</v>
      </c>
      <c r="L42" s="37" t="s">
        <v>145</v>
      </c>
    </row>
    <row r="43" spans="1:12" ht="39.950000000000003" customHeight="1">
      <c r="A43" s="20">
        <v>1.22</v>
      </c>
      <c r="B43" s="31" t="s">
        <v>133</v>
      </c>
      <c r="C43" s="19" t="s">
        <v>135</v>
      </c>
      <c r="D43" s="19">
        <v>0.6</v>
      </c>
      <c r="E43" s="19" t="s">
        <v>239</v>
      </c>
      <c r="F43" s="19">
        <v>130</v>
      </c>
      <c r="G43" s="38">
        <f t="shared" si="1"/>
        <v>38.54</v>
      </c>
      <c r="H43" s="30" t="s">
        <v>9</v>
      </c>
      <c r="I43" s="30">
        <v>1</v>
      </c>
      <c r="J43" s="39">
        <v>443</v>
      </c>
      <c r="K43" s="37">
        <f t="shared" si="3"/>
        <v>23.12</v>
      </c>
      <c r="L43" s="40" t="s">
        <v>153</v>
      </c>
    </row>
    <row r="44" spans="1:12" ht="39.950000000000003" customHeight="1">
      <c r="A44" s="20">
        <v>1.23</v>
      </c>
      <c r="B44" s="31" t="s">
        <v>93</v>
      </c>
      <c r="C44" s="19" t="s">
        <v>135</v>
      </c>
      <c r="D44" s="19">
        <v>0.6</v>
      </c>
      <c r="E44" s="19" t="s">
        <v>239</v>
      </c>
      <c r="F44" s="19">
        <v>130</v>
      </c>
      <c r="G44" s="38">
        <f t="shared" si="1"/>
        <v>38.54</v>
      </c>
      <c r="H44" s="30" t="s">
        <v>9</v>
      </c>
      <c r="I44" s="30">
        <v>1</v>
      </c>
      <c r="J44" s="39">
        <v>475</v>
      </c>
      <c r="K44" s="37">
        <f t="shared" si="3"/>
        <v>23.12</v>
      </c>
      <c r="L44" s="40" t="s">
        <v>146</v>
      </c>
    </row>
    <row r="45" spans="1:12" ht="39.950000000000003" customHeight="1">
      <c r="A45" s="20">
        <v>1.24</v>
      </c>
      <c r="B45" s="31" t="s">
        <v>184</v>
      </c>
      <c r="C45" s="19" t="s">
        <v>135</v>
      </c>
      <c r="D45" s="19">
        <v>0.6</v>
      </c>
      <c r="E45" s="19" t="s">
        <v>239</v>
      </c>
      <c r="F45" s="19">
        <v>130</v>
      </c>
      <c r="G45" s="38">
        <f t="shared" si="1"/>
        <v>38.54</v>
      </c>
      <c r="H45" s="30" t="s">
        <v>9</v>
      </c>
      <c r="I45" s="30">
        <v>1</v>
      </c>
      <c r="J45" s="30">
        <v>521</v>
      </c>
      <c r="K45" s="37">
        <f>ROUND(D45*G45*I45,2)</f>
        <v>23.12</v>
      </c>
      <c r="L45" s="40" t="s">
        <v>146</v>
      </c>
    </row>
    <row r="46" spans="1:12" ht="39.950000000000003" customHeight="1">
      <c r="A46" s="20">
        <v>1.25</v>
      </c>
      <c r="B46" s="19" t="s">
        <v>132</v>
      </c>
      <c r="C46" s="19" t="s">
        <v>135</v>
      </c>
      <c r="D46" s="19">
        <v>0.7</v>
      </c>
      <c r="E46" s="19" t="s">
        <v>239</v>
      </c>
      <c r="F46" s="19">
        <v>130</v>
      </c>
      <c r="G46" s="38">
        <f t="shared" si="1"/>
        <v>38.54</v>
      </c>
      <c r="H46" s="30" t="s">
        <v>9</v>
      </c>
      <c r="I46" s="30">
        <v>1</v>
      </c>
      <c r="J46" s="19">
        <v>280</v>
      </c>
      <c r="K46" s="37">
        <f t="shared" si="3"/>
        <v>26.98</v>
      </c>
      <c r="L46" s="32" t="s">
        <v>152</v>
      </c>
    </row>
    <row r="47" spans="1:12" ht="39.950000000000003" customHeight="1">
      <c r="A47" s="20">
        <v>1.26</v>
      </c>
      <c r="B47" s="31" t="s">
        <v>102</v>
      </c>
      <c r="C47" s="19" t="s">
        <v>154</v>
      </c>
      <c r="D47" s="19">
        <v>1</v>
      </c>
      <c r="E47" s="19" t="s">
        <v>169</v>
      </c>
      <c r="F47" s="19">
        <v>15</v>
      </c>
      <c r="G47" s="38">
        <f t="shared" si="1"/>
        <v>7.82</v>
      </c>
      <c r="H47" s="30" t="s">
        <v>9</v>
      </c>
      <c r="I47" s="30">
        <v>1</v>
      </c>
      <c r="J47" s="19">
        <v>995</v>
      </c>
      <c r="K47" s="37">
        <f>ROUND(D47*G47*I47,2)</f>
        <v>7.82</v>
      </c>
      <c r="L47" s="32" t="s">
        <v>156</v>
      </c>
    </row>
    <row r="48" spans="1:12" ht="39.950000000000003" customHeight="1">
      <c r="A48" s="20">
        <v>1.27</v>
      </c>
      <c r="B48" s="31" t="s">
        <v>88</v>
      </c>
      <c r="C48" s="19" t="s">
        <v>104</v>
      </c>
      <c r="D48" s="19">
        <v>1</v>
      </c>
      <c r="E48" s="19" t="s">
        <v>169</v>
      </c>
      <c r="F48" s="19">
        <v>15</v>
      </c>
      <c r="G48" s="38">
        <f t="shared" si="1"/>
        <v>7.82</v>
      </c>
      <c r="H48" s="30" t="s">
        <v>9</v>
      </c>
      <c r="I48" s="20">
        <v>1</v>
      </c>
      <c r="J48" s="19">
        <v>1250</v>
      </c>
      <c r="K48" s="37">
        <f>ROUND(D48*G48*I48,2)</f>
        <v>7.82</v>
      </c>
      <c r="L48" s="32" t="s">
        <v>165</v>
      </c>
    </row>
    <row r="49" spans="1:12" ht="39.950000000000003" customHeight="1">
      <c r="A49" s="20">
        <v>1.28</v>
      </c>
      <c r="B49" s="26" t="s">
        <v>122</v>
      </c>
      <c r="C49" s="19" t="s">
        <v>181</v>
      </c>
      <c r="D49" s="19">
        <v>3.5999999999999999E-3</v>
      </c>
      <c r="E49" s="19" t="s">
        <v>169</v>
      </c>
      <c r="F49" s="19">
        <v>15</v>
      </c>
      <c r="G49" s="38">
        <f t="shared" si="1"/>
        <v>7.82</v>
      </c>
      <c r="H49" s="30" t="s">
        <v>9</v>
      </c>
      <c r="I49" s="20">
        <v>1</v>
      </c>
      <c r="J49" s="19">
        <v>0.41</v>
      </c>
      <c r="K49" s="37">
        <f>ROUND(D49*G49*I49,2)</f>
        <v>0.03</v>
      </c>
      <c r="L49" s="32" t="s">
        <v>182</v>
      </c>
    </row>
    <row r="50" spans="1:12" ht="39.950000000000003" customHeight="1">
      <c r="A50" s="20">
        <v>1.29</v>
      </c>
      <c r="B50" s="31" t="s">
        <v>101</v>
      </c>
      <c r="C50" s="19" t="s">
        <v>104</v>
      </c>
      <c r="D50" s="19">
        <v>1</v>
      </c>
      <c r="E50" s="19" t="s">
        <v>265</v>
      </c>
      <c r="F50" s="19">
        <v>240</v>
      </c>
      <c r="G50" s="38">
        <f t="shared" si="1"/>
        <v>64.31</v>
      </c>
      <c r="H50" s="30" t="s">
        <v>9</v>
      </c>
      <c r="I50" s="20">
        <v>1</v>
      </c>
      <c r="J50" s="19">
        <v>1810</v>
      </c>
      <c r="K50" s="37">
        <f t="shared" si="3"/>
        <v>64.31</v>
      </c>
      <c r="L50" s="32" t="s">
        <v>168</v>
      </c>
    </row>
    <row r="51" spans="1:12" ht="39.950000000000003" customHeight="1">
      <c r="A51" s="20">
        <v>1.3</v>
      </c>
      <c r="B51" s="31" t="s">
        <v>105</v>
      </c>
      <c r="C51" s="19" t="s">
        <v>104</v>
      </c>
      <c r="D51" s="19">
        <v>1</v>
      </c>
      <c r="E51" s="19" t="s">
        <v>265</v>
      </c>
      <c r="F51" s="19">
        <v>240</v>
      </c>
      <c r="G51" s="38">
        <f t="shared" si="1"/>
        <v>64.31</v>
      </c>
      <c r="H51" s="30" t="s">
        <v>9</v>
      </c>
      <c r="I51" s="20">
        <v>1</v>
      </c>
      <c r="J51" s="19">
        <v>1830</v>
      </c>
      <c r="K51" s="37">
        <f t="shared" si="3"/>
        <v>64.31</v>
      </c>
      <c r="L51" s="32" t="s">
        <v>171</v>
      </c>
    </row>
    <row r="52" spans="1:12" ht="39.950000000000003" customHeight="1">
      <c r="A52" s="20">
        <v>1.31</v>
      </c>
      <c r="B52" s="31" t="s">
        <v>108</v>
      </c>
      <c r="C52" s="19" t="s">
        <v>104</v>
      </c>
      <c r="D52" s="19">
        <v>1</v>
      </c>
      <c r="E52" s="19" t="s">
        <v>265</v>
      </c>
      <c r="F52" s="19">
        <v>240</v>
      </c>
      <c r="G52" s="38">
        <f t="shared" si="1"/>
        <v>64.31</v>
      </c>
      <c r="H52" s="30" t="s">
        <v>9</v>
      </c>
      <c r="I52" s="20">
        <v>1</v>
      </c>
      <c r="J52" s="19">
        <v>2087</v>
      </c>
      <c r="K52" s="37">
        <f t="shared" si="3"/>
        <v>64.31</v>
      </c>
      <c r="L52" s="32" t="s">
        <v>168</v>
      </c>
    </row>
    <row r="53" spans="1:12" ht="39.950000000000003" customHeight="1">
      <c r="A53" s="20">
        <v>1.32</v>
      </c>
      <c r="B53" s="31" t="s">
        <v>109</v>
      </c>
      <c r="C53" s="19" t="s">
        <v>104</v>
      </c>
      <c r="D53" s="19">
        <v>1</v>
      </c>
      <c r="E53" s="19" t="s">
        <v>265</v>
      </c>
      <c r="F53" s="19">
        <v>240</v>
      </c>
      <c r="G53" s="38">
        <f t="shared" si="1"/>
        <v>64.31</v>
      </c>
      <c r="H53" s="30" t="s">
        <v>9</v>
      </c>
      <c r="I53" s="20">
        <v>1</v>
      </c>
      <c r="J53" s="19">
        <v>1920</v>
      </c>
      <c r="K53" s="37">
        <f t="shared" si="3"/>
        <v>64.31</v>
      </c>
      <c r="L53" s="32" t="s">
        <v>172</v>
      </c>
    </row>
    <row r="54" spans="1:12" ht="39.950000000000003" customHeight="1">
      <c r="A54" s="20">
        <v>1.33</v>
      </c>
      <c r="B54" s="31" t="s">
        <v>241</v>
      </c>
      <c r="C54" s="19" t="s">
        <v>181</v>
      </c>
      <c r="D54" s="19">
        <f>2.5*6.26/1000</f>
        <v>1.5649999999999997E-2</v>
      </c>
      <c r="E54" s="19" t="s">
        <v>265</v>
      </c>
      <c r="F54" s="19">
        <v>240</v>
      </c>
      <c r="G54" s="38">
        <f t="shared" si="1"/>
        <v>64.31</v>
      </c>
      <c r="H54" s="30" t="s">
        <v>9</v>
      </c>
      <c r="I54" s="20">
        <v>1</v>
      </c>
      <c r="J54" s="19">
        <f>11.6*2.5</f>
        <v>29</v>
      </c>
      <c r="K54" s="37">
        <f t="shared" si="3"/>
        <v>1.01</v>
      </c>
      <c r="L54" s="32" t="s">
        <v>183</v>
      </c>
    </row>
    <row r="55" spans="1:12" ht="39.950000000000003" customHeight="1">
      <c r="A55" s="20">
        <v>1.34</v>
      </c>
      <c r="B55" s="31" t="s">
        <v>242</v>
      </c>
      <c r="C55" s="19" t="s">
        <v>181</v>
      </c>
      <c r="D55" s="19">
        <f>3.5*9.77/1000</f>
        <v>3.4195000000000003E-2</v>
      </c>
      <c r="E55" s="19" t="s">
        <v>265</v>
      </c>
      <c r="F55" s="19">
        <v>240</v>
      </c>
      <c r="G55" s="38">
        <f t="shared" si="1"/>
        <v>64.31</v>
      </c>
      <c r="H55" s="30" t="s">
        <v>9</v>
      </c>
      <c r="I55" s="20">
        <v>1</v>
      </c>
      <c r="J55" s="19">
        <f>17.3*3.5</f>
        <v>60.550000000000004</v>
      </c>
      <c r="K55" s="37">
        <f t="shared" si="3"/>
        <v>2.2000000000000002</v>
      </c>
      <c r="L55" s="32" t="s">
        <v>183</v>
      </c>
    </row>
    <row r="56" spans="1:12" ht="39.950000000000003" customHeight="1">
      <c r="A56" s="20">
        <v>1.35</v>
      </c>
      <c r="B56" s="31" t="s">
        <v>243</v>
      </c>
      <c r="C56" s="19" t="s">
        <v>181</v>
      </c>
      <c r="D56" s="19">
        <f>4*10.85/1000</f>
        <v>4.3400000000000001E-2</v>
      </c>
      <c r="E56" s="19" t="s">
        <v>265</v>
      </c>
      <c r="F56" s="19">
        <v>240</v>
      </c>
      <c r="G56" s="38">
        <f t="shared" si="1"/>
        <v>64.31</v>
      </c>
      <c r="H56" s="30" t="s">
        <v>9</v>
      </c>
      <c r="I56" s="20">
        <v>1</v>
      </c>
      <c r="J56" s="19">
        <f>18.3*4</f>
        <v>73.2</v>
      </c>
      <c r="K56" s="37">
        <f t="shared" si="3"/>
        <v>2.79</v>
      </c>
      <c r="L56" s="32" t="s">
        <v>183</v>
      </c>
    </row>
    <row r="57" spans="1:12" ht="39.950000000000003" customHeight="1">
      <c r="A57" s="20">
        <v>1.36</v>
      </c>
      <c r="B57" s="31" t="s">
        <v>190</v>
      </c>
      <c r="C57" s="19" t="s">
        <v>104</v>
      </c>
      <c r="D57" s="19">
        <v>1</v>
      </c>
      <c r="E57" s="19" t="s">
        <v>265</v>
      </c>
      <c r="F57" s="19">
        <v>240</v>
      </c>
      <c r="G57" s="38">
        <f t="shared" si="1"/>
        <v>64.31</v>
      </c>
      <c r="H57" s="30" t="s">
        <v>9</v>
      </c>
      <c r="I57" s="20">
        <v>1</v>
      </c>
      <c r="J57" s="30">
        <v>1851</v>
      </c>
      <c r="K57" s="37">
        <f t="shared" si="3"/>
        <v>64.31</v>
      </c>
      <c r="L57" s="32" t="s">
        <v>183</v>
      </c>
    </row>
    <row r="58" spans="1:12" ht="39.950000000000003" customHeight="1">
      <c r="A58" s="20">
        <v>1.37</v>
      </c>
      <c r="B58" s="31" t="s">
        <v>244</v>
      </c>
      <c r="C58" s="19" t="s">
        <v>104</v>
      </c>
      <c r="D58" s="19">
        <v>1</v>
      </c>
      <c r="E58" s="19" t="s">
        <v>265</v>
      </c>
      <c r="F58" s="19">
        <v>240</v>
      </c>
      <c r="G58" s="38">
        <f t="shared" si="1"/>
        <v>64.31</v>
      </c>
      <c r="H58" s="30" t="s">
        <v>9</v>
      </c>
      <c r="I58" s="20">
        <v>1</v>
      </c>
      <c r="J58" s="30">
        <v>1870</v>
      </c>
      <c r="K58" s="37">
        <f t="shared" si="3"/>
        <v>64.31</v>
      </c>
      <c r="L58" s="32" t="s">
        <v>183</v>
      </c>
    </row>
    <row r="59" spans="1:12" ht="39.950000000000003" customHeight="1">
      <c r="A59" s="20">
        <v>1.38</v>
      </c>
      <c r="B59" s="31" t="s">
        <v>245</v>
      </c>
      <c r="C59" s="19" t="s">
        <v>104</v>
      </c>
      <c r="D59" s="19">
        <v>1</v>
      </c>
      <c r="E59" s="19" t="s">
        <v>265</v>
      </c>
      <c r="F59" s="19">
        <v>240</v>
      </c>
      <c r="G59" s="38">
        <f t="shared" si="1"/>
        <v>64.31</v>
      </c>
      <c r="H59" s="30" t="s">
        <v>9</v>
      </c>
      <c r="I59" s="20">
        <v>1</v>
      </c>
      <c r="J59" s="30">
        <v>1920</v>
      </c>
      <c r="K59" s="37">
        <f t="shared" si="3"/>
        <v>64.31</v>
      </c>
      <c r="L59" s="32" t="s">
        <v>183</v>
      </c>
    </row>
    <row r="60" spans="1:12" ht="39.950000000000003" customHeight="1">
      <c r="A60" s="20">
        <v>1.39</v>
      </c>
      <c r="B60" s="31" t="s">
        <v>246</v>
      </c>
      <c r="C60" s="19" t="s">
        <v>161</v>
      </c>
      <c r="D60" s="19">
        <v>1.41E-3</v>
      </c>
      <c r="E60" s="19" t="s">
        <v>265</v>
      </c>
      <c r="F60" s="19">
        <v>240</v>
      </c>
      <c r="G60" s="38">
        <f t="shared" si="1"/>
        <v>64.31</v>
      </c>
      <c r="H60" s="30" t="s">
        <v>9</v>
      </c>
      <c r="I60" s="20">
        <v>1</v>
      </c>
      <c r="J60" s="30">
        <v>4</v>
      </c>
      <c r="K60" s="37">
        <f t="shared" si="3"/>
        <v>0.09</v>
      </c>
      <c r="L60" s="32" t="s">
        <v>183</v>
      </c>
    </row>
    <row r="61" spans="1:12" ht="39.950000000000003" customHeight="1">
      <c r="A61" s="20">
        <v>1.4</v>
      </c>
      <c r="B61" s="31" t="s">
        <v>247</v>
      </c>
      <c r="C61" s="19" t="s">
        <v>181</v>
      </c>
      <c r="D61" s="19">
        <v>1.7500000000000002E-2</v>
      </c>
      <c r="E61" s="19" t="s">
        <v>265</v>
      </c>
      <c r="F61" s="19">
        <v>240</v>
      </c>
      <c r="G61" s="38">
        <f t="shared" si="1"/>
        <v>64.31</v>
      </c>
      <c r="H61" s="30" t="s">
        <v>9</v>
      </c>
      <c r="I61" s="20">
        <v>1</v>
      </c>
      <c r="J61" s="30">
        <v>72.900000000000006</v>
      </c>
      <c r="K61" s="37">
        <f t="shared" si="3"/>
        <v>1.1299999999999999</v>
      </c>
      <c r="L61" s="32" t="s">
        <v>248</v>
      </c>
    </row>
    <row r="62" spans="1:12" ht="39.950000000000003" customHeight="1">
      <c r="A62" s="20">
        <v>1.41</v>
      </c>
      <c r="B62" s="31" t="s">
        <v>249</v>
      </c>
      <c r="C62" s="19" t="s">
        <v>181</v>
      </c>
      <c r="D62" s="19">
        <v>1.32E-2</v>
      </c>
      <c r="E62" s="19" t="s">
        <v>265</v>
      </c>
      <c r="F62" s="19">
        <v>240</v>
      </c>
      <c r="G62" s="38">
        <f t="shared" si="1"/>
        <v>64.31</v>
      </c>
      <c r="H62" s="30" t="s">
        <v>9</v>
      </c>
      <c r="I62" s="20">
        <v>1</v>
      </c>
      <c r="J62" s="30">
        <v>56.8</v>
      </c>
      <c r="K62" s="37">
        <f t="shared" si="3"/>
        <v>0.85</v>
      </c>
      <c r="L62" s="32" t="s">
        <v>250</v>
      </c>
    </row>
    <row r="63" spans="1:12" ht="39.950000000000003" customHeight="1">
      <c r="A63" s="20">
        <v>1.42</v>
      </c>
      <c r="B63" s="31" t="s">
        <v>187</v>
      </c>
      <c r="C63" s="19" t="s">
        <v>104</v>
      </c>
      <c r="D63" s="19">
        <v>1</v>
      </c>
      <c r="E63" s="19" t="s">
        <v>265</v>
      </c>
      <c r="F63" s="19">
        <v>240</v>
      </c>
      <c r="G63" s="38">
        <f t="shared" si="1"/>
        <v>64.31</v>
      </c>
      <c r="H63" s="30" t="s">
        <v>9</v>
      </c>
      <c r="I63" s="20">
        <v>1</v>
      </c>
      <c r="J63" s="19">
        <v>3200</v>
      </c>
      <c r="K63" s="37">
        <f t="shared" si="3"/>
        <v>64.31</v>
      </c>
      <c r="L63" s="32" t="s">
        <v>183</v>
      </c>
    </row>
    <row r="64" spans="1:12" ht="39.950000000000003" customHeight="1">
      <c r="A64" s="20">
        <v>1.43</v>
      </c>
      <c r="B64" s="31" t="s">
        <v>188</v>
      </c>
      <c r="C64" s="19" t="s">
        <v>161</v>
      </c>
      <c r="D64" s="19">
        <f>(0.3*0.3*2400)/1000</f>
        <v>0.216</v>
      </c>
      <c r="E64" s="19" t="s">
        <v>265</v>
      </c>
      <c r="F64" s="19">
        <v>240</v>
      </c>
      <c r="G64" s="38">
        <f t="shared" si="1"/>
        <v>64.31</v>
      </c>
      <c r="H64" s="30" t="s">
        <v>9</v>
      </c>
      <c r="I64" s="20">
        <v>1</v>
      </c>
      <c r="J64" s="30">
        <v>97</v>
      </c>
      <c r="K64" s="37">
        <f t="shared" si="3"/>
        <v>13.89</v>
      </c>
      <c r="L64" s="32" t="s">
        <v>183</v>
      </c>
    </row>
    <row r="65" spans="1:20" ht="39.950000000000003" customHeight="1">
      <c r="A65" s="20">
        <v>1.44</v>
      </c>
      <c r="B65" s="31" t="s">
        <v>189</v>
      </c>
      <c r="C65" s="19" t="s">
        <v>135</v>
      </c>
      <c r="D65" s="19">
        <v>2.4</v>
      </c>
      <c r="E65" s="19" t="s">
        <v>169</v>
      </c>
      <c r="F65" s="19">
        <v>15</v>
      </c>
      <c r="G65" s="38">
        <f t="shared" si="1"/>
        <v>7.82</v>
      </c>
      <c r="H65" s="30" t="s">
        <v>9</v>
      </c>
      <c r="I65" s="20">
        <v>1</v>
      </c>
      <c r="J65" s="30">
        <v>308.8</v>
      </c>
      <c r="K65" s="37">
        <f t="shared" si="3"/>
        <v>18.77</v>
      </c>
      <c r="L65" s="32" t="s">
        <v>183</v>
      </c>
    </row>
    <row r="66" spans="1:20" ht="39.950000000000003" customHeight="1">
      <c r="A66" s="20">
        <v>1.45</v>
      </c>
      <c r="B66" s="31" t="s">
        <v>98</v>
      </c>
      <c r="C66" s="19" t="s">
        <v>161</v>
      </c>
      <c r="D66" s="20">
        <f>0.1*2.5</f>
        <v>0.25</v>
      </c>
      <c r="E66" s="19" t="s">
        <v>239</v>
      </c>
      <c r="F66" s="19">
        <v>130</v>
      </c>
      <c r="G66" s="38">
        <f t="shared" si="1"/>
        <v>38.54</v>
      </c>
      <c r="H66" s="30" t="s">
        <v>16</v>
      </c>
      <c r="I66" s="20">
        <v>1.25</v>
      </c>
      <c r="J66" s="19">
        <v>78.900000000000006</v>
      </c>
      <c r="K66" s="37">
        <f t="shared" si="3"/>
        <v>12.04</v>
      </c>
      <c r="L66" s="32" t="s">
        <v>162</v>
      </c>
    </row>
    <row r="67" spans="1:20" ht="39.950000000000003" customHeight="1">
      <c r="A67" s="20">
        <v>1.46</v>
      </c>
      <c r="B67" s="31" t="s">
        <v>251</v>
      </c>
      <c r="C67" s="19" t="s">
        <v>181</v>
      </c>
      <c r="D67" s="20">
        <f>1.75*2</f>
        <v>3.5</v>
      </c>
      <c r="E67" s="19" t="s">
        <v>239</v>
      </c>
      <c r="F67" s="19">
        <v>130</v>
      </c>
      <c r="G67" s="38">
        <f t="shared" si="1"/>
        <v>38.54</v>
      </c>
      <c r="H67" s="30" t="s">
        <v>16</v>
      </c>
      <c r="I67" s="20">
        <v>1.25</v>
      </c>
      <c r="J67" s="19">
        <f>136*2</f>
        <v>272</v>
      </c>
      <c r="K67" s="37">
        <f t="shared" si="3"/>
        <v>168.61</v>
      </c>
      <c r="L67" s="32" t="s">
        <v>162</v>
      </c>
    </row>
    <row r="68" spans="1:20" ht="39.950000000000003" customHeight="1">
      <c r="A68" s="20">
        <v>1.47</v>
      </c>
      <c r="B68" s="31" t="s">
        <v>252</v>
      </c>
      <c r="C68" s="19" t="s">
        <v>181</v>
      </c>
      <c r="D68" s="20">
        <v>1.75</v>
      </c>
      <c r="E68" s="19" t="s">
        <v>239</v>
      </c>
      <c r="F68" s="19">
        <v>130</v>
      </c>
      <c r="G68" s="38">
        <f t="shared" si="1"/>
        <v>38.54</v>
      </c>
      <c r="H68" s="30" t="s">
        <v>16</v>
      </c>
      <c r="I68" s="20">
        <v>1.25</v>
      </c>
      <c r="J68" s="19">
        <f>136</f>
        <v>136</v>
      </c>
      <c r="K68" s="37">
        <f t="shared" si="3"/>
        <v>84.31</v>
      </c>
      <c r="L68" s="32" t="s">
        <v>162</v>
      </c>
    </row>
    <row r="69" spans="1:20" ht="39.950000000000003" customHeight="1">
      <c r="A69" s="20">
        <v>1.48</v>
      </c>
      <c r="B69" s="31" t="s">
        <v>256</v>
      </c>
      <c r="C69" s="19" t="s">
        <v>181</v>
      </c>
      <c r="D69" s="30">
        <v>2.5</v>
      </c>
      <c r="E69" s="19" t="s">
        <v>239</v>
      </c>
      <c r="F69" s="19">
        <v>130</v>
      </c>
      <c r="G69" s="38">
        <f t="shared" si="1"/>
        <v>38.54</v>
      </c>
      <c r="H69" s="30" t="s">
        <v>16</v>
      </c>
      <c r="I69" s="20">
        <v>1.25</v>
      </c>
      <c r="J69" s="19">
        <v>153</v>
      </c>
      <c r="K69" s="37">
        <f t="shared" ref="K69" si="4">ROUND(D69*G69*I69,2)</f>
        <v>120.44</v>
      </c>
      <c r="L69" s="32" t="s">
        <v>162</v>
      </c>
    </row>
    <row r="70" spans="1:20" ht="39.950000000000003" customHeight="1">
      <c r="A70" s="20">
        <v>1.49</v>
      </c>
      <c r="B70" s="31" t="s">
        <v>269</v>
      </c>
      <c r="C70" s="19" t="s">
        <v>181</v>
      </c>
      <c r="D70" s="30">
        <v>5.0000000000000001E-3</v>
      </c>
      <c r="E70" s="19" t="s">
        <v>239</v>
      </c>
      <c r="F70" s="19">
        <v>130</v>
      </c>
      <c r="G70" s="38">
        <f t="shared" ref="G70" si="5">IF(F70&lt;=200,HLOOKUP(F70,$U$2:$HL$3,2,TRUE),(((F70-200)*0.24)+54.71))</f>
        <v>38.54</v>
      </c>
      <c r="H70" s="30" t="s">
        <v>9</v>
      </c>
      <c r="I70" s="20">
        <v>1</v>
      </c>
      <c r="J70" s="19">
        <v>17</v>
      </c>
      <c r="K70" s="37">
        <f t="shared" ref="K70" si="6">ROUND(D70*G70*I70,2)</f>
        <v>0.19</v>
      </c>
      <c r="L70" s="32" t="s">
        <v>162</v>
      </c>
      <c r="S70" s="12"/>
      <c r="T70" s="12"/>
    </row>
    <row r="71" spans="1:20" ht="39.950000000000003" customHeight="1">
      <c r="A71" s="24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20" ht="39.950000000000003" customHeight="1">
      <c r="A72" s="24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20" ht="39.950000000000003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20" ht="39.950000000000003" customHeight="1">
      <c r="A74" s="24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20" ht="39.950000000000003" customHeight="1">
      <c r="A75" s="24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20" ht="39.950000000000003" customHeight="1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20" ht="39.950000000000003" customHeight="1">
      <c r="A77" s="24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20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20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20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2: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241" spans="3:211" ht="19.5" customHeight="1">
      <c r="C241" s="41"/>
      <c r="D241" s="41"/>
      <c r="E241" s="41"/>
      <c r="F241" s="41"/>
      <c r="G241" s="41"/>
      <c r="H241" s="41"/>
      <c r="I241" s="41"/>
      <c r="J241" s="41"/>
      <c r="K241" s="41"/>
      <c r="L241" s="26"/>
      <c r="M241" s="9"/>
      <c r="N241" s="9"/>
      <c r="O241" s="9"/>
      <c r="P241" s="9"/>
      <c r="Q241" s="9"/>
      <c r="R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</row>
    <row r="242" spans="3:211" ht="19.5" customHeight="1">
      <c r="C242" s="41"/>
      <c r="D242" s="41"/>
      <c r="E242" s="41"/>
      <c r="F242" s="41"/>
      <c r="G242" s="41"/>
      <c r="H242" s="41"/>
      <c r="I242" s="41"/>
      <c r="J242" s="41"/>
      <c r="K242" s="41"/>
      <c r="L242" s="26"/>
      <c r="M242" s="9"/>
      <c r="N242" s="9"/>
      <c r="O242" s="9"/>
      <c r="P242" s="9"/>
      <c r="Q242" s="9"/>
      <c r="R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</row>
  </sheetData>
  <mergeCells count="31">
    <mergeCell ref="L16:L18"/>
    <mergeCell ref="H17:H18"/>
    <mergeCell ref="I17:I18"/>
    <mergeCell ref="F16:F18"/>
    <mergeCell ref="G16:G18"/>
    <mergeCell ref="H16:I16"/>
    <mergeCell ref="J16:J18"/>
    <mergeCell ref="K16:K18"/>
    <mergeCell ref="A16:A18"/>
    <mergeCell ref="B16:B18"/>
    <mergeCell ref="C16:C18"/>
    <mergeCell ref="D16:D18"/>
    <mergeCell ref="E16:E18"/>
    <mergeCell ref="A5:B6"/>
    <mergeCell ref="K5:L6"/>
    <mergeCell ref="A7:B8"/>
    <mergeCell ref="K7:L8"/>
    <mergeCell ref="S7:S15"/>
    <mergeCell ref="J11:K12"/>
    <mergeCell ref="A13:L15"/>
    <mergeCell ref="T7:T15"/>
    <mergeCell ref="A9:B10"/>
    <mergeCell ref="K9:L10"/>
    <mergeCell ref="A11:B12"/>
    <mergeCell ref="H11:H12"/>
    <mergeCell ref="A1:B1"/>
    <mergeCell ref="A2:B2"/>
    <mergeCell ref="S2:T2"/>
    <mergeCell ref="A3:B4"/>
    <mergeCell ref="K3:L4"/>
    <mergeCell ref="S3:T3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109</vt:i4>
      </vt:variant>
    </vt:vector>
  </HeadingPairs>
  <TitlesOfParts>
    <vt:vector size="118" baseType="lpstr">
      <vt:lpstr>კრებსითი</vt:lpstr>
      <vt:lpstr>1-1</vt:lpstr>
      <vt:lpstr>2-1</vt:lpstr>
      <vt:lpstr>3-1</vt:lpstr>
      <vt:lpstr>4-1</vt:lpstr>
      <vt:lpstr>5-1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'4-1'!Область_печати</vt:lpstr>
      <vt:lpstr>'5-1'!Область_печати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2019-01-11T10:15:42Z</dcterms:modified>
</cp:coreProperties>
</file>