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8165" windowHeight="4575" tabRatio="661" activeTab="4"/>
  </bookViews>
  <sheets>
    <sheet name="krebsiti" sheetId="8" r:id="rId1"/>
    <sheet name="#1" sheetId="16" r:id="rId2"/>
    <sheet name="#2" sheetId="17" r:id="rId3"/>
    <sheet name="#3" sheetId="22" r:id="rId4"/>
    <sheet name="#4" sheetId="21" r:id="rId5"/>
  </sheets>
  <definedNames>
    <definedName name="_xlnm._FilterDatabase" localSheetId="1" hidden="1">'#1'!$A$6:$M$281</definedName>
    <definedName name="_xlnm._FilterDatabase" localSheetId="2" hidden="1">'#2'!$A$6:$M$72</definedName>
    <definedName name="_xlnm._FilterDatabase" localSheetId="3" hidden="1">'#3'!$A$6:$M$63</definedName>
    <definedName name="_xlnm.Print_Area" localSheetId="1">'#1'!$A$1:$M$292</definedName>
    <definedName name="_xlnm.Print_Area" localSheetId="2">'#2'!$A$1:$M$99</definedName>
    <definedName name="_xlnm.Print_Area" localSheetId="3">'#3'!$A$1:$M$73</definedName>
    <definedName name="_xlnm.Print_Area" localSheetId="4">'#4'!$A$1:$M$74</definedName>
    <definedName name="_xlnm.Print_Area" localSheetId="0">krebsiti!$A$1:$G$21</definedName>
    <definedName name="_xlnm.Print_Titles" localSheetId="1">'#1'!$6:$6</definedName>
    <definedName name="_xlnm.Print_Titles" localSheetId="2">'#2'!$6:$6</definedName>
    <definedName name="_xlnm.Print_Titles" localSheetId="3">'#3'!$6:$6</definedName>
    <definedName name="_xlnm.Print_Titles" localSheetId="4">'#4'!$6:$6</definedName>
  </definedNames>
  <calcPr calcId="162913"/>
</workbook>
</file>

<file path=xl/calcChain.xml><?xml version="1.0" encoding="utf-8"?>
<calcChain xmlns="http://schemas.openxmlformats.org/spreadsheetml/2006/main">
  <c r="M36" i="17" l="1"/>
  <c r="M280" i="16"/>
  <c r="M278" i="16"/>
  <c r="M276" i="16"/>
  <c r="F70" i="17" l="1"/>
  <c r="H70" i="17" s="1"/>
  <c r="M70" i="17" s="1"/>
  <c r="F272" i="16" l="1"/>
  <c r="F69" i="16" l="1"/>
  <c r="A1" i="22" l="1"/>
  <c r="F74" i="16" l="1"/>
  <c r="F76" i="16" s="1"/>
  <c r="F152" i="16" l="1"/>
  <c r="F157" i="16" s="1"/>
  <c r="H157" i="16" s="1"/>
  <c r="M157" i="16" s="1"/>
  <c r="F139" i="16"/>
  <c r="F145" i="16"/>
  <c r="F133" i="16"/>
  <c r="F137" i="16" s="1"/>
  <c r="F117" i="16"/>
  <c r="F132" i="16"/>
  <c r="F131" i="16"/>
  <c r="F121" i="16"/>
  <c r="F115" i="16"/>
  <c r="M137" i="16" l="1"/>
  <c r="H137" i="16"/>
  <c r="F155" i="16"/>
  <c r="H155" i="16" s="1"/>
  <c r="M155" i="16" s="1"/>
  <c r="F153" i="16"/>
  <c r="J153" i="16" s="1"/>
  <c r="M153" i="16" s="1"/>
  <c r="F156" i="16"/>
  <c r="H156" i="16" s="1"/>
  <c r="M156" i="16" s="1"/>
  <c r="F154" i="16"/>
  <c r="L154" i="16" s="1"/>
  <c r="M154" i="16" s="1"/>
  <c r="H62" i="17" l="1"/>
  <c r="H58" i="17"/>
  <c r="M58" i="17" s="1"/>
  <c r="L40" i="21" l="1"/>
  <c r="J40" i="21"/>
  <c r="H40" i="21"/>
  <c r="L38" i="21"/>
  <c r="J38" i="21"/>
  <c r="H38" i="21"/>
  <c r="L36" i="21"/>
  <c r="J36" i="21"/>
  <c r="H36" i="21"/>
  <c r="L34" i="21"/>
  <c r="J34" i="21"/>
  <c r="H34" i="21"/>
  <c r="M34" i="21" s="1"/>
  <c r="L32" i="21"/>
  <c r="J32" i="21"/>
  <c r="H32" i="21"/>
  <c r="L30" i="21"/>
  <c r="J30" i="21"/>
  <c r="H30" i="21"/>
  <c r="L28" i="21"/>
  <c r="J28" i="21"/>
  <c r="H28" i="21"/>
  <c r="L26" i="21"/>
  <c r="J26" i="21"/>
  <c r="H26" i="21"/>
  <c r="M26" i="21" s="1"/>
  <c r="L24" i="21"/>
  <c r="J24" i="21"/>
  <c r="H24" i="21"/>
  <c r="L22" i="21"/>
  <c r="J22" i="21"/>
  <c r="H22" i="21"/>
  <c r="J19" i="21"/>
  <c r="G19" i="21"/>
  <c r="H19" i="21" s="1"/>
  <c r="M19" i="21" s="1"/>
  <c r="J18" i="21"/>
  <c r="G18" i="21"/>
  <c r="H18" i="21" s="1"/>
  <c r="M18" i="21" s="1"/>
  <c r="J17" i="21"/>
  <c r="G17" i="21"/>
  <c r="H17" i="21" s="1"/>
  <c r="M17" i="21" s="1"/>
  <c r="J14" i="21"/>
  <c r="H14" i="21"/>
  <c r="J13" i="21"/>
  <c r="H13" i="21"/>
  <c r="J12" i="21"/>
  <c r="H12" i="21"/>
  <c r="M12" i="21" s="1"/>
  <c r="J11" i="21"/>
  <c r="H11" i="21"/>
  <c r="M11" i="21" s="1"/>
  <c r="J10" i="21"/>
  <c r="H10" i="21"/>
  <c r="M10" i="21" s="1"/>
  <c r="J9" i="21"/>
  <c r="H9" i="21"/>
  <c r="L7" i="21"/>
  <c r="J7" i="21"/>
  <c r="H7" i="21"/>
  <c r="A1" i="21"/>
  <c r="F56" i="22"/>
  <c r="H56" i="22" s="1"/>
  <c r="M56" i="22" s="1"/>
  <c r="F55" i="22"/>
  <c r="H55" i="22" s="1"/>
  <c r="M55" i="22" s="1"/>
  <c r="F54" i="22"/>
  <c r="H54" i="22" s="1"/>
  <c r="M54" i="22" s="1"/>
  <c r="F53" i="22"/>
  <c r="H53" i="22" s="1"/>
  <c r="M53" i="22" s="1"/>
  <c r="F52" i="22"/>
  <c r="J52" i="22" s="1"/>
  <c r="M52" i="22" s="1"/>
  <c r="E49" i="22"/>
  <c r="F48" i="22"/>
  <c r="F50" i="22" s="1"/>
  <c r="H50" i="22" s="1"/>
  <c r="M50" i="22" s="1"/>
  <c r="E47" i="22"/>
  <c r="H46" i="22"/>
  <c r="M46" i="22" s="1"/>
  <c r="E45" i="22"/>
  <c r="D45" i="22"/>
  <c r="E44" i="22"/>
  <c r="E43" i="22"/>
  <c r="F42" i="22"/>
  <c r="F41" i="22"/>
  <c r="H41" i="22" s="1"/>
  <c r="M41" i="22" s="1"/>
  <c r="E40" i="22"/>
  <c r="F39" i="22"/>
  <c r="F37" i="22"/>
  <c r="F38" i="22" s="1"/>
  <c r="J38" i="22" s="1"/>
  <c r="M38" i="22" s="1"/>
  <c r="F35" i="22"/>
  <c r="H35" i="22" s="1"/>
  <c r="M35" i="22" s="1"/>
  <c r="F34" i="22"/>
  <c r="H34" i="22" s="1"/>
  <c r="M34" i="22" s="1"/>
  <c r="F33" i="22"/>
  <c r="L33" i="22" s="1"/>
  <c r="M33" i="22" s="1"/>
  <c r="F32" i="22"/>
  <c r="J32" i="22" s="1"/>
  <c r="M32" i="22" s="1"/>
  <c r="F27" i="22"/>
  <c r="F29" i="22" s="1"/>
  <c r="H29" i="22" s="1"/>
  <c r="M29" i="22" s="1"/>
  <c r="F26" i="22"/>
  <c r="H26" i="22" s="1"/>
  <c r="M26" i="22" s="1"/>
  <c r="H25" i="22"/>
  <c r="M25" i="22" s="1"/>
  <c r="F24" i="22"/>
  <c r="L24" i="22" s="1"/>
  <c r="M24" i="22" s="1"/>
  <c r="F23" i="22"/>
  <c r="J23" i="22" s="1"/>
  <c r="M23" i="22" s="1"/>
  <c r="E20" i="22"/>
  <c r="F19" i="22"/>
  <c r="F21" i="22" s="1"/>
  <c r="H21" i="22" s="1"/>
  <c r="M21" i="22" s="1"/>
  <c r="F14" i="22"/>
  <c r="F16" i="22" s="1"/>
  <c r="L16" i="22" s="1"/>
  <c r="E12" i="22"/>
  <c r="F11" i="22"/>
  <c r="F9" i="22"/>
  <c r="F10" i="22" s="1"/>
  <c r="J10" i="22" s="1"/>
  <c r="H82" i="17"/>
  <c r="M82" i="17" s="1"/>
  <c r="F79" i="17"/>
  <c r="F83" i="17" s="1"/>
  <c r="H83" i="17" s="1"/>
  <c r="M83" i="17" s="1"/>
  <c r="F78" i="17"/>
  <c r="H78" i="17" s="1"/>
  <c r="M78" i="17" s="1"/>
  <c r="H77" i="17"/>
  <c r="M77" i="17" s="1"/>
  <c r="H76" i="17"/>
  <c r="M76" i="17" s="1"/>
  <c r="H75" i="17"/>
  <c r="M75" i="17" s="1"/>
  <c r="F74" i="17"/>
  <c r="L74" i="17" s="1"/>
  <c r="M74" i="17" s="1"/>
  <c r="F73" i="17"/>
  <c r="J73" i="17" s="1"/>
  <c r="M73" i="17" s="1"/>
  <c r="F69" i="17"/>
  <c r="H69" i="17" s="1"/>
  <c r="M69" i="17" s="1"/>
  <c r="F68" i="17"/>
  <c r="H68" i="17" s="1"/>
  <c r="M68" i="17" s="1"/>
  <c r="F67" i="17"/>
  <c r="H67" i="17" s="1"/>
  <c r="M67" i="17" s="1"/>
  <c r="F66" i="17"/>
  <c r="L66" i="17" s="1"/>
  <c r="F65" i="17"/>
  <c r="J65" i="17" s="1"/>
  <c r="M65" i="17" s="1"/>
  <c r="H63" i="17"/>
  <c r="M63" i="17" s="1"/>
  <c r="M62" i="17"/>
  <c r="H61" i="17"/>
  <c r="M61" i="17" s="1"/>
  <c r="H60" i="17"/>
  <c r="M60" i="17" s="1"/>
  <c r="H59" i="17"/>
  <c r="M59" i="17" s="1"/>
  <c r="H57" i="17"/>
  <c r="M57" i="17" s="1"/>
  <c r="H56" i="17"/>
  <c r="M56" i="17" s="1"/>
  <c r="H55" i="17"/>
  <c r="M55" i="17" s="1"/>
  <c r="F54" i="17"/>
  <c r="J54" i="17" s="1"/>
  <c r="M54" i="17" s="1"/>
  <c r="H51" i="17"/>
  <c r="H50" i="17"/>
  <c r="M50" i="17" s="1"/>
  <c r="H49" i="17"/>
  <c r="M49" i="17" s="1"/>
  <c r="F47" i="17"/>
  <c r="F52" i="17" s="1"/>
  <c r="H52" i="17" s="1"/>
  <c r="M52" i="17" s="1"/>
  <c r="H45" i="17"/>
  <c r="M45" i="17" s="1"/>
  <c r="H44" i="17"/>
  <c r="F41" i="17"/>
  <c r="H33" i="17"/>
  <c r="M33" i="17" s="1"/>
  <c r="F29" i="17"/>
  <c r="F30" i="17" s="1"/>
  <c r="J30" i="17" s="1"/>
  <c r="M30" i="17" s="1"/>
  <c r="F27" i="17"/>
  <c r="F28" i="17" s="1"/>
  <c r="J28" i="17" s="1"/>
  <c r="M28" i="17" s="1"/>
  <c r="E25" i="17"/>
  <c r="F24" i="17"/>
  <c r="F26" i="17" s="1"/>
  <c r="F19" i="17"/>
  <c r="F23" i="17" s="1"/>
  <c r="H23" i="17" s="1"/>
  <c r="M23" i="17" s="1"/>
  <c r="F16" i="17"/>
  <c r="F17" i="17" s="1"/>
  <c r="J17" i="17" s="1"/>
  <c r="M17" i="17" s="1"/>
  <c r="F12" i="17"/>
  <c r="F13" i="17" s="1"/>
  <c r="J13" i="17" s="1"/>
  <c r="M13" i="17" s="1"/>
  <c r="F9" i="17"/>
  <c r="F11" i="17" s="1"/>
  <c r="L11" i="17" s="1"/>
  <c r="A1" i="17"/>
  <c r="F331" i="16"/>
  <c r="F336" i="16" s="1"/>
  <c r="F326" i="16"/>
  <c r="F328" i="16" s="1"/>
  <c r="F324" i="16"/>
  <c r="L324" i="16" s="1"/>
  <c r="L323" i="16"/>
  <c r="J323" i="16"/>
  <c r="H323" i="16"/>
  <c r="L322" i="16"/>
  <c r="J322" i="16"/>
  <c r="H322" i="16"/>
  <c r="L321" i="16"/>
  <c r="J321" i="16"/>
  <c r="H321" i="16"/>
  <c r="L320" i="16"/>
  <c r="J320" i="16"/>
  <c r="H320" i="16"/>
  <c r="L319" i="16"/>
  <c r="J319" i="16"/>
  <c r="H319" i="16"/>
  <c r="L318" i="16"/>
  <c r="J318" i="16"/>
  <c r="H318" i="16"/>
  <c r="F312" i="16"/>
  <c r="J312" i="16" s="1"/>
  <c r="L311" i="16"/>
  <c r="J311" i="16"/>
  <c r="H311" i="16"/>
  <c r="L310" i="16"/>
  <c r="J310" i="16"/>
  <c r="H310" i="16"/>
  <c r="L309" i="16"/>
  <c r="J309" i="16"/>
  <c r="H309" i="16"/>
  <c r="L308" i="16"/>
  <c r="J308" i="16"/>
  <c r="H308" i="16"/>
  <c r="L307" i="16"/>
  <c r="J307" i="16"/>
  <c r="H307" i="16"/>
  <c r="L306" i="16"/>
  <c r="J306" i="16"/>
  <c r="H306" i="16"/>
  <c r="L305" i="16"/>
  <c r="J305" i="16"/>
  <c r="H305" i="16"/>
  <c r="L304" i="16"/>
  <c r="J304" i="16"/>
  <c r="H304" i="16"/>
  <c r="F303" i="16"/>
  <c r="L303" i="16" s="1"/>
  <c r="E302" i="16"/>
  <c r="F302" i="16" s="1"/>
  <c r="E301" i="16"/>
  <c r="F301" i="16" s="1"/>
  <c r="J301" i="16" s="1"/>
  <c r="E300" i="16"/>
  <c r="F300" i="16" s="1"/>
  <c r="E299" i="16"/>
  <c r="F299" i="16" s="1"/>
  <c r="J299" i="16" s="1"/>
  <c r="E298" i="16"/>
  <c r="F298" i="16" s="1"/>
  <c r="E297" i="16"/>
  <c r="F297" i="16" s="1"/>
  <c r="J297" i="16" s="1"/>
  <c r="L296" i="16"/>
  <c r="J296" i="16"/>
  <c r="H296" i="16"/>
  <c r="L295" i="16"/>
  <c r="J295" i="16"/>
  <c r="H295" i="16"/>
  <c r="F274" i="16"/>
  <c r="L274" i="16" s="1"/>
  <c r="M274" i="16" s="1"/>
  <c r="F273" i="16"/>
  <c r="J273" i="16" s="1"/>
  <c r="M273" i="16" s="1"/>
  <c r="F271" i="16"/>
  <c r="J271" i="16" s="1"/>
  <c r="M271" i="16" s="1"/>
  <c r="F265" i="16"/>
  <c r="H265" i="16" s="1"/>
  <c r="M265" i="16" s="1"/>
  <c r="F264" i="16"/>
  <c r="H264" i="16" s="1"/>
  <c r="M264" i="16" s="1"/>
  <c r="F263" i="16"/>
  <c r="H263" i="16" s="1"/>
  <c r="M263" i="16" s="1"/>
  <c r="F262" i="16"/>
  <c r="H262" i="16" s="1"/>
  <c r="M262" i="16" s="1"/>
  <c r="F261" i="16"/>
  <c r="H261" i="16" s="1"/>
  <c r="M261" i="16" s="1"/>
  <c r="F260" i="16"/>
  <c r="H260" i="16" s="1"/>
  <c r="M260" i="16" s="1"/>
  <c r="F259" i="16"/>
  <c r="H259" i="16" s="1"/>
  <c r="M259" i="16" s="1"/>
  <c r="F258" i="16"/>
  <c r="H258" i="16" s="1"/>
  <c r="M258" i="16" s="1"/>
  <c r="F257" i="16"/>
  <c r="H257" i="16" s="1"/>
  <c r="M257" i="16" s="1"/>
  <c r="F256" i="16"/>
  <c r="H256" i="16" s="1"/>
  <c r="M256" i="16" s="1"/>
  <c r="F255" i="16"/>
  <c r="H255" i="16" s="1"/>
  <c r="M255" i="16" s="1"/>
  <c r="F254" i="16"/>
  <c r="H254" i="16" s="1"/>
  <c r="M254" i="16" s="1"/>
  <c r="F253" i="16"/>
  <c r="H253" i="16" s="1"/>
  <c r="M253" i="16" s="1"/>
  <c r="F252" i="16"/>
  <c r="H252" i="16" s="1"/>
  <c r="M252" i="16" s="1"/>
  <c r="F251" i="16"/>
  <c r="H251" i="16" s="1"/>
  <c r="M251" i="16" s="1"/>
  <c r="F250" i="16"/>
  <c r="H250" i="16" s="1"/>
  <c r="M250" i="16" s="1"/>
  <c r="F249" i="16"/>
  <c r="H249" i="16" s="1"/>
  <c r="M249" i="16" s="1"/>
  <c r="F248" i="16"/>
  <c r="H248" i="16" s="1"/>
  <c r="M248" i="16" s="1"/>
  <c r="F247" i="16"/>
  <c r="H247" i="16" s="1"/>
  <c r="M247" i="16" s="1"/>
  <c r="F246" i="16"/>
  <c r="H246" i="16" s="1"/>
  <c r="M246" i="16" s="1"/>
  <c r="F245" i="16"/>
  <c r="H245" i="16" s="1"/>
  <c r="M245" i="16" s="1"/>
  <c r="F244" i="16"/>
  <c r="H244" i="16" s="1"/>
  <c r="M244" i="16" s="1"/>
  <c r="F243" i="16"/>
  <c r="H243" i="16" s="1"/>
  <c r="M243" i="16" s="1"/>
  <c r="F236" i="16"/>
  <c r="F237" i="16" s="1"/>
  <c r="J237" i="16" s="1"/>
  <c r="M237" i="16" s="1"/>
  <c r="E210" i="16"/>
  <c r="F210" i="16" s="1"/>
  <c r="H210" i="16" s="1"/>
  <c r="M210" i="16" s="1"/>
  <c r="E209" i="16"/>
  <c r="F209" i="16" s="1"/>
  <c r="J209" i="16" s="1"/>
  <c r="F201" i="16"/>
  <c r="F197" i="16"/>
  <c r="E195" i="16"/>
  <c r="E194" i="16"/>
  <c r="E193" i="16"/>
  <c r="E191" i="16"/>
  <c r="F189" i="16"/>
  <c r="F192" i="16" s="1"/>
  <c r="H192" i="16" s="1"/>
  <c r="M192" i="16" s="1"/>
  <c r="F188" i="16"/>
  <c r="H188" i="16" s="1"/>
  <c r="M188" i="16" s="1"/>
  <c r="F187" i="16"/>
  <c r="H187" i="16" s="1"/>
  <c r="M187" i="16" s="1"/>
  <c r="F186" i="16"/>
  <c r="L186" i="16" s="1"/>
  <c r="M186" i="16" s="1"/>
  <c r="F185" i="16"/>
  <c r="J185" i="16" s="1"/>
  <c r="M185" i="16" s="1"/>
  <c r="E183" i="16"/>
  <c r="F180" i="16"/>
  <c r="F182" i="16" s="1"/>
  <c r="L182" i="16" s="1"/>
  <c r="M182" i="16" s="1"/>
  <c r="F178" i="16"/>
  <c r="F179" i="16" s="1"/>
  <c r="J179" i="16" s="1"/>
  <c r="E176" i="16"/>
  <c r="E175" i="16"/>
  <c r="E174" i="16"/>
  <c r="E172" i="16"/>
  <c r="F170" i="16"/>
  <c r="F169" i="16"/>
  <c r="H169" i="16" s="1"/>
  <c r="M169" i="16" s="1"/>
  <c r="F168" i="16"/>
  <c r="H168" i="16" s="1"/>
  <c r="M168" i="16" s="1"/>
  <c r="F167" i="16"/>
  <c r="L167" i="16" s="1"/>
  <c r="M167" i="16" s="1"/>
  <c r="F166" i="16"/>
  <c r="J166" i="16" s="1"/>
  <c r="M166" i="16" s="1"/>
  <c r="E164" i="16"/>
  <c r="F161" i="16"/>
  <c r="F162" i="16" s="1"/>
  <c r="J162" i="16" s="1"/>
  <c r="M162" i="16" s="1"/>
  <c r="F159" i="16"/>
  <c r="F160" i="16" s="1"/>
  <c r="J160" i="16" s="1"/>
  <c r="M160" i="16" s="1"/>
  <c r="F146" i="16"/>
  <c r="F144" i="16"/>
  <c r="H144" i="16" s="1"/>
  <c r="M144" i="16" s="1"/>
  <c r="F134" i="16"/>
  <c r="J134" i="16" s="1"/>
  <c r="N134" i="16" s="1"/>
  <c r="F368" i="16"/>
  <c r="H368" i="16" s="1"/>
  <c r="M368" i="16" s="1"/>
  <c r="F367" i="16"/>
  <c r="H367" i="16" s="1"/>
  <c r="M367" i="16" s="1"/>
  <c r="E364" i="16"/>
  <c r="F359" i="16"/>
  <c r="F365" i="16" s="1"/>
  <c r="H365" i="16" s="1"/>
  <c r="M365" i="16" s="1"/>
  <c r="E357" i="16"/>
  <c r="F354" i="16"/>
  <c r="F352" i="16"/>
  <c r="F353" i="16" s="1"/>
  <c r="J353" i="16" s="1"/>
  <c r="H132" i="16"/>
  <c r="M132" i="16" s="1"/>
  <c r="H131" i="16"/>
  <c r="M131" i="16" s="1"/>
  <c r="H129" i="16"/>
  <c r="M129" i="16" s="1"/>
  <c r="E126" i="16"/>
  <c r="F130" i="16"/>
  <c r="H130" i="16" s="1"/>
  <c r="M130" i="16" s="1"/>
  <c r="E120" i="16"/>
  <c r="F120" i="16" s="1"/>
  <c r="H120" i="16" s="1"/>
  <c r="M120" i="16" s="1"/>
  <c r="F119" i="16"/>
  <c r="L119" i="16" s="1"/>
  <c r="M119" i="16" s="1"/>
  <c r="F116" i="16"/>
  <c r="J116" i="16" s="1"/>
  <c r="E110" i="16"/>
  <c r="E109" i="16"/>
  <c r="E107" i="16"/>
  <c r="F107" i="16" s="1"/>
  <c r="H107" i="16" s="1"/>
  <c r="M107" i="16" s="1"/>
  <c r="F106" i="16"/>
  <c r="H106" i="16" s="1"/>
  <c r="M106" i="16" s="1"/>
  <c r="E105" i="16"/>
  <c r="F105" i="16" s="1"/>
  <c r="H105" i="16" s="1"/>
  <c r="M105" i="16" s="1"/>
  <c r="F104" i="16"/>
  <c r="H104" i="16" s="1"/>
  <c r="M104" i="16" s="1"/>
  <c r="E103" i="16"/>
  <c r="F103" i="16" s="1"/>
  <c r="L103" i="16" s="1"/>
  <c r="M103" i="16" s="1"/>
  <c r="E102" i="16"/>
  <c r="F102" i="16" s="1"/>
  <c r="J102" i="16" s="1"/>
  <c r="M102" i="16" s="1"/>
  <c r="E100" i="16"/>
  <c r="E99" i="16"/>
  <c r="D98" i="16"/>
  <c r="E97" i="16"/>
  <c r="E96" i="16"/>
  <c r="E95" i="16"/>
  <c r="H92" i="16"/>
  <c r="M92" i="16" s="1"/>
  <c r="E83" i="16"/>
  <c r="F77" i="16"/>
  <c r="F80" i="16" s="1"/>
  <c r="F75" i="16"/>
  <c r="J76" i="16" s="1"/>
  <c r="M76" i="16" s="1"/>
  <c r="F73" i="16"/>
  <c r="J73" i="16" s="1"/>
  <c r="M73" i="16" s="1"/>
  <c r="F71" i="16"/>
  <c r="L71" i="16" s="1"/>
  <c r="E70" i="16"/>
  <c r="F70" i="16" s="1"/>
  <c r="J70" i="16" s="1"/>
  <c r="F67" i="16"/>
  <c r="L67" i="16" s="1"/>
  <c r="M67" i="16" s="1"/>
  <c r="F66" i="16"/>
  <c r="L66" i="16" s="1"/>
  <c r="M66" i="16" s="1"/>
  <c r="F65" i="16"/>
  <c r="L65" i="16" s="1"/>
  <c r="M65" i="16" s="1"/>
  <c r="F64" i="16"/>
  <c r="L64" i="16" s="1"/>
  <c r="M64" i="16" s="1"/>
  <c r="F63" i="16"/>
  <c r="L63" i="16" s="1"/>
  <c r="M63" i="16" s="1"/>
  <c r="F62" i="16"/>
  <c r="L62" i="16" s="1"/>
  <c r="M62" i="16" s="1"/>
  <c r="F61" i="16"/>
  <c r="J61" i="16" s="1"/>
  <c r="M61" i="16" s="1"/>
  <c r="F59" i="16"/>
  <c r="J59" i="16" s="1"/>
  <c r="M59" i="16" s="1"/>
  <c r="F50" i="16"/>
  <c r="F52" i="16" s="1"/>
  <c r="F49" i="16"/>
  <c r="L49" i="16" s="1"/>
  <c r="M49" i="16" s="1"/>
  <c r="F48" i="16"/>
  <c r="J48" i="16" s="1"/>
  <c r="M48" i="16" s="1"/>
  <c r="E45" i="16"/>
  <c r="F45" i="16" s="1"/>
  <c r="J45" i="16" s="1"/>
  <c r="M45" i="16" s="1"/>
  <c r="J42" i="16"/>
  <c r="M42" i="16" s="1"/>
  <c r="J41" i="16"/>
  <c r="M41" i="16" s="1"/>
  <c r="J40" i="16"/>
  <c r="M40" i="16" s="1"/>
  <c r="L39" i="16"/>
  <c r="M39" i="16" s="1"/>
  <c r="J38" i="16"/>
  <c r="M38" i="16" s="1"/>
  <c r="J37" i="16"/>
  <c r="M37" i="16" s="1"/>
  <c r="J36" i="16"/>
  <c r="M36" i="16" s="1"/>
  <c r="J35" i="16"/>
  <c r="M35" i="16" s="1"/>
  <c r="F33" i="16"/>
  <c r="L33" i="16" s="1"/>
  <c r="M33" i="16" s="1"/>
  <c r="F32" i="16"/>
  <c r="J32" i="16" s="1"/>
  <c r="M32" i="16" s="1"/>
  <c r="N31" i="16"/>
  <c r="F28" i="16"/>
  <c r="F30" i="16" s="1"/>
  <c r="L30" i="16" s="1"/>
  <c r="M30" i="16" s="1"/>
  <c r="F24" i="16"/>
  <c r="F26" i="16" s="1"/>
  <c r="L26" i="16" s="1"/>
  <c r="M26" i="16" s="1"/>
  <c r="F23" i="16"/>
  <c r="L23" i="16" s="1"/>
  <c r="M23" i="16" s="1"/>
  <c r="F22" i="16"/>
  <c r="J22" i="16" s="1"/>
  <c r="M22" i="16" s="1"/>
  <c r="N20" i="16"/>
  <c r="F20" i="16"/>
  <c r="J20" i="16" s="1"/>
  <c r="M20" i="16" s="1"/>
  <c r="L18" i="16"/>
  <c r="J18" i="16"/>
  <c r="L17" i="16"/>
  <c r="J17" i="16"/>
  <c r="F16" i="16"/>
  <c r="L16" i="16" s="1"/>
  <c r="M16" i="16" s="1"/>
  <c r="F15" i="16"/>
  <c r="J15" i="16" s="1"/>
  <c r="M15" i="16" s="1"/>
  <c r="F13" i="16"/>
  <c r="L13" i="16" s="1"/>
  <c r="M13" i="16" s="1"/>
  <c r="F12" i="16"/>
  <c r="J12" i="16" s="1"/>
  <c r="M12" i="16" s="1"/>
  <c r="F10" i="16"/>
  <c r="L10" i="16" s="1"/>
  <c r="M10" i="16" s="1"/>
  <c r="F9" i="16"/>
  <c r="J9" i="16" s="1"/>
  <c r="M9" i="16" s="1"/>
  <c r="A1" i="16"/>
  <c r="F46" i="17" l="1"/>
  <c r="H46" i="17" s="1"/>
  <c r="F15" i="22"/>
  <c r="J15" i="22" s="1"/>
  <c r="M15" i="22" s="1"/>
  <c r="F12" i="22"/>
  <c r="J12" i="22" s="1"/>
  <c r="M12" i="22" s="1"/>
  <c r="M14" i="21"/>
  <c r="F20" i="22"/>
  <c r="J20" i="22" s="1"/>
  <c r="M20" i="22" s="1"/>
  <c r="F28" i="22"/>
  <c r="J28" i="22" s="1"/>
  <c r="M28" i="22" s="1"/>
  <c r="F47" i="22"/>
  <c r="H47" i="22" s="1"/>
  <c r="M47" i="22" s="1"/>
  <c r="F13" i="22"/>
  <c r="H13" i="22" s="1"/>
  <c r="M13" i="22" s="1"/>
  <c r="F18" i="22"/>
  <c r="H18" i="22" s="1"/>
  <c r="M18" i="22" s="1"/>
  <c r="F40" i="22"/>
  <c r="J40" i="22" s="1"/>
  <c r="M40" i="22" s="1"/>
  <c r="F49" i="22"/>
  <c r="J49" i="22" s="1"/>
  <c r="M49" i="22" s="1"/>
  <c r="F43" i="22"/>
  <c r="J43" i="22" s="1"/>
  <c r="M43" i="22" s="1"/>
  <c r="F44" i="22"/>
  <c r="L44" i="22" s="1"/>
  <c r="M44" i="22" s="1"/>
  <c r="M7" i="21"/>
  <c r="M24" i="21"/>
  <c r="M32" i="21"/>
  <c r="M40" i="21"/>
  <c r="M22" i="21"/>
  <c r="M30" i="21"/>
  <c r="M38" i="21"/>
  <c r="L59" i="21"/>
  <c r="M28" i="21"/>
  <c r="M36" i="21"/>
  <c r="M44" i="17"/>
  <c r="F22" i="17"/>
  <c r="H22" i="17" s="1"/>
  <c r="M22" i="17" s="1"/>
  <c r="F10" i="17"/>
  <c r="J10" i="17" s="1"/>
  <c r="M10" i="17" s="1"/>
  <c r="F20" i="17"/>
  <c r="J20" i="17" s="1"/>
  <c r="M20" i="17" s="1"/>
  <c r="F25" i="17"/>
  <c r="J25" i="17" s="1"/>
  <c r="M25" i="17" s="1"/>
  <c r="H26" i="17"/>
  <c r="M26" i="17" s="1"/>
  <c r="F199" i="16"/>
  <c r="H199" i="16" s="1"/>
  <c r="M199" i="16" s="1"/>
  <c r="F357" i="16"/>
  <c r="H357" i="16" s="1"/>
  <c r="M357" i="16" s="1"/>
  <c r="M18" i="16"/>
  <c r="F191" i="16"/>
  <c r="L191" i="16" s="1"/>
  <c r="M191" i="16" s="1"/>
  <c r="F206" i="16"/>
  <c r="H206" i="16" s="1"/>
  <c r="M206" i="16" s="1"/>
  <c r="F202" i="16"/>
  <c r="J202" i="16" s="1"/>
  <c r="F203" i="16"/>
  <c r="L203" i="16" s="1"/>
  <c r="M203" i="16" s="1"/>
  <c r="F205" i="16"/>
  <c r="H205" i="16" s="1"/>
  <c r="M205" i="16" s="1"/>
  <c r="F204" i="16"/>
  <c r="H204" i="16" s="1"/>
  <c r="M204" i="16" s="1"/>
  <c r="M311" i="16"/>
  <c r="F51" i="16"/>
  <c r="J51" i="16" s="1"/>
  <c r="M51" i="16" s="1"/>
  <c r="M16" i="22"/>
  <c r="M11" i="17"/>
  <c r="F43" i="17"/>
  <c r="L43" i="17" s="1"/>
  <c r="F21" i="17"/>
  <c r="L21" i="17" s="1"/>
  <c r="M21" i="17" s="1"/>
  <c r="F32" i="17"/>
  <c r="H32" i="17" s="1"/>
  <c r="M32" i="17" s="1"/>
  <c r="F42" i="17"/>
  <c r="J42" i="17" s="1"/>
  <c r="M10" i="22"/>
  <c r="F17" i="22"/>
  <c r="H17" i="22" s="1"/>
  <c r="M17" i="22" s="1"/>
  <c r="F30" i="22"/>
  <c r="F45" i="22"/>
  <c r="H45" i="22" s="1"/>
  <c r="M45" i="22" s="1"/>
  <c r="F175" i="16"/>
  <c r="H175" i="16" s="1"/>
  <c r="M175" i="16" s="1"/>
  <c r="F14" i="17"/>
  <c r="F15" i="17" s="1"/>
  <c r="J15" i="17" s="1"/>
  <c r="M15" i="17" s="1"/>
  <c r="F18" i="17"/>
  <c r="H18" i="17" s="1"/>
  <c r="F31" i="17"/>
  <c r="L31" i="17" s="1"/>
  <c r="M31" i="17" s="1"/>
  <c r="F34" i="17"/>
  <c r="H34" i="17" s="1"/>
  <c r="M34" i="17" s="1"/>
  <c r="H59" i="21"/>
  <c r="M9" i="21"/>
  <c r="M308" i="16"/>
  <c r="M319" i="16"/>
  <c r="H324" i="16"/>
  <c r="M13" i="21"/>
  <c r="J59" i="21"/>
  <c r="M61" i="21" s="1"/>
  <c r="M296" i="16"/>
  <c r="F83" i="16"/>
  <c r="H83" i="16" s="1"/>
  <c r="M83" i="16" s="1"/>
  <c r="M318" i="16"/>
  <c r="F355" i="16"/>
  <c r="J355" i="16" s="1"/>
  <c r="M355" i="16" s="1"/>
  <c r="F164" i="16"/>
  <c r="H164" i="16" s="1"/>
  <c r="M164" i="16" s="1"/>
  <c r="M304" i="16"/>
  <c r="M17" i="16"/>
  <c r="M307" i="16"/>
  <c r="F358" i="16"/>
  <c r="H358" i="16" s="1"/>
  <c r="M358" i="16" s="1"/>
  <c r="F183" i="16"/>
  <c r="H183" i="16" s="1"/>
  <c r="M183" i="16" s="1"/>
  <c r="F85" i="16"/>
  <c r="F87" i="16" s="1"/>
  <c r="L87" i="16" s="1"/>
  <c r="M87" i="16" s="1"/>
  <c r="N92" i="16"/>
  <c r="F181" i="16"/>
  <c r="J181" i="16" s="1"/>
  <c r="N181" i="16" s="1"/>
  <c r="M323" i="16"/>
  <c r="J324" i="16"/>
  <c r="F25" i="16"/>
  <c r="J25" i="16" s="1"/>
  <c r="M25" i="16" s="1"/>
  <c r="F78" i="16"/>
  <c r="F79" i="16" s="1"/>
  <c r="J79" i="16" s="1"/>
  <c r="M79" i="16" s="1"/>
  <c r="F174" i="16"/>
  <c r="H174" i="16" s="1"/>
  <c r="M174" i="16" s="1"/>
  <c r="F176" i="16"/>
  <c r="H176" i="16" s="1"/>
  <c r="M176" i="16" s="1"/>
  <c r="F195" i="16"/>
  <c r="H195" i="16" s="1"/>
  <c r="M195" i="16" s="1"/>
  <c r="F198" i="16"/>
  <c r="J198" i="16" s="1"/>
  <c r="N198" i="16" s="1"/>
  <c r="M295" i="16"/>
  <c r="H303" i="16"/>
  <c r="M306" i="16"/>
  <c r="M310" i="16"/>
  <c r="M322" i="16"/>
  <c r="F93" i="16"/>
  <c r="F100" i="16" s="1"/>
  <c r="H100" i="16" s="1"/>
  <c r="M100" i="16" s="1"/>
  <c r="F172" i="16"/>
  <c r="L172" i="16" s="1"/>
  <c r="M172" i="16" s="1"/>
  <c r="F190" i="16"/>
  <c r="J190" i="16" s="1"/>
  <c r="N190" i="16" s="1"/>
  <c r="J303" i="16"/>
  <c r="M305" i="16"/>
  <c r="M309" i="16"/>
  <c r="M320" i="16"/>
  <c r="M321" i="16"/>
  <c r="F53" i="16"/>
  <c r="J53" i="16" s="1"/>
  <c r="M53" i="16" s="1"/>
  <c r="F54" i="16"/>
  <c r="L54" i="16" s="1"/>
  <c r="M54" i="16" s="1"/>
  <c r="M116" i="16"/>
  <c r="N116" i="16"/>
  <c r="N353" i="16"/>
  <c r="M353" i="16"/>
  <c r="F29" i="16"/>
  <c r="J29" i="16" s="1"/>
  <c r="M29" i="16" s="1"/>
  <c r="F125" i="16"/>
  <c r="H125" i="16" s="1"/>
  <c r="M125" i="16" s="1"/>
  <c r="F126" i="16"/>
  <c r="H126" i="16" s="1"/>
  <c r="M126" i="16" s="1"/>
  <c r="F363" i="16"/>
  <c r="H363" i="16" s="1"/>
  <c r="M363" i="16" s="1"/>
  <c r="F364" i="16"/>
  <c r="H364" i="16" s="1"/>
  <c r="M364" i="16" s="1"/>
  <c r="F84" i="16"/>
  <c r="H84" i="16" s="1"/>
  <c r="M84" i="16" s="1"/>
  <c r="F124" i="16"/>
  <c r="H124" i="16" s="1"/>
  <c r="M124" i="16" s="1"/>
  <c r="F362" i="16"/>
  <c r="H362" i="16" s="1"/>
  <c r="M362" i="16" s="1"/>
  <c r="F81" i="16"/>
  <c r="J81" i="16" s="1"/>
  <c r="F82" i="16"/>
  <c r="L82" i="16" s="1"/>
  <c r="M82" i="16" s="1"/>
  <c r="F118" i="16"/>
  <c r="J118" i="16" s="1"/>
  <c r="F122" i="16"/>
  <c r="J122" i="16" s="1"/>
  <c r="F123" i="16"/>
  <c r="L123" i="16" s="1"/>
  <c r="M123" i="16" s="1"/>
  <c r="F128" i="16"/>
  <c r="H128" i="16" s="1"/>
  <c r="M128" i="16" s="1"/>
  <c r="F360" i="16"/>
  <c r="J360" i="16" s="1"/>
  <c r="F361" i="16"/>
  <c r="L361" i="16" s="1"/>
  <c r="M361" i="16" s="1"/>
  <c r="F366" i="16"/>
  <c r="H366" i="16" s="1"/>
  <c r="M366" i="16" s="1"/>
  <c r="M134" i="16"/>
  <c r="F149" i="16"/>
  <c r="H149" i="16" s="1"/>
  <c r="M149" i="16" s="1"/>
  <c r="F150" i="16"/>
  <c r="H150" i="16" s="1"/>
  <c r="M150" i="16" s="1"/>
  <c r="F151" i="16"/>
  <c r="H151" i="16" s="1"/>
  <c r="M151" i="16" s="1"/>
  <c r="F148" i="16"/>
  <c r="L148" i="16" s="1"/>
  <c r="M148" i="16" s="1"/>
  <c r="F147" i="16"/>
  <c r="J147" i="16" s="1"/>
  <c r="N147" i="16" s="1"/>
  <c r="F127" i="16"/>
  <c r="H127" i="16" s="1"/>
  <c r="M127" i="16" s="1"/>
  <c r="F356" i="16"/>
  <c r="L356" i="16" s="1"/>
  <c r="M356" i="16" s="1"/>
  <c r="F136" i="16"/>
  <c r="H136" i="16" s="1"/>
  <c r="M136" i="16" s="1"/>
  <c r="F138" i="16"/>
  <c r="H138" i="16" s="1"/>
  <c r="M138" i="16" s="1"/>
  <c r="F135" i="16"/>
  <c r="L135" i="16" s="1"/>
  <c r="M135" i="16" s="1"/>
  <c r="N179" i="16"/>
  <c r="M179" i="16"/>
  <c r="F143" i="16"/>
  <c r="H143" i="16" s="1"/>
  <c r="M143" i="16" s="1"/>
  <c r="F163" i="16"/>
  <c r="L163" i="16" s="1"/>
  <c r="M163" i="16" s="1"/>
  <c r="F171" i="16"/>
  <c r="J171" i="16" s="1"/>
  <c r="M171" i="16" s="1"/>
  <c r="F193" i="16"/>
  <c r="H193" i="16" s="1"/>
  <c r="M193" i="16" s="1"/>
  <c r="F194" i="16"/>
  <c r="H194" i="16" s="1"/>
  <c r="M194" i="16" s="1"/>
  <c r="M209" i="16"/>
  <c r="N209" i="16"/>
  <c r="L302" i="16"/>
  <c r="J302" i="16"/>
  <c r="H302" i="16"/>
  <c r="L336" i="16"/>
  <c r="J336" i="16"/>
  <c r="H336" i="16"/>
  <c r="F142" i="16"/>
  <c r="H142" i="16" s="1"/>
  <c r="M142" i="16" s="1"/>
  <c r="L300" i="16"/>
  <c r="J300" i="16"/>
  <c r="H300" i="16"/>
  <c r="F140" i="16"/>
  <c r="J140" i="16" s="1"/>
  <c r="F141" i="16"/>
  <c r="L141" i="16" s="1"/>
  <c r="M141" i="16" s="1"/>
  <c r="F200" i="16"/>
  <c r="H200" i="16" s="1"/>
  <c r="M200" i="16" s="1"/>
  <c r="L298" i="16"/>
  <c r="J298" i="16"/>
  <c r="H298" i="16"/>
  <c r="F173" i="16"/>
  <c r="H173" i="16" s="1"/>
  <c r="M173" i="16" s="1"/>
  <c r="L328" i="16"/>
  <c r="J328" i="16"/>
  <c r="H328" i="16"/>
  <c r="L297" i="16"/>
  <c r="L299" i="16"/>
  <c r="L301" i="16"/>
  <c r="L312" i="16"/>
  <c r="L326" i="16"/>
  <c r="F329" i="16"/>
  <c r="J331" i="16"/>
  <c r="F333" i="16"/>
  <c r="F337" i="16"/>
  <c r="F238" i="16"/>
  <c r="F330" i="16"/>
  <c r="L331" i="16"/>
  <c r="F334" i="16"/>
  <c r="H297" i="16"/>
  <c r="H299" i="16"/>
  <c r="H301" i="16"/>
  <c r="H312" i="16"/>
  <c r="F313" i="16"/>
  <c r="H326" i="16"/>
  <c r="F327" i="16"/>
  <c r="F335" i="16"/>
  <c r="J326" i="16"/>
  <c r="H331" i="16"/>
  <c r="F332" i="16"/>
  <c r="M71" i="16"/>
  <c r="M70" i="16"/>
  <c r="F81" i="17"/>
  <c r="L81" i="17" s="1"/>
  <c r="M81" i="17" s="1"/>
  <c r="F80" i="17"/>
  <c r="J80" i="17" s="1"/>
  <c r="M80" i="17" s="1"/>
  <c r="M66" i="17"/>
  <c r="F48" i="17"/>
  <c r="J48" i="17" s="1"/>
  <c r="M51" i="17"/>
  <c r="M46" i="17" l="1"/>
  <c r="H84" i="17"/>
  <c r="M85" i="17" s="1"/>
  <c r="J57" i="22"/>
  <c r="L57" i="22"/>
  <c r="N59" i="21"/>
  <c r="M59" i="21"/>
  <c r="H63" i="21"/>
  <c r="M43" i="17"/>
  <c r="L84" i="17"/>
  <c r="M42" i="17"/>
  <c r="J84" i="17"/>
  <c r="M86" i="17" s="1"/>
  <c r="M303" i="16"/>
  <c r="M324" i="16"/>
  <c r="F89" i="16"/>
  <c r="H89" i="16" s="1"/>
  <c r="M89" i="16" s="1"/>
  <c r="F88" i="16"/>
  <c r="H88" i="16" s="1"/>
  <c r="M88" i="16" s="1"/>
  <c r="F98" i="16"/>
  <c r="H98" i="16" s="1"/>
  <c r="M98" i="16" s="1"/>
  <c r="F91" i="16"/>
  <c r="H91" i="16" s="1"/>
  <c r="M91" i="16" s="1"/>
  <c r="M198" i="16"/>
  <c r="F86" i="16"/>
  <c r="J86" i="16" s="1"/>
  <c r="M86" i="16" s="1"/>
  <c r="F90" i="16"/>
  <c r="H90" i="16" s="1"/>
  <c r="M90" i="16" s="1"/>
  <c r="M190" i="16"/>
  <c r="F97" i="16"/>
  <c r="H97" i="16" s="1"/>
  <c r="M97" i="16" s="1"/>
  <c r="M181" i="16"/>
  <c r="F108" i="16"/>
  <c r="F111" i="16" s="1"/>
  <c r="H111" i="16" s="1"/>
  <c r="L35" i="17"/>
  <c r="J35" i="17"/>
  <c r="M60" i="21"/>
  <c r="F96" i="16"/>
  <c r="L96" i="16" s="1"/>
  <c r="M96" i="16" s="1"/>
  <c r="F94" i="16"/>
  <c r="J94" i="16" s="1"/>
  <c r="M94" i="16" s="1"/>
  <c r="F99" i="16"/>
  <c r="H99" i="16" s="1"/>
  <c r="M99" i="16" s="1"/>
  <c r="F95" i="16"/>
  <c r="L95" i="16" s="1"/>
  <c r="M95" i="16" s="1"/>
  <c r="M18" i="17"/>
  <c r="H35" i="17"/>
  <c r="H57" i="22"/>
  <c r="M58" i="22" s="1"/>
  <c r="N44" i="16"/>
  <c r="M302" i="16"/>
  <c r="M297" i="16"/>
  <c r="M300" i="16"/>
  <c r="M336" i="16"/>
  <c r="N202" i="16"/>
  <c r="M202" i="16"/>
  <c r="N140" i="16"/>
  <c r="M140" i="16"/>
  <c r="F314" i="16"/>
  <c r="H313" i="16"/>
  <c r="F317" i="16"/>
  <c r="F316" i="16"/>
  <c r="L313" i="16"/>
  <c r="F325" i="16"/>
  <c r="F315" i="16"/>
  <c r="J313" i="16"/>
  <c r="M312" i="16"/>
  <c r="F242" i="16"/>
  <c r="F239" i="16"/>
  <c r="J239" i="16" s="1"/>
  <c r="M239" i="16" s="1"/>
  <c r="F267" i="16"/>
  <c r="H267" i="16" s="1"/>
  <c r="M267" i="16" s="1"/>
  <c r="F240" i="16"/>
  <c r="L240" i="16" s="1"/>
  <c r="M240" i="16" s="1"/>
  <c r="F268" i="16"/>
  <c r="H268" i="16" s="1"/>
  <c r="M268" i="16" s="1"/>
  <c r="F241" i="16"/>
  <c r="L241" i="16" s="1"/>
  <c r="M241" i="16" s="1"/>
  <c r="N122" i="16"/>
  <c r="M122" i="16"/>
  <c r="N81" i="16"/>
  <c r="M81" i="16"/>
  <c r="J330" i="16"/>
  <c r="H330" i="16"/>
  <c r="L330" i="16"/>
  <c r="M301" i="16"/>
  <c r="J334" i="16"/>
  <c r="H334" i="16"/>
  <c r="L334" i="16"/>
  <c r="L329" i="16"/>
  <c r="J329" i="16"/>
  <c r="H329" i="16"/>
  <c r="M328" i="16"/>
  <c r="M298" i="16"/>
  <c r="M147" i="16"/>
  <c r="N360" i="16"/>
  <c r="M360" i="16"/>
  <c r="N118" i="16"/>
  <c r="M118" i="16"/>
  <c r="F113" i="16"/>
  <c r="H113" i="16" s="1"/>
  <c r="M113" i="16" s="1"/>
  <c r="L333" i="16"/>
  <c r="J333" i="16"/>
  <c r="H333" i="16"/>
  <c r="H335" i="16"/>
  <c r="L335" i="16"/>
  <c r="J335" i="16"/>
  <c r="L332" i="16"/>
  <c r="J332" i="16"/>
  <c r="H332" i="16"/>
  <c r="H327" i="16"/>
  <c r="L327" i="16"/>
  <c r="J327" i="16"/>
  <c r="M331" i="16"/>
  <c r="M326" i="16"/>
  <c r="M299" i="16"/>
  <c r="L337" i="16"/>
  <c r="J337" i="16"/>
  <c r="H337" i="16"/>
  <c r="M48" i="17"/>
  <c r="M62" i="21" l="1"/>
  <c r="M63" i="21" s="1"/>
  <c r="M64" i="21" s="1"/>
  <c r="M65" i="21" s="1"/>
  <c r="M66" i="21" s="1"/>
  <c r="M84" i="17"/>
  <c r="M87" i="17" s="1"/>
  <c r="N94" i="16"/>
  <c r="N86" i="16"/>
  <c r="F112" i="16"/>
  <c r="H112" i="16" s="1"/>
  <c r="M112" i="16" s="1"/>
  <c r="F109" i="16"/>
  <c r="J109" i="16" s="1"/>
  <c r="M109" i="16" s="1"/>
  <c r="M57" i="22"/>
  <c r="M59" i="22" s="1"/>
  <c r="M60" i="22" s="1"/>
  <c r="F110" i="16"/>
  <c r="L110" i="16" s="1"/>
  <c r="L275" i="16" s="1"/>
  <c r="M35" i="17"/>
  <c r="M337" i="16"/>
  <c r="M333" i="16"/>
  <c r="M334" i="16"/>
  <c r="M330" i="16"/>
  <c r="L315" i="16"/>
  <c r="J315" i="16"/>
  <c r="H315" i="16"/>
  <c r="H317" i="16"/>
  <c r="L317" i="16"/>
  <c r="J317" i="16"/>
  <c r="M327" i="16"/>
  <c r="M111" i="16"/>
  <c r="L325" i="16"/>
  <c r="J325" i="16"/>
  <c r="H325" i="16"/>
  <c r="M313" i="16"/>
  <c r="M329" i="16"/>
  <c r="L314" i="16"/>
  <c r="J314" i="16"/>
  <c r="H314" i="16"/>
  <c r="M332" i="16"/>
  <c r="M335" i="16"/>
  <c r="J316" i="16"/>
  <c r="H316" i="16"/>
  <c r="L316" i="16"/>
  <c r="M37" i="17" l="1"/>
  <c r="M38" i="17" s="1"/>
  <c r="M39" i="17" s="1"/>
  <c r="M88" i="17" s="1"/>
  <c r="M89" i="17" s="1"/>
  <c r="M90" i="17" s="1"/>
  <c r="M110" i="16"/>
  <c r="M275" i="16" s="1"/>
  <c r="N109" i="16"/>
  <c r="J275" i="16"/>
  <c r="H275" i="16"/>
  <c r="M317" i="16"/>
  <c r="M316" i="16"/>
  <c r="M314" i="16"/>
  <c r="M315" i="16"/>
  <c r="M325" i="16"/>
  <c r="M67" i="21"/>
  <c r="M68" i="21" s="1"/>
  <c r="D12" i="8" s="1"/>
  <c r="G12" i="8" s="1"/>
  <c r="M91" i="17" l="1"/>
  <c r="M92" i="17" s="1"/>
  <c r="M277" i="16"/>
  <c r="M279" i="16" s="1"/>
  <c r="M281" i="16" s="1"/>
  <c r="M282" i="16" s="1"/>
  <c r="M283" i="16" s="1"/>
  <c r="M284" i="16" s="1"/>
  <c r="M285" i="16" s="1"/>
  <c r="D7" i="8" s="1"/>
  <c r="G7" i="8" s="1"/>
  <c r="N275" i="16"/>
  <c r="M61" i="22"/>
  <c r="M93" i="17" l="1"/>
  <c r="M94" i="17" s="1"/>
  <c r="M62" i="22"/>
  <c r="M63" i="22" s="1"/>
  <c r="D10" i="8" l="1"/>
  <c r="G10" i="8" s="1"/>
  <c r="M64" i="22"/>
  <c r="M65" i="22" s="1"/>
  <c r="M66" i="22" l="1"/>
  <c r="M67" i="22" s="1"/>
  <c r="D9" i="8" s="1"/>
  <c r="G9" i="8" s="1"/>
  <c r="G14" i="8" s="1"/>
  <c r="G15" i="8" s="1"/>
  <c r="G16" i="8" s="1"/>
</calcChain>
</file>

<file path=xl/comments1.xml><?xml version="1.0" encoding="utf-8"?>
<comments xmlns="http://schemas.openxmlformats.org/spreadsheetml/2006/main">
  <authors>
    <author>Author</author>
  </authors>
  <commentList>
    <comment ref="I140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7,8
</t>
        </r>
      </text>
    </comment>
    <comment ref="I35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6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62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127,10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ტიპი: კალათბურთის ფარი
,,შპს ღობე" 
 მის: წერეთლის 118
 ელ-ფოსტა: Ltdgobe@gmail.com
 web: www.Ghobe.ge
 ტელ: 568199995, 555511605.</t>
        </r>
      </text>
    </comment>
  </commentList>
</comments>
</file>

<file path=xl/sharedStrings.xml><?xml version="1.0" encoding="utf-8"?>
<sst xmlns="http://schemas.openxmlformats.org/spreadsheetml/2006/main" count="1336" uniqueCount="541">
  <si>
    <t>##</t>
  </si>
  <si>
    <t>დასაბუთება</t>
  </si>
  <si>
    <t>სამუშაოს დასახელება</t>
  </si>
  <si>
    <t>განზ/ ერთეული</t>
  </si>
  <si>
    <t>ნორმა განზ.ერთეულზე</t>
  </si>
  <si>
    <t>მოცულობა</t>
  </si>
  <si>
    <t>მასალა</t>
  </si>
  <si>
    <t>ხელფასი</t>
  </si>
  <si>
    <t>სულ დანახარჯები</t>
  </si>
  <si>
    <t>ერთეულის</t>
  </si>
  <si>
    <t>სულ</t>
  </si>
  <si>
    <t>g/m</t>
  </si>
  <si>
    <t>gauTvaliswinebeli xarjebi</t>
  </si>
  <si>
    <t xml:space="preserve">გეგმიური დაგროვება  </t>
  </si>
  <si>
    <t xml:space="preserve">ზედნადები ხარჯები  </t>
  </si>
  <si>
    <t>c</t>
  </si>
  <si>
    <t>lokaluri ხ ა რ ჯ თ ა ღ რ ი ც ვ ხ ვ ა #1</t>
  </si>
  <si>
    <t>kbm</t>
  </si>
  <si>
    <t>kvm</t>
  </si>
  <si>
    <t>kg</t>
  </si>
  <si>
    <t>tn</t>
  </si>
  <si>
    <t>sul</t>
  </si>
  <si>
    <t>lari</t>
  </si>
  <si>
    <t>Sromis danaxarjebi</t>
  </si>
  <si>
    <t>sxva manqanebi</t>
  </si>
  <si>
    <t>kac/sT</t>
  </si>
  <si>
    <t>manq/sT</t>
  </si>
  <si>
    <t>manqana-meqanizmebi</t>
  </si>
  <si>
    <t>sxva masala</t>
  </si>
  <si>
    <t xml:space="preserve">Sromis danaxarjebi </t>
  </si>
  <si>
    <t>manqanebi</t>
  </si>
  <si>
    <t>sxva masalebi</t>
  </si>
  <si>
    <t xml:space="preserve">Sromis danaxarjebi  </t>
  </si>
  <si>
    <t>sabazro</t>
  </si>
  <si>
    <t>Senobis el montaJis samuSaoebi</t>
  </si>
  <si>
    <t>gegmiuri dagroveba</t>
  </si>
  <si>
    <t>krebsiTi xarjTaRicxva</t>
  </si>
  <si>
    <t>saxarjTaRricxvo gaangariSebis #</t>
  </si>
  <si>
    <t>samuSaoebisa da danaxarjebis dasaxeleba</t>
  </si>
  <si>
    <t>saxarjTaRricxvo Rirebuleba</t>
  </si>
  <si>
    <t>samSeneblo samuSaoebi</t>
  </si>
  <si>
    <t>samontaJo samuSaoebi</t>
  </si>
  <si>
    <t>mowyobiloba</t>
  </si>
  <si>
    <t>lk 1</t>
  </si>
  <si>
    <t>lk 2</t>
  </si>
  <si>
    <t>sul xarjTaRricxviT</t>
  </si>
  <si>
    <t>jami        lari</t>
  </si>
  <si>
    <t>lk 3</t>
  </si>
  <si>
    <t>Sromis danaxarji</t>
  </si>
  <si>
    <t>eleqtrodi</t>
  </si>
  <si>
    <t>lokaluri ხ ა რ ჯ თ ა ღ რ ი ც ვ ხ ვ ა #2</t>
  </si>
  <si>
    <t>saerTo samSeneblo samuSaoebi</t>
  </si>
  <si>
    <t>samSeneblo nagvis datvirTva xeliT avtoTviTmclelze</t>
  </si>
  <si>
    <t>k/sT</t>
  </si>
  <si>
    <t>grZ.m.</t>
  </si>
  <si>
    <t>SromiTi resursebi</t>
  </si>
  <si>
    <t>normatiuli resursi</t>
  </si>
  <si>
    <t>erTeulze</t>
  </si>
  <si>
    <t>teritoriis mosworeba-planireba avtogreiderebiT arsebuli gruntis gadaadgilebiT</t>
  </si>
  <si>
    <t>avtogreideri saSualo tipis 79 kvt.</t>
  </si>
  <si>
    <t>m/sT</t>
  </si>
  <si>
    <t>satkepni sagz. TviTmavali gluvi 5 tn.</t>
  </si>
  <si>
    <t>satkepni sagz. TviTmavali gluvi 10 tn.</t>
  </si>
  <si>
    <t>traqtori muxluxa svlaze 79 kvt.</t>
  </si>
  <si>
    <t>mosarwyav-mosarecxi manqana 6000l.</t>
  </si>
  <si>
    <t>tn.</t>
  </si>
  <si>
    <t>RorRi</t>
  </si>
  <si>
    <t>yalibis fari</t>
  </si>
  <si>
    <t>xe masala</t>
  </si>
  <si>
    <r>
      <t>m</t>
    </r>
    <r>
      <rPr>
        <vertAlign val="superscript"/>
        <sz val="10"/>
        <rFont val="AcadNusx"/>
      </rPr>
      <t>2</t>
    </r>
  </si>
  <si>
    <t>1-80-3</t>
  </si>
  <si>
    <t>11-1-6</t>
  </si>
  <si>
    <t>5,1,1</t>
  </si>
  <si>
    <r>
      <t>m</t>
    </r>
    <r>
      <rPr>
        <b/>
        <vertAlign val="superscript"/>
        <sz val="10"/>
        <rFont val="AcadNusx"/>
      </rPr>
      <t>2</t>
    </r>
  </si>
  <si>
    <r>
      <t>m</t>
    </r>
    <r>
      <rPr>
        <b/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</si>
  <si>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3</t>
    </r>
  </si>
  <si>
    <t>1-80-7</t>
  </si>
  <si>
    <t>antikoroziuli saRebavi</t>
  </si>
  <si>
    <t>1504</t>
  </si>
  <si>
    <t>0209</t>
  </si>
  <si>
    <t>1554</t>
  </si>
  <si>
    <t>0471</t>
  </si>
  <si>
    <t>1,1,12</t>
  </si>
  <si>
    <t>1,1,10</t>
  </si>
  <si>
    <t xml:space="preserve">SromiTi resursebi                                                </t>
  </si>
  <si>
    <t xml:space="preserve">kac/sT                                                               </t>
  </si>
  <si>
    <t>1</t>
  </si>
  <si>
    <t>avtoamwe krani 30-40tn</t>
  </si>
  <si>
    <t>avtoamwe krani 25tn</t>
  </si>
  <si>
    <t>4,1,344</t>
  </si>
  <si>
    <t>1-12-6.</t>
  </si>
  <si>
    <t>23-1-1.</t>
  </si>
  <si>
    <t>1-81-3</t>
  </si>
  <si>
    <t>teritoriis dasufTaveba, samSeneblo narCenebis Segroveba, gamotana, avtoTviTmclelze dasatvirTavad</t>
  </si>
  <si>
    <t>inventaris SeZena montaJi</t>
  </si>
  <si>
    <t>m3</t>
  </si>
  <si>
    <t>4,1,235</t>
  </si>
  <si>
    <t>skveris teritoriaze demontaJis   samuSaoebi</t>
  </si>
  <si>
    <t>tranSeas mowyoba monoliTuri rk/betonis cokolis mosawyobad xeliT</t>
  </si>
  <si>
    <t>6-1-22</t>
  </si>
  <si>
    <t>0470</t>
  </si>
  <si>
    <t>amwe - kranis momsaxureoba 10t</t>
  </si>
  <si>
    <t>liTonis Robe</t>
  </si>
  <si>
    <t>liTonis konstruqcia samontaJo</t>
  </si>
  <si>
    <t>kg.</t>
  </si>
  <si>
    <t>15-164-8</t>
  </si>
  <si>
    <t>liTonis konstruqciebis SeRebva antikoroziuli saRebaviT</t>
  </si>
  <si>
    <t>sxva xarjebi</t>
  </si>
  <si>
    <t>100 kvm</t>
  </si>
  <si>
    <t>cementis xsnari m-200</t>
  </si>
  <si>
    <t>27-19-2</t>
  </si>
  <si>
    <t>qviSa-cementis xsnari  m.100</t>
  </si>
  <si>
    <t>qviSa-RorRis fenilis mowyoba anakrebi betonis bordiuris qveS</t>
  </si>
  <si>
    <t>qviSa-RorRi</t>
  </si>
  <si>
    <t>6-1-1</t>
  </si>
  <si>
    <t>monoliTuri betonis fenilis mowyoba dekoratiuli anakrebi betonis bordiuris qveS</t>
  </si>
  <si>
    <t>4</t>
  </si>
  <si>
    <t>snf 15</t>
  </si>
  <si>
    <t>4,1,226</t>
  </si>
  <si>
    <t>5,1,138</t>
  </si>
  <si>
    <t>1,6,1</t>
  </si>
  <si>
    <t>4,1,165</t>
  </si>
  <si>
    <t>4,1,341</t>
  </si>
  <si>
    <t>4,1,370</t>
  </si>
  <si>
    <t>4,1,339</t>
  </si>
  <si>
    <t>4,1,371</t>
  </si>
  <si>
    <t>4,1,92</t>
  </si>
  <si>
    <t>kalaTburTis farebi  SeZena montaJi  (orgminiT)</t>
  </si>
  <si>
    <t>2</t>
  </si>
  <si>
    <t>3</t>
  </si>
  <si>
    <t>wylis dasalevi "soko"</t>
  </si>
  <si>
    <t>teritoriis keTilmowyoba</t>
  </si>
  <si>
    <t>miwis samuSaoebi</t>
  </si>
  <si>
    <t>srf 15</t>
  </si>
  <si>
    <t xml:space="preserve">RorRi </t>
  </si>
  <si>
    <t>gruntis damuSaveba xeliT, liTonis moajiris rk.betonis cokolis saZirkbvlis mosawyobad</t>
  </si>
  <si>
    <t>RorRis safuZvlis mowyoba liTonis moajiris rk.betonis  cokolis qveS</t>
  </si>
  <si>
    <t>lokaluri ხ ა რ ჯ თ ა ღ რ ი ც ვ ხ ვ ა #4</t>
  </si>
  <si>
    <t>cali</t>
  </si>
  <si>
    <t>ცივი წყლისათვის პლასტმასის მინაბოჭკოვანი მილების მოntaJi d-20</t>
  </si>
  <si>
    <t>შრომის დანახარჯი</t>
  </si>
  <si>
    <t>კაც/სთ</t>
  </si>
  <si>
    <t>სხვა მანქანები</t>
  </si>
  <si>
    <t>ლარი</t>
  </si>
  <si>
    <t>მ</t>
  </si>
  <si>
    <t>ც</t>
  </si>
  <si>
    <t>სხვა მასალები</t>
  </si>
  <si>
    <t>16-22</t>
  </si>
  <si>
    <t>milsadenis gidravlikuri gamocda</t>
  </si>
  <si>
    <t>100 g/m</t>
  </si>
  <si>
    <t>wyali</t>
  </si>
  <si>
    <t>კგ</t>
  </si>
  <si>
    <t>22-8-1</t>
  </si>
  <si>
    <t>gazinTuli ZenZi</t>
  </si>
  <si>
    <t>22-28-1 gam.</t>
  </si>
  <si>
    <t>fasonuri nawilebi</t>
  </si>
  <si>
    <t>23-1-1</t>
  </si>
  <si>
    <t>qviSa Savi</t>
  </si>
  <si>
    <t xml:space="preserve"> 23-1-2 </t>
  </si>
  <si>
    <t>23-22-2</t>
  </si>
  <si>
    <t>arsebul kanalizaciis qselSi SeWra (makompleqtebeli nawilebiT)</t>
  </si>
  <si>
    <t>SeWra</t>
  </si>
  <si>
    <t>4.1-339</t>
  </si>
  <si>
    <t>4.1-231</t>
  </si>
  <si>
    <t>qviSa xreSi</t>
  </si>
  <si>
    <t>III kategoriis gruntis damuSaveba xeliT, milis montaJisaTvis</t>
  </si>
  <si>
    <t xml:space="preserve">wyalsadenis pl milis qveS qviSis safaris mowyoba  </t>
  </si>
  <si>
    <t>4.1-226</t>
  </si>
  <si>
    <t>23-1-2</t>
  </si>
  <si>
    <t>მილის gadamyvani d-50</t>
  </si>
  <si>
    <t>2,6,4,25</t>
  </si>
  <si>
    <t>2,6,2,11</t>
  </si>
  <si>
    <t>skveris gare wyalsadenisa da kanalizaciis qselis montaJi</t>
  </si>
  <si>
    <t>6-1-5</t>
  </si>
  <si>
    <t>1,1,11</t>
  </si>
  <si>
    <t>9-10-2</t>
  </si>
  <si>
    <t>sWvali Tunuqis</t>
  </si>
  <si>
    <t>1,10,24</t>
  </si>
  <si>
    <t>12</t>
  </si>
  <si>
    <t>12,1</t>
  </si>
  <si>
    <t>12,2</t>
  </si>
  <si>
    <t>12,3</t>
  </si>
  <si>
    <t>12,4</t>
  </si>
  <si>
    <t>lk 4</t>
  </si>
  <si>
    <t xml:space="preserve">zednadebi xarjebi                 </t>
  </si>
  <si>
    <t>48-18-4</t>
  </si>
  <si>
    <t>teritoriaze balaxis daTesva</t>
  </si>
  <si>
    <t>balaxis Tesli</t>
  </si>
  <si>
    <t>gamwvaneba - gazonis mowyoba</t>
  </si>
  <si>
    <t>betonis dekoratiuli fila  100X100X50</t>
  </si>
  <si>
    <t>urnebi SeZena montaJi</t>
  </si>
  <si>
    <t>Е20-1-255</t>
  </si>
  <si>
    <t>Е1-22</t>
  </si>
  <si>
    <t>komp.</t>
  </si>
  <si>
    <t xml:space="preserve">8-370-3     </t>
  </si>
  <si>
    <t>betonis anakrebi bordiuris montaJi  300*150</t>
  </si>
  <si>
    <t>betonis anakrebi bordiuris montaJi  200*100</t>
  </si>
  <si>
    <t>anakrebi betonis bordiurebis mowyoba 300X150</t>
  </si>
  <si>
    <t>betonis bordiurebi 300X150</t>
  </si>
  <si>
    <t>anakrebi betonis bordiurebis mowyoba 200X100</t>
  </si>
  <si>
    <t>betonis bordiurebi 200X100</t>
  </si>
  <si>
    <t>16–12–1</t>
  </si>
  <si>
    <t xml:space="preserve"> სხვა მანქანები</t>
  </si>
  <si>
    <t>6,1,64</t>
  </si>
  <si>
    <t>სფერული ვენტილის მონტაჟი</t>
  </si>
  <si>
    <t>5</t>
  </si>
  <si>
    <t>kanalizaciis gare qseli              (d-50 pl)</t>
  </si>
  <si>
    <t>1000 კბმ</t>
  </si>
  <si>
    <t>შრომითი რესურსები</t>
  </si>
  <si>
    <t>ექსკავატორის ექსპლუატაცია</t>
  </si>
  <si>
    <t>მ/სთ</t>
  </si>
  <si>
    <t>ქვაბულის მოწყობა სკვერის განათების ანძების ჩასაბეტონებლად (ხელით)</t>
  </si>
  <si>
    <t>კბმ</t>
  </si>
  <si>
    <t>გრუნტის შემდგომი დამუშავება ხელით</t>
  </si>
  <si>
    <t>ქვიშის საფარის მოწყობა მილებისთვის</t>
  </si>
  <si>
    <t>კუბ.მ</t>
  </si>
  <si>
    <t>გრძ/მ</t>
  </si>
  <si>
    <t>მანქანები</t>
  </si>
  <si>
    <t>სხვა მასალა</t>
  </si>
  <si>
    <t>კაბელის დაფარვა სასიგნალო ლენტით</t>
  </si>
  <si>
    <t>სასიგნალო ლენტი</t>
  </si>
  <si>
    <t>გრუნტის უკან ჩაყრა ხელით და მოსწორება</t>
  </si>
  <si>
    <t>სკვერის განათების ანძების დაბეტონება</t>
  </si>
  <si>
    <t>არმატურა Ф8 АIII ბ.150</t>
  </si>
  <si>
    <t>ტნ</t>
  </si>
  <si>
    <t xml:space="preserve">სხვა მასალა </t>
  </si>
  <si>
    <t>II სამონტაჟო სამუშაოები</t>
  </si>
  <si>
    <t>კომპლ.</t>
  </si>
  <si>
    <t>ავტომატური ამომრთველი 10ა</t>
  </si>
  <si>
    <t>damiwebis konturis mowyoba</t>
  </si>
  <si>
    <t>СНиП
IV-6-82
8-471-1</t>
  </si>
  <si>
    <t>damiwebis vertikaluri eleqtrodebis Cawera</t>
  </si>
  <si>
    <t>СНиП
IV-6-82
8-472-2</t>
  </si>
  <si>
    <t>horizontaluri damiwebis konturis mowyoba</t>
  </si>
  <si>
    <t>8-414-3</t>
  </si>
  <si>
    <t>8.14.56</t>
  </si>
  <si>
    <t>8.14.328</t>
  </si>
  <si>
    <t xml:space="preserve">damcavi yuTi </t>
  </si>
  <si>
    <t>საკაბელო თხრილის მოწყობა ექსკავატორით, ჩამჩის მოც. 0,25 კუბ.მ. (კაბელებისთვის)</t>
  </si>
  <si>
    <t>0926</t>
  </si>
  <si>
    <t>teritoriaze arsebuli betonis kedlis demontaJi</t>
  </si>
  <si>
    <t>46-16-2 gamoy</t>
  </si>
  <si>
    <t>teritoriaze arsebuli Senobis blokis wyobis kedlebis demontaJi</t>
  </si>
  <si>
    <t>46-23-5</t>
  </si>
  <si>
    <t>sayrdeni kedlisa da Senobis betonis saZirkvlebis demontaJi</t>
  </si>
  <si>
    <t>46-23-2</t>
  </si>
  <si>
    <t>მოცულობების ექსპერტიზა სსიპ "ლევან სამხარაულის სახელობის სასამართლო ექსპერტიზის ეროვნული ბიუროს" ან აკრედიტაციის მქონე სხვა საექსპერტო იურიდიული პირის მიერ</t>
  </si>
  <si>
    <t>saRebavis gamxsneli</t>
  </si>
  <si>
    <t>betoni ბ.7,5  (m-100)</t>
  </si>
  <si>
    <t>I სამშენებლო სამუSაოები</t>
  </si>
  <si>
    <t>zednadebi xarjebi                       (muSa mosamsaxureTa ZiriTadi xelfasidan)</t>
  </si>
  <si>
    <t>1,1</t>
  </si>
  <si>
    <t>1,2</t>
  </si>
  <si>
    <t>1,4</t>
  </si>
  <si>
    <t>2,1</t>
  </si>
  <si>
    <t>2,2</t>
  </si>
  <si>
    <r>
      <t xml:space="preserve">arsebul wylis qselSi SeWra </t>
    </r>
    <r>
      <rPr>
        <sz val="11"/>
        <rFont val="AcadNusx"/>
      </rPr>
      <t>(makompleqtebeli nawilebiT)</t>
    </r>
  </si>
  <si>
    <r>
      <t xml:space="preserve">qviSis safaris mowyoba milis irgvliv </t>
    </r>
    <r>
      <rPr>
        <sz val="11"/>
        <rFont val="Arial"/>
        <family val="2"/>
        <charset val="204"/>
      </rPr>
      <t>(H=30</t>
    </r>
    <r>
      <rPr>
        <sz val="11"/>
        <rFont val="AcadNusx"/>
      </rPr>
      <t>sm</t>
    </r>
    <r>
      <rPr>
        <sz val="11"/>
        <rFont val="Arial"/>
        <family val="2"/>
        <charset val="204"/>
      </rPr>
      <t>.)</t>
    </r>
  </si>
  <si>
    <r>
      <t xml:space="preserve">kanalizaciis pl milis montaJi TxrilSi </t>
    </r>
    <r>
      <rPr>
        <b/>
        <sz val="11"/>
        <rFont val="Arial"/>
        <family val="2"/>
        <charset val="204"/>
      </rPr>
      <t>Ø</t>
    </r>
    <r>
      <rPr>
        <b/>
        <sz val="11"/>
        <rFont val="AcadNusx"/>
      </rPr>
      <t>50mm</t>
    </r>
  </si>
  <si>
    <r>
      <t xml:space="preserve">plastmasis mili </t>
    </r>
    <r>
      <rPr>
        <sz val="11"/>
        <rFont val="Calibri"/>
        <family val="2"/>
        <charset val="204"/>
      </rPr>
      <t>Ø</t>
    </r>
    <r>
      <rPr>
        <sz val="11"/>
        <rFont val="AcadNusx"/>
      </rPr>
      <t>50*2,4mm</t>
    </r>
  </si>
  <si>
    <t>wylis dasalevi "soko" wyalsadenisa da kanalizaciis qselis montaji</t>
  </si>
  <si>
    <t>skveris teritoriis gare el montaJi</t>
  </si>
  <si>
    <t>18%</t>
  </si>
  <si>
    <t>sul xarjTaTricxva #1</t>
  </si>
  <si>
    <t>damatebiTi gruntisGgaSla skveris teritoriaze</t>
  </si>
  <si>
    <t>6</t>
  </si>
  <si>
    <t>6,1</t>
  </si>
  <si>
    <t>6,2</t>
  </si>
  <si>
    <t>7</t>
  </si>
  <si>
    <t>7,1</t>
  </si>
  <si>
    <t>7,2</t>
  </si>
  <si>
    <t>7,3</t>
  </si>
  <si>
    <t>8</t>
  </si>
  <si>
    <t>xis masala</t>
  </si>
  <si>
    <t>*</t>
  </si>
  <si>
    <t>8,1</t>
  </si>
  <si>
    <t>9</t>
  </si>
  <si>
    <t>9,1</t>
  </si>
  <si>
    <t>9,2</t>
  </si>
  <si>
    <t>10</t>
  </si>
  <si>
    <t>gruntis xeliT datvirTva</t>
  </si>
  <si>
    <t>5,2</t>
  </si>
  <si>
    <t>5,3</t>
  </si>
  <si>
    <t>5,4</t>
  </si>
  <si>
    <t>4,3</t>
  </si>
  <si>
    <t xml:space="preserve">betoni b-15 </t>
  </si>
  <si>
    <t xml:space="preserve">betoni b-7,5  </t>
  </si>
  <si>
    <t xml:space="preserve">betoni m-7,5 </t>
  </si>
  <si>
    <r>
      <t xml:space="preserve">arsebuli liTonis moajiris demontaJi dasawyobeba h=2,0 </t>
    </r>
    <r>
      <rPr>
        <sz val="10"/>
        <rFont val="AcadNusx"/>
      </rPr>
      <t>(mosaxleobis mier miTiTebul adgilze)</t>
    </r>
  </si>
  <si>
    <r>
      <t xml:space="preserve">teritoriaze arsebuli xeivanis liTonis samkuTxa fermebis demontaJi dasawyobeba </t>
    </r>
    <r>
      <rPr>
        <b/>
        <sz val="11"/>
        <rFont val="Calibri"/>
        <family val="2"/>
        <charset val="204"/>
        <scheme val="minor"/>
      </rPr>
      <t>(L=9,0   h=1,0) (</t>
    </r>
    <r>
      <rPr>
        <sz val="11"/>
        <rFont val="AcadNusx"/>
      </rPr>
      <t>mosaxleobis mier miTiTebul adgilze)</t>
    </r>
  </si>
  <si>
    <t>46-23-3</t>
  </si>
  <si>
    <t>7,4</t>
  </si>
  <si>
    <r>
      <t xml:space="preserve">betoni </t>
    </r>
    <r>
      <rPr>
        <sz val="11"/>
        <rFont val="Arial"/>
        <family val="2"/>
        <charset val="204"/>
      </rPr>
      <t xml:space="preserve">B7.5 </t>
    </r>
  </si>
  <si>
    <t>bordiurebis demontaJi</t>
  </si>
  <si>
    <t>27-9-7</t>
  </si>
  <si>
    <r>
      <t xml:space="preserve">liTonis fanCaturis demontaJi (dgari kv mili d-60*60 h=2,7, 4cgadaxurva kv miliT, magida 1c, skami 2c) </t>
    </r>
    <r>
      <rPr>
        <sz val="10"/>
        <rFont val="AcadNusx"/>
      </rPr>
      <t>(damkveTis mier miTitebul adgilze)</t>
    </r>
  </si>
  <si>
    <t>treritoriaze arsebuli rk/betonis saZirkvlis filebis demontaJi</t>
  </si>
  <si>
    <t>teritoriaze arsebuli bazaltis filis natexebis ("breqCea"-s) dazianebuli mopirketebis demontaJi</t>
  </si>
  <si>
    <t xml:space="preserve">filiT mopirketebis qveS betonis safuZvlis demontaJi </t>
  </si>
  <si>
    <t>46-29-1</t>
  </si>
  <si>
    <t>46-31-2</t>
  </si>
  <si>
    <t>sasrialo</t>
  </si>
  <si>
    <t>boZkinti liTonis</t>
  </si>
  <si>
    <t xml:space="preserve">aiwona-daiwona  liTonis </t>
  </si>
  <si>
    <t xml:space="preserve">liTonis sabaRE skamebis demontaJi </t>
  </si>
  <si>
    <t>qvis wyaros demontaJi</t>
  </si>
  <si>
    <t>saqanela liTonis</t>
  </si>
  <si>
    <t xml:space="preserve">teritoriaze arsebuli atraqcionebis demontaJi </t>
  </si>
  <si>
    <t>dasawyobeba (damkveTis mier miTitebul adgilze)</t>
  </si>
  <si>
    <t>reisi</t>
  </si>
  <si>
    <t>betonis fenilis mowyoba dekoratiuli anakrebi betonis bordiuris qveS</t>
  </si>
  <si>
    <t>bilikebis mopirkeTeba dekoratiuli filiT</t>
  </si>
  <si>
    <t>trenaJorebis gadaxurvis mowyoba</t>
  </si>
  <si>
    <t>liTonis dgarebis wertilovani saZirkvlebis mowyoba</t>
  </si>
  <si>
    <t>betoni b.25</t>
  </si>
  <si>
    <r>
      <t xml:space="preserve">armatura </t>
    </r>
    <r>
      <rPr>
        <sz val="11"/>
        <color rgb="FFFF0000"/>
        <rFont val="Times New Roman"/>
        <family val="1"/>
        <charset val="204"/>
      </rPr>
      <t xml:space="preserve">A-III  </t>
    </r>
  </si>
  <si>
    <r>
      <t xml:space="preserve">armatura </t>
    </r>
    <r>
      <rPr>
        <sz val="11"/>
        <color rgb="FFFF0000"/>
        <rFont val="Times New Roman"/>
        <family val="1"/>
        <charset val="204"/>
      </rPr>
      <t>A-I</t>
    </r>
    <r>
      <rPr>
        <sz val="11"/>
        <color theme="1"/>
        <rFont val="Calibri"/>
        <family val="2"/>
        <charset val="1"/>
        <scheme val="minor"/>
      </rPr>
      <t/>
    </r>
  </si>
  <si>
    <t>gadaxurvis liTonis konstruqciis montaJi</t>
  </si>
  <si>
    <t>liTonis kv mili 110*110*6 20g/m</t>
  </si>
  <si>
    <t>liTonis kv mili 40*40*3  80g/m</t>
  </si>
  <si>
    <t>foladis furceli  6mm 0,53kvm</t>
  </si>
  <si>
    <t>liTonis marTkuTxa mili 80*60*3  72m</t>
  </si>
  <si>
    <t>foladis furceli  3mm 0,10kvm</t>
  </si>
  <si>
    <t xml:space="preserve">sul liTonis konstruqcia </t>
  </si>
  <si>
    <t>liTonis svetebisa da
fermebis damontaJeba (proeqtiT)</t>
  </si>
  <si>
    <t>gafarToebadTaviani ankeri, diametriT 12 mm, sigrZiT 150 mm</t>
  </si>
  <si>
    <t>15-164-7</t>
  </si>
  <si>
    <t>liTonis konstruqciebis antikoroziuli
damuSaveba</t>
  </si>
  <si>
    <t>4,2,13</t>
  </si>
  <si>
    <t>antikoroziuli laqi</t>
  </si>
  <si>
    <t>12-6-3</t>
  </si>
  <si>
    <t>4,3,8</t>
  </si>
  <si>
    <t>karboluqsis  furceli (nacrisferi, 8-10mm sisqis)</t>
  </si>
  <si>
    <t>1,10,28</t>
  </si>
  <si>
    <t>samSeneblo WanWiki</t>
  </si>
  <si>
    <t>1522</t>
  </si>
  <si>
    <t>tona</t>
  </si>
  <si>
    <t>saxtunao zambara</t>
  </si>
  <si>
    <t>atraqcionebis montaJi (ix.eskizebi)</t>
  </si>
  <si>
    <t>sportuli trenaJorebi</t>
  </si>
  <si>
    <t>S.p.s.`mailendi~-s invoisi p.3</t>
  </si>
  <si>
    <t xml:space="preserve">ტრენაჟორი „ნიჩბოსანი“ 
miwodeba-montaJi (Sesabamisi masalebisa da samuSaoebis Rirebulebis gaTvaliswinebiT) eskizis Sesabamisad                 </t>
  </si>
  <si>
    <t>გაბარიტული ზომები: სიგრძე სმ. 124 სიგანე, სმ. 79 სიმაღლე, სმ. 102მომხმარებლის მაქსიმალური წონა, კგ. 150</t>
  </si>
  <si>
    <t xml:space="preserve">ტრენაჟორი „სხეულის ამზიდი“   
miwodeba-montaJi (Sesabamisi masalebisa da samuSaoebis Rirebulebis gaTvaliswinebiT) eskizis Sesabamisad </t>
  </si>
  <si>
    <t>გაბარიტული ზომები: სიგრძე სმ. 101,5 სიგანე, სმ. 78 სიმაღლე, სმ. 180,5მომხმარებლის მაქსიმალური წონა, კგ. 150</t>
  </si>
  <si>
    <t xml:space="preserve">ტრენაჟორი „აზიდვა მკერდიდან“ 
miwodeba-montaJi (Sesabamisi masalebisa da samuSaoebis Rirebulebis gaTvaliswinebiT) eskizis Sesabamisad               </t>
  </si>
  <si>
    <t>გაბარიტული ზომები: სიგრძე სმ. 108 სიგანე, სმ. 78 სიმაღლე, სმ. 180,5მომხმარებლის მაქსიმალური წონა, კგ. 150</t>
  </si>
  <si>
    <t xml:space="preserve">ტრენაჟორი „მიზიდვა მკერდისაკენ“
miwodeba-montaJi (Sesabamisi masalebisa da samuSaoebis Rirebulebis gaTvaliswinebiT) eskizis Sesabamisad               </t>
  </si>
  <si>
    <t>გაბარიტული ზომები: სიგრძე სმ. 106 სიგანე, სმ. 78 სიმაღლე, სმ. 116,5მომხმარებლის მაქსიმალური წონა, კგ. 150</t>
  </si>
  <si>
    <t xml:space="preserve">ტრენაჟორი „აზიდვა ფეხებით“ 
miwodeba-montaJi (Sesabamisi masalebisa da samuSaoebis Rirebulebis gaTvaliswinebiT) eskizis Sesabamisad      </t>
  </si>
  <si>
    <t>გაბარიტული ზომები: სიგრძე სმ. 131 სიგანე, სმ. 54 სიმაღლე, სმ. 126,5 მომხმარებლის მაქსიმალური წონა, კგ. 150</t>
  </si>
  <si>
    <t xml:space="preserve">ტრენაჟორი „ტვისტერი“ 
miwodeba-montaJi (Sesabamisi masalebisa da samuSaoebis Rirebulebis gaTvaliswinebiT) eskizis Sesabamisad                    </t>
  </si>
  <si>
    <t>გაბარიტული ზომები: სიგრძე სმ. 76 სიგანე, სმ. 63,5 სიმაღლე, სმ. 120მომხმარებლის მაქსიმალური წონა, კგ. 150</t>
  </si>
  <si>
    <t xml:space="preserve">ტრენაჟორი „მუცლის კუნთებისათვის“ 
miwodeba-montaJi (Sesabamisi masalebisa da samuSaoebis Rirebulebis gaTvaliswinebiT) eskizis Sesabamisad </t>
  </si>
  <si>
    <t>გაბარიტული ზომები: სიგრძე სმ. 98,2 სიგანე, სმ. 44,3 სიმაღლე, სმ. 54,9მომხმარებლის მაქსიმალური წონა, კგ. 150</t>
  </si>
  <si>
    <t xml:space="preserve">ტრენაჟორი „ელიფტური“       
miwodeba-montaJi (Sesabamisi masalebisa da samuSaoebis Rirebulebis gaTvaliswinebiT) eskizis Sesabamisad </t>
  </si>
  <si>
    <t>გაბარიტული ზომები: სიგრძე სმ. 148,5 სიგანე, სმ. 72,7 სიმაღლე, სმ. 163,5მომხმარებლის მაქსიმალური წონა, კგ. 150</t>
  </si>
  <si>
    <t xml:space="preserve">ტრენაჟორი „ქანქარა - წელის კორექციისთვის"
miwodeba-montaJi (Sesabamisi masalebisa da samuSaoebis Rirebulebis gaTvaliswinebiT) eskizis Sesabamisad </t>
  </si>
  <si>
    <t>გაბარიტული ზომები: სიგრძე სმ. 74 სიგანე, სმ. 76 სიმაღლე, სმ. 120მომხმარებლის მაქსიმალური წონა, კგ. 150</t>
  </si>
  <si>
    <t xml:space="preserve">ტრენაჟორი „ორმხრივი ძელი“  
miwodeba-montaJi (Sesabamisi masalebisa da samuSaoebis Rirebulebis gaTvaliswinebiT) eskizis Sesabamisad                       </t>
  </si>
  <si>
    <t>გაბარიტული ზომები: სიგრძე სმ. 140 სიგანე, სმ. 65 სიმაღლე, სმ. 150მომხმარებლის მაქსიმალური წონა, კგ. 150</t>
  </si>
  <si>
    <t>teritoriaze arsebuli betonis sayrdeni kedlis dazianebuli lesvis demontaJi</t>
  </si>
  <si>
    <t>46-15-2</t>
  </si>
  <si>
    <t>m,anqanebi</t>
  </si>
  <si>
    <r>
      <t xml:space="preserve">armatura </t>
    </r>
    <r>
      <rPr>
        <sz val="11"/>
        <color rgb="FFFF0000"/>
        <rFont val="Arial"/>
        <family val="2"/>
        <charset val="204"/>
      </rPr>
      <t>A-III</t>
    </r>
  </si>
  <si>
    <r>
      <t xml:space="preserve">armatura </t>
    </r>
    <r>
      <rPr>
        <sz val="11"/>
        <color rgb="FFFF0000"/>
        <rFont val="Arial"/>
        <family val="2"/>
        <charset val="204"/>
      </rPr>
      <t>A-I</t>
    </r>
  </si>
  <si>
    <t>5,1</t>
  </si>
  <si>
    <t xml:space="preserve">sayrdeni kedlis Tavze bazaltis filiT qudis mowyoba  </t>
  </si>
  <si>
    <t>skveris teritoriaze (atqiteqturuli gegmarebiT gaTvaliswinebuli) kldovani qanebis mongreva</t>
  </si>
  <si>
    <t>1-84-5</t>
  </si>
  <si>
    <t>samtvrevi CaquCi (xelis perforatori)</t>
  </si>
  <si>
    <t>2822</t>
  </si>
  <si>
    <t>გარე განათების ლამპიონების მონტაჟი  h=2,5-3,3</t>
  </si>
  <si>
    <t>aiwona (xis detalebiT)</t>
  </si>
  <si>
    <t>bunebrivi qva                  (fleTili an Tlili)</t>
  </si>
  <si>
    <t>gadaxurvis mowyoba gamWvirvale karboluqsis  furcliT (nacrisferi,      8-10mm sisqis)</t>
  </si>
  <si>
    <r>
      <t xml:space="preserve">dekoratiuli lampioni (იხ.ესკიზი)  (kibeebze) </t>
    </r>
    <r>
      <rPr>
        <sz val="11"/>
        <rFont val="Calibri"/>
        <family val="2"/>
        <charset val="204"/>
        <scheme val="minor"/>
      </rPr>
      <t>h</t>
    </r>
    <r>
      <rPr>
        <sz val="11"/>
        <rFont val="AcadNusx"/>
      </rPr>
      <t>=1,0-1,2m 22c</t>
    </r>
  </si>
  <si>
    <t>rk.betonis filisa da safexurebis mowyoba</t>
  </si>
  <si>
    <t>6-16-5</t>
  </si>
  <si>
    <t>kac/st</t>
  </si>
  <si>
    <t>sayalibe fari</t>
  </si>
  <si>
    <t>teritoriis dasufTaveba, samSeneblo narCenebis Segroveba, gamotana,                 (50m gadaadgilebiT) avtoTviTmclelze dasatvirTavad</t>
  </si>
  <si>
    <t xml:space="preserve">samSeneblo nagvis gatana 20 km-ze </t>
  </si>
  <si>
    <t>teritoriis gasufTaveba buCqnarisagan, gadaadgileba 50m-ze</t>
  </si>
  <si>
    <t>traqtori 79kvt (108cx.Z.)</t>
  </si>
  <si>
    <t>1-112-2-8</t>
  </si>
  <si>
    <t>damatebiTi noyieri gruntis Semotana skveris teritoriaze</t>
  </si>
  <si>
    <t xml:space="preserve">skveris teritoriis planireba, saproeqto niSnulamde gruntis damuSaveba xeliT.   </t>
  </si>
  <si>
    <t>1521</t>
  </si>
  <si>
    <t>qviSis fenilis mowyoba, sisqiT 20sm</t>
  </si>
  <si>
    <t>qviSa</t>
  </si>
  <si>
    <t>11-1-3</t>
  </si>
  <si>
    <t>sasrialo saqaneliT (xis detalebiT)</t>
  </si>
  <si>
    <t xml:space="preserve">qvafenilis mowyoba betonis  dekoratiuli filiT </t>
  </si>
  <si>
    <t>27-8-2</t>
  </si>
  <si>
    <r>
      <t xml:space="preserve">მილი პლ. d-20*2,9                              </t>
    </r>
    <r>
      <rPr>
        <sz val="11"/>
        <rFont val="Calibri"/>
        <family val="2"/>
        <charset val="204"/>
        <scheme val="minor"/>
      </rPr>
      <t xml:space="preserve"> DIZAIN PN20</t>
    </r>
  </si>
  <si>
    <t>სფერული ვენტილი დ=20 მმ</t>
  </si>
  <si>
    <t xml:space="preserve">სკვერის გარე განათების დეკორატიული ლამპიონების მონტაჟი </t>
  </si>
  <si>
    <r>
      <t xml:space="preserve">dekoratiuli lampioni, ledi sanaTiT </t>
    </r>
    <r>
      <rPr>
        <sz val="11"/>
        <rFont val="Calibri"/>
        <family val="2"/>
        <charset val="204"/>
        <scheme val="minor"/>
      </rPr>
      <t xml:space="preserve">LED 50w </t>
    </r>
    <r>
      <rPr>
        <sz val="11"/>
        <rFont val="AcadNusx"/>
      </rPr>
      <t xml:space="preserve">                (ix. eskizi) </t>
    </r>
    <r>
      <rPr>
        <sz val="11"/>
        <rFont val="Calibri"/>
        <family val="2"/>
        <charset val="204"/>
        <scheme val="minor"/>
      </rPr>
      <t>h</t>
    </r>
    <r>
      <rPr>
        <sz val="11"/>
        <rFont val="AcadNusx"/>
      </rPr>
      <t xml:space="preserve">=2,5-3,3         </t>
    </r>
  </si>
  <si>
    <t>21-18-1.</t>
  </si>
  <si>
    <t>სპილენძის სადენების montaJi</t>
  </si>
  <si>
    <t>გრძ.მ.</t>
  </si>
  <si>
    <t>კ/სთ</t>
  </si>
  <si>
    <r>
      <t xml:space="preserve">sp. sadeni </t>
    </r>
    <r>
      <rPr>
        <sz val="11"/>
        <rFont val="Calibri"/>
        <family val="2"/>
        <charset val="204"/>
        <scheme val="minor"/>
      </rPr>
      <t>NYY</t>
    </r>
    <r>
      <rPr>
        <sz val="11"/>
        <rFont val="AcadNusx"/>
      </rPr>
      <t xml:space="preserve">3*4 </t>
    </r>
  </si>
  <si>
    <r>
      <t xml:space="preserve">სადენი </t>
    </r>
    <r>
      <rPr>
        <sz val="11"/>
        <rFont val="Calibri"/>
        <family val="2"/>
        <charset val="204"/>
        <scheme val="minor"/>
      </rPr>
      <t xml:space="preserve">NYY </t>
    </r>
    <r>
      <rPr>
        <sz val="11"/>
        <rFont val="AcadNusx"/>
      </rPr>
      <t xml:space="preserve">3*2,5  </t>
    </r>
  </si>
  <si>
    <r>
      <t xml:space="preserve">სადენი </t>
    </r>
    <r>
      <rPr>
        <sz val="11"/>
        <rFont val="Calibri"/>
        <family val="2"/>
        <charset val="204"/>
        <scheme val="minor"/>
      </rPr>
      <t xml:space="preserve">NYY </t>
    </r>
    <r>
      <rPr>
        <sz val="11"/>
        <rFont val="AcadNusx"/>
      </rPr>
      <t xml:space="preserve">3*1,5  </t>
    </r>
  </si>
  <si>
    <t>21-27-4</t>
  </si>
  <si>
    <t>Zalovani faris montaJi</t>
  </si>
  <si>
    <r>
      <t xml:space="preserve">ძალოვანი გამ.ფარი </t>
    </r>
    <r>
      <rPr>
        <sz val="10"/>
        <rFont val="Calibri"/>
        <family val="2"/>
        <charset val="204"/>
        <scheme val="minor"/>
      </rPr>
      <t>GF01</t>
    </r>
    <r>
      <rPr>
        <sz val="10"/>
        <rFont val="AcadNusx"/>
      </rPr>
      <t xml:space="preserve">, კედელზე ჩამოსაკიდი , მეტალის, ქარხნული შესრულებით, ზომები </t>
    </r>
    <r>
      <rPr>
        <sz val="10"/>
        <rFont val="Calibri"/>
        <family val="2"/>
        <charset val="204"/>
        <scheme val="minor"/>
      </rPr>
      <t xml:space="preserve">400x400x100, </t>
    </r>
    <r>
      <rPr>
        <sz val="10"/>
        <rFont val="AcadNusx"/>
      </rPr>
      <t>დაცვის კლასი</t>
    </r>
    <r>
      <rPr>
        <sz val="10"/>
        <rFont val="Calibri"/>
        <family val="2"/>
        <charset val="204"/>
        <scheme val="minor"/>
      </rPr>
      <t xml:space="preserve"> IP67, IK08, </t>
    </r>
    <r>
      <rPr>
        <sz val="10"/>
        <rFont val="AcadNusx"/>
      </rPr>
      <t>ნეიტრალის</t>
    </r>
    <r>
      <rPr>
        <sz val="10"/>
        <rFont val="Calibri"/>
        <family val="2"/>
        <charset val="204"/>
        <scheme val="minor"/>
      </rPr>
      <t xml:space="preserve"> N </t>
    </r>
    <r>
      <rPr>
        <sz val="10"/>
        <rFont val="AcadNusx"/>
      </rPr>
      <t>სალტით და დამიწების</t>
    </r>
    <r>
      <rPr>
        <sz val="10"/>
        <rFont val="Calibri"/>
        <family val="2"/>
        <charset val="204"/>
        <scheme val="minor"/>
      </rPr>
      <t xml:space="preserve"> PE</t>
    </r>
    <r>
      <rPr>
        <sz val="10"/>
        <rFont val="AcadNusx"/>
      </rPr>
      <t xml:space="preserve"> სალტით.</t>
    </r>
  </si>
  <si>
    <r>
      <t>ავტ.გამთიშველი კლასი</t>
    </r>
    <r>
      <rPr>
        <sz val="10"/>
        <rFont val="Calibri"/>
        <family val="2"/>
        <charset val="204"/>
        <scheme val="minor"/>
      </rPr>
      <t xml:space="preserve"> C, 1P, 25A, 6kA</t>
    </r>
  </si>
  <si>
    <r>
      <t>ავტ.გამთიშველი კლასი</t>
    </r>
    <r>
      <rPr>
        <sz val="10"/>
        <rFont val="Calibri"/>
        <family val="2"/>
        <charset val="204"/>
        <scheme val="minor"/>
      </rPr>
      <t xml:space="preserve"> C, 1P, 16A, 6kA</t>
    </r>
  </si>
  <si>
    <r>
      <t>კონტაქტორი</t>
    </r>
    <r>
      <rPr>
        <sz val="10"/>
        <rFont val="Calibri"/>
        <family val="2"/>
        <charset val="204"/>
        <scheme val="minor"/>
      </rPr>
      <t xml:space="preserve"> , 3P, 25 A</t>
    </r>
  </si>
  <si>
    <r>
      <t>რელე</t>
    </r>
    <r>
      <rPr>
        <sz val="10"/>
        <rFont val="Calibri"/>
        <family val="2"/>
        <charset val="204"/>
        <scheme val="minor"/>
      </rPr>
      <t xml:space="preserve"> 230v/5A</t>
    </r>
  </si>
  <si>
    <r>
      <t>ჩამრთველი</t>
    </r>
    <r>
      <rPr>
        <sz val="10"/>
        <rFont val="Calibri"/>
        <family val="2"/>
        <charset val="204"/>
        <scheme val="minor"/>
      </rPr>
      <t xml:space="preserve"> 0‐1‐2, 1x20A</t>
    </r>
  </si>
  <si>
    <r>
      <t>მრიცხველი,</t>
    </r>
    <r>
      <rPr>
        <sz val="10"/>
        <rFont val="Calibri"/>
        <family val="2"/>
        <charset val="204"/>
        <scheme val="minor"/>
      </rPr>
      <t xml:space="preserve"> 2P, 25A</t>
    </r>
  </si>
  <si>
    <t>ფოტორელე</t>
  </si>
  <si>
    <t>8,14,432</t>
  </si>
  <si>
    <r>
      <t xml:space="preserve">დამიწების მოთუთიებული ღერო, </t>
    </r>
    <r>
      <rPr>
        <sz val="11"/>
        <rFont val="Calibri"/>
        <family val="2"/>
        <charset val="204"/>
        <scheme val="minor"/>
      </rPr>
      <t>50x50x5mm, 1500mm</t>
    </r>
  </si>
  <si>
    <t>8,14,428</t>
  </si>
  <si>
    <t>damiwebis Wa</t>
  </si>
  <si>
    <t>8,14,426</t>
  </si>
  <si>
    <r>
      <t xml:space="preserve">დამიწების მოთუთიებული სალტე </t>
    </r>
    <r>
      <rPr>
        <sz val="11"/>
        <rFont val="Calibri"/>
        <family val="2"/>
        <charset val="204"/>
        <scheme val="minor"/>
      </rPr>
      <t>40x4მმ</t>
    </r>
  </si>
  <si>
    <t>bazaltis fila 30mm sisqis  (sigane 450mm)</t>
  </si>
  <si>
    <t>15-5-6</t>
  </si>
  <si>
    <t>1,9,69</t>
  </si>
  <si>
    <t>dekoratiuli Robis qveS rk/betonis lenturi saZirkvelisa da cokolis mowyoba</t>
  </si>
  <si>
    <t>masalis transportirebis xarjebi (samSeneblo masalebis Rirebulebidan)</t>
  </si>
  <si>
    <t>sul xarjTaTricxva #4</t>
  </si>
  <si>
    <t>sul xarjTaRricxva #3</t>
  </si>
  <si>
    <t>sul xarjTaRricxva #2</t>
  </si>
  <si>
    <t>sul pirdapiri danaxarjebi</t>
  </si>
  <si>
    <t>sul II Tavi</t>
  </si>
  <si>
    <t>sul I -- II Tavi</t>
  </si>
  <si>
    <t>zednadebi xarjebi</t>
  </si>
  <si>
    <t>sul I Tavi</t>
  </si>
  <si>
    <t>sul pirdapiri            danaxarjebi</t>
  </si>
  <si>
    <t>invoisi</t>
  </si>
  <si>
    <t>inventari</t>
  </si>
  <si>
    <t>3,1</t>
  </si>
  <si>
    <t>3,2</t>
  </si>
  <si>
    <t>2,3</t>
  </si>
  <si>
    <t>4,1</t>
  </si>
  <si>
    <t>4,2</t>
  </si>
  <si>
    <t>4,4</t>
  </si>
  <si>
    <t>4,5</t>
  </si>
  <si>
    <t xml:space="preserve">betoni В.25 </t>
  </si>
  <si>
    <t xml:space="preserve">betoni В-15  </t>
  </si>
  <si>
    <t>11-20-1</t>
  </si>
  <si>
    <t>cementis xsnari saerTod ar aqvs</t>
  </si>
  <si>
    <t>xelfasi Zalian cotaa</t>
  </si>
  <si>
    <t>gruntis damusaveba, moWra gadaadgileba terasebis mosawyobad</t>
  </si>
  <si>
    <t>2,4</t>
  </si>
  <si>
    <t>damatebiTi noyieri gruntis Semotana skveris teritoriaze 20km</t>
  </si>
  <si>
    <t>RorRis fenilis mowyoba rk.betonis saZirkvlis qveS</t>
  </si>
  <si>
    <t>RorRis fenilis mowyoba anakrebi betonis bordiuris qveS</t>
  </si>
  <si>
    <r>
      <t xml:space="preserve">betoni </t>
    </r>
    <r>
      <rPr>
        <sz val="11"/>
        <rFont val="Arial"/>
        <family val="2"/>
        <charset val="204"/>
      </rPr>
      <t>B25</t>
    </r>
  </si>
  <si>
    <t>qanCi samSeneblo</t>
  </si>
  <si>
    <t>sadrenaJe mili d-100 pl</t>
  </si>
  <si>
    <t>6-11-3</t>
  </si>
  <si>
    <t xml:space="preserve">RorRis fenilis mowyoba </t>
  </si>
  <si>
    <t>skveris teritoriaze rk.betonis kibeebis mowyoba</t>
  </si>
  <si>
    <t>gruntis damuSaveba, rk.betonis kedlebisa da kibeebis saZirkvlis mosawyobad mosawyobad</t>
  </si>
  <si>
    <t>gruntis damuSaveba xeliT</t>
  </si>
  <si>
    <t>15-5-11</t>
  </si>
  <si>
    <t>wyalmomaragebis gare qseli            (d-20)</t>
  </si>
  <si>
    <t>mravalwlovani da yvavilovani mcenareebis dargva</t>
  </si>
  <si>
    <r>
      <t xml:space="preserve">kviparosi, arizoniki, </t>
    </r>
    <r>
      <rPr>
        <sz val="11"/>
        <rFont val="Calibri"/>
        <family val="2"/>
        <charset val="204"/>
        <scheme val="minor"/>
      </rPr>
      <t>H</t>
    </r>
    <r>
      <rPr>
        <sz val="11"/>
        <rFont val="AcadNusx"/>
      </rPr>
      <t>=2,5-3,0m</t>
    </r>
  </si>
  <si>
    <r>
      <t xml:space="preserve">irmis rqa, </t>
    </r>
    <r>
      <rPr>
        <sz val="11"/>
        <rFont val="Calibri"/>
        <family val="2"/>
        <charset val="204"/>
        <scheme val="minor"/>
      </rPr>
      <t>H</t>
    </r>
    <r>
      <rPr>
        <sz val="11"/>
        <rFont val="AcadNusx"/>
      </rPr>
      <t>=2,00m</t>
    </r>
  </si>
  <si>
    <r>
      <t xml:space="preserve">tuia, </t>
    </r>
    <r>
      <rPr>
        <sz val="11"/>
        <rFont val="AcadNusx"/>
      </rPr>
      <t xml:space="preserve">burTisebri oqrosferi </t>
    </r>
    <r>
      <rPr>
        <sz val="11"/>
        <rFont val="Calibri"/>
        <family val="2"/>
        <charset val="204"/>
        <scheme val="minor"/>
      </rPr>
      <t>H</t>
    </r>
    <r>
      <rPr>
        <sz val="11"/>
        <rFont val="AcadNusx"/>
      </rPr>
      <t>=0,5-1,0m</t>
    </r>
  </si>
  <si>
    <r>
      <t xml:space="preserve">lavanda </t>
    </r>
    <r>
      <rPr>
        <sz val="11"/>
        <rFont val="AcadNusx"/>
      </rPr>
      <t>minimum 30sm buCqSi            15-20 Rero</t>
    </r>
  </si>
  <si>
    <t>tagetesi/begonia                 0kvm (1kvm--60c)</t>
  </si>
  <si>
    <r>
      <t xml:space="preserve">parTenociusi  </t>
    </r>
    <r>
      <rPr>
        <sz val="11"/>
        <rFont val="AcadNusx"/>
      </rPr>
      <t>0,5-1,0m</t>
    </r>
  </si>
  <si>
    <t>iaponuri priala kvido</t>
  </si>
  <si>
    <t>fotinia kultivari burTis formis</t>
  </si>
  <si>
    <t>tyemali wiTelfoTola kultivari</t>
  </si>
  <si>
    <t>TeTri cru akacia kultivari umbraculifera burTis formis</t>
  </si>
  <si>
    <t>himalais kedari mtirala forma</t>
  </si>
  <si>
    <t>Zaxveli maradmwvane</t>
  </si>
  <si>
    <t>himalais kedari</t>
  </si>
  <si>
    <t>didyvavila kultivari magnolia</t>
  </si>
  <si>
    <t>iaponuri sofora mtirala forma</t>
  </si>
  <si>
    <t>maradmwvane bza konusis formis</t>
  </si>
  <si>
    <t>Cveulebrivi ifani burTis forma</t>
  </si>
  <si>
    <t>kazakuli Rvia kultivari</t>
  </si>
  <si>
    <t>iaponuri kvido kultivari</t>
  </si>
  <si>
    <t>nekerCxali (leka)burTisebri forma</t>
  </si>
  <si>
    <t>leilandis kupresociparisi spiralis forma</t>
  </si>
  <si>
    <t>Cveulebrivi uTxovari</t>
  </si>
  <si>
    <t>fitosporumi</t>
  </si>
  <si>
    <t>48-5-6</t>
  </si>
  <si>
    <t>xeebisa da buCqebis dasargavi teritoriss momzadeba xeliT</t>
  </si>
  <si>
    <t>48-7-2</t>
  </si>
  <si>
    <t>xeebisa da buCqebis dargva</t>
  </si>
  <si>
    <t>mosarwyav mosdarecxi 600 l</t>
  </si>
  <si>
    <t>0465</t>
  </si>
  <si>
    <t>amwe  saavtomobilo svlaze 5t</t>
  </si>
  <si>
    <t>xeebi da buCqebi</t>
  </si>
  <si>
    <t>nekerCxali (leka) burTisebri forma</t>
  </si>
  <si>
    <t>7-22-8</t>
  </si>
  <si>
    <t xml:space="preserve">liTonis kutikaris damzadeba da montaJi  </t>
  </si>
  <si>
    <t>liTonis karebi (aqsesuarebiT)</t>
  </si>
  <si>
    <r>
      <t xml:space="preserve">betoni </t>
    </r>
    <r>
      <rPr>
        <sz val="10"/>
        <rFont val="Arial"/>
        <family val="2"/>
        <charset val="204"/>
      </rPr>
      <t>B7.5</t>
    </r>
  </si>
  <si>
    <t xml:space="preserve">eleqtrodi </t>
  </si>
  <si>
    <t>sayvavile qoTnebi</t>
  </si>
  <si>
    <t>sabaRe skamebis SeZena montaJi (zurgis mxares mopirkeTebuli, liTonis karkasze)                       (eskizis mixedviT #1)</t>
  </si>
  <si>
    <t>sabaRe skamebis SeZena montaJi (mrgvali, naxevarwre, liTonis karkasze)                  (eskizis mixedviT #2)</t>
  </si>
  <si>
    <t>sabaRe skamebis SeZena montaJi (mrgvali, sruli wre, liTonis karkasze)                      (eskizis mixedviT #3)</t>
  </si>
  <si>
    <r>
      <t>ავტ.გამთიშველი კლასი</t>
    </r>
    <r>
      <rPr>
        <sz val="10"/>
        <rFont val="Calibri"/>
        <family val="2"/>
        <charset val="204"/>
        <scheme val="minor"/>
      </rPr>
      <t xml:space="preserve"> C, 1P, 6A, 6kA</t>
    </r>
  </si>
  <si>
    <r>
      <t xml:space="preserve">მოთუთიებული გამტარი,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>8mm</t>
    </r>
  </si>
  <si>
    <t>1-116-6</t>
  </si>
  <si>
    <t>teritoriis dekoratiuli SemoRobvis mowyoba (kibis moajirebis CaTvliT)</t>
  </si>
  <si>
    <r>
      <t>armatura</t>
    </r>
    <r>
      <rPr>
        <sz val="11"/>
        <color rgb="FFFF0000"/>
        <rFont val="Arial"/>
        <family val="2"/>
        <charset val="204"/>
      </rPr>
      <t xml:space="preserve"> A</t>
    </r>
    <r>
      <rPr>
        <sz val="11"/>
        <color rgb="FFFF0000"/>
        <rFont val="AcadNusx"/>
      </rPr>
      <t>-III Ф8</t>
    </r>
  </si>
  <si>
    <t>proeqtiT</t>
  </si>
  <si>
    <t>7-21-10 gam.</t>
  </si>
  <si>
    <t xml:space="preserve">rkina betonis kedlebis da safexurebis mowyoba </t>
  </si>
  <si>
    <t>5,5</t>
  </si>
  <si>
    <t>5,6</t>
  </si>
  <si>
    <t>5,7</t>
  </si>
  <si>
    <t>6,3</t>
  </si>
  <si>
    <t>1000 kvm</t>
  </si>
  <si>
    <t>8-281-3</t>
  </si>
  <si>
    <t>q.borjomSi WavWavaZis quCaze sastumro "Tbilisis" mimdebared  skveris mowyobis samuSaoebi</t>
  </si>
  <si>
    <r>
      <t xml:space="preserve">liTonis moajiris mowyoba - rk.betonis kedelze Caankereba  </t>
    </r>
    <r>
      <rPr>
        <sz val="11"/>
        <rFont val="AcadNusx"/>
      </rPr>
      <t>(moc eskizis mixedviT)</t>
    </r>
  </si>
  <si>
    <t>rk betonis kedlebis mowyoba</t>
  </si>
  <si>
    <t>30-51-3</t>
  </si>
  <si>
    <t>qviSa-cementis xsnari</t>
  </si>
  <si>
    <t>t</t>
  </si>
  <si>
    <t>bitumi</t>
  </si>
  <si>
    <t>rk betonis kedlebis ormagi hidroizolaciis mowyoba bitumiT</t>
  </si>
  <si>
    <t>sayrdeni kedlebis zedapirebis mopirkeTeba bunebrivi qiT</t>
  </si>
  <si>
    <t>kibis gverdiTi kedlebisa da safexurebis mopirkeTeba bazaltis filiT</t>
  </si>
  <si>
    <t>qviSa-cementis xsnari                                            m-200</t>
  </si>
  <si>
    <t xml:space="preserve">ქვიSა </t>
  </si>
  <si>
    <t>22-8-2</t>
  </si>
  <si>
    <r>
      <rPr>
        <b/>
        <sz val="11"/>
        <rFont val="Calibri"/>
        <family val="2"/>
        <charset val="204"/>
      </rPr>
      <t>PVC ორკედლიანი გოფრირებული მილის</t>
    </r>
    <r>
      <rPr>
        <b/>
        <sz val="11"/>
        <rFont val="AcadNusx"/>
      </rPr>
      <t xml:space="preserve"> </t>
    </r>
    <r>
      <rPr>
        <b/>
        <sz val="11"/>
        <rFont val="Calibri"/>
        <family val="2"/>
        <charset val="204"/>
      </rPr>
      <t xml:space="preserve">Ø63 </t>
    </r>
    <r>
      <rPr>
        <b/>
        <sz val="11"/>
        <rFont val="AcadNusx"/>
      </rPr>
      <t>მმ მოწყობა</t>
    </r>
  </si>
  <si>
    <r>
      <rPr>
        <sz val="11"/>
        <rFont val="Calibri"/>
        <family val="2"/>
        <charset val="204"/>
      </rPr>
      <t>PVC ორკედლიანი გოფრირებული მილი</t>
    </r>
    <r>
      <rPr>
        <sz val="11"/>
        <rFont val="AcadNusx"/>
      </rPr>
      <t xml:space="preserve"> </t>
    </r>
    <r>
      <rPr>
        <sz val="11"/>
        <rFont val="Calibri"/>
        <family val="2"/>
        <charset val="204"/>
      </rPr>
      <t>Ø63მმ</t>
    </r>
  </si>
  <si>
    <t xml:space="preserve">ბეტონი В-25 </t>
  </si>
  <si>
    <t>Txrilis Sevseba RorRiT</t>
  </si>
  <si>
    <t xml:space="preserve">Txrilis mowyoba xeliT milebis montaJisaTvis </t>
  </si>
  <si>
    <t>დღგ</t>
  </si>
  <si>
    <t>dRg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</si>
</sst>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\ _₾_-;\-* #,##0.00\ _₾_-;_-* &quot;-&quot;??\ _₾_-;_-@_-"/>
    <numFmt numFmtId="166" formatCode="0.0"/>
    <numFmt numFmtId="167" formatCode="0.000"/>
    <numFmt numFmtId="168" formatCode="_-* #,##0.00_р_._-;\-* #,##0.00_р_._-;_-* &quot;-&quot;??_р_._-;_-@_-"/>
    <numFmt numFmtId="169" formatCode="_-* #,##0.00_-;\-* #,##0.00_-;_-* &quot;-&quot;??_-;_-@_-"/>
    <numFmt numFmtId="170" formatCode="_-* #,##0.000_-;\-* #,##0.000_-;_-* &quot;-&quot;??_-;_-@_-"/>
    <numFmt numFmtId="171" formatCode="_-* #,##0.0000_-;\-* #,##0.0000_-;_-* &quot;-&quot;??_-;_-@_-"/>
    <numFmt numFmtId="172" formatCode="_-* #,##0.00&quot;р.&quot;_-;\-* #,##0.00&quot;р.&quot;_-;_-* &quot;-&quot;??&quot;р.&quot;_-;_-@_-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AcadNusx"/>
    </font>
    <font>
      <sz val="12"/>
      <color theme="1"/>
      <name val="AcadNusx"/>
    </font>
    <font>
      <sz val="12"/>
      <name val="AcadNusx"/>
    </font>
    <font>
      <sz val="10"/>
      <color theme="1"/>
      <name val="AcadNusx"/>
    </font>
    <font>
      <sz val="10"/>
      <name val="AcadNusx"/>
    </font>
    <font>
      <b/>
      <sz val="12"/>
      <name val="AcadNusx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1"/>
      <color theme="1"/>
      <name val="AcadNusx"/>
    </font>
    <font>
      <b/>
      <sz val="11"/>
      <color theme="1"/>
      <name val="AcadNusx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1"/>
      <name val="AcadNusx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b/>
      <sz val="10"/>
      <name val="AcadNusx"/>
    </font>
    <font>
      <sz val="11"/>
      <name val="Calibri"/>
      <family val="2"/>
      <charset val="204"/>
    </font>
    <font>
      <b/>
      <vertAlign val="superscript"/>
      <sz val="10"/>
      <name val="AcadNusx"/>
    </font>
    <font>
      <vertAlign val="superscript"/>
      <sz val="10"/>
      <name val="AcadNusx"/>
    </font>
    <font>
      <u/>
      <sz val="10"/>
      <color indexed="12"/>
      <name val="Arial"/>
      <family val="2"/>
      <charset val="204"/>
    </font>
    <font>
      <sz val="10"/>
      <name val="MS Sans Serif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Sylfaen"/>
      <family val="1"/>
      <charset val="204"/>
    </font>
    <font>
      <b/>
      <sz val="10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name val="Sylfaen"/>
      <family val="1"/>
      <charset val="204"/>
    </font>
    <font>
      <b/>
      <sz val="11"/>
      <name val="Calibri"/>
      <family val="2"/>
      <charset val="204"/>
    </font>
    <font>
      <sz val="11"/>
      <color rgb="FFFF0000"/>
      <name val="AcadNusx"/>
    </font>
    <font>
      <b/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0"/>
      <name val="AcadNusx"/>
    </font>
    <font>
      <sz val="11"/>
      <name val="Calibri"/>
      <family val="2"/>
      <scheme val="minor"/>
    </font>
    <font>
      <sz val="11"/>
      <color rgb="FFFF0000"/>
      <name val="Times New Roman"/>
      <family val="1"/>
      <charset val="204"/>
    </font>
    <font>
      <b/>
      <sz val="10"/>
      <color theme="1"/>
      <name val="AcadNusx"/>
    </font>
    <font>
      <sz val="11"/>
      <color rgb="FF000000"/>
      <name val="AcadNusx"/>
    </font>
    <font>
      <sz val="11"/>
      <color rgb="FFFF0000"/>
      <name val="Arial"/>
      <family val="2"/>
      <charset val="204"/>
    </font>
    <font>
      <sz val="10"/>
      <color theme="1"/>
      <name val="Times New Roman"/>
      <family val="1"/>
    </font>
    <font>
      <sz val="10"/>
      <color rgb="FFFF0000"/>
      <name val="AcadNusx"/>
    </font>
    <font>
      <sz val="9"/>
      <name val="AcadNusx"/>
    </font>
    <font>
      <sz val="9"/>
      <color rgb="FFFF0000"/>
      <name val="AcadNusx"/>
    </font>
    <font>
      <sz val="9"/>
      <color rgb="FFFF0000"/>
      <name val="Calibri"/>
      <family val="2"/>
      <charset val="204"/>
      <scheme val="minor"/>
    </font>
    <font>
      <b/>
      <sz val="9"/>
      <color rgb="FFFF0000"/>
      <name val="AcadNusx"/>
    </font>
  </fonts>
  <fills count="2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48">
    <xf numFmtId="0" fontId="0" fillId="0" borderId="0"/>
    <xf numFmtId="165" fontId="11" fillId="0" borderId="0" applyFont="0" applyFill="0" applyBorder="0" applyAlignment="0" applyProtection="0"/>
    <xf numFmtId="0" fontId="12" fillId="0" borderId="0"/>
    <xf numFmtId="0" fontId="17" fillId="0" borderId="0"/>
    <xf numFmtId="0" fontId="19" fillId="0" borderId="0"/>
    <xf numFmtId="0" fontId="21" fillId="0" borderId="0"/>
    <xf numFmtId="0" fontId="2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2" borderId="0" applyNumberFormat="0" applyBorder="0" applyAlignment="0" applyProtection="0"/>
    <xf numFmtId="0" fontId="42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42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42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42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42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42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2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42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42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43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4" fillId="21" borderId="8" applyNumberFormat="0" applyAlignment="0" applyProtection="0"/>
    <xf numFmtId="0" fontId="26" fillId="21" borderId="8" applyNumberFormat="0" applyAlignment="0" applyProtection="0"/>
    <xf numFmtId="0" fontId="26" fillId="21" borderId="8" applyNumberFormat="0" applyAlignment="0" applyProtection="0"/>
    <xf numFmtId="0" fontId="26" fillId="21" borderId="8" applyNumberFormat="0" applyAlignment="0" applyProtection="0"/>
    <xf numFmtId="0" fontId="26" fillId="21" borderId="8" applyNumberFormat="0" applyAlignment="0" applyProtection="0"/>
    <xf numFmtId="0" fontId="26" fillId="21" borderId="8" applyNumberFormat="0" applyAlignment="0" applyProtection="0"/>
    <xf numFmtId="0" fontId="26" fillId="21" borderId="8" applyNumberFormat="0" applyAlignment="0" applyProtection="0"/>
    <xf numFmtId="0" fontId="26" fillId="21" borderId="8" applyNumberFormat="0" applyAlignment="0" applyProtection="0"/>
    <xf numFmtId="0" fontId="26" fillId="21" borderId="8" applyNumberFormat="0" applyAlignment="0" applyProtection="0"/>
    <xf numFmtId="0" fontId="26" fillId="21" borderId="8" applyNumberFormat="0" applyAlignment="0" applyProtection="0"/>
    <xf numFmtId="0" fontId="26" fillId="21" borderId="8" applyNumberFormat="0" applyAlignment="0" applyProtection="0"/>
    <xf numFmtId="0" fontId="26" fillId="21" borderId="8" applyNumberFormat="0" applyAlignment="0" applyProtection="0"/>
    <xf numFmtId="0" fontId="26" fillId="21" borderId="8" applyNumberFormat="0" applyAlignment="0" applyProtection="0"/>
    <xf numFmtId="0" fontId="26" fillId="21" borderId="8" applyNumberFormat="0" applyAlignment="0" applyProtection="0"/>
    <xf numFmtId="0" fontId="45" fillId="22" borderId="9" applyNumberFormat="0" applyAlignment="0" applyProtection="0"/>
    <xf numFmtId="0" fontId="27" fillId="22" borderId="9" applyNumberFormat="0" applyAlignment="0" applyProtection="0"/>
    <xf numFmtId="0" fontId="27" fillId="22" borderId="9" applyNumberFormat="0" applyAlignment="0" applyProtection="0"/>
    <xf numFmtId="0" fontId="27" fillId="22" borderId="9" applyNumberFormat="0" applyAlignment="0" applyProtection="0"/>
    <xf numFmtId="0" fontId="27" fillId="22" borderId="9" applyNumberFormat="0" applyAlignment="0" applyProtection="0"/>
    <xf numFmtId="0" fontId="27" fillId="22" borderId="9" applyNumberFormat="0" applyAlignment="0" applyProtection="0"/>
    <xf numFmtId="0" fontId="27" fillId="22" borderId="9" applyNumberFormat="0" applyAlignment="0" applyProtection="0"/>
    <xf numFmtId="0" fontId="27" fillId="22" borderId="9" applyNumberFormat="0" applyAlignment="0" applyProtection="0"/>
    <xf numFmtId="0" fontId="27" fillId="22" borderId="9" applyNumberFormat="0" applyAlignment="0" applyProtection="0"/>
    <xf numFmtId="0" fontId="27" fillId="22" borderId="9" applyNumberFormat="0" applyAlignment="0" applyProtection="0"/>
    <xf numFmtId="0" fontId="27" fillId="22" borderId="9" applyNumberFormat="0" applyAlignment="0" applyProtection="0"/>
    <xf numFmtId="0" fontId="27" fillId="22" borderId="9" applyNumberFormat="0" applyAlignment="0" applyProtection="0"/>
    <xf numFmtId="0" fontId="27" fillId="22" borderId="9" applyNumberFormat="0" applyAlignment="0" applyProtection="0"/>
    <xf numFmtId="0" fontId="27" fillId="22" borderId="9" applyNumberFormat="0" applyAlignment="0" applyProtection="0"/>
    <xf numFmtId="43" fontId="21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58" fillId="0" borderId="0" applyFont="0" applyFill="0" applyBorder="0" applyAlignment="0" applyProtection="0"/>
    <xf numFmtId="167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48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50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1" fillId="8" borderId="8" applyNumberFormat="0" applyAlignment="0" applyProtection="0"/>
    <xf numFmtId="0" fontId="33" fillId="8" borderId="8" applyNumberFormat="0" applyAlignment="0" applyProtection="0"/>
    <xf numFmtId="0" fontId="33" fillId="8" borderId="8" applyNumberFormat="0" applyAlignment="0" applyProtection="0"/>
    <xf numFmtId="0" fontId="33" fillId="8" borderId="8" applyNumberFormat="0" applyAlignment="0" applyProtection="0"/>
    <xf numFmtId="0" fontId="33" fillId="8" borderId="8" applyNumberFormat="0" applyAlignment="0" applyProtection="0"/>
    <xf numFmtId="0" fontId="33" fillId="8" borderId="8" applyNumberFormat="0" applyAlignment="0" applyProtection="0"/>
    <xf numFmtId="0" fontId="33" fillId="8" borderId="8" applyNumberFormat="0" applyAlignment="0" applyProtection="0"/>
    <xf numFmtId="0" fontId="33" fillId="8" borderId="8" applyNumberFormat="0" applyAlignment="0" applyProtection="0"/>
    <xf numFmtId="0" fontId="33" fillId="8" borderId="8" applyNumberFormat="0" applyAlignment="0" applyProtection="0"/>
    <xf numFmtId="0" fontId="33" fillId="8" borderId="8" applyNumberFormat="0" applyAlignment="0" applyProtection="0"/>
    <xf numFmtId="0" fontId="33" fillId="8" borderId="8" applyNumberFormat="0" applyAlignment="0" applyProtection="0"/>
    <xf numFmtId="0" fontId="33" fillId="8" borderId="8" applyNumberFormat="0" applyAlignment="0" applyProtection="0"/>
    <xf numFmtId="0" fontId="33" fillId="8" borderId="8" applyNumberFormat="0" applyAlignment="0" applyProtection="0"/>
    <xf numFmtId="0" fontId="33" fillId="8" borderId="8" applyNumberFormat="0" applyAlignment="0" applyProtection="0"/>
    <xf numFmtId="0" fontId="52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3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36" fillId="0" borderId="0"/>
    <xf numFmtId="0" fontId="21" fillId="0" borderId="0"/>
    <xf numFmtId="0" fontId="60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61" fillId="0" borderId="0"/>
    <xf numFmtId="0" fontId="17" fillId="0" borderId="0"/>
    <xf numFmtId="0" fontId="12" fillId="0" borderId="0"/>
    <xf numFmtId="0" fontId="18" fillId="0" borderId="0"/>
    <xf numFmtId="0" fontId="12" fillId="0" borderId="0"/>
    <xf numFmtId="0" fontId="18" fillId="0" borderId="0"/>
    <xf numFmtId="0" fontId="17" fillId="0" borderId="0"/>
    <xf numFmtId="0" fontId="59" fillId="0" borderId="0"/>
    <xf numFmtId="0" fontId="17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4" borderId="14" applyNumberFormat="0" applyFont="0" applyAlignment="0" applyProtection="0"/>
    <xf numFmtId="0" fontId="17" fillId="24" borderId="14" applyNumberFormat="0" applyFont="0" applyAlignment="0" applyProtection="0"/>
    <xf numFmtId="0" fontId="17" fillId="24" borderId="14" applyNumberFormat="0" applyFont="0" applyAlignment="0" applyProtection="0"/>
    <xf numFmtId="0" fontId="17" fillId="24" borderId="14" applyNumberFormat="0" applyFont="0" applyAlignment="0" applyProtection="0"/>
    <xf numFmtId="0" fontId="17" fillId="24" borderId="14" applyNumberFormat="0" applyFont="0" applyAlignment="0" applyProtection="0"/>
    <xf numFmtId="0" fontId="17" fillId="24" borderId="14" applyNumberFormat="0" applyFont="0" applyAlignment="0" applyProtection="0"/>
    <xf numFmtId="0" fontId="17" fillId="24" borderId="14" applyNumberFormat="0" applyFont="0" applyAlignment="0" applyProtection="0"/>
    <xf numFmtId="0" fontId="17" fillId="24" borderId="14" applyNumberFormat="0" applyFont="0" applyAlignment="0" applyProtection="0"/>
    <xf numFmtId="0" fontId="17" fillId="24" borderId="14" applyNumberFormat="0" applyFont="0" applyAlignment="0" applyProtection="0"/>
    <xf numFmtId="0" fontId="17" fillId="24" borderId="14" applyNumberFormat="0" applyFont="0" applyAlignment="0" applyProtection="0"/>
    <xf numFmtId="0" fontId="17" fillId="24" borderId="14" applyNumberFormat="0" applyFont="0" applyAlignment="0" applyProtection="0"/>
    <xf numFmtId="0" fontId="17" fillId="24" borderId="14" applyNumberFormat="0" applyFont="0" applyAlignment="0" applyProtection="0"/>
    <xf numFmtId="0" fontId="17" fillId="24" borderId="14" applyNumberFormat="0" applyFont="0" applyAlignment="0" applyProtection="0"/>
    <xf numFmtId="0" fontId="17" fillId="24" borderId="14" applyNumberFormat="0" applyFont="0" applyAlignment="0" applyProtection="0"/>
    <xf numFmtId="0" fontId="54" fillId="21" borderId="15" applyNumberFormat="0" applyAlignment="0" applyProtection="0"/>
    <xf numFmtId="0" fontId="37" fillId="21" borderId="15" applyNumberFormat="0" applyAlignment="0" applyProtection="0"/>
    <xf numFmtId="0" fontId="37" fillId="21" borderId="15" applyNumberFormat="0" applyAlignment="0" applyProtection="0"/>
    <xf numFmtId="0" fontId="37" fillId="21" borderId="15" applyNumberFormat="0" applyAlignment="0" applyProtection="0"/>
    <xf numFmtId="0" fontId="37" fillId="21" borderId="15" applyNumberFormat="0" applyAlignment="0" applyProtection="0"/>
    <xf numFmtId="0" fontId="37" fillId="21" borderId="15" applyNumberFormat="0" applyAlignment="0" applyProtection="0"/>
    <xf numFmtId="0" fontId="37" fillId="21" borderId="15" applyNumberFormat="0" applyAlignment="0" applyProtection="0"/>
    <xf numFmtId="0" fontId="37" fillId="21" borderId="15" applyNumberFormat="0" applyAlignment="0" applyProtection="0"/>
    <xf numFmtId="0" fontId="37" fillId="21" borderId="15" applyNumberFormat="0" applyAlignment="0" applyProtection="0"/>
    <xf numFmtId="0" fontId="37" fillId="21" borderId="15" applyNumberFormat="0" applyAlignment="0" applyProtection="0"/>
    <xf numFmtId="0" fontId="37" fillId="21" borderId="15" applyNumberFormat="0" applyAlignment="0" applyProtection="0"/>
    <xf numFmtId="0" fontId="37" fillId="21" borderId="15" applyNumberFormat="0" applyAlignment="0" applyProtection="0"/>
    <xf numFmtId="0" fontId="37" fillId="21" borderId="15" applyNumberFormat="0" applyAlignment="0" applyProtection="0"/>
    <xf numFmtId="0" fontId="37" fillId="21" borderId="15" applyNumberFormat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8" fillId="0" borderId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1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2" fillId="0" borderId="0"/>
    <xf numFmtId="0" fontId="21" fillId="0" borderId="0"/>
    <xf numFmtId="0" fontId="17" fillId="0" borderId="0"/>
    <xf numFmtId="0" fontId="17" fillId="0" borderId="0"/>
    <xf numFmtId="0" fontId="59" fillId="0" borderId="0"/>
    <xf numFmtId="0" fontId="4" fillId="0" borderId="0"/>
    <xf numFmtId="0" fontId="4" fillId="0" borderId="0"/>
    <xf numFmtId="0" fontId="17" fillId="0" borderId="0"/>
    <xf numFmtId="0" fontId="63" fillId="2" borderId="0" applyNumberFormat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7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59" fillId="0" borderId="0"/>
    <xf numFmtId="0" fontId="36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12" fillId="0" borderId="0"/>
    <xf numFmtId="0" fontId="21" fillId="0" borderId="0"/>
    <xf numFmtId="0" fontId="59" fillId="0" borderId="0"/>
    <xf numFmtId="0" fontId="22" fillId="24" borderId="14" applyNumberFormat="0" applyFont="0" applyAlignment="0" applyProtection="0"/>
    <xf numFmtId="0" fontId="12" fillId="0" borderId="0"/>
    <xf numFmtId="0" fontId="3" fillId="0" borderId="0"/>
    <xf numFmtId="0" fontId="17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59" fillId="0" borderId="0"/>
    <xf numFmtId="0" fontId="22" fillId="0" borderId="0"/>
    <xf numFmtId="0" fontId="18" fillId="0" borderId="0"/>
    <xf numFmtId="0" fontId="17" fillId="0" borderId="0"/>
    <xf numFmtId="0" fontId="59" fillId="0" borderId="0"/>
    <xf numFmtId="0" fontId="18" fillId="0" borderId="0"/>
    <xf numFmtId="0" fontId="18" fillId="0" borderId="0"/>
    <xf numFmtId="0" fontId="59" fillId="0" borderId="0"/>
    <xf numFmtId="9" fontId="11" fillId="0" borderId="0" applyFont="0" applyFill="0" applyBorder="0" applyAlignment="0" applyProtection="0"/>
  </cellStyleXfs>
  <cellXfs count="408">
    <xf numFmtId="0" fontId="0" fillId="0" borderId="0" xfId="0"/>
    <xf numFmtId="0" fontId="20" fillId="0" borderId="1" xfId="0" applyNumberFormat="1" applyFont="1" applyFill="1" applyBorder="1" applyAlignment="1">
      <alignment horizontal="center" vertical="center" wrapText="1"/>
    </xf>
    <xf numFmtId="49" fontId="9" fillId="0" borderId="1" xfId="2" quotePrefix="1" applyNumberFormat="1" applyFont="1" applyFill="1" applyBorder="1" applyAlignment="1" applyProtection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 applyProtection="1">
      <alignment horizontal="center" vertical="center" wrapText="1"/>
    </xf>
    <xf numFmtId="49" fontId="64" fillId="0" borderId="1" xfId="3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0" fillId="0" borderId="1" xfId="634" applyNumberFormat="1" applyFont="1" applyFill="1" applyBorder="1" applyAlignment="1">
      <alignment horizontal="center" vertical="center" wrapText="1"/>
    </xf>
    <xf numFmtId="0" fontId="13" fillId="0" borderId="1" xfId="736" applyNumberFormat="1" applyFont="1" applyFill="1" applyBorder="1" applyAlignment="1">
      <alignment horizontal="center" vertical="center" wrapText="1"/>
    </xf>
    <xf numFmtId="0" fontId="13" fillId="0" borderId="1" xfId="655" applyNumberFormat="1" applyFont="1" applyFill="1" applyBorder="1" applyAlignment="1">
      <alignment horizontal="center" vertical="center" wrapText="1"/>
    </xf>
    <xf numFmtId="0" fontId="13" fillId="0" borderId="1" xfId="919" applyNumberFormat="1" applyFont="1" applyFill="1" applyBorder="1" applyAlignment="1">
      <alignment horizontal="center" vertical="center" wrapText="1"/>
    </xf>
    <xf numFmtId="0" fontId="13" fillId="0" borderId="1" xfId="872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13" fillId="0" borderId="3" xfId="1" applyNumberFormat="1" applyFont="1" applyFill="1" applyBorder="1" applyAlignment="1">
      <alignment horizontal="center" vertical="center" wrapText="1"/>
    </xf>
    <xf numFmtId="2" fontId="13" fillId="0" borderId="1" xfId="1" applyNumberFormat="1" applyFont="1" applyFill="1" applyBorder="1" applyAlignment="1">
      <alignment horizontal="center" vertical="center" wrapText="1"/>
    </xf>
    <xf numFmtId="0" fontId="20" fillId="0" borderId="1" xfId="682" applyNumberFormat="1" applyFont="1" applyFill="1" applyBorder="1" applyAlignment="1">
      <alignment horizontal="center" vertical="center" wrapText="1"/>
    </xf>
    <xf numFmtId="2" fontId="20" fillId="0" borderId="1" xfId="1" applyNumberFormat="1" applyFont="1" applyFill="1" applyBorder="1" applyAlignment="1">
      <alignment horizontal="center" vertical="center" wrapText="1"/>
    </xf>
    <xf numFmtId="2" fontId="20" fillId="0" borderId="3" xfId="1" applyNumberFormat="1" applyFont="1" applyFill="1" applyBorder="1" applyAlignment="1">
      <alignment horizontal="center" vertical="center" wrapText="1"/>
    </xf>
    <xf numFmtId="2" fontId="13" fillId="0" borderId="1" xfId="505" applyNumberFormat="1" applyFont="1" applyFill="1" applyBorder="1" applyAlignment="1">
      <alignment horizontal="center" vertical="center" wrapText="1"/>
    </xf>
    <xf numFmtId="2" fontId="20" fillId="0" borderId="1" xfId="682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left" vertical="center" wrapText="1"/>
    </xf>
    <xf numFmtId="49" fontId="64" fillId="0" borderId="1" xfId="634" applyNumberFormat="1" applyFont="1" applyFill="1" applyBorder="1" applyAlignment="1">
      <alignment horizontal="center" vertical="center" wrapText="1"/>
    </xf>
    <xf numFmtId="49" fontId="12" fillId="0" borderId="1" xfId="634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49" fontId="64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/>
    <xf numFmtId="49" fontId="64" fillId="0" borderId="1" xfId="655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49" fontId="75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6" fillId="0" borderId="0" xfId="0" applyNumberFormat="1" applyFont="1" applyFill="1" applyAlignment="1">
      <alignment wrapText="1"/>
    </xf>
    <xf numFmtId="49" fontId="64" fillId="0" borderId="6" xfId="0" applyNumberFormat="1" applyFont="1" applyFill="1" applyBorder="1" applyAlignment="1">
      <alignment horizontal="center" vertical="center" wrapText="1"/>
    </xf>
    <xf numFmtId="49" fontId="64" fillId="0" borderId="7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/>
    <xf numFmtId="2" fontId="14" fillId="0" borderId="1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 vertical="center" wrapText="1"/>
    </xf>
    <xf numFmtId="49" fontId="77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>
      <alignment horizontal="left" vertical="center" wrapText="1"/>
    </xf>
    <xf numFmtId="49" fontId="13" fillId="0" borderId="1" xfId="0" applyNumberFormat="1" applyFont="1" applyFill="1" applyBorder="1" applyAlignment="1">
      <alignment vertical="center" wrapText="1"/>
    </xf>
    <xf numFmtId="49" fontId="64" fillId="0" borderId="0" xfId="0" applyNumberFormat="1" applyFont="1" applyFill="1" applyAlignment="1">
      <alignment vertical="center" wrapText="1"/>
    </xf>
    <xf numFmtId="49" fontId="9" fillId="0" borderId="1" xfId="655" applyNumberFormat="1" applyFont="1" applyFill="1" applyBorder="1" applyAlignment="1">
      <alignment horizontal="center" vertical="center" wrapText="1"/>
    </xf>
    <xf numFmtId="49" fontId="9" fillId="0" borderId="1" xfId="683" applyNumberFormat="1" applyFont="1" applyFill="1" applyBorder="1" applyAlignment="1">
      <alignment horizontal="center" vertical="center" wrapText="1"/>
    </xf>
    <xf numFmtId="49" fontId="64" fillId="0" borderId="1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64" fillId="0" borderId="1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0" borderId="1" xfId="634" applyNumberFormat="1" applyFont="1" applyFill="1" applyBorder="1" applyAlignment="1">
      <alignment horizontal="center" vertical="center" wrapText="1"/>
    </xf>
    <xf numFmtId="0" fontId="13" fillId="0" borderId="3" xfId="634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49" fontId="13" fillId="0" borderId="1" xfId="2" applyNumberFormat="1" applyFont="1" applyFill="1" applyBorder="1" applyAlignment="1" applyProtection="1">
      <alignment horizontal="left" vertical="center" wrapText="1"/>
    </xf>
    <xf numFmtId="49" fontId="20" fillId="0" borderId="1" xfId="2" applyNumberFormat="1" applyFont="1" applyFill="1" applyBorder="1" applyAlignment="1" applyProtection="1">
      <alignment vertical="center" wrapText="1"/>
    </xf>
    <xf numFmtId="49" fontId="13" fillId="0" borderId="1" xfId="2" applyNumberFormat="1" applyFont="1" applyFill="1" applyBorder="1" applyAlignment="1" applyProtection="1">
      <alignment vertical="center" wrapText="1"/>
    </xf>
    <xf numFmtId="49" fontId="20" fillId="0" borderId="1" xfId="0" applyNumberFormat="1" applyFont="1" applyFill="1" applyBorder="1" applyAlignment="1" applyProtection="1">
      <alignment vertical="center" wrapText="1"/>
    </xf>
    <xf numFmtId="49" fontId="20" fillId="0" borderId="2" xfId="919" applyNumberFormat="1" applyFont="1" applyFill="1" applyBorder="1" applyAlignment="1">
      <alignment vertical="center" wrapText="1"/>
    </xf>
    <xf numFmtId="49" fontId="20" fillId="0" borderId="1" xfId="919" applyNumberFormat="1" applyFont="1" applyFill="1" applyBorder="1" applyAlignment="1">
      <alignment horizontal="left" vertical="center" wrapText="1"/>
    </xf>
    <xf numFmtId="49" fontId="13" fillId="0" borderId="1" xfId="919" applyNumberFormat="1" applyFont="1" applyFill="1" applyBorder="1" applyAlignment="1">
      <alignment horizontal="left" vertical="center" wrapText="1"/>
    </xf>
    <xf numFmtId="49" fontId="13" fillId="0" borderId="1" xfId="3" applyNumberFormat="1" applyFont="1" applyFill="1" applyBorder="1" applyAlignment="1">
      <alignment horizontal="left" vertical="center" wrapText="1"/>
    </xf>
    <xf numFmtId="49" fontId="20" fillId="0" borderId="1" xfId="634" applyNumberFormat="1" applyFont="1" applyFill="1" applyBorder="1" applyAlignment="1">
      <alignment horizontal="left" vertical="center" wrapText="1"/>
    </xf>
    <xf numFmtId="49" fontId="13" fillId="0" borderId="1" xfId="634" applyNumberFormat="1" applyFont="1" applyFill="1" applyBorder="1" applyAlignment="1">
      <alignment horizontal="left" vertical="center" wrapText="1"/>
    </xf>
    <xf numFmtId="49" fontId="13" fillId="0" borderId="3" xfId="0" applyNumberFormat="1" applyFont="1" applyFill="1" applyBorder="1" applyAlignment="1">
      <alignment horizontal="left" vertical="center" wrapText="1"/>
    </xf>
    <xf numFmtId="49" fontId="13" fillId="0" borderId="3" xfId="634" applyNumberFormat="1" applyFont="1" applyFill="1" applyBorder="1" applyAlignment="1">
      <alignment horizontal="left" vertical="center" wrapText="1"/>
    </xf>
    <xf numFmtId="49" fontId="13" fillId="0" borderId="1" xfId="4" applyNumberFormat="1" applyFont="1" applyFill="1" applyBorder="1" applyAlignment="1">
      <alignment vertical="top" wrapText="1"/>
    </xf>
    <xf numFmtId="49" fontId="20" fillId="0" borderId="1" xfId="3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 applyProtection="1">
      <alignment horizontal="left" vertical="center" wrapText="1"/>
    </xf>
    <xf numFmtId="49" fontId="13" fillId="0" borderId="0" xfId="0" applyNumberFormat="1" applyFont="1" applyFill="1" applyAlignment="1">
      <alignment vertical="center" wrapText="1"/>
    </xf>
    <xf numFmtId="49" fontId="16" fillId="0" borderId="0" xfId="0" applyNumberFormat="1" applyFont="1" applyFill="1" applyAlignment="1"/>
    <xf numFmtId="0" fontId="13" fillId="0" borderId="1" xfId="2" applyNumberFormat="1" applyFont="1" applyFill="1" applyBorder="1" applyAlignment="1" applyProtection="1">
      <alignment horizontal="center" vertical="center" wrapText="1"/>
    </xf>
    <xf numFmtId="2" fontId="13" fillId="0" borderId="1" xfId="1" applyNumberFormat="1" applyFont="1" applyFill="1" applyBorder="1" applyAlignment="1" applyProtection="1">
      <alignment horizontal="center" vertical="center" wrapText="1"/>
    </xf>
    <xf numFmtId="2" fontId="13" fillId="0" borderId="1" xfId="901" applyNumberFormat="1" applyFont="1" applyFill="1" applyBorder="1" applyAlignment="1">
      <alignment horizontal="center" vertical="center" wrapText="1"/>
    </xf>
    <xf numFmtId="2" fontId="13" fillId="0" borderId="1" xfId="902" applyNumberFormat="1" applyFont="1" applyFill="1" applyBorder="1" applyAlignment="1">
      <alignment horizontal="center" vertical="center" wrapText="1"/>
    </xf>
    <xf numFmtId="2" fontId="65" fillId="0" borderId="1" xfId="0" applyNumberFormat="1" applyFont="1" applyFill="1" applyBorder="1" applyAlignment="1">
      <alignment horizontal="center" vertical="center" wrapText="1"/>
    </xf>
    <xf numFmtId="0" fontId="13" fillId="0" borderId="1" xfId="3" applyNumberFormat="1" applyFont="1" applyFill="1" applyBorder="1" applyAlignment="1">
      <alignment horizontal="center" vertical="center" wrapText="1"/>
    </xf>
    <xf numFmtId="0" fontId="20" fillId="0" borderId="1" xfId="3" applyNumberFormat="1" applyFont="1" applyFill="1" applyBorder="1" applyAlignment="1">
      <alignment horizontal="center" vertical="center" wrapText="1"/>
    </xf>
    <xf numFmtId="2" fontId="13" fillId="0" borderId="1" xfId="3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center" vertical="center" wrapText="1"/>
    </xf>
    <xf numFmtId="2" fontId="20" fillId="0" borderId="7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/>
    <xf numFmtId="0" fontId="20" fillId="0" borderId="0" xfId="0" applyNumberFormat="1" applyFont="1" applyFill="1" applyAlignment="1">
      <alignment vertical="center" wrapText="1"/>
    </xf>
    <xf numFmtId="49" fontId="13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/>
    <xf numFmtId="49" fontId="78" fillId="0" borderId="0" xfId="0" applyNumberFormat="1" applyFont="1" applyFill="1" applyAlignment="1">
      <alignment horizontal="left"/>
    </xf>
    <xf numFmtId="0" fontId="13" fillId="0" borderId="1" xfId="1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vertical="center" wrapText="1"/>
    </xf>
    <xf numFmtId="49" fontId="64" fillId="0" borderId="1" xfId="919" applyNumberFormat="1" applyFont="1" applyFill="1" applyBorder="1" applyAlignment="1">
      <alignment horizontal="center" vertical="center" wrapText="1"/>
    </xf>
    <xf numFmtId="49" fontId="9" fillId="0" borderId="1" xfId="919" applyNumberFormat="1" applyFont="1" applyFill="1" applyBorder="1" applyAlignment="1">
      <alignment horizontal="center" vertical="center" wrapText="1"/>
    </xf>
    <xf numFmtId="49" fontId="64" fillId="0" borderId="1" xfId="736" applyNumberFormat="1" applyFont="1" applyFill="1" applyBorder="1" applyAlignment="1">
      <alignment horizontal="center" vertical="center" wrapText="1"/>
    </xf>
    <xf numFmtId="49" fontId="9" fillId="0" borderId="1" xfId="736" applyNumberFormat="1" applyFont="1" applyFill="1" applyBorder="1" applyAlignment="1">
      <alignment horizontal="center" vertical="center" wrapText="1"/>
    </xf>
    <xf numFmtId="49" fontId="9" fillId="0" borderId="1" xfId="929" applyNumberFormat="1" applyFont="1" applyFill="1" applyBorder="1" applyAlignment="1">
      <alignment horizontal="center" vertical="center" wrapText="1"/>
    </xf>
    <xf numFmtId="49" fontId="64" fillId="0" borderId="1" xfId="872" applyNumberFormat="1" applyFont="1" applyFill="1" applyBorder="1" applyAlignment="1">
      <alignment horizontal="center" vertical="center" wrapText="1"/>
    </xf>
    <xf numFmtId="49" fontId="9" fillId="0" borderId="1" xfId="872" applyNumberFormat="1" applyFont="1" applyFill="1" applyBorder="1" applyAlignment="1">
      <alignment horizontal="center" vertical="center" wrapText="1"/>
    </xf>
    <xf numFmtId="49" fontId="64" fillId="0" borderId="1" xfId="946" applyNumberFormat="1" applyFont="1" applyFill="1" applyBorder="1" applyAlignment="1">
      <alignment horizontal="center" vertical="center" wrapText="1"/>
    </xf>
    <xf numFmtId="49" fontId="75" fillId="0" borderId="0" xfId="0" applyNumberFormat="1" applyFont="1" applyFill="1"/>
    <xf numFmtId="49" fontId="20" fillId="0" borderId="1" xfId="682" applyNumberFormat="1" applyFont="1" applyFill="1" applyBorder="1" applyAlignment="1">
      <alignment horizontal="left" vertical="center" wrapText="1"/>
    </xf>
    <xf numFmtId="49" fontId="13" fillId="0" borderId="1" xfId="872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left" wrapText="1"/>
    </xf>
    <xf numFmtId="49" fontId="64" fillId="0" borderId="1" xfId="929" applyNumberFormat="1" applyFont="1" applyFill="1" applyBorder="1" applyAlignment="1">
      <alignment horizontal="center" vertical="center" wrapText="1"/>
    </xf>
    <xf numFmtId="49" fontId="9" fillId="0" borderId="6" xfId="872" applyNumberFormat="1" applyFont="1" applyFill="1" applyBorder="1" applyAlignment="1">
      <alignment horizontal="center" vertical="center" wrapText="1"/>
    </xf>
    <xf numFmtId="0" fontId="13" fillId="0" borderId="1" xfId="929" applyNumberFormat="1" applyFont="1" applyFill="1" applyBorder="1" applyAlignment="1">
      <alignment horizontal="center" vertical="center" wrapText="1"/>
    </xf>
    <xf numFmtId="2" fontId="20" fillId="0" borderId="6" xfId="0" applyNumberFormat="1" applyFont="1" applyFill="1" applyBorder="1" applyAlignment="1">
      <alignment horizontal="center" vertical="center" wrapText="1"/>
    </xf>
    <xf numFmtId="2" fontId="13" fillId="0" borderId="2" xfId="901" applyNumberFormat="1" applyFont="1" applyFill="1" applyBorder="1" applyAlignment="1">
      <alignment horizontal="center" vertical="center" wrapText="1"/>
    </xf>
    <xf numFmtId="2" fontId="13" fillId="0" borderId="2" xfId="902" applyNumberFormat="1" applyFont="1" applyFill="1" applyBorder="1" applyAlignment="1">
      <alignment horizontal="center" vertical="center" wrapText="1"/>
    </xf>
    <xf numFmtId="0" fontId="82" fillId="0" borderId="1" xfId="0" applyNumberFormat="1" applyFont="1" applyFill="1" applyBorder="1" applyAlignment="1">
      <alignment horizontal="center" vertical="center" wrapText="1"/>
    </xf>
    <xf numFmtId="2" fontId="82" fillId="0" borderId="1" xfId="0" applyNumberFormat="1" applyFont="1" applyFill="1" applyBorder="1" applyAlignment="1">
      <alignment horizontal="center" vertical="center" wrapText="1"/>
    </xf>
    <xf numFmtId="2" fontId="82" fillId="0" borderId="1" xfId="901" applyNumberFormat="1" applyFont="1" applyFill="1" applyBorder="1" applyAlignment="1">
      <alignment horizontal="center" vertical="center" wrapText="1"/>
    </xf>
    <xf numFmtId="0" fontId="20" fillId="0" borderId="1" xfId="1" applyNumberFormat="1" applyFont="1" applyFill="1" applyBorder="1" applyAlignment="1">
      <alignment horizontal="center" vertical="center"/>
    </xf>
    <xf numFmtId="0" fontId="80" fillId="0" borderId="1" xfId="1" applyNumberFormat="1" applyFont="1" applyFill="1" applyBorder="1" applyAlignment="1" applyProtection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20" fillId="0" borderId="1" xfId="938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64" fillId="0" borderId="1" xfId="682" applyNumberFormat="1" applyFont="1" applyFill="1" applyBorder="1" applyAlignment="1">
      <alignment horizontal="center" vertical="center" wrapText="1"/>
    </xf>
    <xf numFmtId="49" fontId="72" fillId="0" borderId="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wrapText="1"/>
    </xf>
    <xf numFmtId="49" fontId="75" fillId="0" borderId="0" xfId="0" applyNumberFormat="1" applyFont="1" applyFill="1" applyAlignment="1">
      <alignment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/>
    <xf numFmtId="2" fontId="16" fillId="0" borderId="0" xfId="0" applyNumberFormat="1" applyFont="1" applyFill="1"/>
    <xf numFmtId="49" fontId="64" fillId="0" borderId="5" xfId="0" applyNumberFormat="1" applyFont="1" applyFill="1" applyBorder="1" applyAlignment="1">
      <alignment horizontal="center" vertical="center" wrapText="1"/>
    </xf>
    <xf numFmtId="10" fontId="5" fillId="26" borderId="1" xfId="0" applyNumberFormat="1" applyFont="1" applyFill="1" applyBorder="1" applyAlignment="1">
      <alignment horizontal="center" vertical="center" wrapText="1"/>
    </xf>
    <xf numFmtId="0" fontId="6" fillId="25" borderId="1" xfId="0" applyNumberFormat="1" applyFont="1" applyFill="1" applyBorder="1" applyAlignment="1">
      <alignment horizontal="center" vertical="center" wrapText="1"/>
    </xf>
    <xf numFmtId="0" fontId="5" fillId="25" borderId="1" xfId="0" applyNumberFormat="1" applyFont="1" applyFill="1" applyBorder="1" applyAlignment="1">
      <alignment horizontal="center" vertical="center" wrapText="1"/>
    </xf>
    <xf numFmtId="2" fontId="6" fillId="25" borderId="1" xfId="0" applyNumberFormat="1" applyFont="1" applyFill="1" applyBorder="1" applyAlignment="1">
      <alignment horizontal="center" vertical="center" wrapText="1"/>
    </xf>
    <xf numFmtId="2" fontId="5" fillId="25" borderId="1" xfId="0" applyNumberFormat="1" applyFont="1" applyFill="1" applyBorder="1" applyAlignment="1">
      <alignment horizontal="center" vertical="center" wrapText="1"/>
    </xf>
    <xf numFmtId="0" fontId="85" fillId="0" borderId="1" xfId="0" applyNumberFormat="1" applyFont="1" applyFill="1" applyBorder="1" applyAlignment="1">
      <alignment horizontal="center" vertical="center" wrapText="1"/>
    </xf>
    <xf numFmtId="2" fontId="13" fillId="0" borderId="5" xfId="1" applyNumberFormat="1" applyFont="1" applyFill="1" applyBorder="1" applyAlignment="1">
      <alignment horizontal="center" vertical="center" wrapText="1"/>
    </xf>
    <xf numFmtId="49" fontId="13" fillId="0" borderId="1" xfId="3" applyNumberFormat="1" applyFont="1" applyFill="1" applyBorder="1" applyAlignment="1">
      <alignment vertical="center" wrapText="1"/>
    </xf>
    <xf numFmtId="0" fontId="9" fillId="0" borderId="1" xfId="3" applyNumberFormat="1" applyFont="1" applyFill="1" applyBorder="1" applyAlignment="1">
      <alignment horizontal="center" vertical="center" wrapText="1"/>
    </xf>
    <xf numFmtId="0" fontId="20" fillId="0" borderId="1" xfId="1" applyNumberFormat="1" applyFont="1" applyFill="1" applyBorder="1" applyAlignment="1">
      <alignment horizontal="center" vertical="center" wrapText="1"/>
    </xf>
    <xf numFmtId="0" fontId="13" fillId="0" borderId="1" xfId="683" applyNumberFormat="1" applyFont="1" applyFill="1" applyBorder="1" applyAlignment="1">
      <alignment horizontal="center" vertical="center" wrapText="1"/>
    </xf>
    <xf numFmtId="0" fontId="9" fillId="0" borderId="1" xfId="655" applyNumberFormat="1" applyFont="1" applyFill="1" applyBorder="1" applyAlignment="1">
      <alignment horizontal="center" vertical="center" wrapText="1"/>
    </xf>
    <xf numFmtId="2" fontId="9" fillId="0" borderId="1" xfId="901" applyNumberFormat="1" applyFont="1" applyFill="1" applyBorder="1" applyAlignment="1">
      <alignment horizontal="center" vertical="center" wrapText="1"/>
    </xf>
    <xf numFmtId="2" fontId="9" fillId="0" borderId="1" xfId="902" applyNumberFormat="1" applyFont="1" applyFill="1" applyBorder="1" applyAlignment="1">
      <alignment horizontal="center" vertical="center" wrapText="1"/>
    </xf>
    <xf numFmtId="0" fontId="64" fillId="0" borderId="1" xfId="0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0" fontId="79" fillId="0" borderId="1" xfId="3" applyNumberFormat="1" applyFont="1" applyFill="1" applyBorder="1" applyAlignment="1">
      <alignment horizontal="center" vertical="center" wrapText="1"/>
    </xf>
    <xf numFmtId="0" fontId="9" fillId="0" borderId="5" xfId="3" applyNumberFormat="1" applyFont="1" applyFill="1" applyBorder="1" applyAlignment="1">
      <alignment horizontal="center" vertical="center" wrapText="1"/>
    </xf>
    <xf numFmtId="0" fontId="13" fillId="0" borderId="5" xfId="3" applyNumberFormat="1" applyFont="1" applyFill="1" applyBorder="1" applyAlignment="1">
      <alignment horizontal="center" vertical="center" wrapText="1"/>
    </xf>
    <xf numFmtId="0" fontId="64" fillId="0" borderId="1" xfId="3" applyNumberFormat="1" applyFont="1" applyFill="1" applyBorder="1" applyAlignment="1">
      <alignment horizontal="center" vertical="center" wrapText="1"/>
    </xf>
    <xf numFmtId="49" fontId="82" fillId="0" borderId="1" xfId="3" applyNumberFormat="1" applyFont="1" applyFill="1" applyBorder="1" applyAlignment="1">
      <alignment vertical="center" wrapText="1"/>
    </xf>
    <xf numFmtId="0" fontId="82" fillId="0" borderId="1" xfId="3" applyNumberFormat="1" applyFont="1" applyFill="1" applyBorder="1" applyAlignment="1">
      <alignment horizontal="center" vertical="center" wrapText="1"/>
    </xf>
    <xf numFmtId="0" fontId="64" fillId="0" borderId="5" xfId="3" applyNumberFormat="1" applyFont="1" applyFill="1" applyBorder="1" applyAlignment="1">
      <alignment horizontal="center" vertical="center" wrapText="1"/>
    </xf>
    <xf numFmtId="0" fontId="20" fillId="0" borderId="5" xfId="3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20" fillId="0" borderId="1" xfId="1" applyNumberFormat="1" applyFont="1" applyFill="1" applyBorder="1" applyAlignment="1" applyProtection="1">
      <alignment horizontal="center" vertical="center" wrapText="1"/>
    </xf>
    <xf numFmtId="0" fontId="20" fillId="0" borderId="1" xfId="655" applyNumberFormat="1" applyFont="1" applyFill="1" applyBorder="1" applyAlignment="1">
      <alignment horizontal="center" vertical="center" wrapText="1"/>
    </xf>
    <xf numFmtId="49" fontId="64" fillId="0" borderId="19" xfId="0" applyNumberFormat="1" applyFont="1" applyFill="1" applyBorder="1" applyAlignment="1">
      <alignment horizontal="center" vertical="center" wrapText="1"/>
    </xf>
    <xf numFmtId="49" fontId="89" fillId="0" borderId="1" xfId="0" applyNumberFormat="1" applyFont="1" applyFill="1" applyBorder="1" applyAlignment="1">
      <alignment horizontal="left" vertical="center" wrapText="1"/>
    </xf>
    <xf numFmtId="49" fontId="82" fillId="0" borderId="1" xfId="0" applyNumberFormat="1" applyFont="1" applyFill="1" applyBorder="1" applyAlignment="1">
      <alignment horizontal="left" vertical="center" wrapText="1"/>
    </xf>
    <xf numFmtId="49" fontId="9" fillId="0" borderId="1" xfId="3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82" fillId="0" borderId="3" xfId="0" applyNumberFormat="1" applyFont="1" applyFill="1" applyBorder="1" applyAlignment="1">
      <alignment vertical="center" wrapText="1"/>
    </xf>
    <xf numFmtId="0" fontId="82" fillId="0" borderId="3" xfId="0" applyNumberFormat="1" applyFont="1" applyFill="1" applyBorder="1" applyAlignment="1">
      <alignment horizontal="center" vertical="center" wrapText="1"/>
    </xf>
    <xf numFmtId="49" fontId="20" fillId="0" borderId="2" xfId="634" applyNumberFormat="1" applyFont="1" applyFill="1" applyBorder="1" applyAlignment="1">
      <alignment vertical="center" wrapText="1"/>
    </xf>
    <xf numFmtId="49" fontId="20" fillId="0" borderId="3" xfId="634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91" fillId="0" borderId="1" xfId="0" applyNumberFormat="1" applyFont="1" applyFill="1" applyBorder="1" applyAlignment="1">
      <alignment horizontal="center" vertical="center"/>
    </xf>
    <xf numFmtId="49" fontId="9" fillId="0" borderId="2" xfId="3" applyNumberFormat="1" applyFont="1" applyFill="1" applyBorder="1" applyAlignment="1">
      <alignment horizontal="center" vertical="center" wrapText="1"/>
    </xf>
    <xf numFmtId="49" fontId="91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 wrapText="1"/>
    </xf>
    <xf numFmtId="49" fontId="20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64" fillId="0" borderId="1" xfId="0" applyNumberFormat="1" applyFont="1" applyFill="1" applyBorder="1" applyAlignment="1">
      <alignment vertical="center" wrapText="1"/>
    </xf>
    <xf numFmtId="49" fontId="64" fillId="0" borderId="1" xfId="0" applyNumberFormat="1" applyFont="1" applyFill="1" applyBorder="1" applyAlignment="1">
      <alignment horizontal="left" vertical="center" wrapText="1"/>
    </xf>
    <xf numFmtId="0" fontId="64" fillId="0" borderId="0" xfId="0" applyFont="1" applyFill="1" applyAlignment="1">
      <alignment vertical="center" wrapText="1"/>
    </xf>
    <xf numFmtId="0" fontId="20" fillId="0" borderId="1" xfId="919" applyNumberFormat="1" applyFont="1" applyFill="1" applyBorder="1" applyAlignment="1">
      <alignment horizontal="center" vertical="center" wrapText="1"/>
    </xf>
    <xf numFmtId="0" fontId="20" fillId="0" borderId="1" xfId="736" applyNumberFormat="1" applyFont="1" applyFill="1" applyBorder="1" applyAlignment="1">
      <alignment horizontal="center" vertical="center" wrapText="1"/>
    </xf>
    <xf numFmtId="0" fontId="20" fillId="0" borderId="1" xfId="872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vertical="center" wrapText="1"/>
    </xf>
    <xf numFmtId="49" fontId="88" fillId="0" borderId="1" xfId="0" applyNumberFormat="1" applyFont="1" applyFill="1" applyBorder="1" applyAlignment="1">
      <alignment horizontal="center" vertical="center" wrapText="1"/>
    </xf>
    <xf numFmtId="0" fontId="88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82" fillId="0" borderId="0" xfId="0" applyFont="1" applyFill="1" applyAlignment="1">
      <alignment horizontal="center" vertical="center" wrapText="1"/>
    </xf>
    <xf numFmtId="49" fontId="64" fillId="0" borderId="0" xfId="0" applyNumberFormat="1" applyFont="1" applyFill="1" applyAlignment="1">
      <alignment horizontal="left" vertical="center" wrapText="1"/>
    </xf>
    <xf numFmtId="2" fontId="64" fillId="0" borderId="1" xfId="0" applyNumberFormat="1" applyFont="1" applyFill="1" applyBorder="1" applyAlignment="1">
      <alignment horizontal="center" vertical="center" wrapText="1"/>
    </xf>
    <xf numFmtId="0" fontId="93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center" vertical="center" wrapText="1"/>
    </xf>
    <xf numFmtId="167" fontId="94" fillId="0" borderId="0" xfId="0" applyNumberFormat="1" applyFont="1" applyFill="1" applyBorder="1" applyAlignment="1">
      <alignment horizontal="center" vertical="center" wrapText="1"/>
    </xf>
    <xf numFmtId="2" fontId="94" fillId="0" borderId="1" xfId="0" applyNumberFormat="1" applyFont="1" applyFill="1" applyBorder="1" applyAlignment="1">
      <alignment horizontal="center" vertical="center" wrapText="1"/>
    </xf>
    <xf numFmtId="0" fontId="95" fillId="0" borderId="0" xfId="0" applyFont="1" applyFill="1" applyAlignment="1">
      <alignment wrapText="1"/>
    </xf>
    <xf numFmtId="2" fontId="94" fillId="0" borderId="0" xfId="0" applyNumberFormat="1" applyFont="1" applyFill="1" applyAlignment="1">
      <alignment horizontal="center" vertical="center" wrapText="1"/>
    </xf>
    <xf numFmtId="0" fontId="94" fillId="0" borderId="0" xfId="0" applyNumberFormat="1" applyFont="1" applyFill="1" applyAlignment="1">
      <alignment horizontal="center" vertical="center" wrapText="1"/>
    </xf>
    <xf numFmtId="0" fontId="96" fillId="0" borderId="0" xfId="0" applyFont="1" applyFill="1" applyAlignment="1">
      <alignment horizontal="center" vertical="center" wrapText="1"/>
    </xf>
    <xf numFmtId="49" fontId="13" fillId="0" borderId="1" xfId="634" applyNumberFormat="1" applyFont="1" applyFill="1" applyBorder="1" applyAlignment="1">
      <alignment horizontal="center" vertical="center" wrapText="1"/>
    </xf>
    <xf numFmtId="0" fontId="6" fillId="27" borderId="1" xfId="0" applyNumberFormat="1" applyFont="1" applyFill="1" applyBorder="1" applyAlignment="1">
      <alignment horizontal="center" vertical="center" wrapText="1"/>
    </xf>
    <xf numFmtId="49" fontId="9" fillId="0" borderId="2" xfId="634" applyNumberFormat="1" applyFont="1" applyFill="1" applyBorder="1" applyAlignment="1">
      <alignment horizontal="center" vertical="center" wrapText="1"/>
    </xf>
    <xf numFmtId="49" fontId="9" fillId="0" borderId="4" xfId="634" applyNumberFormat="1" applyFont="1" applyFill="1" applyBorder="1" applyAlignment="1">
      <alignment horizontal="center" vertical="center" wrapText="1"/>
    </xf>
    <xf numFmtId="49" fontId="9" fillId="0" borderId="3" xfId="634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2" xfId="919" applyNumberFormat="1" applyFont="1" applyFill="1" applyBorder="1" applyAlignment="1">
      <alignment horizontal="center" vertical="center" wrapText="1"/>
    </xf>
    <xf numFmtId="49" fontId="9" fillId="0" borderId="4" xfId="919" applyNumberFormat="1" applyFont="1" applyFill="1" applyBorder="1" applyAlignment="1">
      <alignment horizontal="center" vertical="center" wrapText="1"/>
    </xf>
    <xf numFmtId="49" fontId="9" fillId="0" borderId="3" xfId="919" applyNumberFormat="1" applyFont="1" applyFill="1" applyBorder="1" applyAlignment="1">
      <alignment horizontal="center" vertical="center" wrapText="1"/>
    </xf>
    <xf numFmtId="49" fontId="9" fillId="0" borderId="2" xfId="872" applyNumberFormat="1" applyFont="1" applyFill="1" applyBorder="1" applyAlignment="1">
      <alignment horizontal="center" vertical="center" wrapText="1"/>
    </xf>
    <xf numFmtId="49" fontId="9" fillId="0" borderId="3" xfId="872" applyNumberFormat="1" applyFont="1" applyFill="1" applyBorder="1" applyAlignment="1">
      <alignment horizontal="center" vertical="center" wrapText="1"/>
    </xf>
    <xf numFmtId="49" fontId="9" fillId="0" borderId="2" xfId="736" applyNumberFormat="1" applyFont="1" applyFill="1" applyBorder="1" applyAlignment="1">
      <alignment horizontal="center" vertical="center" wrapText="1"/>
    </xf>
    <xf numFmtId="49" fontId="9" fillId="0" borderId="4" xfId="736" applyNumberFormat="1" applyFont="1" applyFill="1" applyBorder="1" applyAlignment="1">
      <alignment horizontal="center" vertical="center" wrapText="1"/>
    </xf>
    <xf numFmtId="49" fontId="9" fillId="0" borderId="3" xfId="736" applyNumberFormat="1" applyFont="1" applyFill="1" applyBorder="1" applyAlignment="1">
      <alignment horizontal="center" vertical="center" wrapText="1"/>
    </xf>
    <xf numFmtId="49" fontId="9" fillId="0" borderId="2" xfId="655" applyNumberFormat="1" applyFont="1" applyFill="1" applyBorder="1" applyAlignment="1">
      <alignment horizontal="center" vertical="center" wrapText="1"/>
    </xf>
    <xf numFmtId="49" fontId="9" fillId="0" borderId="3" xfId="655" applyNumberFormat="1" applyFont="1" applyFill="1" applyBorder="1" applyAlignment="1">
      <alignment horizontal="center" vertical="center" wrapText="1"/>
    </xf>
    <xf numFmtId="49" fontId="76" fillId="0" borderId="2" xfId="0" applyNumberFormat="1" applyFont="1" applyFill="1" applyBorder="1" applyAlignment="1">
      <alignment horizontal="center" vertical="center" wrapText="1"/>
    </xf>
    <xf numFmtId="49" fontId="9" fillId="0" borderId="1" xfId="634" applyNumberFormat="1" applyFont="1" applyFill="1" applyBorder="1" applyAlignment="1">
      <alignment horizontal="center" vertical="center" wrapText="1"/>
    </xf>
    <xf numFmtId="49" fontId="9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4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2" xfId="682" applyNumberFormat="1" applyFont="1" applyFill="1" applyBorder="1" applyAlignment="1">
      <alignment horizontal="center" vertical="center" wrapText="1"/>
    </xf>
    <xf numFmtId="49" fontId="9" fillId="0" borderId="4" xfId="682" applyNumberFormat="1" applyFont="1" applyFill="1" applyBorder="1" applyAlignment="1">
      <alignment horizontal="center" vertical="center" wrapText="1"/>
    </xf>
    <xf numFmtId="49" fontId="9" fillId="0" borderId="3" xfId="682" applyNumberFormat="1" applyFont="1" applyFill="1" applyBorder="1" applyAlignment="1">
      <alignment horizontal="center" vertical="center" wrapText="1"/>
    </xf>
    <xf numFmtId="49" fontId="13" fillId="0" borderId="1" xfId="634" applyNumberFormat="1" applyFont="1" applyFill="1" applyBorder="1" applyAlignment="1">
      <alignment vertical="center" wrapText="1"/>
    </xf>
    <xf numFmtId="49" fontId="76" fillId="0" borderId="3" xfId="0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left" vertical="center" wrapText="1"/>
    </xf>
    <xf numFmtId="49" fontId="20" fillId="0" borderId="4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3" fillId="0" borderId="3" xfId="655" applyNumberFormat="1" applyFont="1" applyFill="1" applyBorder="1" applyAlignment="1">
      <alignment horizontal="center" vertical="center" wrapText="1"/>
    </xf>
    <xf numFmtId="0" fontId="20" fillId="0" borderId="3" xfId="634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vertical="center" wrapText="1"/>
    </xf>
    <xf numFmtId="167" fontId="14" fillId="0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vertical="center" wrapText="1"/>
    </xf>
    <xf numFmtId="0" fontId="82" fillId="0" borderId="0" xfId="0" applyFont="1" applyFill="1" applyAlignment="1">
      <alignment vertical="center" wrapText="1"/>
    </xf>
    <xf numFmtId="9" fontId="94" fillId="0" borderId="1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9" fontId="64" fillId="0" borderId="3" xfId="0" applyNumberFormat="1" applyFont="1" applyFill="1" applyBorder="1" applyAlignment="1">
      <alignment horizontal="center" vertical="center" wrapText="1"/>
    </xf>
    <xf numFmtId="49" fontId="13" fillId="0" borderId="1" xfId="872" applyNumberFormat="1" applyFont="1" applyFill="1" applyBorder="1" applyAlignment="1">
      <alignment horizontal="center" vertical="center" wrapText="1"/>
    </xf>
    <xf numFmtId="49" fontId="9" fillId="0" borderId="5" xfId="655" applyNumberFormat="1" applyFont="1" applyFill="1" applyBorder="1" applyAlignment="1">
      <alignment horizontal="center" vertical="center" wrapText="1"/>
    </xf>
    <xf numFmtId="49" fontId="82" fillId="0" borderId="1" xfId="3" applyNumberFormat="1" applyFont="1" applyFill="1" applyBorder="1" applyAlignment="1">
      <alignment horizontal="left" vertical="center" wrapText="1"/>
    </xf>
    <xf numFmtId="0" fontId="90" fillId="0" borderId="1" xfId="3" applyNumberFormat="1" applyFont="1" applyFill="1" applyBorder="1" applyAlignment="1">
      <alignment horizontal="center" vertical="center" wrapText="1"/>
    </xf>
    <xf numFmtId="49" fontId="92" fillId="0" borderId="1" xfId="3" applyNumberFormat="1" applyFont="1" applyFill="1" applyBorder="1" applyAlignment="1">
      <alignment horizontal="center" vertical="center" wrapText="1"/>
    </xf>
    <xf numFmtId="0" fontId="20" fillId="0" borderId="3" xfId="655" applyNumberFormat="1" applyFont="1" applyFill="1" applyBorder="1" applyAlignment="1">
      <alignment horizontal="center" vertical="center" wrapText="1"/>
    </xf>
    <xf numFmtId="0" fontId="9" fillId="0" borderId="3" xfId="634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64" fillId="0" borderId="2" xfId="0" applyNumberFormat="1" applyFont="1" applyFill="1" applyBorder="1" applyAlignment="1">
      <alignment horizontal="left" vertical="center" wrapText="1"/>
    </xf>
    <xf numFmtId="49" fontId="64" fillId="0" borderId="3" xfId="0" applyNumberFormat="1" applyFont="1" applyFill="1" applyBorder="1" applyAlignment="1">
      <alignment horizontal="left" vertical="center" wrapText="1"/>
    </xf>
    <xf numFmtId="49" fontId="73" fillId="0" borderId="2" xfId="0" applyNumberFormat="1" applyFont="1" applyFill="1" applyBorder="1" applyAlignment="1">
      <alignment horizontal="center" vertical="center" wrapText="1"/>
    </xf>
    <xf numFmtId="49" fontId="73" fillId="0" borderId="4" xfId="0" applyNumberFormat="1" applyFont="1" applyFill="1" applyBorder="1" applyAlignment="1">
      <alignment horizontal="center" vertical="center" wrapText="1"/>
    </xf>
    <xf numFmtId="49" fontId="73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74" fillId="0" borderId="2" xfId="0" applyNumberFormat="1" applyFont="1" applyFill="1" applyBorder="1" applyAlignment="1">
      <alignment horizontal="center" vertical="center" wrapText="1"/>
    </xf>
    <xf numFmtId="49" fontId="74" fillId="0" borderId="4" xfId="0" applyNumberFormat="1" applyFont="1" applyFill="1" applyBorder="1" applyAlignment="1">
      <alignment horizontal="center" vertical="center" wrapText="1"/>
    </xf>
    <xf numFmtId="49" fontId="74" fillId="0" borderId="3" xfId="0" applyNumberFormat="1" applyFont="1" applyFill="1" applyBorder="1" applyAlignment="1">
      <alignment horizontal="center" vertical="center" wrapText="1"/>
    </xf>
    <xf numFmtId="49" fontId="86" fillId="0" borderId="4" xfId="1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9" fillId="0" borderId="1" xfId="795" applyNumberFormat="1" applyFont="1" applyFill="1" applyBorder="1" applyAlignment="1">
      <alignment horizontal="center" vertical="center" wrapText="1"/>
    </xf>
    <xf numFmtId="49" fontId="20" fillId="0" borderId="1" xfId="795" applyNumberFormat="1" applyFont="1" applyFill="1" applyBorder="1" applyAlignment="1">
      <alignment horizontal="center" vertical="center" wrapText="1"/>
    </xf>
    <xf numFmtId="49" fontId="64" fillId="0" borderId="1" xfId="795" applyNumberFormat="1" applyFont="1" applyFill="1" applyBorder="1" applyAlignment="1">
      <alignment horizontal="center" vertical="center" wrapText="1"/>
    </xf>
    <xf numFmtId="0" fontId="13" fillId="0" borderId="1" xfId="795" applyNumberFormat="1" applyFont="1" applyFill="1" applyBorder="1" applyAlignment="1">
      <alignment horizontal="center" vertical="center" wrapText="1"/>
    </xf>
    <xf numFmtId="49" fontId="64" fillId="0" borderId="1" xfId="647" applyNumberFormat="1" applyFont="1" applyFill="1" applyBorder="1" applyAlignment="1">
      <alignment horizontal="center" vertical="center" wrapText="1"/>
    </xf>
    <xf numFmtId="0" fontId="20" fillId="0" borderId="1" xfId="647" applyNumberFormat="1" applyFont="1" applyFill="1" applyBorder="1" applyAlignment="1">
      <alignment horizontal="center" vertical="center" wrapText="1"/>
    </xf>
    <xf numFmtId="2" fontId="20" fillId="0" borderId="1" xfId="901" applyNumberFormat="1" applyFont="1" applyFill="1" applyBorder="1" applyAlignment="1">
      <alignment horizontal="center" vertical="center" wrapText="1"/>
    </xf>
    <xf numFmtId="2" fontId="20" fillId="0" borderId="1" xfId="902" applyNumberFormat="1" applyFont="1" applyFill="1" applyBorder="1" applyAlignment="1">
      <alignment horizontal="center" vertical="center" wrapText="1"/>
    </xf>
    <xf numFmtId="49" fontId="9" fillId="0" borderId="2" xfId="795" applyNumberFormat="1" applyFont="1" applyFill="1" applyBorder="1" applyAlignment="1">
      <alignment horizontal="center" vertical="center" wrapText="1"/>
    </xf>
    <xf numFmtId="49" fontId="20" fillId="0" borderId="2" xfId="795" applyNumberFormat="1" applyFont="1" applyFill="1" applyBorder="1" applyAlignment="1">
      <alignment horizontal="center" vertical="center" wrapText="1"/>
    </xf>
    <xf numFmtId="49" fontId="64" fillId="0" borderId="2" xfId="795" applyNumberFormat="1" applyFont="1" applyFill="1" applyBorder="1" applyAlignment="1">
      <alignment horizontal="center" vertical="center" wrapText="1"/>
    </xf>
    <xf numFmtId="0" fontId="13" fillId="0" borderId="2" xfId="795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20" fillId="0" borderId="1" xfId="655" applyNumberFormat="1" applyFont="1" applyFill="1" applyBorder="1" applyAlignment="1">
      <alignment horizontal="left" vertical="center" wrapText="1"/>
    </xf>
    <xf numFmtId="49" fontId="20" fillId="0" borderId="1" xfId="736" applyNumberFormat="1" applyFont="1" applyFill="1" applyBorder="1" applyAlignment="1">
      <alignment horizontal="left" vertical="center" wrapText="1"/>
    </xf>
    <xf numFmtId="49" fontId="13" fillId="0" borderId="1" xfId="736" applyNumberFormat="1" applyFont="1" applyFill="1" applyBorder="1" applyAlignment="1">
      <alignment horizontal="left" vertical="center" wrapText="1"/>
    </xf>
    <xf numFmtId="49" fontId="13" fillId="0" borderId="1" xfId="682" applyNumberFormat="1" applyFont="1" applyFill="1" applyBorder="1" applyAlignment="1">
      <alignment horizontal="left" vertical="center" wrapText="1"/>
    </xf>
    <xf numFmtId="49" fontId="13" fillId="0" borderId="1" xfId="929" applyNumberFormat="1" applyFont="1" applyFill="1" applyBorder="1" applyAlignment="1">
      <alignment horizontal="left" vertical="center" wrapText="1"/>
    </xf>
    <xf numFmtId="49" fontId="20" fillId="0" borderId="1" xfId="872" applyNumberFormat="1" applyFont="1" applyFill="1" applyBorder="1" applyAlignment="1">
      <alignment horizontal="left" vertical="center" wrapText="1"/>
    </xf>
    <xf numFmtId="49" fontId="13" fillId="0" borderId="2" xfId="872" applyNumberFormat="1" applyFont="1" applyFill="1" applyBorder="1" applyAlignment="1">
      <alignment horizontal="left" vertical="center" wrapText="1"/>
    </xf>
    <xf numFmtId="49" fontId="13" fillId="0" borderId="1" xfId="872" applyNumberFormat="1" applyFont="1" applyFill="1" applyBorder="1" applyAlignment="1">
      <alignment vertical="center" wrapText="1"/>
    </xf>
    <xf numFmtId="49" fontId="64" fillId="0" borderId="1" xfId="647" applyNumberFormat="1" applyFont="1" applyFill="1" applyBorder="1" applyAlignment="1">
      <alignment vertical="center" wrapText="1"/>
    </xf>
    <xf numFmtId="49" fontId="20" fillId="0" borderId="1" xfId="1" applyNumberFormat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>
      <alignment vertical="center" wrapText="1"/>
    </xf>
    <xf numFmtId="9" fontId="20" fillId="26" borderId="1" xfId="0" applyNumberFormat="1" applyFont="1" applyFill="1" applyBorder="1" applyAlignment="1">
      <alignment horizontal="center" vertical="center" wrapText="1"/>
    </xf>
    <xf numFmtId="0" fontId="20" fillId="26" borderId="1" xfId="0" applyNumberFormat="1" applyFont="1" applyFill="1" applyBorder="1" applyAlignment="1">
      <alignment horizontal="center" vertical="center" wrapText="1"/>
    </xf>
    <xf numFmtId="9" fontId="20" fillId="26" borderId="6" xfId="947" applyFont="1" applyFill="1" applyBorder="1" applyAlignment="1">
      <alignment horizontal="center" vertical="center" wrapText="1"/>
    </xf>
    <xf numFmtId="9" fontId="20" fillId="26" borderId="7" xfId="947" applyFont="1" applyFill="1" applyBorder="1" applyAlignment="1">
      <alignment horizontal="center" vertical="center" wrapText="1"/>
    </xf>
    <xf numFmtId="9" fontId="20" fillId="26" borderId="1" xfId="947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6" fillId="28" borderId="1" xfId="0" applyNumberFormat="1" applyFont="1" applyFill="1" applyBorder="1" applyAlignment="1">
      <alignment horizontal="center" vertical="center" wrapText="1"/>
    </xf>
    <xf numFmtId="0" fontId="5" fillId="28" borderId="1" xfId="0" applyNumberFormat="1" applyFont="1" applyFill="1" applyBorder="1" applyAlignment="1">
      <alignment horizontal="center" vertical="center" wrapText="1"/>
    </xf>
    <xf numFmtId="2" fontId="6" fillId="28" borderId="1" xfId="0" applyNumberFormat="1" applyFont="1" applyFill="1" applyBorder="1" applyAlignment="1">
      <alignment horizontal="center" vertical="center" wrapText="1"/>
    </xf>
    <xf numFmtId="2" fontId="5" fillId="28" borderId="1" xfId="0" applyNumberFormat="1" applyFont="1" applyFill="1" applyBorder="1" applyAlignment="1">
      <alignment horizontal="center" vertical="center" wrapText="1"/>
    </xf>
    <xf numFmtId="49" fontId="9" fillId="28" borderId="1" xfId="0" applyNumberFormat="1" applyFont="1" applyFill="1" applyBorder="1" applyAlignment="1">
      <alignment horizontal="center" vertical="center" wrapText="1"/>
    </xf>
    <xf numFmtId="49" fontId="20" fillId="28" borderId="1" xfId="0" applyNumberFormat="1" applyFont="1" applyFill="1" applyBorder="1" applyAlignment="1">
      <alignment horizontal="center" vertical="center" wrapText="1"/>
    </xf>
    <xf numFmtId="49" fontId="64" fillId="28" borderId="1" xfId="0" applyNumberFormat="1" applyFont="1" applyFill="1" applyBorder="1" applyAlignment="1">
      <alignment horizontal="center" vertical="center" wrapText="1"/>
    </xf>
    <xf numFmtId="0" fontId="13" fillId="28" borderId="1" xfId="0" applyNumberFormat="1" applyFont="1" applyFill="1" applyBorder="1" applyAlignment="1">
      <alignment horizontal="center" vertical="center" wrapText="1"/>
    </xf>
    <xf numFmtId="0" fontId="20" fillId="28" borderId="1" xfId="0" applyNumberFormat="1" applyFont="1" applyFill="1" applyBorder="1" applyAlignment="1">
      <alignment horizontal="center" vertical="center" wrapText="1"/>
    </xf>
    <xf numFmtId="2" fontId="13" fillId="28" borderId="1" xfId="0" applyNumberFormat="1" applyFont="1" applyFill="1" applyBorder="1" applyAlignment="1">
      <alignment horizontal="center" vertical="center" wrapText="1"/>
    </xf>
    <xf numFmtId="2" fontId="20" fillId="28" borderId="7" xfId="0" applyNumberFormat="1" applyFont="1" applyFill="1" applyBorder="1" applyAlignment="1">
      <alignment horizontal="center" vertical="center" wrapText="1"/>
    </xf>
    <xf numFmtId="49" fontId="9" fillId="28" borderId="7" xfId="0" applyNumberFormat="1" applyFont="1" applyFill="1" applyBorder="1" applyAlignment="1">
      <alignment horizontal="center" vertical="center" wrapText="1"/>
    </xf>
    <xf numFmtId="49" fontId="64" fillId="28" borderId="7" xfId="0" applyNumberFormat="1" applyFont="1" applyFill="1" applyBorder="1" applyAlignment="1">
      <alignment horizontal="center" vertical="center" wrapText="1"/>
    </xf>
    <xf numFmtId="0" fontId="20" fillId="28" borderId="7" xfId="0" applyNumberFormat="1" applyFont="1" applyFill="1" applyBorder="1" applyAlignment="1">
      <alignment horizontal="center" vertical="center" wrapText="1"/>
    </xf>
    <xf numFmtId="2" fontId="20" fillId="28" borderId="1" xfId="0" applyNumberFormat="1" applyFont="1" applyFill="1" applyBorder="1" applyAlignment="1">
      <alignment horizontal="center" vertical="center" wrapText="1"/>
    </xf>
    <xf numFmtId="49" fontId="20" fillId="28" borderId="7" xfId="0" applyNumberFormat="1" applyFont="1" applyFill="1" applyBorder="1" applyAlignment="1">
      <alignment horizontal="center" vertical="center" wrapText="1"/>
    </xf>
    <xf numFmtId="0" fontId="9" fillId="28" borderId="1" xfId="0" applyNumberFormat="1" applyFont="1" applyFill="1" applyBorder="1" applyAlignment="1">
      <alignment horizontal="center" vertical="center" wrapText="1"/>
    </xf>
    <xf numFmtId="49" fontId="64" fillId="28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73" fillId="0" borderId="2" xfId="0" applyNumberFormat="1" applyFont="1" applyFill="1" applyBorder="1" applyAlignment="1">
      <alignment horizontal="center" vertical="center" wrapText="1"/>
    </xf>
    <xf numFmtId="49" fontId="73" fillId="0" borderId="4" xfId="0" applyNumberFormat="1" applyFont="1" applyFill="1" applyBorder="1" applyAlignment="1">
      <alignment horizontal="center" vertical="center" wrapText="1"/>
    </xf>
    <xf numFmtId="49" fontId="73" fillId="0" borderId="3" xfId="0" applyNumberFormat="1" applyFont="1" applyFill="1" applyBorder="1" applyAlignment="1">
      <alignment horizontal="center" vertical="center" wrapText="1"/>
    </xf>
    <xf numFmtId="49" fontId="73" fillId="0" borderId="1" xfId="0" applyNumberFormat="1" applyFont="1" applyFill="1" applyBorder="1" applyAlignment="1">
      <alignment horizontal="center" vertical="center" wrapText="1"/>
    </xf>
    <xf numFmtId="49" fontId="74" fillId="0" borderId="2" xfId="0" applyNumberFormat="1" applyFont="1" applyFill="1" applyBorder="1" applyAlignment="1">
      <alignment horizontal="center" vertical="center" wrapText="1"/>
    </xf>
    <xf numFmtId="49" fontId="74" fillId="0" borderId="4" xfId="0" applyNumberFormat="1" applyFont="1" applyFill="1" applyBorder="1" applyAlignment="1">
      <alignment horizontal="center" vertical="center" wrapText="1"/>
    </xf>
    <xf numFmtId="49" fontId="74" fillId="0" borderId="3" xfId="0" applyNumberFormat="1" applyFont="1" applyFill="1" applyBorder="1" applyAlignment="1">
      <alignment horizontal="center" vertical="center" wrapText="1"/>
    </xf>
    <xf numFmtId="49" fontId="86" fillId="0" borderId="2" xfId="0" applyNumberFormat="1" applyFont="1" applyFill="1" applyBorder="1" applyAlignment="1">
      <alignment horizontal="center" vertical="center" wrapText="1"/>
    </xf>
    <xf numFmtId="49" fontId="86" fillId="0" borderId="4" xfId="0" applyNumberFormat="1" applyFont="1" applyFill="1" applyBorder="1" applyAlignment="1">
      <alignment horizontal="center" vertical="center" wrapText="1"/>
    </xf>
    <xf numFmtId="49" fontId="86" fillId="0" borderId="3" xfId="0" applyNumberFormat="1" applyFont="1" applyFill="1" applyBorder="1" applyAlignment="1">
      <alignment horizontal="center" vertical="center" wrapText="1"/>
    </xf>
    <xf numFmtId="49" fontId="86" fillId="0" borderId="2" xfId="1" applyNumberFormat="1" applyFont="1" applyFill="1" applyBorder="1" applyAlignment="1">
      <alignment horizontal="center" vertical="center" wrapText="1"/>
    </xf>
    <xf numFmtId="49" fontId="86" fillId="0" borderId="4" xfId="1" applyNumberFormat="1" applyFont="1" applyFill="1" applyBorder="1" applyAlignment="1">
      <alignment horizontal="center" vertical="center" wrapText="1"/>
    </xf>
    <xf numFmtId="49" fontId="86" fillId="0" borderId="3" xfId="1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49" fontId="64" fillId="0" borderId="2" xfId="0" applyNumberFormat="1" applyFont="1" applyFill="1" applyBorder="1" applyAlignment="1">
      <alignment horizontal="left" vertical="center" wrapText="1"/>
    </xf>
    <xf numFmtId="49" fontId="64" fillId="0" borderId="3" xfId="0" applyNumberFormat="1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center" wrapText="1"/>
    </xf>
    <xf numFmtId="0" fontId="14" fillId="0" borderId="3" xfId="1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82" fillId="0" borderId="0" xfId="1" applyNumberFormat="1" applyFont="1" applyFill="1" applyBorder="1" applyAlignment="1">
      <alignment horizontal="center" vertical="center" wrapText="1"/>
    </xf>
  </cellXfs>
  <cellStyles count="948">
    <cellStyle name="20% - Accent1" xfId="6"/>
    <cellStyle name="20% - Accent1 2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 4 2" xfId="13"/>
    <cellStyle name="20% - Accent1 2 5" xfId="14"/>
    <cellStyle name="20% - Accent1 2 5 2" xfId="15"/>
    <cellStyle name="20% - Accent1 2 6" xfId="16"/>
    <cellStyle name="20% - Accent1 3" xfId="17"/>
    <cellStyle name="20% - Accent1 3 2" xfId="18"/>
    <cellStyle name="20% - Accent1 4" xfId="19"/>
    <cellStyle name="20% - Accent1 4 2" xfId="20"/>
    <cellStyle name="20% - Accent1 4 2 2" xfId="21"/>
    <cellStyle name="20% - Accent1 4 3" xfId="22"/>
    <cellStyle name="20% - Accent1 5" xfId="23"/>
    <cellStyle name="20% - Accent1 5 2" xfId="24"/>
    <cellStyle name="20% - Accent1 6" xfId="25"/>
    <cellStyle name="20% - Accent1 6 2" xfId="26"/>
    <cellStyle name="20% - Accent1 7" xfId="27"/>
    <cellStyle name="20% - Accent1 7 2" xfId="28"/>
    <cellStyle name="20% - Accent1_Q.W. ADMINISTRACIULI SENOBA" xfId="29"/>
    <cellStyle name="20% - Accent2" xfId="30"/>
    <cellStyle name="20% - Accent2 2" xfId="31"/>
    <cellStyle name="20% - Accent2 2 2" xfId="32"/>
    <cellStyle name="20% - Accent2 2 2 2" xfId="33"/>
    <cellStyle name="20% - Accent2 2 3" xfId="34"/>
    <cellStyle name="20% - Accent2 2 3 2" xfId="35"/>
    <cellStyle name="20% - Accent2 2 4" xfId="36"/>
    <cellStyle name="20% - Accent2 2 4 2" xfId="37"/>
    <cellStyle name="20% - Accent2 2 5" xfId="38"/>
    <cellStyle name="20% - Accent2 2 5 2" xfId="39"/>
    <cellStyle name="20% - Accent2 2 6" xfId="40"/>
    <cellStyle name="20% - Accent2 3" xfId="41"/>
    <cellStyle name="20% - Accent2 3 2" xfId="42"/>
    <cellStyle name="20% - Accent2 4" xfId="43"/>
    <cellStyle name="20% - Accent2 4 2" xfId="44"/>
    <cellStyle name="20% - Accent2 4 2 2" xfId="45"/>
    <cellStyle name="20% - Accent2 4 3" xfId="46"/>
    <cellStyle name="20% - Accent2 5" xfId="47"/>
    <cellStyle name="20% - Accent2 5 2" xfId="48"/>
    <cellStyle name="20% - Accent2 6" xfId="49"/>
    <cellStyle name="20% - Accent2 6 2" xfId="50"/>
    <cellStyle name="20% - Accent2 7" xfId="51"/>
    <cellStyle name="20% - Accent2 7 2" xfId="52"/>
    <cellStyle name="20% - Accent2_Q.W. ADMINISTRACIULI SENOBA" xfId="53"/>
    <cellStyle name="20% - Accent3" xfId="54"/>
    <cellStyle name="20% - Accent3 2" xfId="55"/>
    <cellStyle name="20% - Accent3 2 2" xfId="56"/>
    <cellStyle name="20% - Accent3 2 2 2" xfId="57"/>
    <cellStyle name="20% - Accent3 2 3" xfId="58"/>
    <cellStyle name="20% - Accent3 2 3 2" xfId="59"/>
    <cellStyle name="20% - Accent3 2 4" xfId="60"/>
    <cellStyle name="20% - Accent3 2 4 2" xfId="61"/>
    <cellStyle name="20% - Accent3 2 5" xfId="62"/>
    <cellStyle name="20% - Accent3 2 5 2" xfId="63"/>
    <cellStyle name="20% - Accent3 2 6" xfId="64"/>
    <cellStyle name="20% - Accent3 3" xfId="65"/>
    <cellStyle name="20% - Accent3 3 2" xfId="66"/>
    <cellStyle name="20% - Accent3 4" xfId="67"/>
    <cellStyle name="20% - Accent3 4 2" xfId="68"/>
    <cellStyle name="20% - Accent3 4 2 2" xfId="69"/>
    <cellStyle name="20% - Accent3 4 3" xfId="70"/>
    <cellStyle name="20% - Accent3 5" xfId="71"/>
    <cellStyle name="20% - Accent3 5 2" xfId="72"/>
    <cellStyle name="20% - Accent3 6" xfId="73"/>
    <cellStyle name="20% - Accent3 6 2" xfId="74"/>
    <cellStyle name="20% - Accent3 7" xfId="75"/>
    <cellStyle name="20% - Accent3 7 2" xfId="76"/>
    <cellStyle name="20% - Accent3_Q.W. ADMINISTRACIULI SENOBA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3 2" xfId="83"/>
    <cellStyle name="20% - Accent4 2 4" xfId="84"/>
    <cellStyle name="20% - Accent4 2 4 2" xfId="85"/>
    <cellStyle name="20% - Accent4 2 5" xfId="86"/>
    <cellStyle name="20% - Accent4 2 5 2" xfId="87"/>
    <cellStyle name="20% - Accent4 2 6" xfId="88"/>
    <cellStyle name="20% - Accent4 3" xfId="89"/>
    <cellStyle name="20% - Accent4 3 2" xfId="90"/>
    <cellStyle name="20% - Accent4 4" xfId="91"/>
    <cellStyle name="20% - Accent4 4 2" xfId="92"/>
    <cellStyle name="20% - Accent4 4 2 2" xfId="93"/>
    <cellStyle name="20% - Accent4 4 3" xfId="94"/>
    <cellStyle name="20% - Accent4 5" xfId="95"/>
    <cellStyle name="20% - Accent4 5 2" xfId="96"/>
    <cellStyle name="20% - Accent4 6" xfId="97"/>
    <cellStyle name="20% - Accent4 6 2" xfId="98"/>
    <cellStyle name="20% - Accent4 7" xfId="99"/>
    <cellStyle name="20% - Accent4 7 2" xfId="100"/>
    <cellStyle name="20% - Accent4_Q.W. ADMINISTRACIULI SENOBA" xfId="101"/>
    <cellStyle name="20% - Accent5" xfId="102"/>
    <cellStyle name="20% - Accent5 2" xfId="103"/>
    <cellStyle name="20% - Accent5 2 2" xfId="104"/>
    <cellStyle name="20% - Accent5 2 2 2" xfId="105"/>
    <cellStyle name="20% - Accent5 2 3" xfId="106"/>
    <cellStyle name="20% - Accent5 2 3 2" xfId="107"/>
    <cellStyle name="20% - Accent5 2 4" xfId="108"/>
    <cellStyle name="20% - Accent5 2 4 2" xfId="109"/>
    <cellStyle name="20% - Accent5 2 5" xfId="110"/>
    <cellStyle name="20% - Accent5 2 5 2" xfId="111"/>
    <cellStyle name="20% - Accent5 2 6" xfId="112"/>
    <cellStyle name="20% - Accent5 3" xfId="113"/>
    <cellStyle name="20% - Accent5 3 2" xfId="114"/>
    <cellStyle name="20% - Accent5 4" xfId="115"/>
    <cellStyle name="20% - Accent5 4 2" xfId="116"/>
    <cellStyle name="20% - Accent5 4 2 2" xfId="117"/>
    <cellStyle name="20% - Accent5 4 3" xfId="118"/>
    <cellStyle name="20% - Accent5 5" xfId="119"/>
    <cellStyle name="20% - Accent5 5 2" xfId="120"/>
    <cellStyle name="20% - Accent5 6" xfId="121"/>
    <cellStyle name="20% - Accent5 6 2" xfId="122"/>
    <cellStyle name="20% - Accent5 7" xfId="123"/>
    <cellStyle name="20% - Accent5 7 2" xfId="124"/>
    <cellStyle name="20% - Accent5_Q.W. ADMINISTRACIULI SENOBA" xfId="125"/>
    <cellStyle name="20% - Accent6" xfId="126"/>
    <cellStyle name="20% - Accent6 2" xfId="127"/>
    <cellStyle name="20% - Accent6 2 2" xfId="128"/>
    <cellStyle name="20% - Accent6 2 2 2" xfId="129"/>
    <cellStyle name="20% - Accent6 2 3" xfId="130"/>
    <cellStyle name="20% - Accent6 2 3 2" xfId="131"/>
    <cellStyle name="20% - Accent6 2 4" xfId="132"/>
    <cellStyle name="20% - Accent6 2 4 2" xfId="133"/>
    <cellStyle name="20% - Accent6 2 5" xfId="134"/>
    <cellStyle name="20% - Accent6 2 5 2" xfId="135"/>
    <cellStyle name="20% - Accent6 2 6" xfId="136"/>
    <cellStyle name="20% - Accent6 3" xfId="137"/>
    <cellStyle name="20% - Accent6 3 2" xfId="138"/>
    <cellStyle name="20% - Accent6 4" xfId="139"/>
    <cellStyle name="20% - Accent6 4 2" xfId="140"/>
    <cellStyle name="20% - Accent6 4 2 2" xfId="141"/>
    <cellStyle name="20% - Accent6 4 3" xfId="142"/>
    <cellStyle name="20% - Accent6 5" xfId="143"/>
    <cellStyle name="20% - Accent6 5 2" xfId="144"/>
    <cellStyle name="20% - Accent6 6" xfId="145"/>
    <cellStyle name="20% - Accent6 6 2" xfId="146"/>
    <cellStyle name="20% - Accent6 7" xfId="147"/>
    <cellStyle name="20% - Accent6 7 2" xfId="148"/>
    <cellStyle name="20% - Accent6_Q.W. ADMINISTRACIULI SENOBA" xfId="149"/>
    <cellStyle name="40% - Accent1" xfId="150"/>
    <cellStyle name="40% - Accent1 2" xfId="151"/>
    <cellStyle name="40% - Accent1 2 2" xfId="152"/>
    <cellStyle name="40% - Accent1 2 2 2" xfId="153"/>
    <cellStyle name="40% - Accent1 2 3" xfId="154"/>
    <cellStyle name="40% - Accent1 2 3 2" xfId="155"/>
    <cellStyle name="40% - Accent1 2 4" xfId="156"/>
    <cellStyle name="40% - Accent1 2 4 2" xfId="157"/>
    <cellStyle name="40% - Accent1 2 5" xfId="158"/>
    <cellStyle name="40% - Accent1 2 5 2" xfId="159"/>
    <cellStyle name="40% - Accent1 2 6" xfId="160"/>
    <cellStyle name="40% - Accent1 3" xfId="161"/>
    <cellStyle name="40% - Accent1 3 2" xfId="162"/>
    <cellStyle name="40% - Accent1 4" xfId="163"/>
    <cellStyle name="40% - Accent1 4 2" xfId="164"/>
    <cellStyle name="40% - Accent1 4 2 2" xfId="165"/>
    <cellStyle name="40% - Accent1 4 3" xfId="166"/>
    <cellStyle name="40% - Accent1 5" xfId="167"/>
    <cellStyle name="40% - Accent1 5 2" xfId="168"/>
    <cellStyle name="40% - Accent1 6" xfId="169"/>
    <cellStyle name="40% - Accent1 6 2" xfId="170"/>
    <cellStyle name="40% - Accent1 7" xfId="171"/>
    <cellStyle name="40% - Accent1 7 2" xfId="172"/>
    <cellStyle name="40% - Accent1_Q.W. ADMINISTRACIULI SENOBA" xfId="173"/>
    <cellStyle name="40% - Accent2" xfId="174"/>
    <cellStyle name="40% - Accent2 2" xfId="175"/>
    <cellStyle name="40% - Accent2 2 2" xfId="176"/>
    <cellStyle name="40% - Accent2 2 2 2" xfId="177"/>
    <cellStyle name="40% - Accent2 2 3" xfId="178"/>
    <cellStyle name="40% - Accent2 2 3 2" xfId="179"/>
    <cellStyle name="40% - Accent2 2 4" xfId="180"/>
    <cellStyle name="40% - Accent2 2 4 2" xfId="181"/>
    <cellStyle name="40% - Accent2 2 5" xfId="182"/>
    <cellStyle name="40% - Accent2 2 5 2" xfId="183"/>
    <cellStyle name="40% - Accent2 2 6" xfId="184"/>
    <cellStyle name="40% - Accent2 3" xfId="185"/>
    <cellStyle name="40% - Accent2 3 2" xfId="186"/>
    <cellStyle name="40% - Accent2 4" xfId="187"/>
    <cellStyle name="40% - Accent2 4 2" xfId="188"/>
    <cellStyle name="40% - Accent2 4 2 2" xfId="189"/>
    <cellStyle name="40% - Accent2 4 3" xfId="190"/>
    <cellStyle name="40% - Accent2 5" xfId="191"/>
    <cellStyle name="40% - Accent2 5 2" xfId="192"/>
    <cellStyle name="40% - Accent2 6" xfId="193"/>
    <cellStyle name="40% - Accent2 6 2" xfId="194"/>
    <cellStyle name="40% - Accent2 7" xfId="195"/>
    <cellStyle name="40% - Accent2 7 2" xfId="196"/>
    <cellStyle name="40% - Accent2_Q.W. ADMINISTRACIULI SENOBA" xfId="197"/>
    <cellStyle name="40% - Accent3" xfId="198"/>
    <cellStyle name="40% - Accent3 2" xfId="199"/>
    <cellStyle name="40% - Accent3 2 2" xfId="200"/>
    <cellStyle name="40% - Accent3 2 2 2" xfId="201"/>
    <cellStyle name="40% - Accent3 2 3" xfId="202"/>
    <cellStyle name="40% - Accent3 2 3 2" xfId="203"/>
    <cellStyle name="40% - Accent3 2 4" xfId="204"/>
    <cellStyle name="40% - Accent3 2 4 2" xfId="205"/>
    <cellStyle name="40% - Accent3 2 5" xfId="206"/>
    <cellStyle name="40% - Accent3 2 5 2" xfId="207"/>
    <cellStyle name="40% - Accent3 2 6" xfId="208"/>
    <cellStyle name="40% - Accent3 3" xfId="209"/>
    <cellStyle name="40% - Accent3 3 2" xfId="210"/>
    <cellStyle name="40% - Accent3 4" xfId="211"/>
    <cellStyle name="40% - Accent3 4 2" xfId="212"/>
    <cellStyle name="40% - Accent3 4 2 2" xfId="213"/>
    <cellStyle name="40% - Accent3 4 3" xfId="214"/>
    <cellStyle name="40% - Accent3 5" xfId="215"/>
    <cellStyle name="40% - Accent3 5 2" xfId="216"/>
    <cellStyle name="40% - Accent3 6" xfId="217"/>
    <cellStyle name="40% - Accent3 6 2" xfId="218"/>
    <cellStyle name="40% - Accent3 7" xfId="219"/>
    <cellStyle name="40% - Accent3 7 2" xfId="220"/>
    <cellStyle name="40% - Accent3_Q.W. ADMINISTRACIULI SENOBA" xfId="221"/>
    <cellStyle name="40% - Accent4" xfId="222"/>
    <cellStyle name="40% - Accent4 2" xfId="223"/>
    <cellStyle name="40% - Accent4 2 2" xfId="224"/>
    <cellStyle name="40% - Accent4 2 2 2" xfId="225"/>
    <cellStyle name="40% - Accent4 2 3" xfId="226"/>
    <cellStyle name="40% - Accent4 2 3 2" xfId="227"/>
    <cellStyle name="40% - Accent4 2 4" xfId="228"/>
    <cellStyle name="40% - Accent4 2 4 2" xfId="229"/>
    <cellStyle name="40% - Accent4 2 5" xfId="230"/>
    <cellStyle name="40% - Accent4 2 5 2" xfId="231"/>
    <cellStyle name="40% - Accent4 2 6" xfId="232"/>
    <cellStyle name="40% - Accent4 3" xfId="233"/>
    <cellStyle name="40% - Accent4 3 2" xfId="234"/>
    <cellStyle name="40% - Accent4 4" xfId="235"/>
    <cellStyle name="40% - Accent4 4 2" xfId="236"/>
    <cellStyle name="40% - Accent4 4 2 2" xfId="237"/>
    <cellStyle name="40% - Accent4 4 3" xfId="238"/>
    <cellStyle name="40% - Accent4 5" xfId="239"/>
    <cellStyle name="40% - Accent4 5 2" xfId="240"/>
    <cellStyle name="40% - Accent4 6" xfId="241"/>
    <cellStyle name="40% - Accent4 6 2" xfId="242"/>
    <cellStyle name="40% - Accent4 7" xfId="243"/>
    <cellStyle name="40% - Accent4 7 2" xfId="244"/>
    <cellStyle name="40% - Accent4_Q.W. ADMINISTRACIULI SENOBA" xfId="245"/>
    <cellStyle name="40% - Accent5" xfId="246"/>
    <cellStyle name="40% - Accent5 2" xfId="247"/>
    <cellStyle name="40% - Accent5 2 2" xfId="248"/>
    <cellStyle name="40% - Accent5 2 2 2" xfId="249"/>
    <cellStyle name="40% - Accent5 2 3" xfId="250"/>
    <cellStyle name="40% - Accent5 2 3 2" xfId="251"/>
    <cellStyle name="40% - Accent5 2 4" xfId="252"/>
    <cellStyle name="40% - Accent5 2 4 2" xfId="253"/>
    <cellStyle name="40% - Accent5 2 5" xfId="254"/>
    <cellStyle name="40% - Accent5 2 5 2" xfId="255"/>
    <cellStyle name="40% - Accent5 2 6" xfId="256"/>
    <cellStyle name="40% - Accent5 3" xfId="257"/>
    <cellStyle name="40% - Accent5 3 2" xfId="258"/>
    <cellStyle name="40% - Accent5 4" xfId="259"/>
    <cellStyle name="40% - Accent5 4 2" xfId="260"/>
    <cellStyle name="40% - Accent5 4 2 2" xfId="261"/>
    <cellStyle name="40% - Accent5 4 3" xfId="262"/>
    <cellStyle name="40% - Accent5 5" xfId="263"/>
    <cellStyle name="40% - Accent5 5 2" xfId="264"/>
    <cellStyle name="40% - Accent5 6" xfId="265"/>
    <cellStyle name="40% - Accent5 6 2" xfId="266"/>
    <cellStyle name="40% - Accent5 7" xfId="267"/>
    <cellStyle name="40% - Accent5 7 2" xfId="268"/>
    <cellStyle name="40% - Accent5_Q.W. ADMINISTRACIULI SENOBA" xfId="269"/>
    <cellStyle name="40% - Accent6" xfId="270"/>
    <cellStyle name="40% - Accent6 2" xfId="271"/>
    <cellStyle name="40% - Accent6 2 2" xfId="272"/>
    <cellStyle name="40% - Accent6 2 2 2" xfId="273"/>
    <cellStyle name="40% - Accent6 2 3" xfId="274"/>
    <cellStyle name="40% - Accent6 2 3 2" xfId="275"/>
    <cellStyle name="40% - Accent6 2 4" xfId="276"/>
    <cellStyle name="40% - Accent6 2 4 2" xfId="277"/>
    <cellStyle name="40% - Accent6 2 5" xfId="278"/>
    <cellStyle name="40% - Accent6 2 5 2" xfId="279"/>
    <cellStyle name="40% - Accent6 2 6" xfId="280"/>
    <cellStyle name="40% - Accent6 3" xfId="281"/>
    <cellStyle name="40% - Accent6 3 2" xfId="282"/>
    <cellStyle name="40% - Accent6 4" xfId="283"/>
    <cellStyle name="40% - Accent6 4 2" xfId="284"/>
    <cellStyle name="40% - Accent6 4 2 2" xfId="285"/>
    <cellStyle name="40% - Accent6 4 3" xfId="286"/>
    <cellStyle name="40% - Accent6 5" xfId="287"/>
    <cellStyle name="40% - Accent6 5 2" xfId="288"/>
    <cellStyle name="40% - Accent6 6" xfId="289"/>
    <cellStyle name="40% - Accent6 6 2" xfId="290"/>
    <cellStyle name="40% - Accent6 7" xfId="291"/>
    <cellStyle name="40% - Accent6 7 2" xfId="292"/>
    <cellStyle name="40% - Accent6_Q.W. ADMINISTRACIULI SENOBA" xfId="293"/>
    <cellStyle name="60% - Accent1" xfId="294"/>
    <cellStyle name="60% - Accent1 2" xfId="295"/>
    <cellStyle name="60% - Accent1 2 2" xfId="296"/>
    <cellStyle name="60% - Accent1 2 3" xfId="297"/>
    <cellStyle name="60% - Accent1 2 4" xfId="298"/>
    <cellStyle name="60% - Accent1 2 5" xfId="299"/>
    <cellStyle name="60% - Accent1 3" xfId="300"/>
    <cellStyle name="60% - Accent1 4" xfId="301"/>
    <cellStyle name="60% - Accent1 4 2" xfId="302"/>
    <cellStyle name="60% - Accent1 5" xfId="303"/>
    <cellStyle name="60% - Accent1 6" xfId="304"/>
    <cellStyle name="60% - Accent1 7" xfId="305"/>
    <cellStyle name="60% - Accent2" xfId="306"/>
    <cellStyle name="60% - Accent2 2" xfId="307"/>
    <cellStyle name="60% - Accent2 2 2" xfId="308"/>
    <cellStyle name="60% - Accent2 2 3" xfId="309"/>
    <cellStyle name="60% - Accent2 2 4" xfId="310"/>
    <cellStyle name="60% - Accent2 2 5" xfId="311"/>
    <cellStyle name="60% - Accent2 3" xfId="312"/>
    <cellStyle name="60% - Accent2 4" xfId="313"/>
    <cellStyle name="60% - Accent2 4 2" xfId="314"/>
    <cellStyle name="60% - Accent2 5" xfId="315"/>
    <cellStyle name="60% - Accent2 6" xfId="316"/>
    <cellStyle name="60% - Accent2 7" xfId="317"/>
    <cellStyle name="60% - Accent3" xfId="318"/>
    <cellStyle name="60% - Accent3 2" xfId="319"/>
    <cellStyle name="60% - Accent3 2 2" xfId="320"/>
    <cellStyle name="60% - Accent3 2 3" xfId="321"/>
    <cellStyle name="60% - Accent3 2 4" xfId="322"/>
    <cellStyle name="60% - Accent3 2 5" xfId="323"/>
    <cellStyle name="60% - Accent3 3" xfId="324"/>
    <cellStyle name="60% - Accent3 4" xfId="325"/>
    <cellStyle name="60% - Accent3 4 2" xfId="326"/>
    <cellStyle name="60% - Accent3 5" xfId="327"/>
    <cellStyle name="60% - Accent3 6" xfId="328"/>
    <cellStyle name="60% - Accent3 7" xfId="329"/>
    <cellStyle name="60% - Accent4" xfId="330"/>
    <cellStyle name="60% - Accent4 2" xfId="331"/>
    <cellStyle name="60% - Accent4 2 2" xfId="332"/>
    <cellStyle name="60% - Accent4 2 3" xfId="333"/>
    <cellStyle name="60% - Accent4 2 4" xfId="334"/>
    <cellStyle name="60% - Accent4 2 5" xfId="335"/>
    <cellStyle name="60% - Accent4 3" xfId="336"/>
    <cellStyle name="60% - Accent4 4" xfId="337"/>
    <cellStyle name="60% - Accent4 4 2" xfId="338"/>
    <cellStyle name="60% - Accent4 5" xfId="339"/>
    <cellStyle name="60% - Accent4 6" xfId="340"/>
    <cellStyle name="60% - Accent4 7" xfId="341"/>
    <cellStyle name="60% - Accent5" xfId="342"/>
    <cellStyle name="60% - Accent5 2" xfId="343"/>
    <cellStyle name="60% - Accent5 2 2" xfId="344"/>
    <cellStyle name="60% - Accent5 2 3" xfId="345"/>
    <cellStyle name="60% - Accent5 2 4" xfId="346"/>
    <cellStyle name="60% - Accent5 2 5" xfId="347"/>
    <cellStyle name="60% - Accent5 3" xfId="348"/>
    <cellStyle name="60% - Accent5 4" xfId="349"/>
    <cellStyle name="60% - Accent5 4 2" xfId="350"/>
    <cellStyle name="60% - Accent5 5" xfId="351"/>
    <cellStyle name="60% - Accent5 6" xfId="352"/>
    <cellStyle name="60% - Accent5 7" xfId="353"/>
    <cellStyle name="60% - Accent6" xfId="354"/>
    <cellStyle name="60% - Accent6 2" xfId="355"/>
    <cellStyle name="60% - Accent6 2 2" xfId="356"/>
    <cellStyle name="60% - Accent6 2 3" xfId="357"/>
    <cellStyle name="60% - Accent6 2 4" xfId="358"/>
    <cellStyle name="60% - Accent6 2 5" xfId="359"/>
    <cellStyle name="60% - Accent6 3" xfId="360"/>
    <cellStyle name="60% - Accent6 4" xfId="361"/>
    <cellStyle name="60% - Accent6 4 2" xfId="362"/>
    <cellStyle name="60% - Accent6 5" xfId="363"/>
    <cellStyle name="60% - Accent6 6" xfId="364"/>
    <cellStyle name="60% - Accent6 7" xfId="365"/>
    <cellStyle name="Accent1" xfId="366"/>
    <cellStyle name="Accent1 2" xfId="367"/>
    <cellStyle name="Accent1 2 2" xfId="368"/>
    <cellStyle name="Accent1 2 3" xfId="369"/>
    <cellStyle name="Accent1 2 4" xfId="370"/>
    <cellStyle name="Accent1 2 5" xfId="371"/>
    <cellStyle name="Accent1 3" xfId="372"/>
    <cellStyle name="Accent1 4" xfId="373"/>
    <cellStyle name="Accent1 4 2" xfId="374"/>
    <cellStyle name="Accent1 5" xfId="375"/>
    <cellStyle name="Accent1 6" xfId="376"/>
    <cellStyle name="Accent1 7" xfId="377"/>
    <cellStyle name="Accent2" xfId="378"/>
    <cellStyle name="Accent2 2" xfId="379"/>
    <cellStyle name="Accent2 2 2" xfId="380"/>
    <cellStyle name="Accent2 2 3" xfId="381"/>
    <cellStyle name="Accent2 2 4" xfId="382"/>
    <cellStyle name="Accent2 2 5" xfId="383"/>
    <cellStyle name="Accent2 3" xfId="384"/>
    <cellStyle name="Accent2 4" xfId="385"/>
    <cellStyle name="Accent2 4 2" xfId="386"/>
    <cellStyle name="Accent2 5" xfId="387"/>
    <cellStyle name="Accent2 6" xfId="388"/>
    <cellStyle name="Accent2 7" xfId="389"/>
    <cellStyle name="Accent3" xfId="390"/>
    <cellStyle name="Accent3 2" xfId="391"/>
    <cellStyle name="Accent3 2 2" xfId="392"/>
    <cellStyle name="Accent3 2 3" xfId="393"/>
    <cellStyle name="Accent3 2 4" xfId="394"/>
    <cellStyle name="Accent3 2 5" xfId="395"/>
    <cellStyle name="Accent3 3" xfId="396"/>
    <cellStyle name="Accent3 4" xfId="397"/>
    <cellStyle name="Accent3 4 2" xfId="398"/>
    <cellStyle name="Accent3 5" xfId="399"/>
    <cellStyle name="Accent3 6" xfId="400"/>
    <cellStyle name="Accent3 7" xfId="401"/>
    <cellStyle name="Accent4" xfId="402"/>
    <cellStyle name="Accent4 2" xfId="403"/>
    <cellStyle name="Accent4 2 2" xfId="404"/>
    <cellStyle name="Accent4 2 3" xfId="405"/>
    <cellStyle name="Accent4 2 4" xfId="406"/>
    <cellStyle name="Accent4 2 5" xfId="407"/>
    <cellStyle name="Accent4 3" xfId="408"/>
    <cellStyle name="Accent4 4" xfId="409"/>
    <cellStyle name="Accent4 4 2" xfId="410"/>
    <cellStyle name="Accent4 5" xfId="411"/>
    <cellStyle name="Accent4 6" xfId="412"/>
    <cellStyle name="Accent4 7" xfId="413"/>
    <cellStyle name="Accent5" xfId="414"/>
    <cellStyle name="Accent5 2" xfId="415"/>
    <cellStyle name="Accent5 2 2" xfId="416"/>
    <cellStyle name="Accent5 2 3" xfId="417"/>
    <cellStyle name="Accent5 2 4" xfId="418"/>
    <cellStyle name="Accent5 2 5" xfId="419"/>
    <cellStyle name="Accent5 3" xfId="420"/>
    <cellStyle name="Accent5 4" xfId="421"/>
    <cellStyle name="Accent5 4 2" xfId="422"/>
    <cellStyle name="Accent5 5" xfId="423"/>
    <cellStyle name="Accent5 6" xfId="424"/>
    <cellStyle name="Accent5 7" xfId="425"/>
    <cellStyle name="Accent6" xfId="426"/>
    <cellStyle name="Accent6 2" xfId="427"/>
    <cellStyle name="Accent6 2 2" xfId="428"/>
    <cellStyle name="Accent6 2 3" xfId="429"/>
    <cellStyle name="Accent6 2 4" xfId="430"/>
    <cellStyle name="Accent6 2 5" xfId="431"/>
    <cellStyle name="Accent6 3" xfId="432"/>
    <cellStyle name="Accent6 4" xfId="433"/>
    <cellStyle name="Accent6 4 2" xfId="434"/>
    <cellStyle name="Accent6 5" xfId="435"/>
    <cellStyle name="Accent6 6" xfId="436"/>
    <cellStyle name="Accent6 7" xfId="437"/>
    <cellStyle name="Bad" xfId="438"/>
    <cellStyle name="Bad 2" xfId="439"/>
    <cellStyle name="Bad 2 2" xfId="440"/>
    <cellStyle name="Bad 2 3" xfId="441"/>
    <cellStyle name="Bad 2 4" xfId="442"/>
    <cellStyle name="Bad 2 5" xfId="443"/>
    <cellStyle name="Bad 3" xfId="444"/>
    <cellStyle name="Bad 4" xfId="445"/>
    <cellStyle name="Bad 4 2" xfId="446"/>
    <cellStyle name="Bad 5" xfId="447"/>
    <cellStyle name="Bad 6" xfId="448"/>
    <cellStyle name="Bad 7" xfId="449"/>
    <cellStyle name="Calculation" xfId="450"/>
    <cellStyle name="Calculation 2" xfId="451"/>
    <cellStyle name="Calculation 2 2" xfId="452"/>
    <cellStyle name="Calculation 2 3" xfId="453"/>
    <cellStyle name="Calculation 2 4" xfId="454"/>
    <cellStyle name="Calculation 2 5" xfId="455"/>
    <cellStyle name="Calculation 2_anakia II etapi.xls sm. defeqturi" xfId="456"/>
    <cellStyle name="Calculation 3" xfId="457"/>
    <cellStyle name="Calculation 4" xfId="458"/>
    <cellStyle name="Calculation 4 2" xfId="459"/>
    <cellStyle name="Calculation 4_anakia II etapi.xls sm. defeqturi" xfId="460"/>
    <cellStyle name="Calculation 5" xfId="461"/>
    <cellStyle name="Calculation 6" xfId="462"/>
    <cellStyle name="Calculation 7" xfId="463"/>
    <cellStyle name="Check Cell" xfId="464"/>
    <cellStyle name="Check Cell 2" xfId="465"/>
    <cellStyle name="Check Cell 2 2" xfId="466"/>
    <cellStyle name="Check Cell 2 3" xfId="467"/>
    <cellStyle name="Check Cell 2 4" xfId="468"/>
    <cellStyle name="Check Cell 2 5" xfId="469"/>
    <cellStyle name="Check Cell 2_anakia II etapi.xls sm. defeqturi" xfId="470"/>
    <cellStyle name="Check Cell 3" xfId="471"/>
    <cellStyle name="Check Cell 4" xfId="472"/>
    <cellStyle name="Check Cell 4 2" xfId="473"/>
    <cellStyle name="Check Cell 4_anakia II etapi.xls sm. defeqturi" xfId="474"/>
    <cellStyle name="Check Cell 5" xfId="475"/>
    <cellStyle name="Check Cell 6" xfId="476"/>
    <cellStyle name="Check Cell 7" xfId="477"/>
    <cellStyle name="Comma" xfId="1" builtinId="3"/>
    <cellStyle name="Comma 10" xfId="479"/>
    <cellStyle name="Comma 10 2" xfId="480"/>
    <cellStyle name="Comma 11" xfId="481"/>
    <cellStyle name="Comma 12" xfId="482"/>
    <cellStyle name="Comma 12 2" xfId="483"/>
    <cellStyle name="Comma 12 3" xfId="484"/>
    <cellStyle name="Comma 12 4" xfId="485"/>
    <cellStyle name="Comma 12 5" xfId="486"/>
    <cellStyle name="Comma 12 6" xfId="487"/>
    <cellStyle name="Comma 12 7" xfId="488"/>
    <cellStyle name="Comma 12 8" xfId="489"/>
    <cellStyle name="Comma 13" xfId="490"/>
    <cellStyle name="Comma 14" xfId="491"/>
    <cellStyle name="Comma 15" xfId="492"/>
    <cellStyle name="Comma 15 2" xfId="493"/>
    <cellStyle name="Comma 15 3" xfId="904"/>
    <cellStyle name="Comma 15 4" xfId="930"/>
    <cellStyle name="Comma 16" xfId="494"/>
    <cellStyle name="Comma 16 2" xfId="905"/>
    <cellStyle name="Comma 17" xfId="495"/>
    <cellStyle name="Comma 17 2" xfId="496"/>
    <cellStyle name="Comma 17 3" xfId="906"/>
    <cellStyle name="Comma 18" xfId="497"/>
    <cellStyle name="Comma 19" xfId="498"/>
    <cellStyle name="Comma 2" xfId="499"/>
    <cellStyle name="Comma 2 2" xfId="500"/>
    <cellStyle name="Comma 2 2 2" xfId="501"/>
    <cellStyle name="Comma 2 2 2 2" xfId="908"/>
    <cellStyle name="Comma 2 2 3" xfId="502"/>
    <cellStyle name="Comma 2 2 4" xfId="907"/>
    <cellStyle name="Comma 2 3" xfId="503"/>
    <cellStyle name="Comma 20" xfId="504"/>
    <cellStyle name="Comma 3" xfId="505"/>
    <cellStyle name="Comma 3 2" xfId="910"/>
    <cellStyle name="Comma 3 3" xfId="909"/>
    <cellStyle name="Comma 4" xfId="506"/>
    <cellStyle name="Comma 4 2" xfId="911"/>
    <cellStyle name="Comma 5" xfId="507"/>
    <cellStyle name="Comma 6" xfId="508"/>
    <cellStyle name="Comma 7" xfId="509"/>
    <cellStyle name="Comma 8" xfId="510"/>
    <cellStyle name="Comma 9" xfId="511"/>
    <cellStyle name="Currency 2" xfId="912"/>
    <cellStyle name="Explanatory Text" xfId="512"/>
    <cellStyle name="Explanatory Text 2" xfId="513"/>
    <cellStyle name="Explanatory Text 2 2" xfId="514"/>
    <cellStyle name="Explanatory Text 2 3" xfId="515"/>
    <cellStyle name="Explanatory Text 2 4" xfId="516"/>
    <cellStyle name="Explanatory Text 2 5" xfId="517"/>
    <cellStyle name="Explanatory Text 3" xfId="518"/>
    <cellStyle name="Explanatory Text 4" xfId="519"/>
    <cellStyle name="Explanatory Text 4 2" xfId="520"/>
    <cellStyle name="Explanatory Text 5" xfId="521"/>
    <cellStyle name="Explanatory Text 6" xfId="522"/>
    <cellStyle name="Explanatory Text 7" xfId="523"/>
    <cellStyle name="Good" xfId="524"/>
    <cellStyle name="Good 2" xfId="525"/>
    <cellStyle name="Good 2 2" xfId="526"/>
    <cellStyle name="Good 2 3" xfId="527"/>
    <cellStyle name="Good 2 4" xfId="528"/>
    <cellStyle name="Good 2 5" xfId="529"/>
    <cellStyle name="Good 3" xfId="530"/>
    <cellStyle name="Good 4" xfId="531"/>
    <cellStyle name="Good 4 2" xfId="532"/>
    <cellStyle name="Good 5" xfId="533"/>
    <cellStyle name="Good 6" xfId="534"/>
    <cellStyle name="Good 7" xfId="535"/>
    <cellStyle name="Heading 1" xfId="536"/>
    <cellStyle name="Heading 1 2" xfId="537"/>
    <cellStyle name="Heading 1 2 2" xfId="538"/>
    <cellStyle name="Heading 1 2 3" xfId="539"/>
    <cellStyle name="Heading 1 2 4" xfId="540"/>
    <cellStyle name="Heading 1 2 5" xfId="541"/>
    <cellStyle name="Heading 1 2_anakia II etapi.xls sm. defeqturi" xfId="542"/>
    <cellStyle name="Heading 1 3" xfId="543"/>
    <cellStyle name="Heading 1 4" xfId="544"/>
    <cellStyle name="Heading 1 4 2" xfId="545"/>
    <cellStyle name="Heading 1 4_anakia II etapi.xls sm. defeqturi" xfId="546"/>
    <cellStyle name="Heading 1 5" xfId="547"/>
    <cellStyle name="Heading 1 6" xfId="548"/>
    <cellStyle name="Heading 1 7" xfId="549"/>
    <cellStyle name="Heading 2" xfId="550"/>
    <cellStyle name="Heading 2 2" xfId="551"/>
    <cellStyle name="Heading 2 2 2" xfId="552"/>
    <cellStyle name="Heading 2 2 3" xfId="553"/>
    <cellStyle name="Heading 2 2 4" xfId="554"/>
    <cellStyle name="Heading 2 2 5" xfId="555"/>
    <cellStyle name="Heading 2 2_anakia II etapi.xls sm. defeqturi" xfId="556"/>
    <cellStyle name="Heading 2 3" xfId="557"/>
    <cellStyle name="Heading 2 4" xfId="558"/>
    <cellStyle name="Heading 2 4 2" xfId="559"/>
    <cellStyle name="Heading 2 4_anakia II etapi.xls sm. defeqturi" xfId="560"/>
    <cellStyle name="Heading 2 5" xfId="561"/>
    <cellStyle name="Heading 2 6" xfId="562"/>
    <cellStyle name="Heading 2 7" xfId="563"/>
    <cellStyle name="Heading 3" xfId="564"/>
    <cellStyle name="Heading 3 2" xfId="565"/>
    <cellStyle name="Heading 3 2 2" xfId="566"/>
    <cellStyle name="Heading 3 2 3" xfId="567"/>
    <cellStyle name="Heading 3 2 4" xfId="568"/>
    <cellStyle name="Heading 3 2 5" xfId="569"/>
    <cellStyle name="Heading 3 2_anakia II etapi.xls sm. defeqturi" xfId="570"/>
    <cellStyle name="Heading 3 3" xfId="571"/>
    <cellStyle name="Heading 3 4" xfId="572"/>
    <cellStyle name="Heading 3 4 2" xfId="573"/>
    <cellStyle name="Heading 3 4_anakia II etapi.xls sm. defeqturi" xfId="574"/>
    <cellStyle name="Heading 3 5" xfId="575"/>
    <cellStyle name="Heading 3 6" xfId="576"/>
    <cellStyle name="Heading 3 7" xfId="577"/>
    <cellStyle name="Heading 4" xfId="578"/>
    <cellStyle name="Heading 4 2" xfId="579"/>
    <cellStyle name="Heading 4 2 2" xfId="580"/>
    <cellStyle name="Heading 4 2 3" xfId="581"/>
    <cellStyle name="Heading 4 2 4" xfId="582"/>
    <cellStyle name="Heading 4 2 5" xfId="583"/>
    <cellStyle name="Heading 4 3" xfId="584"/>
    <cellStyle name="Heading 4 4" xfId="585"/>
    <cellStyle name="Heading 4 4 2" xfId="586"/>
    <cellStyle name="Heading 4 5" xfId="587"/>
    <cellStyle name="Heading 4 6" xfId="588"/>
    <cellStyle name="Heading 4 7" xfId="589"/>
    <cellStyle name="Hyperlink 2" xfId="590"/>
    <cellStyle name="Hyperlink 2 2" xfId="914"/>
    <cellStyle name="Hyperlink 2 3" xfId="913"/>
    <cellStyle name="Input" xfId="591"/>
    <cellStyle name="Input 2" xfId="592"/>
    <cellStyle name="Input 2 2" xfId="593"/>
    <cellStyle name="Input 2 3" xfId="594"/>
    <cellStyle name="Input 2 4" xfId="595"/>
    <cellStyle name="Input 2 5" xfId="596"/>
    <cellStyle name="Input 2_anakia II etapi.xls sm. defeqturi" xfId="597"/>
    <cellStyle name="Input 3" xfId="598"/>
    <cellStyle name="Input 4" xfId="599"/>
    <cellStyle name="Input 4 2" xfId="600"/>
    <cellStyle name="Input 4_anakia II etapi.xls sm. defeqturi" xfId="601"/>
    <cellStyle name="Input 5" xfId="602"/>
    <cellStyle name="Input 6" xfId="603"/>
    <cellStyle name="Input 7" xfId="604"/>
    <cellStyle name="Linked Cell" xfId="605"/>
    <cellStyle name="Linked Cell 2" xfId="606"/>
    <cellStyle name="Linked Cell 2 2" xfId="607"/>
    <cellStyle name="Linked Cell 2 3" xfId="608"/>
    <cellStyle name="Linked Cell 2 4" xfId="609"/>
    <cellStyle name="Linked Cell 2 5" xfId="610"/>
    <cellStyle name="Linked Cell 2_anakia II etapi.xls sm. defeqturi" xfId="611"/>
    <cellStyle name="Linked Cell 3" xfId="612"/>
    <cellStyle name="Linked Cell 4" xfId="613"/>
    <cellStyle name="Linked Cell 4 2" xfId="614"/>
    <cellStyle name="Linked Cell 4_anakia II etapi.xls sm. defeqturi" xfId="615"/>
    <cellStyle name="Linked Cell 5" xfId="616"/>
    <cellStyle name="Linked Cell 6" xfId="617"/>
    <cellStyle name="Linked Cell 7" xfId="618"/>
    <cellStyle name="Neutral" xfId="619"/>
    <cellStyle name="Neutral 2" xfId="620"/>
    <cellStyle name="Neutral 2 2" xfId="621"/>
    <cellStyle name="Neutral 2 3" xfId="622"/>
    <cellStyle name="Neutral 2 4" xfId="623"/>
    <cellStyle name="Neutral 2 5" xfId="624"/>
    <cellStyle name="Neutral 3" xfId="625"/>
    <cellStyle name="Neutral 4" xfId="626"/>
    <cellStyle name="Neutral 4 2" xfId="627"/>
    <cellStyle name="Neutral 5" xfId="628"/>
    <cellStyle name="Neutral 6" xfId="629"/>
    <cellStyle name="Neutral 7" xfId="630"/>
    <cellStyle name="Normal" xfId="0" builtinId="0"/>
    <cellStyle name="Normal 10" xfId="631"/>
    <cellStyle name="Normal 10 2" xfId="632"/>
    <cellStyle name="Normal 11" xfId="633"/>
    <cellStyle name="Normal 11 2" xfId="634"/>
    <cellStyle name="Normal 11 2 2" xfId="635"/>
    <cellStyle name="Normal 11 3" xfId="636"/>
    <cellStyle name="Normal 11_GAZI-2010" xfId="637"/>
    <cellStyle name="Normal 12" xfId="638"/>
    <cellStyle name="Normal 12 2" xfId="639"/>
    <cellStyle name="Normal 12_gazis gare qseli" xfId="640"/>
    <cellStyle name="Normal 13" xfId="641"/>
    <cellStyle name="Normal 13 2" xfId="642"/>
    <cellStyle name="Normal 13 2 2" xfId="643"/>
    <cellStyle name="Normal 13 2 3" xfId="644"/>
    <cellStyle name="Normal 13 3" xfId="645"/>
    <cellStyle name="Normal 13 3 2" xfId="646"/>
    <cellStyle name="Normal 13 3 3" xfId="647"/>
    <cellStyle name="Normal 13 3 3 2" xfId="648"/>
    <cellStyle name="Normal 13 3 3 3" xfId="649"/>
    <cellStyle name="Normal 13 3 4" xfId="650"/>
    <cellStyle name="Normal 13 3 5" xfId="651"/>
    <cellStyle name="Normal 13 4" xfId="652"/>
    <cellStyle name="Normal 13 5" xfId="653"/>
    <cellStyle name="Normal 13 5 2" xfId="654"/>
    <cellStyle name="Normal 13 5 3" xfId="655"/>
    <cellStyle name="Normal 13 5 3 2" xfId="656"/>
    <cellStyle name="Normal 13 5 3 3" xfId="657"/>
    <cellStyle name="Normal 13 5 3 4" xfId="658"/>
    <cellStyle name="Normal 13 5 4" xfId="659"/>
    <cellStyle name="Normal 13 6" xfId="660"/>
    <cellStyle name="Normal 13 7" xfId="661"/>
    <cellStyle name="Normal 13 8" xfId="662"/>
    <cellStyle name="Normal 13_# 6-1 27.01.12 - копия (1)" xfId="663"/>
    <cellStyle name="Normal 14" xfId="664"/>
    <cellStyle name="Normal 14 2" xfId="665"/>
    <cellStyle name="Normal 14 3" xfId="666"/>
    <cellStyle name="Normal 14 3 2" xfId="667"/>
    <cellStyle name="Normal 14 4" xfId="668"/>
    <cellStyle name="Normal 14 5" xfId="669"/>
    <cellStyle name="Normal 14 6" xfId="670"/>
    <cellStyle name="Normal 14_anakia II etapi.xls sm. defeqturi" xfId="671"/>
    <cellStyle name="Normal 15" xfId="672"/>
    <cellStyle name="Normal 16" xfId="673"/>
    <cellStyle name="Normal 16 2" xfId="674"/>
    <cellStyle name="Normal 16 3" xfId="675"/>
    <cellStyle name="Normal 16 4" xfId="676"/>
    <cellStyle name="Normal 16_# 6-1 27.01.12 - копия (1)" xfId="677"/>
    <cellStyle name="Normal 17" xfId="678"/>
    <cellStyle name="Normal 18" xfId="679"/>
    <cellStyle name="Normal 19" xfId="680"/>
    <cellStyle name="Normal 2" xfId="4"/>
    <cellStyle name="Normal 2 10" xfId="682"/>
    <cellStyle name="Normal 2 11" xfId="683"/>
    <cellStyle name="Normal 2 12" xfId="681"/>
    <cellStyle name="Normal 2 13" xfId="940"/>
    <cellStyle name="Normal 2 2" xfId="684"/>
    <cellStyle name="Normal 2 2 2" xfId="685"/>
    <cellStyle name="Normal 2 2 3" xfId="686"/>
    <cellStyle name="Normal 2 2 4" xfId="687"/>
    <cellStyle name="Normal 2 2 5" xfId="688"/>
    <cellStyle name="Normal 2 2 6" xfId="689"/>
    <cellStyle name="Normal 2 2 7" xfId="690"/>
    <cellStyle name="Normal 2 2_2D4CD000" xfId="691"/>
    <cellStyle name="Normal 2 3" xfId="692"/>
    <cellStyle name="Normal 2 3 2" xfId="915"/>
    <cellStyle name="Normal 2 4" xfId="693"/>
    <cellStyle name="Normal 2 5" xfId="694"/>
    <cellStyle name="Normal 2 6" xfId="695"/>
    <cellStyle name="Normal 2 7" xfId="696"/>
    <cellStyle name="Normal 2 7 2" xfId="697"/>
    <cellStyle name="Normal 2 7 3" xfId="698"/>
    <cellStyle name="Normal 2 7_anakia II etapi.xls sm. defeqturi" xfId="699"/>
    <cellStyle name="Normal 2 8" xfId="700"/>
    <cellStyle name="Normal 2 9" xfId="701"/>
    <cellStyle name="Normal 2_anakia II etapi.xls sm. defeqturi" xfId="702"/>
    <cellStyle name="Normal 20" xfId="703"/>
    <cellStyle name="Normal 21" xfId="704"/>
    <cellStyle name="Normal 22" xfId="705"/>
    <cellStyle name="Normal 23" xfId="706"/>
    <cellStyle name="Normal 24" xfId="707"/>
    <cellStyle name="Normal 25" xfId="708"/>
    <cellStyle name="Normal 26" xfId="709"/>
    <cellStyle name="Normal 27" xfId="710"/>
    <cellStyle name="Normal 28" xfId="711"/>
    <cellStyle name="Normal 29" xfId="712"/>
    <cellStyle name="Normal 29 2" xfId="713"/>
    <cellStyle name="Normal 3" xfId="2"/>
    <cellStyle name="Normal 3 2" xfId="714"/>
    <cellStyle name="Normal 3 2 2" xfId="715"/>
    <cellStyle name="Normal 3 2 3" xfId="917"/>
    <cellStyle name="Normal 3 2_anakia II etapi.xls sm. defeqturi" xfId="716"/>
    <cellStyle name="Normal 3 3" xfId="717"/>
    <cellStyle name="Normal 3 4" xfId="916"/>
    <cellStyle name="Normal 3 5" xfId="941"/>
    <cellStyle name="Normal 3 6" xfId="945"/>
    <cellStyle name="Normal 3 7" xfId="944"/>
    <cellStyle name="Normal 30" xfId="718"/>
    <cellStyle name="Normal 30 2" xfId="719"/>
    <cellStyle name="Normal 31" xfId="720"/>
    <cellStyle name="Normal 32" xfId="721"/>
    <cellStyle name="Normal 32 2" xfId="722"/>
    <cellStyle name="Normal 32 2 2" xfId="723"/>
    <cellStyle name="Normal 32 3" xfId="724"/>
    <cellStyle name="Normal 32 3 2" xfId="725"/>
    <cellStyle name="Normal 32 3 2 2" xfId="726"/>
    <cellStyle name="Normal 32 4" xfId="727"/>
    <cellStyle name="Normal 32_# 6-1 27.01.12 - копия (1)" xfId="728"/>
    <cellStyle name="Normal 33" xfId="729"/>
    <cellStyle name="Normal 33 2" xfId="730"/>
    <cellStyle name="Normal 34" xfId="731"/>
    <cellStyle name="Normal 35" xfId="732"/>
    <cellStyle name="Normal 35 2" xfId="733"/>
    <cellStyle name="Normal 35 3" xfId="734"/>
    <cellStyle name="Normal 36" xfId="735"/>
    <cellStyle name="Normal 36 2" xfId="736"/>
    <cellStyle name="Normal 36 2 2" xfId="737"/>
    <cellStyle name="Normal 36 2 2 2" xfId="919"/>
    <cellStyle name="Normal 36 2 2 3" xfId="932"/>
    <cellStyle name="Normal 36 2 3" xfId="738"/>
    <cellStyle name="Normal 36 2 4" xfId="739"/>
    <cellStyle name="Normal 36 3" xfId="740"/>
    <cellStyle name="Normal 36 3 2" xfId="920"/>
    <cellStyle name="Normal 36 3 3" xfId="933"/>
    <cellStyle name="Normal 36 4" xfId="741"/>
    <cellStyle name="Normal 36 5" xfId="918"/>
    <cellStyle name="Normal 36 6" xfId="931"/>
    <cellStyle name="Normal 37" xfId="742"/>
    <cellStyle name="Normal 37 2" xfId="743"/>
    <cellStyle name="Normal 37 3" xfId="921"/>
    <cellStyle name="Normal 37 4" xfId="934"/>
    <cellStyle name="Normal 38" xfId="744"/>
    <cellStyle name="Normal 38 2" xfId="745"/>
    <cellStyle name="Normal 38 2 2" xfId="746"/>
    <cellStyle name="Normal 38 3" xfId="747"/>
    <cellStyle name="Normal 38 3 2" xfId="748"/>
    <cellStyle name="Normal 38 4" xfId="749"/>
    <cellStyle name="Normal 39" xfId="750"/>
    <cellStyle name="Normal 39 2" xfId="751"/>
    <cellStyle name="Normal 4" xfId="752"/>
    <cellStyle name="Normal 4 2" xfId="753"/>
    <cellStyle name="Normal 4 2 2" xfId="923"/>
    <cellStyle name="Normal 4 3" xfId="754"/>
    <cellStyle name="Normal 4 4" xfId="922"/>
    <cellStyle name="Normal 4 5" xfId="942"/>
    <cellStyle name="Normal 40" xfId="755"/>
    <cellStyle name="Normal 40 2" xfId="756"/>
    <cellStyle name="Normal 40 3" xfId="757"/>
    <cellStyle name="Normal 41" xfId="758"/>
    <cellStyle name="Normal 41 2" xfId="759"/>
    <cellStyle name="Normal 42" xfId="760"/>
    <cellStyle name="Normal 42 2" xfId="761"/>
    <cellStyle name="Normal 42 3" xfId="762"/>
    <cellStyle name="Normal 43" xfId="763"/>
    <cellStyle name="Normal 44" xfId="764"/>
    <cellStyle name="Normal 45" xfId="765"/>
    <cellStyle name="Normal 46" xfId="766"/>
    <cellStyle name="Normal 47" xfId="767"/>
    <cellStyle name="Normal 47 2" xfId="768"/>
    <cellStyle name="Normal 47 3" xfId="769"/>
    <cellStyle name="Normal 47 3 2" xfId="770"/>
    <cellStyle name="Normal 47 3 3" xfId="771"/>
    <cellStyle name="Normal 47 3 3 2" xfId="935"/>
    <cellStyle name="Normal 47 4" xfId="772"/>
    <cellStyle name="Normal 48" xfId="939"/>
    <cellStyle name="Normal 49" xfId="943"/>
    <cellStyle name="Normal 5" xfId="773"/>
    <cellStyle name="Normal 5 2" xfId="774"/>
    <cellStyle name="Normal 5 2 2" xfId="775"/>
    <cellStyle name="Normal 5 3" xfId="776"/>
    <cellStyle name="Normal 5 4" xfId="777"/>
    <cellStyle name="Normal 5 4 2" xfId="778"/>
    <cellStyle name="Normal 5 4 3" xfId="779"/>
    <cellStyle name="Normal 5 5" xfId="780"/>
    <cellStyle name="Normal 5 6" xfId="924"/>
    <cellStyle name="Normal 5_Copy of SAN2010" xfId="781"/>
    <cellStyle name="Normal 50" xfId="946"/>
    <cellStyle name="Normal 6" xfId="782"/>
    <cellStyle name="Normal 6 2" xfId="925"/>
    <cellStyle name="Normal 7" xfId="783"/>
    <cellStyle name="Normal 75" xfId="784"/>
    <cellStyle name="Normal 8" xfId="785"/>
    <cellStyle name="Normal 8 2" xfId="786"/>
    <cellStyle name="Normal 8_2D4CD000" xfId="787"/>
    <cellStyle name="Normal 9" xfId="788"/>
    <cellStyle name="Normal 9 2" xfId="789"/>
    <cellStyle name="Normal 9 2 2" xfId="790"/>
    <cellStyle name="Normal 9 2 3" xfId="791"/>
    <cellStyle name="Normal 9 2 4" xfId="792"/>
    <cellStyle name="Normal 9 2_anakia II etapi.xls sm. defeqturi" xfId="793"/>
    <cellStyle name="Normal 9_2D4CD000" xfId="794"/>
    <cellStyle name="Normal_Book1_axalqalaqis skola " xfId="929"/>
    <cellStyle name="Normal_gare wyalsadfenigagarini 2 2" xfId="795"/>
    <cellStyle name="Normal_gare wyalsadfenigagarini_SUSTI DENEBI_axalqalaqis skola " xfId="902"/>
    <cellStyle name="Normal_SUSTI DENEBI" xfId="901"/>
    <cellStyle name="Note" xfId="796"/>
    <cellStyle name="Note 2" xfId="797"/>
    <cellStyle name="Note 2 2" xfId="798"/>
    <cellStyle name="Note 2 3" xfId="799"/>
    <cellStyle name="Note 2 4" xfId="800"/>
    <cellStyle name="Note 2 5" xfId="801"/>
    <cellStyle name="Note 2_anakia II etapi.xls sm. defeqturi" xfId="802"/>
    <cellStyle name="Note 3" xfId="803"/>
    <cellStyle name="Note 4" xfId="804"/>
    <cellStyle name="Note 4 2" xfId="805"/>
    <cellStyle name="Note 4_anakia II etapi.xls sm. defeqturi" xfId="806"/>
    <cellStyle name="Note 5" xfId="807"/>
    <cellStyle name="Note 6" xfId="808"/>
    <cellStyle name="Note 7" xfId="809"/>
    <cellStyle name="Note 8" xfId="926"/>
    <cellStyle name="Output" xfId="810"/>
    <cellStyle name="Output 2" xfId="811"/>
    <cellStyle name="Output 2 2" xfId="812"/>
    <cellStyle name="Output 2 3" xfId="813"/>
    <cellStyle name="Output 2 4" xfId="814"/>
    <cellStyle name="Output 2 5" xfId="815"/>
    <cellStyle name="Output 2_anakia II etapi.xls sm. defeqturi" xfId="816"/>
    <cellStyle name="Output 3" xfId="817"/>
    <cellStyle name="Output 4" xfId="818"/>
    <cellStyle name="Output 4 2" xfId="819"/>
    <cellStyle name="Output 4_anakia II etapi.xls sm. defeqturi" xfId="820"/>
    <cellStyle name="Output 5" xfId="821"/>
    <cellStyle name="Output 6" xfId="822"/>
    <cellStyle name="Output 7" xfId="823"/>
    <cellStyle name="Percent" xfId="947" builtinId="5"/>
    <cellStyle name="Percent 2" xfId="824"/>
    <cellStyle name="Percent 3" xfId="825"/>
    <cellStyle name="Percent 3 2" xfId="826"/>
    <cellStyle name="Percent 4" xfId="827"/>
    <cellStyle name="Percent 5" xfId="828"/>
    <cellStyle name="Percent 6" xfId="829"/>
    <cellStyle name="Style 1" xfId="830"/>
    <cellStyle name="Title" xfId="831"/>
    <cellStyle name="Title 2" xfId="832"/>
    <cellStyle name="Title 2 2" xfId="833"/>
    <cellStyle name="Title 2 3" xfId="834"/>
    <cellStyle name="Title 2 4" xfId="835"/>
    <cellStyle name="Title 2 5" xfId="836"/>
    <cellStyle name="Title 3" xfId="837"/>
    <cellStyle name="Title 4" xfId="838"/>
    <cellStyle name="Title 4 2" xfId="839"/>
    <cellStyle name="Title 5" xfId="840"/>
    <cellStyle name="Title 6" xfId="841"/>
    <cellStyle name="Title 7" xfId="842"/>
    <cellStyle name="Total" xfId="843"/>
    <cellStyle name="Total 2" xfId="844"/>
    <cellStyle name="Total 2 2" xfId="845"/>
    <cellStyle name="Total 2 3" xfId="846"/>
    <cellStyle name="Total 2 4" xfId="847"/>
    <cellStyle name="Total 2 5" xfId="848"/>
    <cellStyle name="Total 2_anakia II etapi.xls sm. defeqturi" xfId="849"/>
    <cellStyle name="Total 3" xfId="850"/>
    <cellStyle name="Total 4" xfId="851"/>
    <cellStyle name="Total 4 2" xfId="852"/>
    <cellStyle name="Total 4_anakia II etapi.xls sm. defeqturi" xfId="853"/>
    <cellStyle name="Total 5" xfId="854"/>
    <cellStyle name="Total 6" xfId="855"/>
    <cellStyle name="Total 7" xfId="856"/>
    <cellStyle name="Warning Text" xfId="857"/>
    <cellStyle name="Warning Text 2" xfId="858"/>
    <cellStyle name="Warning Text 2 2" xfId="859"/>
    <cellStyle name="Warning Text 2 3" xfId="860"/>
    <cellStyle name="Warning Text 2 4" xfId="861"/>
    <cellStyle name="Warning Text 2 5" xfId="862"/>
    <cellStyle name="Warning Text 3" xfId="863"/>
    <cellStyle name="Warning Text 4" xfId="864"/>
    <cellStyle name="Warning Text 4 2" xfId="865"/>
    <cellStyle name="Warning Text 5" xfId="866"/>
    <cellStyle name="Warning Text 6" xfId="867"/>
    <cellStyle name="Warning Text 7" xfId="868"/>
    <cellStyle name="Обычный 10" xfId="869"/>
    <cellStyle name="Обычный 10 2" xfId="870"/>
    <cellStyle name="Обычный 10 3" xfId="927"/>
    <cellStyle name="Обычный 11" xfId="5"/>
    <cellStyle name="Обычный 2" xfId="3"/>
    <cellStyle name="Обычный 2 2" xfId="871"/>
    <cellStyle name="Обычный 3" xfId="872"/>
    <cellStyle name="Обычный 3 2" xfId="873"/>
    <cellStyle name="Обычный 3 3" xfId="874"/>
    <cellStyle name="Обычный 4" xfId="875"/>
    <cellStyle name="Обычный 4 2" xfId="876"/>
    <cellStyle name="Обычный 4 3" xfId="877"/>
    <cellStyle name="Обычный 4 4" xfId="878"/>
    <cellStyle name="Обычный 5" xfId="879"/>
    <cellStyle name="Обычный 5 2" xfId="880"/>
    <cellStyle name="Обычный 5 2 2" xfId="881"/>
    <cellStyle name="Обычный 5 3" xfId="882"/>
    <cellStyle name="Обычный 5 4" xfId="883"/>
    <cellStyle name="Обычный 5 4 2" xfId="884"/>
    <cellStyle name="Обычный 5 5" xfId="885"/>
    <cellStyle name="Обычный 6" xfId="886"/>
    <cellStyle name="Обычный 6 2" xfId="887"/>
    <cellStyle name="Обычный 7" xfId="888"/>
    <cellStyle name="Обычный 8" xfId="889"/>
    <cellStyle name="Обычный 8 2" xfId="890"/>
    <cellStyle name="Обычный 8 2 2" xfId="937"/>
    <cellStyle name="Обычный 8 3" xfId="928"/>
    <cellStyle name="Обычный 8 4" xfId="936"/>
    <cellStyle name="Обычный 9" xfId="891"/>
    <cellStyle name="Обычный_Лист1" xfId="938"/>
    <cellStyle name="Плохой 2" xfId="892"/>
    <cellStyle name="Процентный 2" xfId="893"/>
    <cellStyle name="Процентный 3" xfId="894"/>
    <cellStyle name="Процентный 3 2" xfId="895"/>
    <cellStyle name="Финансовый 2" xfId="896"/>
    <cellStyle name="Финансовый 2 2" xfId="897"/>
    <cellStyle name="Финансовый 3" xfId="898"/>
    <cellStyle name="Финансовый 4" xfId="899"/>
    <cellStyle name="Финансовый 5" xfId="900"/>
    <cellStyle name="Финансовый 6" xfId="478"/>
    <cellStyle name="Финансовый 7" xfId="903"/>
  </cellStyles>
  <dxfs count="0"/>
  <tableStyles count="0" defaultTableStyle="TableStyleMedium9" defaultPivotStyle="PivotStyleLight16"/>
  <colors>
    <mruColors>
      <color rgb="FFFFCCFF"/>
      <color rgb="FFFF99FF"/>
      <color rgb="FFFF9966"/>
      <color rgb="FFFF66FF"/>
      <color rgb="FF9900FF"/>
      <color rgb="FF00FF99"/>
      <color rgb="FF3366FF"/>
      <color rgb="FFCC66FF"/>
      <color rgb="FFFED2A2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1"/>
  <sheetViews>
    <sheetView topLeftCell="B1" zoomScaleNormal="100" zoomScaleSheetLayoutView="150" workbookViewId="0">
      <selection activeCell="D12" sqref="D12"/>
    </sheetView>
  </sheetViews>
  <sheetFormatPr defaultColWidth="8.85546875" defaultRowHeight="15"/>
  <cols>
    <col min="1" max="1" width="5.85546875" style="24" customWidth="1"/>
    <col min="2" max="2" width="20.7109375" style="24" customWidth="1"/>
    <col min="3" max="3" width="46.7109375" style="24" customWidth="1"/>
    <col min="4" max="5" width="15" style="24" customWidth="1"/>
    <col min="6" max="6" width="15.42578125" style="24" customWidth="1"/>
    <col min="7" max="7" width="16.85546875" style="24" customWidth="1"/>
    <col min="8" max="8" width="13.28515625" style="24" customWidth="1"/>
    <col min="9" max="16384" width="8.85546875" style="24"/>
  </cols>
  <sheetData>
    <row r="1" spans="1:13" ht="30" customHeight="1">
      <c r="A1" s="359" t="s">
        <v>36</v>
      </c>
      <c r="B1" s="359"/>
      <c r="C1" s="359"/>
      <c r="D1" s="359"/>
      <c r="E1" s="359"/>
      <c r="F1" s="359"/>
      <c r="G1" s="359"/>
    </row>
    <row r="2" spans="1:13" ht="45.75" customHeight="1">
      <c r="A2" s="360" t="s">
        <v>521</v>
      </c>
      <c r="B2" s="360"/>
      <c r="C2" s="360"/>
      <c r="D2" s="360"/>
      <c r="E2" s="360"/>
      <c r="F2" s="360"/>
      <c r="G2" s="360"/>
      <c r="H2" s="102"/>
      <c r="I2" s="102"/>
      <c r="J2" s="102"/>
      <c r="K2" s="102"/>
      <c r="L2" s="102"/>
      <c r="M2" s="102"/>
    </row>
    <row r="3" spans="1:13" ht="16.5">
      <c r="A3" s="59"/>
      <c r="B3" s="59"/>
      <c r="C3" s="59"/>
      <c r="D3" s="59"/>
      <c r="E3" s="59"/>
      <c r="F3" s="59"/>
      <c r="G3" s="59"/>
    </row>
    <row r="4" spans="1:13" ht="21.75" customHeight="1">
      <c r="A4" s="361" t="s">
        <v>0</v>
      </c>
      <c r="B4" s="361" t="s">
        <v>37</v>
      </c>
      <c r="C4" s="361" t="s">
        <v>38</v>
      </c>
      <c r="D4" s="361" t="s">
        <v>39</v>
      </c>
      <c r="E4" s="361"/>
      <c r="F4" s="361"/>
      <c r="G4" s="361"/>
    </row>
    <row r="5" spans="1:13" ht="31.5">
      <c r="A5" s="361"/>
      <c r="B5" s="361"/>
      <c r="C5" s="361"/>
      <c r="D5" s="60" t="s">
        <v>40</v>
      </c>
      <c r="E5" s="60" t="s">
        <v>41</v>
      </c>
      <c r="F5" s="60" t="s">
        <v>42</v>
      </c>
      <c r="G5" s="60" t="s">
        <v>46</v>
      </c>
    </row>
    <row r="6" spans="1:13" ht="16.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</row>
    <row r="7" spans="1:13" ht="30.75" customHeight="1">
      <c r="A7" s="15">
        <v>1</v>
      </c>
      <c r="B7" s="15" t="s">
        <v>43</v>
      </c>
      <c r="C7" s="60" t="s">
        <v>51</v>
      </c>
      <c r="D7" s="25">
        <f>'#1'!M285</f>
        <v>0</v>
      </c>
      <c r="E7" s="25"/>
      <c r="F7" s="25"/>
      <c r="G7" s="25">
        <f>D7</f>
        <v>0</v>
      </c>
    </row>
    <row r="8" spans="1:13" ht="16.5">
      <c r="A8" s="15"/>
      <c r="B8" s="15"/>
      <c r="C8" s="289"/>
      <c r="D8" s="25"/>
      <c r="E8" s="25"/>
      <c r="F8" s="25"/>
      <c r="G8" s="25"/>
    </row>
    <row r="9" spans="1:13" ht="42" customHeight="1">
      <c r="A9" s="15">
        <v>3</v>
      </c>
      <c r="B9" s="15" t="s">
        <v>47</v>
      </c>
      <c r="C9" s="60" t="s">
        <v>172</v>
      </c>
      <c r="D9" s="25">
        <f>'#3'!M67</f>
        <v>0</v>
      </c>
      <c r="E9" s="25"/>
      <c r="F9" s="25"/>
      <c r="G9" s="25">
        <f>D9</f>
        <v>0</v>
      </c>
    </row>
    <row r="10" spans="1:13" ht="27.75" customHeight="1">
      <c r="A10" s="15">
        <v>2</v>
      </c>
      <c r="B10" s="15" t="s">
        <v>44</v>
      </c>
      <c r="C10" s="60" t="s">
        <v>34</v>
      </c>
      <c r="D10" s="25">
        <f>'#2'!M94</f>
        <v>0</v>
      </c>
      <c r="E10" s="25"/>
      <c r="F10" s="25"/>
      <c r="G10" s="25">
        <f>D10</f>
        <v>0</v>
      </c>
    </row>
    <row r="11" spans="1:13" hidden="1"/>
    <row r="12" spans="1:13" ht="27" customHeight="1">
      <c r="A12" s="15">
        <v>4</v>
      </c>
      <c r="B12" s="15" t="s">
        <v>183</v>
      </c>
      <c r="C12" s="60" t="s">
        <v>94</v>
      </c>
      <c r="D12" s="25">
        <f>'#4'!M68</f>
        <v>0</v>
      </c>
      <c r="E12" s="25"/>
      <c r="F12" s="25"/>
      <c r="G12" s="25">
        <f>D12</f>
        <v>0</v>
      </c>
    </row>
    <row r="13" spans="1:13" ht="16.5">
      <c r="A13" s="15"/>
      <c r="B13" s="15"/>
      <c r="C13" s="15"/>
      <c r="D13" s="25"/>
      <c r="E13" s="25"/>
      <c r="F13" s="25"/>
      <c r="G13" s="25"/>
    </row>
    <row r="14" spans="1:13" ht="35.25" customHeight="1">
      <c r="A14" s="215"/>
      <c r="B14" s="339"/>
      <c r="C14" s="340" t="s">
        <v>45</v>
      </c>
      <c r="D14" s="341"/>
      <c r="E14" s="341"/>
      <c r="F14" s="341"/>
      <c r="G14" s="342">
        <f>SUM(G7:G13)</f>
        <v>0</v>
      </c>
    </row>
    <row r="15" spans="1:13" ht="67.5" hidden="1">
      <c r="A15" s="15"/>
      <c r="B15" s="15"/>
      <c r="C15" s="58" t="s">
        <v>246</v>
      </c>
      <c r="D15" s="145">
        <v>2.1999999999999999E-2</v>
      </c>
      <c r="E15" s="15"/>
      <c r="F15" s="15"/>
      <c r="G15" s="25">
        <f>G14*D15</f>
        <v>0</v>
      </c>
    </row>
    <row r="16" spans="1:13" ht="16.5" hidden="1">
      <c r="A16" s="146"/>
      <c r="B16" s="146"/>
      <c r="C16" s="147" t="s">
        <v>21</v>
      </c>
      <c r="D16" s="148"/>
      <c r="E16" s="148"/>
      <c r="F16" s="148"/>
      <c r="G16" s="149">
        <f>G14+G15</f>
        <v>0</v>
      </c>
    </row>
    <row r="17" spans="1:7" ht="16.5">
      <c r="A17" s="59"/>
      <c r="B17" s="59"/>
      <c r="C17" s="59"/>
      <c r="D17" s="59"/>
      <c r="E17" s="59"/>
      <c r="F17" s="59"/>
      <c r="G17" s="59"/>
    </row>
    <row r="18" spans="1:7" ht="16.5">
      <c r="A18" s="59"/>
      <c r="B18" s="59"/>
      <c r="C18" s="59"/>
      <c r="D18" s="59"/>
      <c r="E18" s="59"/>
      <c r="F18" s="59"/>
      <c r="G18" s="59"/>
    </row>
    <row r="19" spans="1:7" ht="16.5">
      <c r="A19" s="59"/>
      <c r="B19" s="59"/>
      <c r="C19" s="69"/>
      <c r="D19" s="358"/>
      <c r="E19" s="358"/>
      <c r="F19" s="59"/>
      <c r="G19" s="59"/>
    </row>
    <row r="20" spans="1:7" ht="16.5">
      <c r="C20" s="9"/>
    </row>
    <row r="21" spans="1:7">
      <c r="B21" s="193"/>
      <c r="C21" s="193"/>
    </row>
  </sheetData>
  <mergeCells count="7">
    <mergeCell ref="D19:E19"/>
    <mergeCell ref="A1:G1"/>
    <mergeCell ref="A2:G2"/>
    <mergeCell ref="A4:A5"/>
    <mergeCell ref="B4:B5"/>
    <mergeCell ref="C4:C5"/>
    <mergeCell ref="D4:G4"/>
  </mergeCells>
  <pageMargins left="0.57999999999999996" right="0.35433070866141736" top="0.27559055118110237" bottom="0.35433070866141736" header="0.19685039370078741" footer="0.27559055118110237"/>
  <pageSetup paperSize="9" orientation="landscape" r:id="rId1"/>
  <headerFooter>
    <oddHeader>&amp;R&amp;N--&amp;P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FF"/>
  </sheetPr>
  <dimension ref="A1:O368"/>
  <sheetViews>
    <sheetView topLeftCell="B1" zoomScaleNormal="100" zoomScaleSheetLayoutView="160" workbookViewId="0">
      <pane xSplit="2" ySplit="55" topLeftCell="D280" activePane="bottomRight" state="frozen"/>
      <selection activeCell="B1" sqref="B1"/>
      <selection pane="topRight" activeCell="D1" sqref="D1"/>
      <selection pane="bottomLeft" activeCell="B56" sqref="B56"/>
      <selection pane="bottomRight" activeCell="C284" sqref="C284"/>
    </sheetView>
  </sheetViews>
  <sheetFormatPr defaultColWidth="8.85546875" defaultRowHeight="16.5"/>
  <cols>
    <col min="1" max="1" width="5" style="38" customWidth="1"/>
    <col min="2" max="2" width="9.28515625" style="38" customWidth="1"/>
    <col min="3" max="3" width="33.85546875" style="86" customWidth="1"/>
    <col min="4" max="4" width="9" style="30" customWidth="1"/>
    <col min="5" max="5" width="10.140625" style="68" customWidth="1"/>
    <col min="6" max="6" width="9.85546875" style="68" customWidth="1"/>
    <col min="7" max="7" width="8.5703125" style="61" customWidth="1"/>
    <col min="8" max="8" width="11.42578125" style="61" customWidth="1"/>
    <col min="9" max="9" width="8.7109375" style="61" customWidth="1"/>
    <col min="10" max="10" width="10.85546875" style="61" customWidth="1"/>
    <col min="11" max="11" width="8.28515625" style="61" customWidth="1"/>
    <col min="12" max="12" width="12.140625" style="61" customWidth="1"/>
    <col min="13" max="13" width="11.5703125" style="61" customWidth="1"/>
    <col min="14" max="14" width="19.42578125" style="206" customWidth="1"/>
    <col min="15" max="15" width="25.85546875" style="8" hidden="1" customWidth="1"/>
    <col min="16" max="17" width="24.140625" style="8" customWidth="1"/>
    <col min="18" max="16384" width="8.85546875" style="8"/>
  </cols>
  <sheetData>
    <row r="1" spans="1:14" s="31" customFormat="1" ht="38.25" customHeight="1">
      <c r="A1" s="360" t="str">
        <f>krebsiti!A2</f>
        <v>q.borjomSi WavWavaZis quCaze sastumro "Tbilisis" mimdebared  skveris mowyobis samuSaoebi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206"/>
    </row>
    <row r="2" spans="1:14" s="31" customFormat="1" ht="22.5" customHeight="1">
      <c r="A2" s="360" t="s">
        <v>16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206"/>
    </row>
    <row r="3" spans="1:14" s="31" customFormat="1" ht="24" customHeight="1">
      <c r="A3" s="360" t="s">
        <v>51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206"/>
    </row>
    <row r="4" spans="1:14" s="31" customFormat="1" ht="38.25" customHeight="1">
      <c r="A4" s="366" t="s">
        <v>0</v>
      </c>
      <c r="B4" s="366" t="s">
        <v>1</v>
      </c>
      <c r="C4" s="367" t="s">
        <v>2</v>
      </c>
      <c r="D4" s="369" t="s">
        <v>3</v>
      </c>
      <c r="E4" s="373" t="s">
        <v>56</v>
      </c>
      <c r="F4" s="373"/>
      <c r="G4" s="370" t="s">
        <v>6</v>
      </c>
      <c r="H4" s="370"/>
      <c r="I4" s="370" t="s">
        <v>7</v>
      </c>
      <c r="J4" s="370"/>
      <c r="K4" s="371" t="s">
        <v>27</v>
      </c>
      <c r="L4" s="372"/>
      <c r="M4" s="370" t="s">
        <v>8</v>
      </c>
      <c r="N4" s="206"/>
    </row>
    <row r="5" spans="1:14" s="31" customFormat="1" ht="49.5" customHeight="1">
      <c r="A5" s="366"/>
      <c r="B5" s="366"/>
      <c r="C5" s="368"/>
      <c r="D5" s="369"/>
      <c r="E5" s="278" t="s">
        <v>57</v>
      </c>
      <c r="F5" s="278" t="s">
        <v>21</v>
      </c>
      <c r="G5" s="276" t="s">
        <v>9</v>
      </c>
      <c r="H5" s="276" t="s">
        <v>10</v>
      </c>
      <c r="I5" s="276" t="s">
        <v>9</v>
      </c>
      <c r="J5" s="276" t="s">
        <v>10</v>
      </c>
      <c r="K5" s="276" t="s">
        <v>9</v>
      </c>
      <c r="L5" s="276" t="s">
        <v>10</v>
      </c>
      <c r="M5" s="370"/>
      <c r="N5" s="206"/>
    </row>
    <row r="6" spans="1:14">
      <c r="A6" s="279">
        <v>1</v>
      </c>
      <c r="B6" s="279">
        <v>2</v>
      </c>
      <c r="C6" s="274">
        <v>3</v>
      </c>
      <c r="D6" s="64">
        <v>4</v>
      </c>
      <c r="E6" s="278">
        <v>5</v>
      </c>
      <c r="F6" s="159">
        <v>6</v>
      </c>
      <c r="G6" s="278">
        <v>7</v>
      </c>
      <c r="H6" s="159">
        <v>8</v>
      </c>
      <c r="I6" s="278">
        <v>9</v>
      </c>
      <c r="J6" s="159">
        <v>10</v>
      </c>
      <c r="K6" s="278">
        <v>11</v>
      </c>
      <c r="L6" s="159">
        <v>12</v>
      </c>
      <c r="M6" s="278">
        <v>13</v>
      </c>
      <c r="N6" s="207"/>
    </row>
    <row r="7" spans="1:14" s="31" customFormat="1" ht="31.5" hidden="1">
      <c r="A7" s="279"/>
      <c r="B7" s="279"/>
      <c r="C7" s="275" t="s">
        <v>97</v>
      </c>
      <c r="D7" s="64"/>
      <c r="E7" s="1"/>
      <c r="F7" s="1"/>
      <c r="G7" s="276"/>
      <c r="H7" s="276"/>
      <c r="I7" s="276"/>
      <c r="J7" s="276"/>
      <c r="K7" s="276"/>
      <c r="L7" s="276"/>
      <c r="M7" s="276"/>
      <c r="N7" s="207"/>
    </row>
    <row r="8" spans="1:14" s="31" customFormat="1" ht="47.25" hidden="1">
      <c r="A8" s="364" t="s">
        <v>274</v>
      </c>
      <c r="B8" s="279" t="s">
        <v>241</v>
      </c>
      <c r="C8" s="70" t="s">
        <v>240</v>
      </c>
      <c r="D8" s="64" t="s">
        <v>17</v>
      </c>
      <c r="E8" s="278"/>
      <c r="F8" s="1"/>
      <c r="G8" s="276"/>
      <c r="H8" s="276"/>
      <c r="I8" s="276"/>
      <c r="J8" s="276"/>
      <c r="K8" s="276"/>
      <c r="L8" s="276"/>
      <c r="M8" s="276"/>
      <c r="N8" s="207"/>
    </row>
    <row r="9" spans="1:14" s="31" customFormat="1" ht="15.75" hidden="1">
      <c r="A9" s="364"/>
      <c r="B9" s="279"/>
      <c r="C9" s="190" t="s">
        <v>29</v>
      </c>
      <c r="D9" s="279" t="s">
        <v>25</v>
      </c>
      <c r="E9" s="278">
        <v>21.1</v>
      </c>
      <c r="F9" s="278">
        <f>F8*E9</f>
        <v>0</v>
      </c>
      <c r="G9" s="276"/>
      <c r="H9" s="276"/>
      <c r="I9" s="276">
        <v>4.5999999999999996</v>
      </c>
      <c r="J9" s="276">
        <f>F9*I9</f>
        <v>0</v>
      </c>
      <c r="K9" s="276"/>
      <c r="L9" s="276"/>
      <c r="M9" s="276">
        <f>H9+J9+L9</f>
        <v>0</v>
      </c>
      <c r="N9" s="207"/>
    </row>
    <row r="10" spans="1:14" s="31" customFormat="1" ht="15.75" hidden="1">
      <c r="A10" s="364"/>
      <c r="B10" s="279"/>
      <c r="C10" s="190" t="s">
        <v>30</v>
      </c>
      <c r="D10" s="279" t="s">
        <v>22</v>
      </c>
      <c r="E10" s="278">
        <v>14.7</v>
      </c>
      <c r="F10" s="278">
        <f>F8*E10</f>
        <v>0</v>
      </c>
      <c r="G10" s="276"/>
      <c r="H10" s="276"/>
      <c r="I10" s="276"/>
      <c r="J10" s="276"/>
      <c r="K10" s="276">
        <v>3.2</v>
      </c>
      <c r="L10" s="276">
        <f>F10*K10</f>
        <v>0</v>
      </c>
      <c r="M10" s="276">
        <f>H10+J10+L10</f>
        <v>0</v>
      </c>
      <c r="N10" s="207"/>
    </row>
    <row r="11" spans="1:14" s="31" customFormat="1" ht="47.25" hidden="1">
      <c r="A11" s="364" t="s">
        <v>274</v>
      </c>
      <c r="B11" s="279" t="s">
        <v>243</v>
      </c>
      <c r="C11" s="70" t="s">
        <v>242</v>
      </c>
      <c r="D11" s="64" t="s">
        <v>17</v>
      </c>
      <c r="E11" s="278"/>
      <c r="F11" s="1"/>
      <c r="G11" s="276"/>
      <c r="H11" s="276"/>
      <c r="I11" s="276"/>
      <c r="J11" s="276"/>
      <c r="K11" s="276"/>
      <c r="L11" s="276"/>
      <c r="M11" s="276"/>
      <c r="N11" s="207"/>
    </row>
    <row r="12" spans="1:14" s="31" customFormat="1" ht="15.75" hidden="1">
      <c r="A12" s="364"/>
      <c r="B12" s="279"/>
      <c r="C12" s="190" t="s">
        <v>29</v>
      </c>
      <c r="D12" s="279" t="s">
        <v>25</v>
      </c>
      <c r="E12" s="278">
        <v>4.8</v>
      </c>
      <c r="F12" s="278">
        <f>F11*E12</f>
        <v>0</v>
      </c>
      <c r="G12" s="276"/>
      <c r="H12" s="276"/>
      <c r="I12" s="276">
        <v>4.5999999999999996</v>
      </c>
      <c r="J12" s="276">
        <f>F12*I12</f>
        <v>0</v>
      </c>
      <c r="K12" s="276"/>
      <c r="L12" s="276"/>
      <c r="M12" s="276">
        <f>H12+J12+L12</f>
        <v>0</v>
      </c>
      <c r="N12" s="207"/>
    </row>
    <row r="13" spans="1:14" s="31" customFormat="1" ht="15.75" hidden="1">
      <c r="A13" s="364"/>
      <c r="B13" s="279"/>
      <c r="C13" s="190" t="s">
        <v>30</v>
      </c>
      <c r="D13" s="279" t="s">
        <v>22</v>
      </c>
      <c r="E13" s="278">
        <v>1.1000000000000001</v>
      </c>
      <c r="F13" s="278">
        <f>F11*E13</f>
        <v>0</v>
      </c>
      <c r="G13" s="276"/>
      <c r="H13" s="276"/>
      <c r="I13" s="276"/>
      <c r="J13" s="276"/>
      <c r="K13" s="276">
        <v>3.2</v>
      </c>
      <c r="L13" s="276">
        <f>F13*K13</f>
        <v>0</v>
      </c>
      <c r="M13" s="276">
        <f>H13+J13+L13</f>
        <v>0</v>
      </c>
      <c r="N13" s="207"/>
    </row>
    <row r="14" spans="1:14" s="31" customFormat="1" ht="47.25" hidden="1">
      <c r="A14" s="364" t="s">
        <v>274</v>
      </c>
      <c r="B14" s="279" t="s">
        <v>245</v>
      </c>
      <c r="C14" s="70" t="s">
        <v>244</v>
      </c>
      <c r="D14" s="279" t="s">
        <v>17</v>
      </c>
      <c r="E14" s="278"/>
      <c r="F14" s="1"/>
      <c r="G14" s="276"/>
      <c r="H14" s="276"/>
      <c r="I14" s="276"/>
      <c r="J14" s="276"/>
      <c r="K14" s="276"/>
      <c r="L14" s="276"/>
      <c r="M14" s="276"/>
      <c r="N14" s="207"/>
    </row>
    <row r="15" spans="1:14" s="31" customFormat="1" ht="15.75" hidden="1">
      <c r="A15" s="364"/>
      <c r="B15" s="279"/>
      <c r="C15" s="190" t="s">
        <v>29</v>
      </c>
      <c r="D15" s="279" t="s">
        <v>25</v>
      </c>
      <c r="E15" s="278">
        <v>13.2</v>
      </c>
      <c r="F15" s="278">
        <f>F14*E15</f>
        <v>0</v>
      </c>
      <c r="G15" s="276"/>
      <c r="H15" s="276"/>
      <c r="I15" s="276">
        <v>4.5999999999999996</v>
      </c>
      <c r="J15" s="276">
        <f>F15*I15</f>
        <v>0</v>
      </c>
      <c r="K15" s="276"/>
      <c r="L15" s="276"/>
      <c r="M15" s="276">
        <f>H15+J15+L15</f>
        <v>0</v>
      </c>
      <c r="N15" s="207"/>
    </row>
    <row r="16" spans="1:14" s="31" customFormat="1" ht="15.75" hidden="1">
      <c r="A16" s="364"/>
      <c r="B16" s="279"/>
      <c r="C16" s="190" t="s">
        <v>30</v>
      </c>
      <c r="D16" s="279" t="s">
        <v>22</v>
      </c>
      <c r="E16" s="278">
        <v>9.6300000000000008</v>
      </c>
      <c r="F16" s="278">
        <f>F14*E16</f>
        <v>0</v>
      </c>
      <c r="G16" s="276"/>
      <c r="H16" s="276"/>
      <c r="I16" s="276"/>
      <c r="J16" s="276"/>
      <c r="K16" s="276">
        <v>3.2</v>
      </c>
      <c r="L16" s="276">
        <f>F16*K16</f>
        <v>0</v>
      </c>
      <c r="M16" s="276">
        <f>H16+J16+L16</f>
        <v>0</v>
      </c>
      <c r="N16" s="207"/>
    </row>
    <row r="17" spans="1:14" s="31" customFormat="1" ht="94.5" hidden="1">
      <c r="A17" s="279" t="s">
        <v>274</v>
      </c>
      <c r="B17" s="279" t="s">
        <v>33</v>
      </c>
      <c r="C17" s="70" t="s">
        <v>289</v>
      </c>
      <c r="D17" s="279" t="s">
        <v>15</v>
      </c>
      <c r="E17" s="278"/>
      <c r="F17" s="1"/>
      <c r="G17" s="276"/>
      <c r="H17" s="276"/>
      <c r="I17" s="276">
        <v>50</v>
      </c>
      <c r="J17" s="276">
        <f>F17*I17</f>
        <v>0</v>
      </c>
      <c r="K17" s="276">
        <v>10</v>
      </c>
      <c r="L17" s="276">
        <f>F17*K17</f>
        <v>0</v>
      </c>
      <c r="M17" s="276">
        <f>H17+J17+L17</f>
        <v>0</v>
      </c>
      <c r="N17" s="207"/>
    </row>
    <row r="18" spans="1:14" s="31" customFormat="1" ht="54" hidden="1">
      <c r="A18" s="279" t="s">
        <v>274</v>
      </c>
      <c r="B18" s="279" t="s">
        <v>33</v>
      </c>
      <c r="C18" s="192" t="s">
        <v>288</v>
      </c>
      <c r="D18" s="64" t="s">
        <v>11</v>
      </c>
      <c r="E18" s="287"/>
      <c r="F18" s="159"/>
      <c r="G18" s="288"/>
      <c r="H18" s="288"/>
      <c r="I18" s="288">
        <v>12</v>
      </c>
      <c r="J18" s="276">
        <f>F18*I18</f>
        <v>0</v>
      </c>
      <c r="K18" s="288">
        <v>3</v>
      </c>
      <c r="L18" s="276">
        <f>F18*K18</f>
        <v>0</v>
      </c>
      <c r="M18" s="276">
        <f>H18+J18+L18</f>
        <v>0</v>
      </c>
      <c r="N18" s="207"/>
    </row>
    <row r="19" spans="1:14" s="31" customFormat="1" ht="15.75" hidden="1">
      <c r="A19" s="362" t="s">
        <v>274</v>
      </c>
      <c r="B19" s="279" t="s">
        <v>294</v>
      </c>
      <c r="C19" s="269" t="s">
        <v>293</v>
      </c>
      <c r="D19" s="64" t="s">
        <v>11</v>
      </c>
      <c r="E19" s="287"/>
      <c r="F19" s="159">
        <v>0</v>
      </c>
      <c r="G19" s="288"/>
      <c r="H19" s="288"/>
      <c r="I19" s="288"/>
      <c r="J19" s="276"/>
      <c r="K19" s="288"/>
      <c r="L19" s="276"/>
      <c r="M19" s="276"/>
      <c r="N19" s="207"/>
    </row>
    <row r="20" spans="1:14" s="31" customFormat="1" ht="15.75" hidden="1">
      <c r="A20" s="363"/>
      <c r="B20" s="279"/>
      <c r="C20" s="235" t="s">
        <v>29</v>
      </c>
      <c r="D20" s="279" t="s">
        <v>25</v>
      </c>
      <c r="E20" s="287">
        <v>0.78500000000000003</v>
      </c>
      <c r="F20" s="287">
        <f>F19*E20</f>
        <v>0</v>
      </c>
      <c r="G20" s="288"/>
      <c r="H20" s="288"/>
      <c r="I20" s="288">
        <v>4.5999999999999996</v>
      </c>
      <c r="J20" s="276">
        <f>F20*I20</f>
        <v>0</v>
      </c>
      <c r="K20" s="288"/>
      <c r="L20" s="276"/>
      <c r="M20" s="276">
        <f>H20+J20+L20</f>
        <v>0</v>
      </c>
      <c r="N20" s="208">
        <f>(2.45+1.7)*2*3+(3.85+2.9)*2*1+128.4+12.2</f>
        <v>179</v>
      </c>
    </row>
    <row r="21" spans="1:14" s="31" customFormat="1" ht="54" hidden="1">
      <c r="A21" s="362" t="s">
        <v>274</v>
      </c>
      <c r="B21" s="279" t="s">
        <v>300</v>
      </c>
      <c r="C21" s="269" t="s">
        <v>297</v>
      </c>
      <c r="D21" s="279" t="s">
        <v>18</v>
      </c>
      <c r="E21" s="287"/>
      <c r="F21" s="159">
        <v>0</v>
      </c>
      <c r="G21" s="288"/>
      <c r="H21" s="288"/>
      <c r="I21" s="288"/>
      <c r="J21" s="276"/>
      <c r="K21" s="288"/>
      <c r="L21" s="276"/>
      <c r="M21" s="276"/>
      <c r="N21" s="208"/>
    </row>
    <row r="22" spans="1:14" s="31" customFormat="1" ht="15.75" hidden="1">
      <c r="A22" s="365"/>
      <c r="B22" s="279"/>
      <c r="C22" s="235" t="s">
        <v>29</v>
      </c>
      <c r="D22" s="279" t="s">
        <v>25</v>
      </c>
      <c r="E22" s="287">
        <v>0.32300000000000001</v>
      </c>
      <c r="F22" s="287">
        <f>F21*E22</f>
        <v>0</v>
      </c>
      <c r="G22" s="288"/>
      <c r="H22" s="288"/>
      <c r="I22" s="288">
        <v>4.5999999999999996</v>
      </c>
      <c r="J22" s="276">
        <f>F22*I22</f>
        <v>0</v>
      </c>
      <c r="K22" s="288"/>
      <c r="L22" s="276"/>
      <c r="M22" s="276">
        <f>H22+J22+L22</f>
        <v>0</v>
      </c>
      <c r="N22" s="208"/>
    </row>
    <row r="23" spans="1:14" s="31" customFormat="1" ht="15.75" hidden="1">
      <c r="A23" s="363"/>
      <c r="B23" s="279"/>
      <c r="C23" s="63" t="s">
        <v>30</v>
      </c>
      <c r="D23" s="279" t="s">
        <v>22</v>
      </c>
      <c r="E23" s="287">
        <v>2.1499999999999998E-2</v>
      </c>
      <c r="F23" s="287">
        <f>F21*E23</f>
        <v>0</v>
      </c>
      <c r="G23" s="288"/>
      <c r="H23" s="288"/>
      <c r="I23" s="288"/>
      <c r="J23" s="276"/>
      <c r="K23" s="288">
        <v>3.2</v>
      </c>
      <c r="L23" s="276">
        <f>F23*K23</f>
        <v>0</v>
      </c>
      <c r="M23" s="276">
        <f>H23+J23+L23</f>
        <v>0</v>
      </c>
      <c r="N23" s="208"/>
    </row>
    <row r="24" spans="1:14" s="31" customFormat="1" ht="40.5" hidden="1">
      <c r="A24" s="362" t="s">
        <v>274</v>
      </c>
      <c r="B24" s="279" t="s">
        <v>299</v>
      </c>
      <c r="C24" s="269" t="s">
        <v>298</v>
      </c>
      <c r="D24" s="279" t="s">
        <v>17</v>
      </c>
      <c r="E24" s="287"/>
      <c r="F24" s="159">
        <f>F21*0.03</f>
        <v>0</v>
      </c>
      <c r="G24" s="288"/>
      <c r="H24" s="288"/>
      <c r="I24" s="288"/>
      <c r="J24" s="276"/>
      <c r="K24" s="288"/>
      <c r="L24" s="276"/>
      <c r="M24" s="276"/>
      <c r="N24" s="208"/>
    </row>
    <row r="25" spans="1:14" s="31" customFormat="1" ht="15.75" hidden="1">
      <c r="A25" s="365"/>
      <c r="B25" s="279"/>
      <c r="C25" s="235" t="s">
        <v>29</v>
      </c>
      <c r="D25" s="279" t="s">
        <v>25</v>
      </c>
      <c r="E25" s="287">
        <v>7.3</v>
      </c>
      <c r="F25" s="287">
        <f>F24*E25</f>
        <v>0</v>
      </c>
      <c r="G25" s="288"/>
      <c r="H25" s="288"/>
      <c r="I25" s="288">
        <v>4.5999999999999996</v>
      </c>
      <c r="J25" s="276">
        <f>F25*I25</f>
        <v>0</v>
      </c>
      <c r="K25" s="288"/>
      <c r="L25" s="276"/>
      <c r="M25" s="276">
        <f>H25+J25+L25</f>
        <v>0</v>
      </c>
      <c r="N25" s="208"/>
    </row>
    <row r="26" spans="1:14" s="31" customFormat="1" ht="15.75" hidden="1">
      <c r="A26" s="363"/>
      <c r="B26" s="279"/>
      <c r="C26" s="63" t="s">
        <v>30</v>
      </c>
      <c r="D26" s="279" t="s">
        <v>22</v>
      </c>
      <c r="E26" s="287">
        <v>2.9</v>
      </c>
      <c r="F26" s="287">
        <f>F24*E26</f>
        <v>0</v>
      </c>
      <c r="G26" s="288"/>
      <c r="H26" s="288"/>
      <c r="I26" s="288"/>
      <c r="J26" s="276"/>
      <c r="K26" s="288">
        <v>3.2</v>
      </c>
      <c r="L26" s="276">
        <f>F26*K26</f>
        <v>0</v>
      </c>
      <c r="M26" s="276">
        <f>H26+J26+L26</f>
        <v>0</v>
      </c>
      <c r="N26" s="208"/>
    </row>
    <row r="27" spans="1:14" s="31" customFormat="1" ht="15.75" hidden="1">
      <c r="A27" s="364" t="s">
        <v>274</v>
      </c>
      <c r="B27" s="279" t="s">
        <v>290</v>
      </c>
      <c r="C27" s="390" t="s">
        <v>296</v>
      </c>
      <c r="D27" s="64" t="s">
        <v>18</v>
      </c>
      <c r="E27" s="287"/>
      <c r="F27" s="159">
        <v>0</v>
      </c>
      <c r="G27" s="288"/>
      <c r="H27" s="288"/>
      <c r="I27" s="288"/>
      <c r="J27" s="276"/>
      <c r="K27" s="288"/>
      <c r="L27" s="276"/>
      <c r="M27" s="276"/>
      <c r="N27" s="207"/>
    </row>
    <row r="28" spans="1:14" s="31" customFormat="1" ht="15.75" hidden="1">
      <c r="A28" s="364"/>
      <c r="B28" s="279"/>
      <c r="C28" s="391"/>
      <c r="D28" s="64" t="s">
        <v>17</v>
      </c>
      <c r="E28" s="287"/>
      <c r="F28" s="159">
        <f>F27*0.2</f>
        <v>0</v>
      </c>
      <c r="G28" s="288"/>
      <c r="H28" s="288"/>
      <c r="I28" s="288"/>
      <c r="J28" s="276"/>
      <c r="K28" s="288"/>
      <c r="L28" s="276"/>
      <c r="M28" s="276"/>
      <c r="N28" s="207"/>
    </row>
    <row r="29" spans="1:14" s="31" customFormat="1" ht="15.75" hidden="1">
      <c r="A29" s="364"/>
      <c r="B29" s="279"/>
      <c r="C29" s="63" t="s">
        <v>23</v>
      </c>
      <c r="D29" s="279" t="s">
        <v>25</v>
      </c>
      <c r="E29" s="287">
        <v>22</v>
      </c>
      <c r="F29" s="287">
        <f>F28*E29</f>
        <v>0</v>
      </c>
      <c r="G29" s="288"/>
      <c r="H29" s="288"/>
      <c r="I29" s="288">
        <v>4.5999999999999996</v>
      </c>
      <c r="J29" s="276">
        <f>F29*I29</f>
        <v>0</v>
      </c>
      <c r="K29" s="288"/>
      <c r="L29" s="276"/>
      <c r="M29" s="276">
        <f>H29+J29+L29</f>
        <v>0</v>
      </c>
      <c r="N29" s="207"/>
    </row>
    <row r="30" spans="1:14" s="31" customFormat="1" ht="15.75" hidden="1">
      <c r="A30" s="364"/>
      <c r="B30" s="279"/>
      <c r="C30" s="63" t="s">
        <v>30</v>
      </c>
      <c r="D30" s="279" t="s">
        <v>22</v>
      </c>
      <c r="E30" s="287">
        <v>16.8</v>
      </c>
      <c r="F30" s="287">
        <f>F28*E30</f>
        <v>0</v>
      </c>
      <c r="G30" s="288"/>
      <c r="H30" s="288"/>
      <c r="I30" s="288"/>
      <c r="J30" s="276"/>
      <c r="K30" s="288">
        <v>3.2</v>
      </c>
      <c r="L30" s="276">
        <f>F30*K30</f>
        <v>0</v>
      </c>
      <c r="M30" s="276">
        <f>H30+J30+L30</f>
        <v>0</v>
      </c>
      <c r="N30" s="207"/>
    </row>
    <row r="31" spans="1:14" s="31" customFormat="1" ht="54" hidden="1">
      <c r="A31" s="362" t="s">
        <v>274</v>
      </c>
      <c r="B31" s="279" t="s">
        <v>362</v>
      </c>
      <c r="C31" s="270" t="s">
        <v>361</v>
      </c>
      <c r="D31" s="64" t="s">
        <v>18</v>
      </c>
      <c r="E31" s="287"/>
      <c r="F31" s="159">
        <v>0</v>
      </c>
      <c r="G31" s="288"/>
      <c r="H31" s="288"/>
      <c r="I31" s="288"/>
      <c r="J31" s="276"/>
      <c r="K31" s="288"/>
      <c r="L31" s="276"/>
      <c r="M31" s="276"/>
      <c r="N31" s="207">
        <f>35.85+14.58+12.25+12.6+42+43*0.7</f>
        <v>147.38</v>
      </c>
    </row>
    <row r="32" spans="1:14" s="31" customFormat="1" ht="15.75" hidden="1">
      <c r="A32" s="365"/>
      <c r="B32" s="279"/>
      <c r="C32" s="236" t="s">
        <v>23</v>
      </c>
      <c r="D32" s="279" t="s">
        <v>25</v>
      </c>
      <c r="E32" s="287">
        <v>0.186</v>
      </c>
      <c r="F32" s="287">
        <f>F31*E32</f>
        <v>0</v>
      </c>
      <c r="G32" s="288"/>
      <c r="H32" s="288"/>
      <c r="I32" s="288">
        <v>4.5999999999999996</v>
      </c>
      <c r="J32" s="276">
        <f>F32*I32</f>
        <v>0</v>
      </c>
      <c r="K32" s="288"/>
      <c r="L32" s="276"/>
      <c r="M32" s="276">
        <f>H32+J32+L32</f>
        <v>0</v>
      </c>
      <c r="N32" s="207"/>
    </row>
    <row r="33" spans="1:14" s="31" customFormat="1" ht="15.75" hidden="1">
      <c r="A33" s="363"/>
      <c r="B33" s="279"/>
      <c r="C33" s="236" t="s">
        <v>363</v>
      </c>
      <c r="D33" s="279" t="s">
        <v>22</v>
      </c>
      <c r="E33" s="287">
        <v>1.6000000000000001E-3</v>
      </c>
      <c r="F33" s="287">
        <f>F31*E33</f>
        <v>0</v>
      </c>
      <c r="G33" s="288"/>
      <c r="H33" s="288"/>
      <c r="I33" s="288"/>
      <c r="J33" s="276"/>
      <c r="K33" s="288">
        <v>3.2</v>
      </c>
      <c r="L33" s="276">
        <f>F33*K33</f>
        <v>0</v>
      </c>
      <c r="M33" s="276">
        <f>H33+J33+L33</f>
        <v>0</v>
      </c>
      <c r="N33" s="207"/>
    </row>
    <row r="34" spans="1:14" s="31" customFormat="1" ht="27" hidden="1">
      <c r="A34" s="362" t="s">
        <v>274</v>
      </c>
      <c r="B34" s="279" t="s">
        <v>33</v>
      </c>
      <c r="C34" s="270" t="s">
        <v>307</v>
      </c>
      <c r="D34" s="279"/>
      <c r="E34" s="287"/>
      <c r="F34" s="159"/>
      <c r="G34" s="288"/>
      <c r="H34" s="288"/>
      <c r="I34" s="288"/>
      <c r="J34" s="276"/>
      <c r="K34" s="288"/>
      <c r="L34" s="276"/>
      <c r="M34" s="276"/>
      <c r="N34" s="207"/>
    </row>
    <row r="35" spans="1:14" s="31" customFormat="1" ht="15.75" hidden="1">
      <c r="A35" s="365"/>
      <c r="B35" s="279" t="s">
        <v>86</v>
      </c>
      <c r="C35" s="236" t="s">
        <v>301</v>
      </c>
      <c r="D35" s="279" t="s">
        <v>15</v>
      </c>
      <c r="E35" s="287"/>
      <c r="F35" s="159">
        <v>0</v>
      </c>
      <c r="G35" s="288"/>
      <c r="H35" s="288"/>
      <c r="I35" s="288">
        <v>50</v>
      </c>
      <c r="J35" s="276">
        <f>F35*I35</f>
        <v>0</v>
      </c>
      <c r="K35" s="288"/>
      <c r="L35" s="276"/>
      <c r="M35" s="276">
        <f t="shared" ref="M35:M42" si="0">H35+J35+L35</f>
        <v>0</v>
      </c>
      <c r="N35" s="207"/>
    </row>
    <row r="36" spans="1:14" s="31" customFormat="1" ht="15.75" hidden="1">
      <c r="A36" s="365"/>
      <c r="B36" s="279" t="s">
        <v>128</v>
      </c>
      <c r="C36" s="236" t="s">
        <v>302</v>
      </c>
      <c r="D36" s="279" t="s">
        <v>15</v>
      </c>
      <c r="E36" s="287"/>
      <c r="F36" s="159">
        <v>0</v>
      </c>
      <c r="G36" s="288"/>
      <c r="H36" s="288"/>
      <c r="I36" s="288">
        <v>5</v>
      </c>
      <c r="J36" s="276">
        <f>F36*I36</f>
        <v>0</v>
      </c>
      <c r="K36" s="288"/>
      <c r="L36" s="276"/>
      <c r="M36" s="276">
        <f t="shared" si="0"/>
        <v>0</v>
      </c>
      <c r="N36" s="207"/>
    </row>
    <row r="37" spans="1:14" s="31" customFormat="1" ht="15.75" hidden="1">
      <c r="A37" s="365"/>
      <c r="B37" s="279" t="s">
        <v>129</v>
      </c>
      <c r="C37" s="236" t="s">
        <v>303</v>
      </c>
      <c r="D37" s="279" t="s">
        <v>15</v>
      </c>
      <c r="E37" s="287"/>
      <c r="F37" s="159">
        <v>0</v>
      </c>
      <c r="G37" s="288"/>
      <c r="H37" s="288"/>
      <c r="I37" s="288">
        <v>30</v>
      </c>
      <c r="J37" s="276">
        <f>F37*I37</f>
        <v>0</v>
      </c>
      <c r="K37" s="288"/>
      <c r="L37" s="276"/>
      <c r="M37" s="276">
        <f t="shared" si="0"/>
        <v>0</v>
      </c>
      <c r="N37" s="207"/>
    </row>
    <row r="38" spans="1:14" s="31" customFormat="1" ht="15.75" hidden="1">
      <c r="A38" s="365"/>
      <c r="B38" s="279" t="s">
        <v>116</v>
      </c>
      <c r="C38" s="236" t="s">
        <v>306</v>
      </c>
      <c r="D38" s="279" t="s">
        <v>15</v>
      </c>
      <c r="E38" s="287"/>
      <c r="F38" s="159">
        <v>0</v>
      </c>
      <c r="G38" s="288"/>
      <c r="H38" s="288"/>
      <c r="I38" s="288">
        <v>30</v>
      </c>
      <c r="J38" s="276">
        <f>F38*I38</f>
        <v>0</v>
      </c>
      <c r="K38" s="288"/>
      <c r="L38" s="276"/>
      <c r="M38" s="276">
        <f t="shared" si="0"/>
        <v>0</v>
      </c>
      <c r="N38" s="207"/>
    </row>
    <row r="39" spans="1:14" s="31" customFormat="1" ht="27" hidden="1">
      <c r="A39" s="363"/>
      <c r="B39" s="279"/>
      <c r="C39" s="270" t="s">
        <v>308</v>
      </c>
      <c r="D39" s="279" t="s">
        <v>309</v>
      </c>
      <c r="E39" s="287"/>
      <c r="F39" s="159">
        <v>0</v>
      </c>
      <c r="G39" s="288"/>
      <c r="H39" s="288"/>
      <c r="I39" s="288"/>
      <c r="J39" s="276"/>
      <c r="K39" s="288">
        <v>50</v>
      </c>
      <c r="L39" s="276">
        <f>F39*K39</f>
        <v>0</v>
      </c>
      <c r="M39" s="276">
        <f t="shared" si="0"/>
        <v>0</v>
      </c>
      <c r="N39" s="207"/>
    </row>
    <row r="40" spans="1:14" s="31" customFormat="1" ht="27" hidden="1">
      <c r="A40" s="274" t="s">
        <v>274</v>
      </c>
      <c r="B40" s="279" t="s">
        <v>33</v>
      </c>
      <c r="C40" s="270" t="s">
        <v>304</v>
      </c>
      <c r="D40" s="279" t="s">
        <v>15</v>
      </c>
      <c r="E40" s="287"/>
      <c r="F40" s="159">
        <v>0</v>
      </c>
      <c r="G40" s="288"/>
      <c r="H40" s="288"/>
      <c r="I40" s="288">
        <v>15</v>
      </c>
      <c r="J40" s="276">
        <f>F40*I40</f>
        <v>0</v>
      </c>
      <c r="K40" s="288"/>
      <c r="L40" s="276"/>
      <c r="M40" s="276">
        <f t="shared" si="0"/>
        <v>0</v>
      </c>
      <c r="N40" s="207"/>
    </row>
    <row r="41" spans="1:14" s="31" customFormat="1" ht="15.75" hidden="1">
      <c r="A41" s="274" t="s">
        <v>274</v>
      </c>
      <c r="B41" s="279"/>
      <c r="C41" s="270" t="s">
        <v>305</v>
      </c>
      <c r="D41" s="279" t="s">
        <v>15</v>
      </c>
      <c r="E41" s="287"/>
      <c r="F41" s="159">
        <v>0</v>
      </c>
      <c r="G41" s="288"/>
      <c r="H41" s="288"/>
      <c r="I41" s="288">
        <v>50</v>
      </c>
      <c r="J41" s="276">
        <f>F41*I41</f>
        <v>0</v>
      </c>
      <c r="K41" s="288"/>
      <c r="L41" s="276"/>
      <c r="M41" s="276">
        <f t="shared" si="0"/>
        <v>0</v>
      </c>
      <c r="N41" s="207"/>
    </row>
    <row r="42" spans="1:14" s="31" customFormat="1" ht="81" hidden="1">
      <c r="A42" s="274" t="s">
        <v>274</v>
      </c>
      <c r="B42" s="279" t="s">
        <v>33</v>
      </c>
      <c r="C42" s="270" t="s">
        <v>295</v>
      </c>
      <c r="D42" s="279" t="s">
        <v>15</v>
      </c>
      <c r="E42" s="287"/>
      <c r="F42" s="159">
        <v>0</v>
      </c>
      <c r="G42" s="288"/>
      <c r="H42" s="288"/>
      <c r="I42" s="288">
        <v>100</v>
      </c>
      <c r="J42" s="276">
        <f>F42*I42</f>
        <v>0</v>
      </c>
      <c r="K42" s="288"/>
      <c r="L42" s="276"/>
      <c r="M42" s="276">
        <f t="shared" si="0"/>
        <v>0</v>
      </c>
      <c r="N42" s="207"/>
    </row>
    <row r="43" spans="1:14" s="31" customFormat="1" ht="15.75" hidden="1">
      <c r="A43" s="279"/>
      <c r="B43" s="279"/>
      <c r="C43" s="63"/>
      <c r="D43" s="279"/>
      <c r="E43" s="287"/>
      <c r="F43" s="287"/>
      <c r="G43" s="288"/>
      <c r="H43" s="288"/>
      <c r="I43" s="288"/>
      <c r="J43" s="276"/>
      <c r="K43" s="288"/>
      <c r="L43" s="276"/>
      <c r="M43" s="276"/>
      <c r="N43" s="207"/>
    </row>
    <row r="44" spans="1:14" s="31" customFormat="1" ht="40.5" hidden="1">
      <c r="A44" s="362" t="s">
        <v>274</v>
      </c>
      <c r="B44" s="279" t="s">
        <v>385</v>
      </c>
      <c r="C44" s="192" t="s">
        <v>383</v>
      </c>
      <c r="D44" s="279" t="s">
        <v>18</v>
      </c>
      <c r="E44" s="287"/>
      <c r="F44" s="159">
        <v>0</v>
      </c>
      <c r="G44" s="288"/>
      <c r="H44" s="288"/>
      <c r="I44" s="288"/>
      <c r="J44" s="276"/>
      <c r="K44" s="288"/>
      <c r="L44" s="276"/>
      <c r="M44" s="276"/>
      <c r="N44" s="209">
        <f>SUM(M44:M55)</f>
        <v>0</v>
      </c>
    </row>
    <row r="45" spans="1:14" s="31" customFormat="1" ht="15.75" hidden="1">
      <c r="A45" s="363"/>
      <c r="B45" s="279"/>
      <c r="C45" s="71" t="s">
        <v>384</v>
      </c>
      <c r="D45" s="4" t="s">
        <v>26</v>
      </c>
      <c r="E45" s="88">
        <f>(1.78+5.15+5.15)/100</f>
        <v>0.12080000000000002</v>
      </c>
      <c r="F45" s="160">
        <f>F44*E45</f>
        <v>0</v>
      </c>
      <c r="G45" s="89"/>
      <c r="H45" s="276"/>
      <c r="I45" s="89">
        <v>4.5999999999999996</v>
      </c>
      <c r="J45" s="276">
        <f>F45*I45</f>
        <v>0</v>
      </c>
      <c r="K45" s="276"/>
      <c r="L45" s="276"/>
      <c r="M45" s="276">
        <f>H45+J45+L45</f>
        <v>0</v>
      </c>
      <c r="N45" s="207"/>
    </row>
    <row r="46" spans="1:14" s="31" customFormat="1" ht="15.75" hidden="1">
      <c r="A46" s="279"/>
      <c r="B46" s="279"/>
      <c r="C46" s="63"/>
      <c r="D46" s="279"/>
      <c r="E46" s="287"/>
      <c r="F46" s="287"/>
      <c r="G46" s="288"/>
      <c r="H46" s="288"/>
      <c r="I46" s="288"/>
      <c r="J46" s="276"/>
      <c r="K46" s="288"/>
      <c r="L46" s="276"/>
      <c r="M46" s="276"/>
      <c r="N46" s="207"/>
    </row>
    <row r="47" spans="1:14" s="31" customFormat="1" ht="54" hidden="1">
      <c r="A47" s="362" t="s">
        <v>274</v>
      </c>
      <c r="B47" s="279" t="s">
        <v>369</v>
      </c>
      <c r="C47" s="192" t="s">
        <v>368</v>
      </c>
      <c r="D47" s="279" t="s">
        <v>17</v>
      </c>
      <c r="E47" s="287"/>
      <c r="F47" s="159">
        <v>0</v>
      </c>
      <c r="G47" s="288"/>
      <c r="H47" s="288"/>
      <c r="I47" s="288"/>
      <c r="J47" s="276"/>
      <c r="K47" s="288"/>
      <c r="L47" s="276"/>
      <c r="M47" s="276"/>
      <c r="N47" s="207"/>
    </row>
    <row r="48" spans="1:14" s="31" customFormat="1" ht="15.75" hidden="1">
      <c r="A48" s="365"/>
      <c r="B48" s="279"/>
      <c r="C48" s="63" t="s">
        <v>23</v>
      </c>
      <c r="D48" s="279" t="s">
        <v>17</v>
      </c>
      <c r="E48" s="287">
        <v>8.6</v>
      </c>
      <c r="F48" s="287">
        <f>F47*E48</f>
        <v>0</v>
      </c>
      <c r="G48" s="288"/>
      <c r="H48" s="288"/>
      <c r="I48" s="288">
        <v>6</v>
      </c>
      <c r="J48" s="276">
        <f>F48*I48</f>
        <v>0</v>
      </c>
      <c r="K48" s="276"/>
      <c r="L48" s="276"/>
      <c r="M48" s="276">
        <f>H48+J48+L48</f>
        <v>0</v>
      </c>
      <c r="N48" s="207"/>
    </row>
    <row r="49" spans="1:14" s="31" customFormat="1" ht="27" hidden="1">
      <c r="A49" s="363"/>
      <c r="B49" s="279" t="s">
        <v>371</v>
      </c>
      <c r="C49" s="63" t="s">
        <v>370</v>
      </c>
      <c r="D49" s="279" t="s">
        <v>26</v>
      </c>
      <c r="E49" s="287">
        <v>6.7</v>
      </c>
      <c r="F49" s="287">
        <f>F47*E49</f>
        <v>0</v>
      </c>
      <c r="G49" s="288"/>
      <c r="H49" s="288"/>
      <c r="I49" s="288"/>
      <c r="J49" s="276"/>
      <c r="K49" s="89">
        <v>7.89</v>
      </c>
      <c r="L49" s="276">
        <f>F49*K49</f>
        <v>0</v>
      </c>
      <c r="M49" s="276">
        <f>H49+J49+L49</f>
        <v>0</v>
      </c>
      <c r="N49" s="207"/>
    </row>
    <row r="50" spans="1:14" s="31" customFormat="1" ht="94.5" hidden="1">
      <c r="A50" s="364" t="s">
        <v>274</v>
      </c>
      <c r="B50" s="185" t="s">
        <v>191</v>
      </c>
      <c r="C50" s="70" t="s">
        <v>381</v>
      </c>
      <c r="D50" s="64" t="s">
        <v>95</v>
      </c>
      <c r="E50" s="278"/>
      <c r="F50" s="1">
        <f>F44*0.05</f>
        <v>0</v>
      </c>
      <c r="G50" s="276"/>
      <c r="H50" s="276"/>
      <c r="I50" s="276"/>
      <c r="J50" s="276"/>
      <c r="K50" s="276"/>
      <c r="L50" s="276"/>
      <c r="M50" s="276"/>
      <c r="N50" s="207"/>
    </row>
    <row r="51" spans="1:14" s="31" customFormat="1" ht="15.75" hidden="1">
      <c r="A51" s="364"/>
      <c r="B51" s="279"/>
      <c r="C51" s="71" t="s">
        <v>29</v>
      </c>
      <c r="D51" s="4" t="s">
        <v>25</v>
      </c>
      <c r="E51" s="88">
        <v>0.6</v>
      </c>
      <c r="F51" s="160">
        <f>F50*E51</f>
        <v>0</v>
      </c>
      <c r="G51" s="89"/>
      <c r="H51" s="276"/>
      <c r="I51" s="89">
        <v>4.5999999999999996</v>
      </c>
      <c r="J51" s="276">
        <f>F51*I51</f>
        <v>0</v>
      </c>
      <c r="K51" s="276"/>
      <c r="L51" s="276"/>
      <c r="M51" s="276">
        <f>H51+J51+L51</f>
        <v>0</v>
      </c>
      <c r="N51" s="207"/>
    </row>
    <row r="52" spans="1:14" s="31" customFormat="1" ht="47.25" hidden="1">
      <c r="A52" s="364"/>
      <c r="B52" s="185" t="s">
        <v>192</v>
      </c>
      <c r="C52" s="72" t="s">
        <v>52</v>
      </c>
      <c r="D52" s="64" t="s">
        <v>20</v>
      </c>
      <c r="E52" s="88"/>
      <c r="F52" s="171">
        <f>F50*1.65</f>
        <v>0</v>
      </c>
      <c r="G52" s="89"/>
      <c r="H52" s="276"/>
      <c r="I52" s="89"/>
      <c r="J52" s="276"/>
      <c r="K52" s="89"/>
      <c r="L52" s="276"/>
      <c r="M52" s="276"/>
      <c r="N52" s="207"/>
    </row>
    <row r="53" spans="1:14" s="31" customFormat="1" ht="15.75" hidden="1">
      <c r="A53" s="364"/>
      <c r="B53" s="2"/>
      <c r="C53" s="73" t="s">
        <v>32</v>
      </c>
      <c r="D53" s="4" t="s">
        <v>25</v>
      </c>
      <c r="E53" s="88">
        <v>0.53</v>
      </c>
      <c r="F53" s="160">
        <f>F52*E53</f>
        <v>0</v>
      </c>
      <c r="G53" s="89"/>
      <c r="H53" s="276"/>
      <c r="I53" s="89">
        <v>4.5999999999999996</v>
      </c>
      <c r="J53" s="276">
        <f>F53*I53</f>
        <v>0</v>
      </c>
      <c r="K53" s="89"/>
      <c r="L53" s="276"/>
      <c r="M53" s="276">
        <f>H53+J53+L53</f>
        <v>0</v>
      </c>
      <c r="N53" s="207"/>
    </row>
    <row r="54" spans="1:14" s="31" customFormat="1" ht="31.5" hidden="1">
      <c r="A54" s="364"/>
      <c r="B54" s="279" t="s">
        <v>117</v>
      </c>
      <c r="C54" s="74" t="s">
        <v>382</v>
      </c>
      <c r="D54" s="64" t="s">
        <v>20</v>
      </c>
      <c r="E54" s="88"/>
      <c r="F54" s="171">
        <f>F52</f>
        <v>0</v>
      </c>
      <c r="G54" s="89"/>
      <c r="H54" s="276"/>
      <c r="I54" s="89"/>
      <c r="J54" s="276"/>
      <c r="K54" s="89">
        <v>10.19</v>
      </c>
      <c r="L54" s="276">
        <f>F54*K54</f>
        <v>0</v>
      </c>
      <c r="M54" s="276">
        <f>H54+J54+L54</f>
        <v>0</v>
      </c>
      <c r="N54" s="207"/>
    </row>
    <row r="55" spans="1:14" s="31" customFormat="1" ht="15.75" hidden="1">
      <c r="A55" s="279"/>
      <c r="B55" s="279"/>
      <c r="C55" s="74"/>
      <c r="D55" s="64"/>
      <c r="E55" s="88"/>
      <c r="F55" s="160"/>
      <c r="G55" s="89"/>
      <c r="H55" s="276"/>
      <c r="I55" s="89"/>
      <c r="J55" s="276"/>
      <c r="K55" s="89"/>
      <c r="L55" s="276"/>
      <c r="M55" s="276"/>
      <c r="N55" s="207"/>
    </row>
    <row r="56" spans="1:14" s="31" customFormat="1" ht="31.5">
      <c r="A56" s="279"/>
      <c r="B56" s="279"/>
      <c r="C56" s="275" t="s">
        <v>131</v>
      </c>
      <c r="D56" s="64"/>
      <c r="E56" s="1"/>
      <c r="F56" s="1"/>
      <c r="G56" s="276"/>
      <c r="H56" s="276"/>
      <c r="I56" s="276"/>
      <c r="J56" s="276"/>
      <c r="K56" s="276"/>
      <c r="L56" s="276"/>
      <c r="M56" s="276"/>
      <c r="N56" s="207"/>
    </row>
    <row r="57" spans="1:14" s="31" customFormat="1" ht="15.75">
      <c r="A57" s="279"/>
      <c r="B57" s="279"/>
      <c r="C57" s="275" t="s">
        <v>132</v>
      </c>
      <c r="D57" s="64"/>
      <c r="E57" s="278"/>
      <c r="F57" s="278"/>
      <c r="G57" s="276"/>
      <c r="H57" s="276"/>
      <c r="I57" s="276"/>
      <c r="J57" s="276"/>
      <c r="K57" s="276"/>
      <c r="L57" s="276"/>
      <c r="M57" s="276"/>
      <c r="N57" s="207"/>
    </row>
    <row r="58" spans="1:14" s="31" customFormat="1" ht="47.25">
      <c r="A58" s="362" t="s">
        <v>86</v>
      </c>
      <c r="B58" s="279" t="s">
        <v>76</v>
      </c>
      <c r="C58" s="79" t="s">
        <v>450</v>
      </c>
      <c r="D58" s="64" t="s">
        <v>17</v>
      </c>
      <c r="E58" s="278"/>
      <c r="F58" s="1">
        <v>120</v>
      </c>
      <c r="G58" s="276"/>
      <c r="H58" s="276"/>
      <c r="I58" s="276"/>
      <c r="J58" s="276"/>
      <c r="K58" s="276"/>
      <c r="L58" s="276"/>
      <c r="M58" s="276"/>
      <c r="N58" s="207"/>
    </row>
    <row r="59" spans="1:14" s="31" customFormat="1" ht="15.75">
      <c r="A59" s="363"/>
      <c r="B59" s="279"/>
      <c r="C59" s="77" t="s">
        <v>84</v>
      </c>
      <c r="D59" s="55" t="s">
        <v>85</v>
      </c>
      <c r="E59" s="12">
        <v>3.88</v>
      </c>
      <c r="F59" s="12">
        <f>F58*E59</f>
        <v>465.59999999999997</v>
      </c>
      <c r="G59" s="90"/>
      <c r="H59" s="276"/>
      <c r="I59" s="90"/>
      <c r="J59" s="276">
        <f>F59*I59</f>
        <v>0</v>
      </c>
      <c r="K59" s="91"/>
      <c r="L59" s="276"/>
      <c r="M59" s="276">
        <f>H59+J59+L59</f>
        <v>0</v>
      </c>
      <c r="N59" s="207"/>
    </row>
    <row r="60" spans="1:14" s="33" customFormat="1" ht="78.75" hidden="1">
      <c r="A60" s="271" t="s">
        <v>274</v>
      </c>
      <c r="B60" s="64" t="s">
        <v>394</v>
      </c>
      <c r="C60" s="189" t="s">
        <v>58</v>
      </c>
      <c r="D60" s="64" t="s">
        <v>73</v>
      </c>
      <c r="E60" s="150"/>
      <c r="F60" s="1">
        <v>0</v>
      </c>
      <c r="G60" s="6"/>
      <c r="H60" s="276"/>
      <c r="I60" s="6"/>
      <c r="J60" s="276"/>
      <c r="K60" s="6"/>
      <c r="L60" s="276"/>
      <c r="M60" s="276"/>
      <c r="N60" s="207"/>
    </row>
    <row r="61" spans="1:14" s="33" customFormat="1" ht="15.75" hidden="1">
      <c r="A61" s="272"/>
      <c r="B61" s="279"/>
      <c r="C61" s="53" t="s">
        <v>55</v>
      </c>
      <c r="D61" s="279" t="s">
        <v>53</v>
      </c>
      <c r="E61" s="278">
        <v>3.2099999999999997E-2</v>
      </c>
      <c r="F61" s="278">
        <f>E61*F60</f>
        <v>0</v>
      </c>
      <c r="G61" s="276"/>
      <c r="H61" s="276"/>
      <c r="I61" s="276">
        <v>6</v>
      </c>
      <c r="J61" s="276">
        <f>F61*I61</f>
        <v>0</v>
      </c>
      <c r="K61" s="276"/>
      <c r="L61" s="276"/>
      <c r="M61" s="276">
        <f t="shared" ref="M61:M73" si="1">H61+J61+L61</f>
        <v>0</v>
      </c>
      <c r="N61" s="207"/>
    </row>
    <row r="62" spans="1:14" s="33" customFormat="1" ht="31.5" hidden="1">
      <c r="A62" s="272"/>
      <c r="B62" s="279" t="s">
        <v>78</v>
      </c>
      <c r="C62" s="53" t="s">
        <v>59</v>
      </c>
      <c r="D62" s="279" t="s">
        <v>60</v>
      </c>
      <c r="E62" s="278">
        <v>2.65E-3</v>
      </c>
      <c r="F62" s="278">
        <f>E62*F60</f>
        <v>0</v>
      </c>
      <c r="G62" s="276"/>
      <c r="H62" s="276"/>
      <c r="I62" s="276"/>
      <c r="J62" s="276"/>
      <c r="K62" s="276">
        <v>32.81</v>
      </c>
      <c r="L62" s="276">
        <f t="shared" ref="L62:L67" si="2">F62*K62</f>
        <v>0</v>
      </c>
      <c r="M62" s="276">
        <f t="shared" si="1"/>
        <v>0</v>
      </c>
      <c r="N62" s="207"/>
    </row>
    <row r="63" spans="1:14" s="33" customFormat="1" ht="31.5" hidden="1">
      <c r="A63" s="272"/>
      <c r="B63" s="279" t="s">
        <v>388</v>
      </c>
      <c r="C63" s="53" t="s">
        <v>61</v>
      </c>
      <c r="D63" s="279" t="s">
        <v>60</v>
      </c>
      <c r="E63" s="278">
        <v>6.1599999999999997E-3</v>
      </c>
      <c r="F63" s="278">
        <f>E63*F60</f>
        <v>0</v>
      </c>
      <c r="G63" s="276"/>
      <c r="H63" s="276"/>
      <c r="I63" s="276"/>
      <c r="J63" s="276"/>
      <c r="K63" s="276">
        <v>21.66</v>
      </c>
      <c r="L63" s="276">
        <f t="shared" si="2"/>
        <v>0</v>
      </c>
      <c r="M63" s="276">
        <f t="shared" si="1"/>
        <v>0</v>
      </c>
      <c r="N63" s="210"/>
    </row>
    <row r="64" spans="1:14" s="33" customFormat="1" ht="31.5" hidden="1">
      <c r="A64" s="272"/>
      <c r="B64" s="279" t="s">
        <v>335</v>
      </c>
      <c r="C64" s="53" t="s">
        <v>62</v>
      </c>
      <c r="D64" s="279" t="s">
        <v>60</v>
      </c>
      <c r="E64" s="278">
        <v>4.5300000000000002E-3</v>
      </c>
      <c r="F64" s="278">
        <f>E64*F60</f>
        <v>0</v>
      </c>
      <c r="G64" s="276"/>
      <c r="H64" s="276"/>
      <c r="I64" s="276"/>
      <c r="J64" s="276"/>
      <c r="K64" s="276">
        <v>25.86</v>
      </c>
      <c r="L64" s="276">
        <f t="shared" si="2"/>
        <v>0</v>
      </c>
      <c r="M64" s="276">
        <f t="shared" si="1"/>
        <v>0</v>
      </c>
      <c r="N64" s="210"/>
    </row>
    <row r="65" spans="1:14" s="33" customFormat="1" ht="31.5" hidden="1">
      <c r="A65" s="272"/>
      <c r="B65" s="279" t="s">
        <v>79</v>
      </c>
      <c r="C65" s="53" t="s">
        <v>63</v>
      </c>
      <c r="D65" s="279" t="s">
        <v>60</v>
      </c>
      <c r="E65" s="278">
        <v>7.1000000000000002E-4</v>
      </c>
      <c r="F65" s="278">
        <f>E65*F60</f>
        <v>0</v>
      </c>
      <c r="G65" s="276"/>
      <c r="H65" s="276"/>
      <c r="I65" s="276"/>
      <c r="J65" s="276"/>
      <c r="K65" s="276">
        <v>37.590000000000003</v>
      </c>
      <c r="L65" s="276">
        <f t="shared" si="2"/>
        <v>0</v>
      </c>
      <c r="M65" s="276">
        <f t="shared" si="1"/>
        <v>0</v>
      </c>
      <c r="N65" s="210"/>
    </row>
    <row r="66" spans="1:14" s="33" customFormat="1" ht="31.5" hidden="1">
      <c r="A66" s="272"/>
      <c r="B66" s="279" t="s">
        <v>80</v>
      </c>
      <c r="C66" s="53" t="s">
        <v>64</v>
      </c>
      <c r="D66" s="279" t="s">
        <v>60</v>
      </c>
      <c r="E66" s="278">
        <v>2.0699999999999998E-3</v>
      </c>
      <c r="F66" s="278">
        <f>E66*F60</f>
        <v>0</v>
      </c>
      <c r="G66" s="276"/>
      <c r="H66" s="276"/>
      <c r="I66" s="276"/>
      <c r="J66" s="276"/>
      <c r="K66" s="276">
        <v>57.74</v>
      </c>
      <c r="L66" s="276">
        <f t="shared" si="2"/>
        <v>0</v>
      </c>
      <c r="M66" s="276">
        <f t="shared" si="1"/>
        <v>0</v>
      </c>
      <c r="N66" s="210"/>
    </row>
    <row r="67" spans="1:14" s="33" customFormat="1" ht="15.75" hidden="1">
      <c r="A67" s="273"/>
      <c r="B67" s="279"/>
      <c r="C67" s="53" t="s">
        <v>24</v>
      </c>
      <c r="D67" s="26" t="s">
        <v>22</v>
      </c>
      <c r="E67" s="278">
        <v>1.0200000000000001E-3</v>
      </c>
      <c r="F67" s="278">
        <f>E67*F60</f>
        <v>0</v>
      </c>
      <c r="G67" s="276"/>
      <c r="H67" s="276"/>
      <c r="I67" s="276"/>
      <c r="J67" s="276"/>
      <c r="K67" s="276">
        <v>3.2</v>
      </c>
      <c r="L67" s="276">
        <f t="shared" si="2"/>
        <v>0</v>
      </c>
      <c r="M67" s="276">
        <f t="shared" si="1"/>
        <v>0</v>
      </c>
      <c r="N67" s="210"/>
    </row>
    <row r="68" spans="1:14" s="33" customFormat="1" ht="47.25">
      <c r="A68" s="271" t="s">
        <v>128</v>
      </c>
      <c r="B68" s="279"/>
      <c r="C68" s="189" t="s">
        <v>386</v>
      </c>
      <c r="D68" s="26"/>
      <c r="E68" s="278"/>
      <c r="F68" s="278"/>
      <c r="G68" s="276"/>
      <c r="H68" s="276"/>
      <c r="I68" s="276"/>
      <c r="J68" s="276"/>
      <c r="K68" s="276"/>
      <c r="L68" s="276"/>
      <c r="M68" s="276"/>
      <c r="N68" s="207"/>
    </row>
    <row r="69" spans="1:14" s="33" customFormat="1" ht="18.75" customHeight="1">
      <c r="A69" s="374" t="s">
        <v>254</v>
      </c>
      <c r="B69" s="187" t="s">
        <v>192</v>
      </c>
      <c r="C69" s="191" t="s">
        <v>280</v>
      </c>
      <c r="D69" s="34" t="s">
        <v>20</v>
      </c>
      <c r="E69" s="156"/>
      <c r="F69" s="159">
        <f>F72*1.65</f>
        <v>26.4</v>
      </c>
      <c r="G69" s="157"/>
      <c r="H69" s="288"/>
      <c r="I69" s="288"/>
      <c r="J69" s="288"/>
      <c r="K69" s="158"/>
      <c r="L69" s="288"/>
      <c r="M69" s="288"/>
      <c r="N69" s="207"/>
    </row>
    <row r="70" spans="1:14" s="33" customFormat="1" ht="18.75" customHeight="1">
      <c r="A70" s="376"/>
      <c r="B70" s="279"/>
      <c r="C70" s="23" t="s">
        <v>55</v>
      </c>
      <c r="D70" s="279" t="s">
        <v>53</v>
      </c>
      <c r="E70" s="287">
        <f>0.53</f>
        <v>0.53</v>
      </c>
      <c r="F70" s="287">
        <f>E70*F69</f>
        <v>13.991999999999999</v>
      </c>
      <c r="G70" s="288"/>
      <c r="H70" s="288"/>
      <c r="I70" s="288"/>
      <c r="J70" s="288">
        <f>F70*I70</f>
        <v>0</v>
      </c>
      <c r="K70" s="288"/>
      <c r="L70" s="288"/>
      <c r="M70" s="288">
        <f>H70+J70+L70</f>
        <v>0</v>
      </c>
      <c r="N70" s="207"/>
    </row>
    <row r="71" spans="1:14" s="33" customFormat="1" ht="47.25">
      <c r="A71" s="273" t="s">
        <v>255</v>
      </c>
      <c r="B71" s="55" t="s">
        <v>133</v>
      </c>
      <c r="C71" s="75" t="s">
        <v>452</v>
      </c>
      <c r="D71" s="34" t="s">
        <v>20</v>
      </c>
      <c r="E71" s="12"/>
      <c r="F71" s="172">
        <f>F69</f>
        <v>26.4</v>
      </c>
      <c r="G71" s="90"/>
      <c r="H71" s="276"/>
      <c r="I71" s="276"/>
      <c r="J71" s="276"/>
      <c r="K71" s="91"/>
      <c r="L71" s="276">
        <f>F71*K71</f>
        <v>0</v>
      </c>
      <c r="M71" s="276">
        <f t="shared" si="1"/>
        <v>0</v>
      </c>
      <c r="N71" s="210"/>
    </row>
    <row r="72" spans="1:14" s="33" customFormat="1" ht="47.25">
      <c r="A72" s="271" t="s">
        <v>440</v>
      </c>
      <c r="B72" s="55" t="s">
        <v>92</v>
      </c>
      <c r="C72" s="76" t="s">
        <v>264</v>
      </c>
      <c r="D72" s="34" t="s">
        <v>17</v>
      </c>
      <c r="E72" s="12"/>
      <c r="F72" s="1">
        <v>16</v>
      </c>
      <c r="G72" s="90"/>
      <c r="H72" s="276"/>
      <c r="I72" s="276"/>
      <c r="J72" s="276"/>
      <c r="K72" s="91"/>
      <c r="L72" s="276"/>
      <c r="M72" s="276"/>
      <c r="N72" s="210"/>
    </row>
    <row r="73" spans="1:14" s="33" customFormat="1" ht="15.75">
      <c r="A73" s="273"/>
      <c r="B73" s="55"/>
      <c r="C73" s="77" t="s">
        <v>84</v>
      </c>
      <c r="D73" s="55" t="s">
        <v>85</v>
      </c>
      <c r="E73" s="12">
        <v>1.21</v>
      </c>
      <c r="F73" s="12">
        <f>F72*E73</f>
        <v>19.36</v>
      </c>
      <c r="G73" s="90"/>
      <c r="H73" s="276"/>
      <c r="I73" s="90"/>
      <c r="J73" s="276">
        <f>F73*I73</f>
        <v>0</v>
      </c>
      <c r="K73" s="91"/>
      <c r="L73" s="276"/>
      <c r="M73" s="276">
        <f t="shared" si="1"/>
        <v>0</v>
      </c>
      <c r="N73" s="210"/>
    </row>
    <row r="74" spans="1:14" s="33" customFormat="1" ht="63">
      <c r="A74" s="376" t="s">
        <v>451</v>
      </c>
      <c r="B74" s="259" t="s">
        <v>509</v>
      </c>
      <c r="C74" s="246" t="s">
        <v>387</v>
      </c>
      <c r="D74" s="252" t="s">
        <v>519</v>
      </c>
      <c r="E74" s="247"/>
      <c r="F74" s="286">
        <f>35*20/1000</f>
        <v>0.7</v>
      </c>
      <c r="G74" s="6"/>
      <c r="H74" s="276"/>
      <c r="I74" s="6"/>
      <c r="J74" s="276"/>
      <c r="K74" s="6"/>
      <c r="L74" s="276"/>
      <c r="M74" s="276"/>
      <c r="N74" s="210"/>
    </row>
    <row r="75" spans="1:14" s="33" customFormat="1" ht="15.75" hidden="1">
      <c r="A75" s="377"/>
      <c r="B75" s="55"/>
      <c r="C75" s="245"/>
      <c r="D75" s="64" t="s">
        <v>17</v>
      </c>
      <c r="E75" s="1"/>
      <c r="F75" s="1">
        <f>F74*0.05</f>
        <v>3.4999999999999996E-2</v>
      </c>
      <c r="G75" s="6"/>
      <c r="H75" s="276"/>
      <c r="I75" s="6"/>
      <c r="J75" s="276"/>
      <c r="K75" s="6"/>
      <c r="L75" s="276"/>
      <c r="M75" s="276"/>
      <c r="N75" s="210"/>
    </row>
    <row r="76" spans="1:14" s="33" customFormat="1" ht="15.75">
      <c r="A76" s="377"/>
      <c r="B76" s="55"/>
      <c r="C76" s="77" t="s">
        <v>84</v>
      </c>
      <c r="D76" s="55" t="s">
        <v>85</v>
      </c>
      <c r="E76" s="12">
        <v>180</v>
      </c>
      <c r="F76" s="12">
        <f>F74*E76</f>
        <v>125.99999999999999</v>
      </c>
      <c r="G76" s="90"/>
      <c r="H76" s="276"/>
      <c r="I76" s="90"/>
      <c r="J76" s="276">
        <f>F76*I76</f>
        <v>0</v>
      </c>
      <c r="K76" s="91"/>
      <c r="L76" s="276"/>
      <c r="M76" s="276">
        <f>H76+J76+L76</f>
        <v>0</v>
      </c>
      <c r="N76" s="210"/>
    </row>
    <row r="77" spans="1:14" ht="63">
      <c r="A77" s="279" t="s">
        <v>116</v>
      </c>
      <c r="B77" s="279"/>
      <c r="C77" s="275" t="s">
        <v>510</v>
      </c>
      <c r="D77" s="64"/>
      <c r="E77" s="278"/>
      <c r="F77" s="1">
        <f>84+2*2*2</f>
        <v>92</v>
      </c>
      <c r="G77" s="276"/>
      <c r="H77" s="276"/>
      <c r="I77" s="276"/>
      <c r="J77" s="276"/>
      <c r="K77" s="276"/>
      <c r="L77" s="276"/>
      <c r="M77" s="276"/>
      <c r="N77" s="207"/>
    </row>
    <row r="78" spans="1:14" ht="78.75">
      <c r="A78" s="271" t="s">
        <v>441</v>
      </c>
      <c r="B78" s="55" t="s">
        <v>70</v>
      </c>
      <c r="C78" s="70" t="s">
        <v>135</v>
      </c>
      <c r="D78" s="64" t="s">
        <v>74</v>
      </c>
      <c r="E78" s="1"/>
      <c r="F78" s="1">
        <f>0.4*0.6*F77</f>
        <v>22.08</v>
      </c>
      <c r="G78" s="6"/>
      <c r="H78" s="276"/>
      <c r="I78" s="6"/>
      <c r="J78" s="276"/>
      <c r="K78" s="6"/>
      <c r="L78" s="276"/>
      <c r="M78" s="276"/>
      <c r="N78" s="207"/>
    </row>
    <row r="79" spans="1:14">
      <c r="A79" s="273"/>
      <c r="B79" s="55"/>
      <c r="C79" s="77" t="s">
        <v>84</v>
      </c>
      <c r="D79" s="55" t="s">
        <v>85</v>
      </c>
      <c r="E79" s="12">
        <v>2.06</v>
      </c>
      <c r="F79" s="12">
        <f>F78*E79</f>
        <v>45.4848</v>
      </c>
      <c r="G79" s="90"/>
      <c r="H79" s="276"/>
      <c r="I79" s="90"/>
      <c r="J79" s="276">
        <f>F79*I79</f>
        <v>0</v>
      </c>
      <c r="K79" s="91"/>
      <c r="L79" s="276"/>
      <c r="M79" s="276">
        <f>H79+J79+L79</f>
        <v>0</v>
      </c>
      <c r="N79" s="207"/>
    </row>
    <row r="80" spans="1:14" ht="63">
      <c r="A80" s="271" t="s">
        <v>442</v>
      </c>
      <c r="B80" s="55" t="s">
        <v>71</v>
      </c>
      <c r="C80" s="76" t="s">
        <v>136</v>
      </c>
      <c r="D80" s="34" t="s">
        <v>17</v>
      </c>
      <c r="E80" s="12"/>
      <c r="F80" s="1">
        <f>0.4*0.1*F77</f>
        <v>3.6800000000000006</v>
      </c>
      <c r="G80" s="90"/>
      <c r="H80" s="276"/>
      <c r="I80" s="276"/>
      <c r="J80" s="276"/>
      <c r="K80" s="91"/>
      <c r="L80" s="276"/>
      <c r="M80" s="276"/>
      <c r="N80" s="207"/>
    </row>
    <row r="81" spans="1:14">
      <c r="A81" s="272"/>
      <c r="B81" s="55"/>
      <c r="C81" s="77" t="s">
        <v>84</v>
      </c>
      <c r="D81" s="55" t="s">
        <v>85</v>
      </c>
      <c r="E81" s="12">
        <v>3.52</v>
      </c>
      <c r="F81" s="12">
        <f>F80*E81</f>
        <v>12.953600000000002</v>
      </c>
      <c r="G81" s="90"/>
      <c r="H81" s="276"/>
      <c r="I81" s="90"/>
      <c r="J81" s="276">
        <f>F81*I81</f>
        <v>0</v>
      </c>
      <c r="K81" s="91"/>
      <c r="L81" s="276"/>
      <c r="M81" s="276">
        <f>H81+J81+L81</f>
        <v>0</v>
      </c>
      <c r="N81" s="207">
        <f>J81/F80</f>
        <v>0</v>
      </c>
    </row>
    <row r="82" spans="1:14">
      <c r="A82" s="272"/>
      <c r="B82" s="55"/>
      <c r="C82" s="77" t="s">
        <v>30</v>
      </c>
      <c r="D82" s="55" t="s">
        <v>22</v>
      </c>
      <c r="E82" s="12">
        <v>1.06</v>
      </c>
      <c r="F82" s="12">
        <f>F80*E82</f>
        <v>3.9008000000000007</v>
      </c>
      <c r="G82" s="90"/>
      <c r="H82" s="276"/>
      <c r="I82" s="276"/>
      <c r="J82" s="276"/>
      <c r="K82" s="91"/>
      <c r="L82" s="276">
        <f>F82*K82</f>
        <v>0</v>
      </c>
      <c r="M82" s="276">
        <f>H82+J82+L82</f>
        <v>0</v>
      </c>
      <c r="N82" s="207"/>
    </row>
    <row r="83" spans="1:14">
      <c r="A83" s="272"/>
      <c r="B83" s="55"/>
      <c r="C83" s="77" t="s">
        <v>134</v>
      </c>
      <c r="D83" s="55" t="s">
        <v>17</v>
      </c>
      <c r="E83" s="12">
        <f>0.18+0.09+0.97</f>
        <v>1.24</v>
      </c>
      <c r="F83" s="12">
        <f>F80*E83</f>
        <v>4.563200000000001</v>
      </c>
      <c r="G83" s="90"/>
      <c r="H83" s="276">
        <f>F83*G83</f>
        <v>0</v>
      </c>
      <c r="I83" s="276"/>
      <c r="J83" s="276"/>
      <c r="K83" s="91"/>
      <c r="L83" s="276"/>
      <c r="M83" s="276">
        <f>H83+J83+L83</f>
        <v>0</v>
      </c>
      <c r="N83" s="207"/>
    </row>
    <row r="84" spans="1:14">
      <c r="A84" s="273"/>
      <c r="B84" s="55"/>
      <c r="C84" s="77" t="s">
        <v>28</v>
      </c>
      <c r="D84" s="55" t="s">
        <v>22</v>
      </c>
      <c r="E84" s="12">
        <v>0.02</v>
      </c>
      <c r="F84" s="12">
        <f>F80*E84</f>
        <v>7.3600000000000013E-2</v>
      </c>
      <c r="G84" s="90"/>
      <c r="H84" s="276">
        <f>F84*G84</f>
        <v>0</v>
      </c>
      <c r="I84" s="276"/>
      <c r="J84" s="276"/>
      <c r="K84" s="91"/>
      <c r="L84" s="276"/>
      <c r="M84" s="276">
        <f>H84+J84+L84</f>
        <v>0</v>
      </c>
      <c r="N84" s="207"/>
    </row>
    <row r="85" spans="1:14" ht="63">
      <c r="A85" s="266" t="s">
        <v>284</v>
      </c>
      <c r="B85" s="279" t="s">
        <v>99</v>
      </c>
      <c r="C85" s="70" t="s">
        <v>425</v>
      </c>
      <c r="D85" s="64" t="s">
        <v>17</v>
      </c>
      <c r="E85" s="278"/>
      <c r="F85" s="1">
        <f>0.3*0.7*F77</f>
        <v>19.32</v>
      </c>
      <c r="G85" s="92"/>
      <c r="H85" s="276"/>
      <c r="I85" s="92"/>
      <c r="J85" s="276"/>
      <c r="K85" s="92"/>
      <c r="L85" s="276"/>
      <c r="M85" s="276"/>
      <c r="N85" s="207"/>
    </row>
    <row r="86" spans="1:14">
      <c r="A86" s="268"/>
      <c r="B86" s="279"/>
      <c r="C86" s="78" t="s">
        <v>48</v>
      </c>
      <c r="D86" s="3" t="s">
        <v>53</v>
      </c>
      <c r="E86" s="93">
        <v>3.78</v>
      </c>
      <c r="F86" s="161">
        <f>E86*F85</f>
        <v>73.029600000000002</v>
      </c>
      <c r="G86" s="276"/>
      <c r="H86" s="276"/>
      <c r="I86" s="276"/>
      <c r="J86" s="276">
        <f>F86*I86</f>
        <v>0</v>
      </c>
      <c r="K86" s="276"/>
      <c r="L86" s="276"/>
      <c r="M86" s="276">
        <f t="shared" ref="M86:M92" si="3">H86+J86+L86</f>
        <v>0</v>
      </c>
      <c r="N86" s="207">
        <f>J86/F85</f>
        <v>0</v>
      </c>
    </row>
    <row r="87" spans="1:14">
      <c r="A87" s="268"/>
      <c r="B87" s="279"/>
      <c r="C87" s="78" t="s">
        <v>24</v>
      </c>
      <c r="D87" s="3" t="s">
        <v>22</v>
      </c>
      <c r="E87" s="93">
        <v>0.92</v>
      </c>
      <c r="F87" s="161">
        <f>E87*F85</f>
        <v>17.7744</v>
      </c>
      <c r="G87" s="276"/>
      <c r="H87" s="276"/>
      <c r="I87" s="276"/>
      <c r="J87" s="276"/>
      <c r="K87" s="276"/>
      <c r="L87" s="276">
        <f>F87*K87</f>
        <v>0</v>
      </c>
      <c r="M87" s="276">
        <f t="shared" si="3"/>
        <v>0</v>
      </c>
      <c r="N87" s="207"/>
    </row>
    <row r="88" spans="1:14">
      <c r="A88" s="268"/>
      <c r="B88" s="279"/>
      <c r="C88" s="78" t="s">
        <v>445</v>
      </c>
      <c r="D88" s="3" t="s">
        <v>75</v>
      </c>
      <c r="E88" s="93">
        <v>1.0149999999999999</v>
      </c>
      <c r="F88" s="161">
        <f>E88*F85</f>
        <v>19.6098</v>
      </c>
      <c r="G88" s="276"/>
      <c r="H88" s="276">
        <f>F88*G88</f>
        <v>0</v>
      </c>
      <c r="I88" s="276"/>
      <c r="J88" s="276"/>
      <c r="K88" s="276"/>
      <c r="L88" s="276"/>
      <c r="M88" s="276">
        <f t="shared" si="3"/>
        <v>0</v>
      </c>
      <c r="N88" s="207"/>
    </row>
    <row r="89" spans="1:14">
      <c r="A89" s="268"/>
      <c r="B89" s="279"/>
      <c r="C89" s="78" t="s">
        <v>67</v>
      </c>
      <c r="D89" s="3" t="s">
        <v>69</v>
      </c>
      <c r="E89" s="93">
        <v>0.70299999999999996</v>
      </c>
      <c r="F89" s="161">
        <f>E89*F85</f>
        <v>13.581959999999999</v>
      </c>
      <c r="G89" s="276"/>
      <c r="H89" s="276">
        <f>F89*G89</f>
        <v>0</v>
      </c>
      <c r="I89" s="276"/>
      <c r="J89" s="276"/>
      <c r="K89" s="276"/>
      <c r="L89" s="276"/>
      <c r="M89" s="276">
        <f t="shared" si="3"/>
        <v>0</v>
      </c>
      <c r="N89" s="207"/>
    </row>
    <row r="90" spans="1:14">
      <c r="A90" s="268"/>
      <c r="B90" s="279"/>
      <c r="C90" s="78" t="s">
        <v>68</v>
      </c>
      <c r="D90" s="3" t="s">
        <v>75</v>
      </c>
      <c r="E90" s="93">
        <v>1.14E-2</v>
      </c>
      <c r="F90" s="161">
        <f>E90*F85</f>
        <v>0.220248</v>
      </c>
      <c r="G90" s="276"/>
      <c r="H90" s="276">
        <f>F90*G90</f>
        <v>0</v>
      </c>
      <c r="I90" s="276"/>
      <c r="J90" s="276"/>
      <c r="K90" s="276"/>
      <c r="L90" s="276"/>
      <c r="M90" s="276">
        <f t="shared" si="3"/>
        <v>0</v>
      </c>
      <c r="N90" s="207"/>
    </row>
    <row r="91" spans="1:14">
      <c r="A91" s="267"/>
      <c r="B91" s="279"/>
      <c r="C91" s="78" t="s">
        <v>31</v>
      </c>
      <c r="D91" s="3" t="s">
        <v>22</v>
      </c>
      <c r="E91" s="93">
        <v>0.6</v>
      </c>
      <c r="F91" s="161">
        <f>E91*F85</f>
        <v>11.592000000000001</v>
      </c>
      <c r="G91" s="276"/>
      <c r="H91" s="276">
        <f>F91*G91</f>
        <v>0</v>
      </c>
      <c r="I91" s="276"/>
      <c r="J91" s="276"/>
      <c r="K91" s="276"/>
      <c r="L91" s="276"/>
      <c r="M91" s="276">
        <f>H91+J91+L91</f>
        <v>0</v>
      </c>
      <c r="N91" s="207"/>
    </row>
    <row r="92" spans="1:14">
      <c r="A92" s="268"/>
      <c r="B92" s="279"/>
      <c r="C92" s="260" t="s">
        <v>511</v>
      </c>
      <c r="D92" s="262" t="s">
        <v>65</v>
      </c>
      <c r="E92" s="153" t="s">
        <v>512</v>
      </c>
      <c r="F92" s="261">
        <v>0.187</v>
      </c>
      <c r="G92" s="276"/>
      <c r="H92" s="276">
        <f>F92*G92</f>
        <v>0</v>
      </c>
      <c r="I92" s="276"/>
      <c r="J92" s="276"/>
      <c r="K92" s="276"/>
      <c r="L92" s="276"/>
      <c r="M92" s="276">
        <f t="shared" si="3"/>
        <v>0</v>
      </c>
      <c r="N92" s="207">
        <f>(3*F77+(F77/0.15+1)*0.3)*0.395/1000*1.03</f>
        <v>0.18727305499999999</v>
      </c>
    </row>
    <row r="93" spans="1:14" ht="63">
      <c r="A93" s="266" t="s">
        <v>443</v>
      </c>
      <c r="B93" s="231" t="s">
        <v>513</v>
      </c>
      <c r="C93" s="79" t="s">
        <v>522</v>
      </c>
      <c r="D93" s="27" t="s">
        <v>54</v>
      </c>
      <c r="E93" s="66"/>
      <c r="F93" s="10">
        <f>F77</f>
        <v>92</v>
      </c>
      <c r="G93" s="276"/>
      <c r="H93" s="276"/>
      <c r="I93" s="276"/>
      <c r="J93" s="276"/>
      <c r="K93" s="276"/>
      <c r="L93" s="276"/>
      <c r="M93" s="276"/>
      <c r="N93" s="207"/>
    </row>
    <row r="94" spans="1:14">
      <c r="A94" s="268"/>
      <c r="B94" s="231"/>
      <c r="C94" s="80" t="s">
        <v>23</v>
      </c>
      <c r="D94" s="279" t="s">
        <v>25</v>
      </c>
      <c r="E94" s="66">
        <v>1.58</v>
      </c>
      <c r="F94" s="66">
        <f>F93*E94</f>
        <v>145.36000000000001</v>
      </c>
      <c r="G94" s="276"/>
      <c r="H94" s="276"/>
      <c r="I94" s="276"/>
      <c r="J94" s="276">
        <f>F94*I94</f>
        <v>0</v>
      </c>
      <c r="K94" s="276"/>
      <c r="L94" s="276"/>
      <c r="M94" s="276">
        <f t="shared" ref="M94:M100" si="4">H94+J94+L94</f>
        <v>0</v>
      </c>
      <c r="N94" s="207">
        <f>J94/F93</f>
        <v>0</v>
      </c>
    </row>
    <row r="95" spans="1:14" ht="31.5">
      <c r="A95" s="268"/>
      <c r="B95" s="279" t="s">
        <v>100</v>
      </c>
      <c r="C95" s="190" t="s">
        <v>101</v>
      </c>
      <c r="D95" s="279" t="s">
        <v>60</v>
      </c>
      <c r="E95" s="285">
        <f>20.5/100</f>
        <v>0.20499999999999999</v>
      </c>
      <c r="F95" s="285">
        <f>F93*E95</f>
        <v>18.86</v>
      </c>
      <c r="G95" s="276"/>
      <c r="H95" s="276"/>
      <c r="I95" s="276"/>
      <c r="J95" s="276"/>
      <c r="K95" s="276"/>
      <c r="L95" s="276">
        <f>F95*K95</f>
        <v>0</v>
      </c>
      <c r="M95" s="276">
        <f t="shared" si="4"/>
        <v>0</v>
      </c>
      <c r="N95" s="207"/>
    </row>
    <row r="96" spans="1:14">
      <c r="A96" s="268"/>
      <c r="B96" s="279"/>
      <c r="C96" s="190" t="s">
        <v>24</v>
      </c>
      <c r="D96" s="279" t="s">
        <v>22</v>
      </c>
      <c r="E96" s="285">
        <f>4*0.01</f>
        <v>0.04</v>
      </c>
      <c r="F96" s="285">
        <f>F93*E96</f>
        <v>3.68</v>
      </c>
      <c r="G96" s="276"/>
      <c r="H96" s="276"/>
      <c r="I96" s="276"/>
      <c r="J96" s="276"/>
      <c r="K96" s="276"/>
      <c r="L96" s="276">
        <f>F96*K96</f>
        <v>0</v>
      </c>
      <c r="M96" s="276">
        <f t="shared" si="4"/>
        <v>0</v>
      </c>
      <c r="N96" s="207"/>
    </row>
    <row r="97" spans="1:14">
      <c r="A97" s="268"/>
      <c r="B97" s="279" t="s">
        <v>124</v>
      </c>
      <c r="C97" s="81" t="s">
        <v>292</v>
      </c>
      <c r="D97" s="267" t="s">
        <v>75</v>
      </c>
      <c r="E97" s="285">
        <f>1.41*0.01</f>
        <v>1.41E-2</v>
      </c>
      <c r="F97" s="285">
        <f>F93*E97</f>
        <v>1.2971999999999999</v>
      </c>
      <c r="G97" s="276"/>
      <c r="H97" s="276">
        <f>F97*G97</f>
        <v>0</v>
      </c>
      <c r="I97" s="276"/>
      <c r="J97" s="276"/>
      <c r="K97" s="276"/>
      <c r="L97" s="276"/>
      <c r="M97" s="276">
        <f t="shared" si="4"/>
        <v>0</v>
      </c>
      <c r="N97" s="207"/>
    </row>
    <row r="98" spans="1:14">
      <c r="A98" s="268"/>
      <c r="B98" s="231" t="s">
        <v>424</v>
      </c>
      <c r="C98" s="80" t="s">
        <v>102</v>
      </c>
      <c r="D98" s="231" t="str">
        <f>D93</f>
        <v>grZ.m.</v>
      </c>
      <c r="E98" s="67">
        <v>1</v>
      </c>
      <c r="F98" s="66">
        <f>F93*E98</f>
        <v>92</v>
      </c>
      <c r="G98" s="276"/>
      <c r="H98" s="276">
        <f>F98*G98</f>
        <v>0</v>
      </c>
      <c r="I98" s="276"/>
      <c r="J98" s="276"/>
      <c r="K98" s="276"/>
      <c r="L98" s="276"/>
      <c r="M98" s="276">
        <f t="shared" si="4"/>
        <v>0</v>
      </c>
      <c r="N98" s="207"/>
    </row>
    <row r="99" spans="1:14" ht="31.5">
      <c r="A99" s="268"/>
      <c r="B99" s="279" t="s">
        <v>120</v>
      </c>
      <c r="C99" s="81" t="s">
        <v>103</v>
      </c>
      <c r="D99" s="279" t="s">
        <v>104</v>
      </c>
      <c r="E99" s="285">
        <f>0.002*1000*0.01</f>
        <v>0.02</v>
      </c>
      <c r="F99" s="285">
        <f>F93*E99</f>
        <v>1.84</v>
      </c>
      <c r="G99" s="276"/>
      <c r="H99" s="276">
        <f>F99*G99</f>
        <v>0</v>
      </c>
      <c r="I99" s="276"/>
      <c r="J99" s="276"/>
      <c r="K99" s="276"/>
      <c r="L99" s="276"/>
      <c r="M99" s="276">
        <f t="shared" si="4"/>
        <v>0</v>
      </c>
      <c r="N99" s="207"/>
    </row>
    <row r="100" spans="1:14">
      <c r="A100" s="267"/>
      <c r="B100" s="279"/>
      <c r="C100" s="190" t="s">
        <v>31</v>
      </c>
      <c r="D100" s="279" t="s">
        <v>22</v>
      </c>
      <c r="E100" s="285">
        <f>6*0.01</f>
        <v>0.06</v>
      </c>
      <c r="F100" s="285">
        <f>F93*E100</f>
        <v>5.52</v>
      </c>
      <c r="G100" s="276"/>
      <c r="H100" s="276">
        <f>F100*G100</f>
        <v>0</v>
      </c>
      <c r="I100" s="276"/>
      <c r="J100" s="276"/>
      <c r="K100" s="276"/>
      <c r="L100" s="276"/>
      <c r="M100" s="276">
        <f t="shared" si="4"/>
        <v>0</v>
      </c>
      <c r="N100" s="207"/>
    </row>
    <row r="101" spans="1:14" ht="37.5" customHeight="1">
      <c r="A101" s="362" t="s">
        <v>443</v>
      </c>
      <c r="B101" s="64" t="s">
        <v>498</v>
      </c>
      <c r="C101" s="192" t="s">
        <v>499</v>
      </c>
      <c r="D101" s="64" t="s">
        <v>15</v>
      </c>
      <c r="E101" s="287"/>
      <c r="F101" s="200">
        <v>3</v>
      </c>
      <c r="G101" s="288"/>
      <c r="H101" s="288"/>
      <c r="I101" s="288"/>
      <c r="J101" s="288"/>
      <c r="K101" s="288"/>
      <c r="L101" s="288"/>
      <c r="M101" s="288"/>
      <c r="N101" s="207"/>
    </row>
    <row r="102" spans="1:14">
      <c r="A102" s="365"/>
      <c r="B102" s="267"/>
      <c r="C102" s="236" t="s">
        <v>23</v>
      </c>
      <c r="D102" s="279" t="s">
        <v>25</v>
      </c>
      <c r="E102" s="256">
        <f>733*0.01</f>
        <v>7.33</v>
      </c>
      <c r="F102" s="287">
        <f>F101*E102</f>
        <v>21.990000000000002</v>
      </c>
      <c r="G102" s="288"/>
      <c r="H102" s="288"/>
      <c r="I102" s="288"/>
      <c r="J102" s="288">
        <f>F102*I102</f>
        <v>0</v>
      </c>
      <c r="K102" s="288"/>
      <c r="L102" s="288"/>
      <c r="M102" s="288">
        <f t="shared" ref="M101:M107" si="5">H102+J102+L102</f>
        <v>0</v>
      </c>
      <c r="N102" s="207"/>
    </row>
    <row r="103" spans="1:14">
      <c r="A103" s="365"/>
      <c r="B103" s="279"/>
      <c r="C103" s="63" t="s">
        <v>24</v>
      </c>
      <c r="D103" s="279" t="s">
        <v>22</v>
      </c>
      <c r="E103" s="256">
        <f>11*0.01</f>
        <v>0.11</v>
      </c>
      <c r="F103" s="256">
        <f>F101*E103</f>
        <v>0.33</v>
      </c>
      <c r="G103" s="288"/>
      <c r="H103" s="288"/>
      <c r="I103" s="288"/>
      <c r="J103" s="288"/>
      <c r="K103" s="288"/>
      <c r="L103" s="288">
        <f>F103*K103</f>
        <v>0</v>
      </c>
      <c r="M103" s="288">
        <f t="shared" si="5"/>
        <v>0</v>
      </c>
      <c r="N103" s="207"/>
    </row>
    <row r="104" spans="1:14">
      <c r="A104" s="365"/>
      <c r="B104" s="267"/>
      <c r="C104" s="236" t="s">
        <v>500</v>
      </c>
      <c r="D104" s="257" t="s">
        <v>73</v>
      </c>
      <c r="E104" s="256"/>
      <c r="F104" s="159">
        <f>1*1.3*F101</f>
        <v>3.9000000000000004</v>
      </c>
      <c r="G104" s="288"/>
      <c r="H104" s="288">
        <f>F104*G104</f>
        <v>0</v>
      </c>
      <c r="I104" s="288"/>
      <c r="J104" s="288"/>
      <c r="K104" s="288"/>
      <c r="L104" s="288"/>
      <c r="M104" s="288">
        <f t="shared" si="5"/>
        <v>0</v>
      </c>
      <c r="N104" s="207"/>
    </row>
    <row r="105" spans="1:14">
      <c r="A105" s="365"/>
      <c r="B105" s="279"/>
      <c r="C105" s="236" t="s">
        <v>501</v>
      </c>
      <c r="D105" s="267" t="s">
        <v>75</v>
      </c>
      <c r="E105" s="256">
        <f>5.1*0.01</f>
        <v>5.0999999999999997E-2</v>
      </c>
      <c r="F105" s="256">
        <f>E105*F101</f>
        <v>0.153</v>
      </c>
      <c r="G105" s="288"/>
      <c r="H105" s="288">
        <f>F105*G105</f>
        <v>0</v>
      </c>
      <c r="I105" s="288"/>
      <c r="J105" s="288"/>
      <c r="K105" s="288"/>
      <c r="L105" s="288"/>
      <c r="M105" s="288">
        <f t="shared" si="5"/>
        <v>0</v>
      </c>
      <c r="N105" s="207"/>
    </row>
    <row r="106" spans="1:14">
      <c r="A106" s="365"/>
      <c r="B106" s="267"/>
      <c r="C106" s="236" t="s">
        <v>502</v>
      </c>
      <c r="D106" s="267" t="s">
        <v>104</v>
      </c>
      <c r="E106" s="256">
        <v>0.2</v>
      </c>
      <c r="F106" s="287">
        <f>F101*E106</f>
        <v>0.60000000000000009</v>
      </c>
      <c r="G106" s="288"/>
      <c r="H106" s="288">
        <f>F106*G106</f>
        <v>0</v>
      </c>
      <c r="I106" s="288"/>
      <c r="J106" s="288"/>
      <c r="K106" s="288"/>
      <c r="L106" s="288"/>
      <c r="M106" s="288">
        <f t="shared" si="5"/>
        <v>0</v>
      </c>
      <c r="N106" s="207"/>
    </row>
    <row r="107" spans="1:14">
      <c r="A107" s="363"/>
      <c r="B107" s="279"/>
      <c r="C107" s="63" t="s">
        <v>31</v>
      </c>
      <c r="D107" s="279" t="s">
        <v>22</v>
      </c>
      <c r="E107" s="256">
        <f>2*0.01</f>
        <v>0.02</v>
      </c>
      <c r="F107" s="256">
        <f>F101*E107</f>
        <v>0.06</v>
      </c>
      <c r="G107" s="288"/>
      <c r="H107" s="288">
        <f>F107*G107</f>
        <v>0</v>
      </c>
      <c r="I107" s="288"/>
      <c r="J107" s="288"/>
      <c r="K107" s="288"/>
      <c r="L107" s="288"/>
      <c r="M107" s="288">
        <f t="shared" si="5"/>
        <v>0</v>
      </c>
      <c r="N107" s="207"/>
    </row>
    <row r="108" spans="1:14" ht="47.25">
      <c r="A108" s="266" t="s">
        <v>444</v>
      </c>
      <c r="B108" s="231" t="s">
        <v>105</v>
      </c>
      <c r="C108" s="79" t="s">
        <v>106</v>
      </c>
      <c r="D108" s="27" t="s">
        <v>73</v>
      </c>
      <c r="E108" s="66"/>
      <c r="F108" s="10">
        <f>F93*2+F104*2</f>
        <v>191.8</v>
      </c>
      <c r="G108" s="276"/>
      <c r="H108" s="276"/>
      <c r="I108" s="276"/>
      <c r="J108" s="276"/>
      <c r="K108" s="276"/>
      <c r="L108" s="276"/>
      <c r="M108" s="276"/>
      <c r="N108" s="207"/>
    </row>
    <row r="109" spans="1:14">
      <c r="A109" s="268"/>
      <c r="B109" s="218"/>
      <c r="C109" s="82" t="s">
        <v>23</v>
      </c>
      <c r="D109" s="56" t="s">
        <v>25</v>
      </c>
      <c r="E109" s="285">
        <f>68*0.01</f>
        <v>0.68</v>
      </c>
      <c r="F109" s="155">
        <f>F108*E109</f>
        <v>130.42400000000001</v>
      </c>
      <c r="G109" s="276"/>
      <c r="H109" s="276"/>
      <c r="I109" s="276"/>
      <c r="J109" s="276">
        <f>F109*I109</f>
        <v>0</v>
      </c>
      <c r="K109" s="276"/>
      <c r="L109" s="276"/>
      <c r="M109" s="276">
        <f>H109+J109+L109</f>
        <v>0</v>
      </c>
      <c r="N109" s="207">
        <f>J109/F108</f>
        <v>0</v>
      </c>
    </row>
    <row r="110" spans="1:14">
      <c r="A110" s="268"/>
      <c r="B110" s="231"/>
      <c r="C110" s="80" t="s">
        <v>24</v>
      </c>
      <c r="D110" s="231" t="s">
        <v>22</v>
      </c>
      <c r="E110" s="67">
        <f>0.03*0.01</f>
        <v>2.9999999999999997E-4</v>
      </c>
      <c r="F110" s="67">
        <f>F108*E110</f>
        <v>5.7540000000000001E-2</v>
      </c>
      <c r="G110" s="276"/>
      <c r="H110" s="276"/>
      <c r="I110" s="276"/>
      <c r="J110" s="276"/>
      <c r="K110" s="276"/>
      <c r="L110" s="276">
        <f>F110*K110</f>
        <v>0</v>
      </c>
      <c r="M110" s="276">
        <f>H110+J110+L110</f>
        <v>0</v>
      </c>
      <c r="N110" s="207"/>
    </row>
    <row r="111" spans="1:14">
      <c r="A111" s="268"/>
      <c r="B111" s="231"/>
      <c r="C111" s="80" t="s">
        <v>77</v>
      </c>
      <c r="D111" s="218" t="s">
        <v>104</v>
      </c>
      <c r="E111" s="66">
        <v>0.246</v>
      </c>
      <c r="F111" s="66">
        <f>E111*F108</f>
        <v>47.1828</v>
      </c>
      <c r="G111" s="276"/>
      <c r="H111" s="276">
        <f>F111*G111</f>
        <v>0</v>
      </c>
      <c r="I111" s="276"/>
      <c r="J111" s="276"/>
      <c r="K111" s="276"/>
      <c r="L111" s="276"/>
      <c r="M111" s="276">
        <f>H111+J111+L111</f>
        <v>0</v>
      </c>
      <c r="N111" s="207"/>
    </row>
    <row r="112" spans="1:14">
      <c r="A112" s="268"/>
      <c r="B112" s="231"/>
      <c r="C112" s="80" t="s">
        <v>247</v>
      </c>
      <c r="D112" s="218" t="s">
        <v>104</v>
      </c>
      <c r="E112" s="66">
        <v>2.7E-2</v>
      </c>
      <c r="F112" s="66">
        <f>E112*F108</f>
        <v>5.1786000000000003</v>
      </c>
      <c r="G112" s="276"/>
      <c r="H112" s="276">
        <f>F112*G112</f>
        <v>0</v>
      </c>
      <c r="I112" s="276"/>
      <c r="J112" s="276"/>
      <c r="K112" s="276"/>
      <c r="L112" s="276"/>
      <c r="M112" s="276">
        <f>H112+J112+L112</f>
        <v>0</v>
      </c>
      <c r="N112" s="207"/>
    </row>
    <row r="113" spans="1:14">
      <c r="A113" s="267"/>
      <c r="B113" s="231"/>
      <c r="C113" s="80" t="s">
        <v>31</v>
      </c>
      <c r="D113" s="231" t="s">
        <v>22</v>
      </c>
      <c r="E113" s="67">
        <v>1.9E-3</v>
      </c>
      <c r="F113" s="67">
        <f>F108*E113</f>
        <v>0.36442000000000002</v>
      </c>
      <c r="G113" s="276"/>
      <c r="H113" s="276">
        <f>F113*G113</f>
        <v>0</v>
      </c>
      <c r="I113" s="276"/>
      <c r="J113" s="276"/>
      <c r="K113" s="276"/>
      <c r="L113" s="276"/>
      <c r="M113" s="276">
        <f>H113+J113+L113</f>
        <v>0</v>
      </c>
      <c r="N113" s="207"/>
    </row>
    <row r="114" spans="1:14" ht="31.5">
      <c r="A114" s="267" t="s">
        <v>205</v>
      </c>
      <c r="B114" s="231"/>
      <c r="C114" s="79" t="s">
        <v>514</v>
      </c>
      <c r="D114" s="231"/>
      <c r="E114" s="67"/>
      <c r="F114" s="67"/>
      <c r="G114" s="276"/>
      <c r="H114" s="276"/>
      <c r="I114" s="276"/>
      <c r="J114" s="276"/>
      <c r="K114" s="276"/>
      <c r="L114" s="276"/>
      <c r="M114" s="276"/>
      <c r="N114" s="207"/>
    </row>
    <row r="115" spans="1:14" ht="63">
      <c r="A115" s="362" t="s">
        <v>366</v>
      </c>
      <c r="B115" s="231" t="s">
        <v>76</v>
      </c>
      <c r="C115" s="79" t="s">
        <v>461</v>
      </c>
      <c r="D115" s="231" t="s">
        <v>17</v>
      </c>
      <c r="E115" s="264" t="s">
        <v>512</v>
      </c>
      <c r="F115" s="249">
        <f>(2.3*2+2.1+3.3+1.7*2)*0.8*1.1</f>
        <v>11.792000000000002</v>
      </c>
      <c r="G115" s="276"/>
      <c r="H115" s="276"/>
      <c r="I115" s="276"/>
      <c r="J115" s="276"/>
      <c r="K115" s="276"/>
      <c r="L115" s="276"/>
      <c r="M115" s="276"/>
      <c r="N115" s="207"/>
    </row>
    <row r="116" spans="1:14">
      <c r="A116" s="363"/>
      <c r="B116" s="279"/>
      <c r="C116" s="77" t="s">
        <v>84</v>
      </c>
      <c r="D116" s="55" t="s">
        <v>85</v>
      </c>
      <c r="E116" s="12">
        <v>3.88</v>
      </c>
      <c r="F116" s="12">
        <f>F115*E116</f>
        <v>45.752960000000002</v>
      </c>
      <c r="G116" s="90"/>
      <c r="H116" s="276"/>
      <c r="I116" s="90"/>
      <c r="J116" s="276">
        <f>F116*I116</f>
        <v>0</v>
      </c>
      <c r="K116" s="91"/>
      <c r="L116" s="276"/>
      <c r="M116" s="276">
        <f>H116+J116+L116</f>
        <v>0</v>
      </c>
      <c r="N116" s="207">
        <f>J116/F115</f>
        <v>0</v>
      </c>
    </row>
    <row r="117" spans="1:14" ht="47.25">
      <c r="A117" s="362" t="s">
        <v>281</v>
      </c>
      <c r="B117" s="27" t="s">
        <v>71</v>
      </c>
      <c r="C117" s="79" t="s">
        <v>453</v>
      </c>
      <c r="D117" s="231" t="s">
        <v>17</v>
      </c>
      <c r="E117" s="67"/>
      <c r="F117" s="249">
        <f>1+0.9</f>
        <v>1.9</v>
      </c>
      <c r="G117" s="276"/>
      <c r="H117" s="276"/>
      <c r="I117" s="276"/>
      <c r="J117" s="276"/>
      <c r="K117" s="276"/>
      <c r="L117" s="276"/>
      <c r="M117" s="276"/>
      <c r="N117" s="207"/>
    </row>
    <row r="118" spans="1:14">
      <c r="A118" s="365"/>
      <c r="B118" s="279"/>
      <c r="C118" s="190" t="s">
        <v>55</v>
      </c>
      <c r="D118" s="279" t="s">
        <v>53</v>
      </c>
      <c r="E118" s="278">
        <v>3.52</v>
      </c>
      <c r="F118" s="278">
        <f>E118*F117</f>
        <v>6.6879999999999997</v>
      </c>
      <c r="G118" s="276"/>
      <c r="H118" s="276"/>
      <c r="I118" s="276"/>
      <c r="J118" s="276">
        <f>F118*I118</f>
        <v>0</v>
      </c>
      <c r="K118" s="276"/>
      <c r="L118" s="276"/>
      <c r="M118" s="276">
        <f>H118+J118+L118</f>
        <v>0</v>
      </c>
      <c r="N118" s="207">
        <f>J118/F117</f>
        <v>0</v>
      </c>
    </row>
    <row r="119" spans="1:14">
      <c r="A119" s="365"/>
      <c r="B119" s="279"/>
      <c r="C119" s="190" t="s">
        <v>30</v>
      </c>
      <c r="D119" s="279" t="s">
        <v>22</v>
      </c>
      <c r="E119" s="278">
        <v>1.06</v>
      </c>
      <c r="F119" s="284">
        <f>F117*E119</f>
        <v>2.0139999999999998</v>
      </c>
      <c r="G119" s="276"/>
      <c r="H119" s="276"/>
      <c r="I119" s="276"/>
      <c r="J119" s="276"/>
      <c r="K119" s="276"/>
      <c r="L119" s="276">
        <f>F119*K119</f>
        <v>0</v>
      </c>
      <c r="M119" s="276">
        <f>H119+J119+L119</f>
        <v>0</v>
      </c>
      <c r="N119" s="207"/>
    </row>
    <row r="120" spans="1:14">
      <c r="A120" s="363"/>
      <c r="B120" s="55"/>
      <c r="C120" s="190" t="s">
        <v>66</v>
      </c>
      <c r="D120" s="279" t="s">
        <v>75</v>
      </c>
      <c r="E120" s="278">
        <f>0.18+0.09+0.97</f>
        <v>1.24</v>
      </c>
      <c r="F120" s="284">
        <f>E120*F117</f>
        <v>2.3559999999999999</v>
      </c>
      <c r="G120" s="276"/>
      <c r="H120" s="276">
        <f>F120*G120</f>
        <v>0</v>
      </c>
      <c r="I120" s="276"/>
      <c r="J120" s="276"/>
      <c r="K120" s="276"/>
      <c r="L120" s="276"/>
      <c r="M120" s="276">
        <f>H120+J120+L120</f>
        <v>0</v>
      </c>
      <c r="N120" s="207"/>
    </row>
    <row r="121" spans="1:14" ht="31.5">
      <c r="A121" s="362" t="s">
        <v>282</v>
      </c>
      <c r="B121" s="199" t="s">
        <v>458</v>
      </c>
      <c r="C121" s="79" t="s">
        <v>523</v>
      </c>
      <c r="D121" s="231" t="s">
        <v>17</v>
      </c>
      <c r="E121" s="67"/>
      <c r="F121" s="10">
        <f>7.76+6.45+1.35+1.35</f>
        <v>16.91</v>
      </c>
      <c r="G121" s="276"/>
      <c r="H121" s="276"/>
      <c r="I121" s="276"/>
      <c r="J121" s="276"/>
      <c r="K121" s="276"/>
      <c r="L121" s="276"/>
      <c r="M121" s="276"/>
      <c r="N121" s="207"/>
    </row>
    <row r="122" spans="1:14">
      <c r="A122" s="365"/>
      <c r="B122" s="267"/>
      <c r="C122" s="250" t="s">
        <v>23</v>
      </c>
      <c r="D122" s="279" t="s">
        <v>25</v>
      </c>
      <c r="E122" s="278">
        <v>8.44</v>
      </c>
      <c r="F122" s="278">
        <f>F121*E122</f>
        <v>142.72039999999998</v>
      </c>
      <c r="G122" s="276"/>
      <c r="H122" s="47"/>
      <c r="I122" s="276"/>
      <c r="J122" s="47">
        <f>F122*I122</f>
        <v>0</v>
      </c>
      <c r="K122" s="276"/>
      <c r="L122" s="47"/>
      <c r="M122" s="47">
        <f t="shared" ref="M122:M130" si="6">H122+J122+L122</f>
        <v>0</v>
      </c>
      <c r="N122" s="207">
        <f>J122/F121</f>
        <v>0</v>
      </c>
    </row>
    <row r="123" spans="1:14">
      <c r="A123" s="365"/>
      <c r="B123" s="279"/>
      <c r="C123" s="53" t="s">
        <v>24</v>
      </c>
      <c r="D123" s="279" t="s">
        <v>22</v>
      </c>
      <c r="E123" s="285">
        <v>1.1000000000000001</v>
      </c>
      <c r="F123" s="285">
        <f>F121*E123</f>
        <v>18.601000000000003</v>
      </c>
      <c r="G123" s="276"/>
      <c r="H123" s="47"/>
      <c r="I123" s="276"/>
      <c r="J123" s="47"/>
      <c r="K123" s="276"/>
      <c r="L123" s="47">
        <f>F123*K123</f>
        <v>0</v>
      </c>
      <c r="M123" s="47">
        <f t="shared" si="6"/>
        <v>0</v>
      </c>
      <c r="N123" s="207"/>
    </row>
    <row r="124" spans="1:14">
      <c r="A124" s="365"/>
      <c r="B124" s="279"/>
      <c r="C124" s="53" t="s">
        <v>455</v>
      </c>
      <c r="D124" s="279" t="s">
        <v>75</v>
      </c>
      <c r="E124" s="278">
        <v>1.0149999999999999</v>
      </c>
      <c r="F124" s="285">
        <f>F121*E124</f>
        <v>17.163649999999997</v>
      </c>
      <c r="G124" s="276"/>
      <c r="H124" s="47">
        <f t="shared" ref="H124:H130" si="7">F124*G124</f>
        <v>0</v>
      </c>
      <c r="I124" s="276"/>
      <c r="J124" s="47"/>
      <c r="K124" s="276"/>
      <c r="L124" s="47"/>
      <c r="M124" s="47">
        <f t="shared" si="6"/>
        <v>0</v>
      </c>
      <c r="N124" s="207"/>
    </row>
    <row r="125" spans="1:14">
      <c r="A125" s="365"/>
      <c r="B125" s="267"/>
      <c r="C125" s="250" t="s">
        <v>67</v>
      </c>
      <c r="D125" s="279" t="s">
        <v>69</v>
      </c>
      <c r="E125" s="278">
        <v>1.84</v>
      </c>
      <c r="F125" s="278">
        <f>F121*E125</f>
        <v>31.114400000000003</v>
      </c>
      <c r="G125" s="95"/>
      <c r="H125" s="47">
        <f t="shared" si="7"/>
        <v>0</v>
      </c>
      <c r="I125" s="276"/>
      <c r="J125" s="47"/>
      <c r="K125" s="276"/>
      <c r="L125" s="47"/>
      <c r="M125" s="47">
        <f t="shared" si="6"/>
        <v>0</v>
      </c>
      <c r="N125" s="207"/>
    </row>
    <row r="126" spans="1:14">
      <c r="A126" s="365"/>
      <c r="B126" s="267"/>
      <c r="C126" s="250" t="s">
        <v>273</v>
      </c>
      <c r="D126" s="267" t="s">
        <v>75</v>
      </c>
      <c r="E126" s="278">
        <f>(0.34+3.91)/100</f>
        <v>4.2500000000000003E-2</v>
      </c>
      <c r="F126" s="278">
        <f>F121*E126</f>
        <v>0.71867500000000006</v>
      </c>
      <c r="G126" s="276"/>
      <c r="H126" s="47">
        <f t="shared" si="7"/>
        <v>0</v>
      </c>
      <c r="I126" s="276"/>
      <c r="J126" s="47"/>
      <c r="K126" s="276"/>
      <c r="L126" s="47"/>
      <c r="M126" s="47">
        <f t="shared" si="6"/>
        <v>0</v>
      </c>
      <c r="N126" s="207"/>
    </row>
    <row r="127" spans="1:14">
      <c r="A127" s="365"/>
      <c r="B127" s="267"/>
      <c r="C127" s="250" t="s">
        <v>456</v>
      </c>
      <c r="D127" s="267" t="s">
        <v>19</v>
      </c>
      <c r="E127" s="285">
        <v>0.22</v>
      </c>
      <c r="F127" s="278">
        <f>F121*E127</f>
        <v>3.7202000000000002</v>
      </c>
      <c r="G127" s="276"/>
      <c r="H127" s="47">
        <f t="shared" si="7"/>
        <v>0</v>
      </c>
      <c r="I127" s="276"/>
      <c r="J127" s="47"/>
      <c r="K127" s="276"/>
      <c r="L127" s="47"/>
      <c r="M127" s="47">
        <f t="shared" si="6"/>
        <v>0</v>
      </c>
      <c r="N127" s="207"/>
    </row>
    <row r="128" spans="1:14">
      <c r="A128" s="365"/>
      <c r="B128" s="267"/>
      <c r="C128" s="250" t="s">
        <v>49</v>
      </c>
      <c r="D128" s="267" t="s">
        <v>104</v>
      </c>
      <c r="E128" s="285">
        <v>2.5</v>
      </c>
      <c r="F128" s="278">
        <f>F121*E128</f>
        <v>42.274999999999999</v>
      </c>
      <c r="G128" s="276"/>
      <c r="H128" s="47">
        <f t="shared" si="7"/>
        <v>0</v>
      </c>
      <c r="I128" s="276"/>
      <c r="J128" s="47"/>
      <c r="K128" s="276"/>
      <c r="L128" s="47"/>
      <c r="M128" s="47">
        <f t="shared" si="6"/>
        <v>0</v>
      </c>
      <c r="N128" s="207"/>
    </row>
    <row r="129" spans="1:14">
      <c r="A129" s="365"/>
      <c r="B129" s="267"/>
      <c r="C129" s="152" t="s">
        <v>457</v>
      </c>
      <c r="D129" s="267" t="s">
        <v>11</v>
      </c>
      <c r="E129" s="285"/>
      <c r="F129" s="285">
        <v>8</v>
      </c>
      <c r="G129" s="276"/>
      <c r="H129" s="47">
        <f t="shared" si="7"/>
        <v>0</v>
      </c>
      <c r="I129" s="276"/>
      <c r="J129" s="47"/>
      <c r="K129" s="276"/>
      <c r="L129" s="47"/>
      <c r="M129" s="47">
        <f t="shared" si="6"/>
        <v>0</v>
      </c>
      <c r="N129" s="207"/>
    </row>
    <row r="130" spans="1:14">
      <c r="A130" s="365"/>
      <c r="B130" s="279"/>
      <c r="C130" s="53" t="s">
        <v>28</v>
      </c>
      <c r="D130" s="279" t="s">
        <v>22</v>
      </c>
      <c r="E130" s="285">
        <v>0.74</v>
      </c>
      <c r="F130" s="285">
        <f>F121*E130</f>
        <v>12.513400000000001</v>
      </c>
      <c r="G130" s="276"/>
      <c r="H130" s="47">
        <f t="shared" si="7"/>
        <v>0</v>
      </c>
      <c r="I130" s="276"/>
      <c r="J130" s="47"/>
      <c r="K130" s="276"/>
      <c r="L130" s="47"/>
      <c r="M130" s="47">
        <f t="shared" si="6"/>
        <v>0</v>
      </c>
      <c r="N130" s="207"/>
    </row>
    <row r="131" spans="1:14">
      <c r="A131" s="365"/>
      <c r="B131" s="231"/>
      <c r="C131" s="180" t="s">
        <v>364</v>
      </c>
      <c r="D131" s="279" t="s">
        <v>336</v>
      </c>
      <c r="E131" s="153" t="s">
        <v>512</v>
      </c>
      <c r="F131" s="181">
        <f>0.2+0.099+0.167+0.082</f>
        <v>0.54800000000000004</v>
      </c>
      <c r="G131" s="95"/>
      <c r="H131" s="47">
        <f>F131*G131</f>
        <v>0</v>
      </c>
      <c r="I131" s="276"/>
      <c r="J131" s="47"/>
      <c r="K131" s="276"/>
      <c r="L131" s="47"/>
      <c r="M131" s="47">
        <f>H131+J131+L131</f>
        <v>0</v>
      </c>
      <c r="N131" s="207"/>
    </row>
    <row r="132" spans="1:14">
      <c r="A132" s="363"/>
      <c r="B132" s="231"/>
      <c r="C132" s="180" t="s">
        <v>365</v>
      </c>
      <c r="D132" s="279" t="s">
        <v>336</v>
      </c>
      <c r="E132" s="153" t="s">
        <v>512</v>
      </c>
      <c r="F132" s="181">
        <f>0.011+0.009</f>
        <v>1.9999999999999997E-2</v>
      </c>
      <c r="G132" s="276"/>
      <c r="H132" s="47">
        <f>F132*G132</f>
        <v>0</v>
      </c>
      <c r="I132" s="276"/>
      <c r="J132" s="47"/>
      <c r="K132" s="276"/>
      <c r="L132" s="47"/>
      <c r="M132" s="47">
        <f>H132+J132+L132</f>
        <v>0</v>
      </c>
      <c r="N132" s="207"/>
    </row>
    <row r="133" spans="1:14" ht="66">
      <c r="A133" s="392" t="s">
        <v>283</v>
      </c>
      <c r="B133" s="199" t="s">
        <v>524</v>
      </c>
      <c r="C133" s="291" t="s">
        <v>528</v>
      </c>
      <c r="D133" s="169" t="s">
        <v>18</v>
      </c>
      <c r="E133" s="265"/>
      <c r="F133" s="7">
        <f>(1.7+0.7)*(2.3*2+2.1+3.3+1*2*2)  +  (1.7+0)*1.7*2</f>
        <v>39.380000000000003</v>
      </c>
      <c r="G133" s="47"/>
      <c r="H133" s="47"/>
      <c r="I133" s="47"/>
      <c r="J133" s="47"/>
      <c r="K133" s="47"/>
      <c r="L133" s="47"/>
      <c r="M133" s="47"/>
      <c r="N133" s="207"/>
    </row>
    <row r="134" spans="1:14">
      <c r="A134" s="393"/>
      <c r="B134" s="169"/>
      <c r="C134" s="290" t="s">
        <v>23</v>
      </c>
      <c r="D134" s="169" t="s">
        <v>25</v>
      </c>
      <c r="E134" s="265">
        <v>0.56399999999999995</v>
      </c>
      <c r="F134" s="265">
        <f>F133*E134</f>
        <v>22.210319999999999</v>
      </c>
      <c r="G134" s="47"/>
      <c r="H134" s="47"/>
      <c r="I134" s="47"/>
      <c r="J134" s="47">
        <f>F134*I134</f>
        <v>0</v>
      </c>
      <c r="K134" s="47"/>
      <c r="L134" s="47"/>
      <c r="M134" s="47">
        <f>H134+J134+L134</f>
        <v>0</v>
      </c>
      <c r="N134" s="207">
        <f>J134/F133</f>
        <v>0</v>
      </c>
    </row>
    <row r="135" spans="1:14">
      <c r="A135" s="393"/>
      <c r="B135" s="169"/>
      <c r="C135" s="290" t="s">
        <v>30</v>
      </c>
      <c r="D135" s="169" t="s">
        <v>22</v>
      </c>
      <c r="E135" s="265">
        <v>4.0899999999999999E-2</v>
      </c>
      <c r="F135" s="265">
        <f>F133*E135</f>
        <v>1.6106420000000001</v>
      </c>
      <c r="G135" s="47"/>
      <c r="H135" s="47"/>
      <c r="I135" s="47"/>
      <c r="J135" s="47"/>
      <c r="K135" s="47"/>
      <c r="L135" s="47">
        <f>F135*K135</f>
        <v>0</v>
      </c>
      <c r="M135" s="47">
        <f>H135+J135+L135</f>
        <v>0</v>
      </c>
      <c r="N135" s="207"/>
    </row>
    <row r="136" spans="1:14">
      <c r="A136" s="393"/>
      <c r="B136" s="169"/>
      <c r="C136" s="290" t="s">
        <v>527</v>
      </c>
      <c r="D136" s="169" t="s">
        <v>526</v>
      </c>
      <c r="E136" s="265">
        <v>4.4999999999999997E-3</v>
      </c>
      <c r="F136" s="265">
        <f>F133*E136</f>
        <v>0.17721000000000001</v>
      </c>
      <c r="G136" s="251"/>
      <c r="H136" s="47">
        <f>F136*G136</f>
        <v>0</v>
      </c>
      <c r="I136" s="47"/>
      <c r="J136" s="47"/>
      <c r="K136" s="47"/>
      <c r="L136" s="47"/>
      <c r="M136" s="47">
        <f>H136+J136+L136</f>
        <v>0</v>
      </c>
      <c r="N136" s="207"/>
    </row>
    <row r="137" spans="1:14">
      <c r="A137" s="393"/>
      <c r="B137" s="169"/>
      <c r="C137" s="290" t="s">
        <v>525</v>
      </c>
      <c r="D137" s="3" t="s">
        <v>17</v>
      </c>
      <c r="E137" s="265">
        <v>7.4999999999999997E-3</v>
      </c>
      <c r="F137" s="265">
        <f>E137*F133</f>
        <v>0.29535</v>
      </c>
      <c r="G137" s="251"/>
      <c r="H137" s="47">
        <f>G137*F137</f>
        <v>0</v>
      </c>
      <c r="I137" s="47"/>
      <c r="J137" s="47"/>
      <c r="K137" s="47"/>
      <c r="L137" s="47"/>
      <c r="M137" s="47">
        <f>G137*F137</f>
        <v>0</v>
      </c>
      <c r="N137" s="207"/>
    </row>
    <row r="138" spans="1:14">
      <c r="A138" s="394"/>
      <c r="B138" s="169"/>
      <c r="C138" s="290" t="s">
        <v>28</v>
      </c>
      <c r="D138" s="169" t="s">
        <v>22</v>
      </c>
      <c r="E138" s="265">
        <v>2.2800000000000001E-2</v>
      </c>
      <c r="F138" s="265">
        <f>F133*E138</f>
        <v>0.89786400000000011</v>
      </c>
      <c r="G138" s="47"/>
      <c r="H138" s="47">
        <f>F138*G138</f>
        <v>0</v>
      </c>
      <c r="I138" s="47"/>
      <c r="J138" s="47"/>
      <c r="K138" s="47"/>
      <c r="L138" s="47"/>
      <c r="M138" s="47">
        <f>H138+J138+L138</f>
        <v>0</v>
      </c>
      <c r="N138" s="207"/>
    </row>
    <row r="139" spans="1:14" ht="47.25">
      <c r="A139" s="362" t="s">
        <v>515</v>
      </c>
      <c r="B139" s="5" t="s">
        <v>463</v>
      </c>
      <c r="C139" s="79" t="s">
        <v>529</v>
      </c>
      <c r="D139" s="231" t="s">
        <v>18</v>
      </c>
      <c r="E139" s="67"/>
      <c r="F139" s="7">
        <f>(2.3*2+2.1+3.3)*1</f>
        <v>10</v>
      </c>
      <c r="G139" s="276"/>
      <c r="H139" s="276"/>
      <c r="I139" s="276"/>
      <c r="J139" s="276"/>
      <c r="K139" s="276"/>
      <c r="L139" s="276"/>
      <c r="M139" s="276"/>
      <c r="N139" s="207"/>
    </row>
    <row r="140" spans="1:14">
      <c r="A140" s="365"/>
      <c r="B140" s="3"/>
      <c r="C140" s="176" t="s">
        <v>23</v>
      </c>
      <c r="D140" s="3" t="s">
        <v>25</v>
      </c>
      <c r="E140" s="153">
        <v>6.2</v>
      </c>
      <c r="F140" s="153">
        <f>F139*E140</f>
        <v>62</v>
      </c>
      <c r="G140" s="177"/>
      <c r="H140" s="177"/>
      <c r="I140" s="177"/>
      <c r="J140" s="177">
        <f>F140*I140</f>
        <v>0</v>
      </c>
      <c r="K140" s="177"/>
      <c r="L140" s="177"/>
      <c r="M140" s="177">
        <f>H140+J140+L140</f>
        <v>0</v>
      </c>
      <c r="N140" s="207">
        <f>J140/F139</f>
        <v>0</v>
      </c>
    </row>
    <row r="141" spans="1:14">
      <c r="A141" s="365"/>
      <c r="B141" s="3"/>
      <c r="C141" s="176" t="s">
        <v>30</v>
      </c>
      <c r="D141" s="3" t="s">
        <v>22</v>
      </c>
      <c r="E141" s="153">
        <v>0.21</v>
      </c>
      <c r="F141" s="153">
        <f>F139*E141</f>
        <v>2.1</v>
      </c>
      <c r="G141" s="177"/>
      <c r="H141" s="177"/>
      <c r="I141" s="177"/>
      <c r="J141" s="177"/>
      <c r="K141" s="177"/>
      <c r="L141" s="177">
        <f>F141*K141</f>
        <v>0</v>
      </c>
      <c r="M141" s="177">
        <f>H141+J141+L141</f>
        <v>0</v>
      </c>
      <c r="N141" s="207"/>
    </row>
    <row r="142" spans="1:14" ht="27">
      <c r="A142" s="365"/>
      <c r="B142" s="3"/>
      <c r="C142" s="176" t="s">
        <v>374</v>
      </c>
      <c r="D142" s="3" t="s">
        <v>18</v>
      </c>
      <c r="E142" s="153">
        <v>1</v>
      </c>
      <c r="F142" s="153">
        <f>F139*E142</f>
        <v>10</v>
      </c>
      <c r="G142" s="177"/>
      <c r="H142" s="177">
        <f>F142*G142</f>
        <v>0</v>
      </c>
      <c r="I142" s="177"/>
      <c r="J142" s="177"/>
      <c r="K142" s="177"/>
      <c r="L142" s="177"/>
      <c r="M142" s="177">
        <f>H142+J142+L142</f>
        <v>0</v>
      </c>
      <c r="N142" s="207"/>
    </row>
    <row r="143" spans="1:14">
      <c r="A143" s="365"/>
      <c r="B143" s="3"/>
      <c r="C143" s="176" t="s">
        <v>109</v>
      </c>
      <c r="D143" s="3" t="s">
        <v>17</v>
      </c>
      <c r="E143" s="153">
        <v>3.6999999999999998E-2</v>
      </c>
      <c r="F143" s="153">
        <f>F139*E143</f>
        <v>0.37</v>
      </c>
      <c r="G143" s="177"/>
      <c r="H143" s="177">
        <f>F143*G143</f>
        <v>0</v>
      </c>
      <c r="I143" s="177"/>
      <c r="J143" s="177"/>
      <c r="K143" s="177"/>
      <c r="L143" s="177"/>
      <c r="M143" s="177">
        <f>H143+J143+L143</f>
        <v>0</v>
      </c>
      <c r="N143" s="207"/>
    </row>
    <row r="144" spans="1:14">
      <c r="A144" s="363"/>
      <c r="B144" s="3"/>
      <c r="C144" s="176" t="s">
        <v>28</v>
      </c>
      <c r="D144" s="3" t="s">
        <v>22</v>
      </c>
      <c r="E144" s="153">
        <v>0.08</v>
      </c>
      <c r="F144" s="153">
        <f>F139*E144</f>
        <v>0.8</v>
      </c>
      <c r="G144" s="177"/>
      <c r="H144" s="177">
        <f>F144*G144</f>
        <v>0</v>
      </c>
      <c r="I144" s="177"/>
      <c r="J144" s="177"/>
      <c r="K144" s="177"/>
      <c r="L144" s="177"/>
      <c r="M144" s="177">
        <f>H144+J144+L144</f>
        <v>0</v>
      </c>
      <c r="N144" s="207"/>
    </row>
    <row r="145" spans="1:14" ht="47.25">
      <c r="A145" s="362" t="s">
        <v>516</v>
      </c>
      <c r="B145" s="199" t="s">
        <v>423</v>
      </c>
      <c r="C145" s="182" t="s">
        <v>367</v>
      </c>
      <c r="D145" s="231" t="s">
        <v>11</v>
      </c>
      <c r="E145" s="67"/>
      <c r="F145" s="7">
        <f>(2.3*2+2.1+3.3)</f>
        <v>10</v>
      </c>
      <c r="G145" s="276"/>
      <c r="H145" s="276"/>
      <c r="I145" s="276"/>
      <c r="J145" s="276"/>
      <c r="K145" s="276"/>
      <c r="L145" s="276"/>
      <c r="M145" s="276"/>
      <c r="N145" s="207"/>
    </row>
    <row r="146" spans="1:14">
      <c r="A146" s="365"/>
      <c r="B146" s="169"/>
      <c r="C146" s="183"/>
      <c r="D146" s="169" t="s">
        <v>18</v>
      </c>
      <c r="E146" s="179"/>
      <c r="F146" s="7">
        <f>F145*0.5</f>
        <v>5</v>
      </c>
      <c r="G146" s="177"/>
      <c r="H146" s="276"/>
      <c r="I146" s="276"/>
      <c r="J146" s="276"/>
      <c r="K146" s="276"/>
      <c r="L146" s="276"/>
      <c r="M146" s="276"/>
      <c r="N146" s="207"/>
    </row>
    <row r="147" spans="1:14" ht="33.75" customHeight="1">
      <c r="A147" s="365"/>
      <c r="B147" s="169"/>
      <c r="C147" s="178" t="s">
        <v>23</v>
      </c>
      <c r="D147" s="3" t="s">
        <v>25</v>
      </c>
      <c r="E147" s="179">
        <v>6</v>
      </c>
      <c r="F147" s="287">
        <f>F146*E147</f>
        <v>30</v>
      </c>
      <c r="G147" s="177"/>
      <c r="H147" s="177"/>
      <c r="I147" s="177"/>
      <c r="J147" s="177">
        <f>F147*I147</f>
        <v>0</v>
      </c>
      <c r="K147" s="177"/>
      <c r="L147" s="177"/>
      <c r="M147" s="177">
        <f>H147+J147+L147</f>
        <v>0</v>
      </c>
      <c r="N147" s="207">
        <f>J147/F145</f>
        <v>0</v>
      </c>
    </row>
    <row r="148" spans="1:14">
      <c r="A148" s="365"/>
      <c r="B148" s="169"/>
      <c r="C148" s="63" t="s">
        <v>30</v>
      </c>
      <c r="D148" s="3" t="s">
        <v>22</v>
      </c>
      <c r="E148" s="58">
        <v>0.18</v>
      </c>
      <c r="F148" s="58">
        <f>F146*E148</f>
        <v>0.89999999999999991</v>
      </c>
      <c r="G148" s="177"/>
      <c r="H148" s="177"/>
      <c r="I148" s="177"/>
      <c r="J148" s="177"/>
      <c r="K148" s="177"/>
      <c r="L148" s="177">
        <f>F148*K148</f>
        <v>0</v>
      </c>
      <c r="M148" s="177">
        <f>H148+J148+L148</f>
        <v>0</v>
      </c>
      <c r="N148" s="207"/>
    </row>
    <row r="149" spans="1:14" ht="27">
      <c r="A149" s="365"/>
      <c r="B149" s="169"/>
      <c r="C149" s="63" t="s">
        <v>422</v>
      </c>
      <c r="D149" s="3" t="s">
        <v>18</v>
      </c>
      <c r="E149" s="58">
        <v>1.03</v>
      </c>
      <c r="F149" s="58">
        <f>F146*E149</f>
        <v>5.15</v>
      </c>
      <c r="G149" s="177"/>
      <c r="H149" s="177">
        <f>F149*G149</f>
        <v>0</v>
      </c>
      <c r="I149" s="177"/>
      <c r="J149" s="177"/>
      <c r="K149" s="177"/>
      <c r="L149" s="177"/>
      <c r="M149" s="177">
        <f>H149+J149+L149</f>
        <v>0</v>
      </c>
      <c r="N149" s="207"/>
    </row>
    <row r="150" spans="1:14">
      <c r="A150" s="365"/>
      <c r="B150" s="169"/>
      <c r="C150" s="63" t="s">
        <v>109</v>
      </c>
      <c r="D150" s="3" t="s">
        <v>17</v>
      </c>
      <c r="E150" s="58">
        <v>3.5999999999999997E-2</v>
      </c>
      <c r="F150" s="58">
        <f>F146*E150</f>
        <v>0.18</v>
      </c>
      <c r="G150" s="177"/>
      <c r="H150" s="177">
        <f>F150*G150</f>
        <v>0</v>
      </c>
      <c r="I150" s="177"/>
      <c r="J150" s="177"/>
      <c r="K150" s="177"/>
      <c r="L150" s="177"/>
      <c r="M150" s="177">
        <f>H150+J150+L150</f>
        <v>0</v>
      </c>
      <c r="N150" s="207"/>
    </row>
    <row r="151" spans="1:14">
      <c r="A151" s="363"/>
      <c r="B151" s="55"/>
      <c r="C151" s="77" t="s">
        <v>28</v>
      </c>
      <c r="D151" s="3" t="s">
        <v>22</v>
      </c>
      <c r="E151" s="12">
        <v>0.08</v>
      </c>
      <c r="F151" s="12">
        <f>F146*E151</f>
        <v>0.4</v>
      </c>
      <c r="G151" s="90"/>
      <c r="H151" s="177">
        <f>F151*G151</f>
        <v>0</v>
      </c>
      <c r="I151" s="177"/>
      <c r="J151" s="177"/>
      <c r="K151" s="177"/>
      <c r="L151" s="177"/>
      <c r="M151" s="177">
        <f>H151+J151+L151</f>
        <v>0</v>
      </c>
      <c r="N151" s="207"/>
    </row>
    <row r="152" spans="1:14" ht="63">
      <c r="A152" s="362" t="s">
        <v>517</v>
      </c>
      <c r="B152" s="34" t="s">
        <v>423</v>
      </c>
      <c r="C152" s="76" t="s">
        <v>530</v>
      </c>
      <c r="D152" s="3" t="s">
        <v>18</v>
      </c>
      <c r="E152" s="248"/>
      <c r="F152" s="263">
        <f>((1*2)/2)*2*2+(0.3+0.15)*1.7*6*2</f>
        <v>13.18</v>
      </c>
      <c r="G152" s="90"/>
      <c r="H152" s="177"/>
      <c r="I152" s="177"/>
      <c r="J152" s="177"/>
      <c r="K152" s="177"/>
      <c r="L152" s="177"/>
      <c r="M152" s="177"/>
      <c r="N152" s="207"/>
    </row>
    <row r="153" spans="1:14">
      <c r="A153" s="365"/>
      <c r="B153" s="55"/>
      <c r="C153" s="178" t="s">
        <v>23</v>
      </c>
      <c r="D153" s="3" t="s">
        <v>25</v>
      </c>
      <c r="E153" s="179">
        <v>6</v>
      </c>
      <c r="F153" s="287">
        <f>F152*E153</f>
        <v>79.08</v>
      </c>
      <c r="G153" s="177"/>
      <c r="H153" s="177"/>
      <c r="I153" s="177"/>
      <c r="J153" s="177">
        <f>F153*I153</f>
        <v>0</v>
      </c>
      <c r="K153" s="177"/>
      <c r="L153" s="177"/>
      <c r="M153" s="177">
        <f>H153+J153+L153</f>
        <v>0</v>
      </c>
      <c r="N153" s="207"/>
    </row>
    <row r="154" spans="1:14">
      <c r="A154" s="365"/>
      <c r="B154" s="55"/>
      <c r="C154" s="63" t="s">
        <v>30</v>
      </c>
      <c r="D154" s="3" t="s">
        <v>22</v>
      </c>
      <c r="E154" s="58">
        <v>0.18</v>
      </c>
      <c r="F154" s="58">
        <f>F152*E154</f>
        <v>2.3723999999999998</v>
      </c>
      <c r="G154" s="177"/>
      <c r="H154" s="177"/>
      <c r="I154" s="177"/>
      <c r="J154" s="177"/>
      <c r="K154" s="177"/>
      <c r="L154" s="177">
        <f>F154*K154</f>
        <v>0</v>
      </c>
      <c r="M154" s="177">
        <f>H154+J154+L154</f>
        <v>0</v>
      </c>
      <c r="N154" s="207"/>
    </row>
    <row r="155" spans="1:14" ht="27">
      <c r="A155" s="365"/>
      <c r="B155" s="55"/>
      <c r="C155" s="63" t="s">
        <v>422</v>
      </c>
      <c r="D155" s="3" t="s">
        <v>18</v>
      </c>
      <c r="E155" s="58">
        <v>1.03</v>
      </c>
      <c r="F155" s="58">
        <f>F152*E155</f>
        <v>13.5754</v>
      </c>
      <c r="G155" s="177"/>
      <c r="H155" s="177">
        <f>F155*G155</f>
        <v>0</v>
      </c>
      <c r="I155" s="177"/>
      <c r="J155" s="177"/>
      <c r="K155" s="177"/>
      <c r="L155" s="177"/>
      <c r="M155" s="177">
        <f>H155+J155+L155</f>
        <v>0</v>
      </c>
      <c r="N155" s="207"/>
    </row>
    <row r="156" spans="1:14">
      <c r="A156" s="365"/>
      <c r="B156" s="55"/>
      <c r="C156" s="63" t="s">
        <v>109</v>
      </c>
      <c r="D156" s="3" t="s">
        <v>17</v>
      </c>
      <c r="E156" s="58">
        <v>3.5999999999999997E-2</v>
      </c>
      <c r="F156" s="58">
        <f>F152*E156</f>
        <v>0.47447999999999996</v>
      </c>
      <c r="G156" s="177"/>
      <c r="H156" s="177">
        <f>F156*G156</f>
        <v>0</v>
      </c>
      <c r="I156" s="177"/>
      <c r="J156" s="177"/>
      <c r="K156" s="177"/>
      <c r="L156" s="177"/>
      <c r="M156" s="177">
        <f>H156+J156+L156</f>
        <v>0</v>
      </c>
      <c r="N156" s="207"/>
    </row>
    <row r="157" spans="1:14">
      <c r="A157" s="363"/>
      <c r="B157" s="55"/>
      <c r="C157" s="77" t="s">
        <v>28</v>
      </c>
      <c r="D157" s="3" t="s">
        <v>22</v>
      </c>
      <c r="E157" s="12">
        <v>0.08</v>
      </c>
      <c r="F157" s="12">
        <f>F152*E157</f>
        <v>1.0544</v>
      </c>
      <c r="G157" s="90"/>
      <c r="H157" s="177">
        <f>F157*G157</f>
        <v>0</v>
      </c>
      <c r="I157" s="177"/>
      <c r="J157" s="177"/>
      <c r="K157" s="177"/>
      <c r="L157" s="177"/>
      <c r="M157" s="177">
        <f>H157+J157+L157</f>
        <v>0</v>
      </c>
      <c r="N157" s="207"/>
    </row>
    <row r="158" spans="1:14" ht="47.25" hidden="1">
      <c r="A158" s="279" t="s">
        <v>268</v>
      </c>
      <c r="B158" s="279"/>
      <c r="C158" s="275" t="s">
        <v>195</v>
      </c>
      <c r="D158" s="64" t="s">
        <v>11</v>
      </c>
      <c r="E158" s="1"/>
      <c r="F158" s="1">
        <v>0</v>
      </c>
      <c r="G158" s="276"/>
      <c r="H158" s="276"/>
      <c r="I158" s="276"/>
      <c r="J158" s="276"/>
      <c r="K158" s="276"/>
      <c r="L158" s="276"/>
      <c r="M158" s="276"/>
      <c r="N158" s="207"/>
    </row>
    <row r="159" spans="1:14" ht="63" hidden="1">
      <c r="A159" s="362" t="s">
        <v>269</v>
      </c>
      <c r="B159" s="279" t="s">
        <v>70</v>
      </c>
      <c r="C159" s="70" t="s">
        <v>98</v>
      </c>
      <c r="D159" s="64" t="s">
        <v>17</v>
      </c>
      <c r="E159" s="278"/>
      <c r="F159" s="1">
        <f>0.15*(0.07+0.1+0.15)*F158</f>
        <v>0</v>
      </c>
      <c r="G159" s="276"/>
      <c r="H159" s="276"/>
      <c r="I159" s="276"/>
      <c r="J159" s="276"/>
      <c r="K159" s="276"/>
      <c r="L159" s="276"/>
      <c r="M159" s="276"/>
      <c r="N159" s="207"/>
    </row>
    <row r="160" spans="1:14" hidden="1">
      <c r="A160" s="363"/>
      <c r="B160" s="28"/>
      <c r="C160" s="80" t="s">
        <v>23</v>
      </c>
      <c r="D160" s="231" t="s">
        <v>25</v>
      </c>
      <c r="E160" s="67">
        <v>2.06</v>
      </c>
      <c r="F160" s="67">
        <f>E160*F159</f>
        <v>0</v>
      </c>
      <c r="G160" s="16"/>
      <c r="H160" s="276"/>
      <c r="I160" s="16">
        <v>6</v>
      </c>
      <c r="J160" s="276">
        <f>F160*I160</f>
        <v>0</v>
      </c>
      <c r="K160" s="276"/>
      <c r="L160" s="276"/>
      <c r="M160" s="276">
        <f>H160+J160+L160</f>
        <v>0</v>
      </c>
      <c r="N160" s="207"/>
    </row>
    <row r="161" spans="1:14" ht="47.25" hidden="1">
      <c r="A161" s="377" t="s">
        <v>270</v>
      </c>
      <c r="B161" s="279" t="s">
        <v>71</v>
      </c>
      <c r="C161" s="70" t="s">
        <v>112</v>
      </c>
      <c r="D161" s="64" t="s">
        <v>74</v>
      </c>
      <c r="E161" s="278"/>
      <c r="F161" s="1">
        <f>0.07*0.15*F158</f>
        <v>0</v>
      </c>
      <c r="G161" s="276"/>
      <c r="H161" s="276"/>
      <c r="I161" s="276"/>
      <c r="J161" s="276"/>
      <c r="K161" s="276"/>
      <c r="L161" s="276"/>
      <c r="M161" s="276"/>
      <c r="N161" s="207"/>
    </row>
    <row r="162" spans="1:14" hidden="1">
      <c r="A162" s="377"/>
      <c r="B162" s="279"/>
      <c r="C162" s="190" t="s">
        <v>55</v>
      </c>
      <c r="D162" s="279" t="s">
        <v>53</v>
      </c>
      <c r="E162" s="278">
        <v>3.52</v>
      </c>
      <c r="F162" s="278">
        <f>E162*F161</f>
        <v>0</v>
      </c>
      <c r="G162" s="276"/>
      <c r="H162" s="276"/>
      <c r="I162" s="276">
        <v>6</v>
      </c>
      <c r="J162" s="276">
        <f>F162*I162</f>
        <v>0</v>
      </c>
      <c r="K162" s="276"/>
      <c r="L162" s="276"/>
      <c r="M162" s="276">
        <f>H162+J162+L162</f>
        <v>0</v>
      </c>
      <c r="N162" s="207"/>
    </row>
    <row r="163" spans="1:14" hidden="1">
      <c r="A163" s="377"/>
      <c r="B163" s="279"/>
      <c r="C163" s="190" t="s">
        <v>30</v>
      </c>
      <c r="D163" s="279" t="s">
        <v>22</v>
      </c>
      <c r="E163" s="278">
        <v>1.06</v>
      </c>
      <c r="F163" s="284">
        <f>F161*E163</f>
        <v>0</v>
      </c>
      <c r="G163" s="276"/>
      <c r="H163" s="276"/>
      <c r="I163" s="276"/>
      <c r="J163" s="276"/>
      <c r="K163" s="276">
        <v>3.2</v>
      </c>
      <c r="L163" s="276">
        <f>F163*K163</f>
        <v>0</v>
      </c>
      <c r="M163" s="276">
        <f>H163+J163+L163</f>
        <v>0</v>
      </c>
      <c r="N163" s="207"/>
    </row>
    <row r="164" spans="1:14" hidden="1">
      <c r="A164" s="377"/>
      <c r="B164" s="279" t="s">
        <v>96</v>
      </c>
      <c r="C164" s="190" t="s">
        <v>113</v>
      </c>
      <c r="D164" s="279" t="s">
        <v>75</v>
      </c>
      <c r="E164" s="278">
        <f>0.18+0.09+0.97</f>
        <v>1.24</v>
      </c>
      <c r="F164" s="284">
        <f>E164*F161</f>
        <v>0</v>
      </c>
      <c r="G164" s="276">
        <v>16.3</v>
      </c>
      <c r="H164" s="276">
        <f>F164*G164</f>
        <v>0</v>
      </c>
      <c r="I164" s="276"/>
      <c r="J164" s="276"/>
      <c r="K164" s="276"/>
      <c r="L164" s="276"/>
      <c r="M164" s="276">
        <f>H164+J164+L164</f>
        <v>0</v>
      </c>
      <c r="N164" s="207"/>
    </row>
    <row r="165" spans="1:14" ht="47.25" hidden="1">
      <c r="A165" s="378" t="s">
        <v>271</v>
      </c>
      <c r="B165" s="186" t="s">
        <v>114</v>
      </c>
      <c r="C165" s="84" t="s">
        <v>310</v>
      </c>
      <c r="D165" s="5" t="s">
        <v>74</v>
      </c>
      <c r="E165" s="94"/>
      <c r="F165" s="1">
        <v>0</v>
      </c>
      <c r="G165" s="276"/>
      <c r="H165" s="276"/>
      <c r="I165" s="276"/>
      <c r="J165" s="276"/>
      <c r="K165" s="276"/>
      <c r="L165" s="276"/>
      <c r="M165" s="276"/>
      <c r="N165" s="207"/>
    </row>
    <row r="166" spans="1:14" hidden="1">
      <c r="A166" s="379"/>
      <c r="B166" s="3"/>
      <c r="C166" s="78" t="s">
        <v>48</v>
      </c>
      <c r="D166" s="3" t="s">
        <v>53</v>
      </c>
      <c r="E166" s="93">
        <v>1.37</v>
      </c>
      <c r="F166" s="93">
        <f>E166*F165</f>
        <v>0</v>
      </c>
      <c r="G166" s="95"/>
      <c r="H166" s="276"/>
      <c r="I166" s="95">
        <v>6</v>
      </c>
      <c r="J166" s="276">
        <f>F166*I166</f>
        <v>0</v>
      </c>
      <c r="K166" s="95"/>
      <c r="L166" s="276"/>
      <c r="M166" s="276">
        <f>H166+J166+L166</f>
        <v>0</v>
      </c>
      <c r="N166" s="207"/>
    </row>
    <row r="167" spans="1:14" hidden="1">
      <c r="A167" s="379"/>
      <c r="B167" s="3"/>
      <c r="C167" s="190" t="s">
        <v>24</v>
      </c>
      <c r="D167" s="26" t="s">
        <v>22</v>
      </c>
      <c r="E167" s="93">
        <v>0.28299999999999997</v>
      </c>
      <c r="F167" s="93">
        <f>E167*F165</f>
        <v>0</v>
      </c>
      <c r="G167" s="95"/>
      <c r="H167" s="276"/>
      <c r="I167" s="95"/>
      <c r="J167" s="276"/>
      <c r="K167" s="95">
        <v>3.2</v>
      </c>
      <c r="L167" s="276">
        <f>F167*K167</f>
        <v>0</v>
      </c>
      <c r="M167" s="276">
        <f>H167+J167+L167</f>
        <v>0</v>
      </c>
      <c r="N167" s="207"/>
    </row>
    <row r="168" spans="1:14" hidden="1">
      <c r="A168" s="379"/>
      <c r="B168" s="3" t="s">
        <v>124</v>
      </c>
      <c r="C168" s="78" t="s">
        <v>286</v>
      </c>
      <c r="D168" s="3" t="s">
        <v>75</v>
      </c>
      <c r="E168" s="93">
        <v>1.02</v>
      </c>
      <c r="F168" s="93">
        <f>E168*F165</f>
        <v>0</v>
      </c>
      <c r="G168" s="95">
        <v>95</v>
      </c>
      <c r="H168" s="276">
        <f>F168*G168</f>
        <v>0</v>
      </c>
      <c r="I168" s="95"/>
      <c r="J168" s="276"/>
      <c r="K168" s="95"/>
      <c r="L168" s="276"/>
      <c r="M168" s="276">
        <f>H168+J168+L168</f>
        <v>0</v>
      </c>
      <c r="N168" s="207"/>
    </row>
    <row r="169" spans="1:14" hidden="1">
      <c r="A169" s="380"/>
      <c r="B169" s="3"/>
      <c r="C169" s="190" t="s">
        <v>31</v>
      </c>
      <c r="D169" s="29" t="s">
        <v>22</v>
      </c>
      <c r="E169" s="93">
        <v>0.62</v>
      </c>
      <c r="F169" s="93">
        <f>E169*F165</f>
        <v>0</v>
      </c>
      <c r="G169" s="95">
        <v>3.2</v>
      </c>
      <c r="H169" s="276">
        <f>F169*G169</f>
        <v>0</v>
      </c>
      <c r="I169" s="95"/>
      <c r="J169" s="276"/>
      <c r="K169" s="95"/>
      <c r="L169" s="276"/>
      <c r="M169" s="276">
        <f>H169+J169+L169</f>
        <v>0</v>
      </c>
      <c r="N169" s="207"/>
    </row>
    <row r="170" spans="1:14" ht="47.25" hidden="1">
      <c r="A170" s="364" t="s">
        <v>291</v>
      </c>
      <c r="B170" s="279" t="s">
        <v>110</v>
      </c>
      <c r="C170" s="70" t="s">
        <v>197</v>
      </c>
      <c r="D170" s="64" t="s">
        <v>54</v>
      </c>
      <c r="E170" s="1"/>
      <c r="F170" s="1">
        <f>F158</f>
        <v>0</v>
      </c>
      <c r="G170" s="276"/>
      <c r="H170" s="276"/>
      <c r="I170" s="276"/>
      <c r="J170" s="276"/>
      <c r="K170" s="276"/>
      <c r="L170" s="276"/>
      <c r="M170" s="276"/>
      <c r="N170" s="207"/>
    </row>
    <row r="171" spans="1:14" hidden="1">
      <c r="A171" s="364"/>
      <c r="B171" s="279"/>
      <c r="C171" s="190" t="s">
        <v>55</v>
      </c>
      <c r="D171" s="279" t="s">
        <v>53</v>
      </c>
      <c r="E171" s="278">
        <v>0.74</v>
      </c>
      <c r="F171" s="278">
        <f>E171*F170</f>
        <v>0</v>
      </c>
      <c r="G171" s="276"/>
      <c r="H171" s="276"/>
      <c r="I171" s="276">
        <v>6</v>
      </c>
      <c r="J171" s="276">
        <f>F171*I171</f>
        <v>0</v>
      </c>
      <c r="K171" s="276"/>
      <c r="L171" s="276"/>
      <c r="M171" s="276">
        <f t="shared" ref="M171:M176" si="8">H171+J171+L171</f>
        <v>0</v>
      </c>
      <c r="N171" s="207"/>
    </row>
    <row r="172" spans="1:14" hidden="1">
      <c r="A172" s="364"/>
      <c r="B172" s="279"/>
      <c r="C172" s="190" t="s">
        <v>24</v>
      </c>
      <c r="D172" s="279" t="s">
        <v>60</v>
      </c>
      <c r="E172" s="278">
        <f>0.71*0.01</f>
        <v>7.0999999999999995E-3</v>
      </c>
      <c r="F172" s="278">
        <f>E172*F170</f>
        <v>0</v>
      </c>
      <c r="G172" s="276"/>
      <c r="H172" s="276"/>
      <c r="I172" s="276"/>
      <c r="J172" s="276"/>
      <c r="K172" s="276">
        <v>3.2</v>
      </c>
      <c r="L172" s="276">
        <f>F172*K172</f>
        <v>0</v>
      </c>
      <c r="M172" s="276">
        <f t="shared" si="8"/>
        <v>0</v>
      </c>
      <c r="N172" s="207"/>
    </row>
    <row r="173" spans="1:14" hidden="1">
      <c r="A173" s="364"/>
      <c r="B173" s="266" t="s">
        <v>121</v>
      </c>
      <c r="C173" s="190" t="s">
        <v>198</v>
      </c>
      <c r="D173" s="279" t="s">
        <v>54</v>
      </c>
      <c r="E173" s="278">
        <v>1</v>
      </c>
      <c r="F173" s="278">
        <f>E173*F170</f>
        <v>0</v>
      </c>
      <c r="G173" s="276">
        <v>18</v>
      </c>
      <c r="H173" s="276">
        <f>F173*G173</f>
        <v>0</v>
      </c>
      <c r="I173" s="276"/>
      <c r="J173" s="276"/>
      <c r="K173" s="276"/>
      <c r="L173" s="276"/>
      <c r="M173" s="276">
        <f t="shared" si="8"/>
        <v>0</v>
      </c>
      <c r="N173" s="207"/>
    </row>
    <row r="174" spans="1:14" hidden="1">
      <c r="A174" s="364"/>
      <c r="B174" s="279" t="s">
        <v>122</v>
      </c>
      <c r="C174" s="83" t="s">
        <v>285</v>
      </c>
      <c r="D174" s="279" t="s">
        <v>75</v>
      </c>
      <c r="E174" s="278">
        <f>5.9*0.01</f>
        <v>5.9000000000000004E-2</v>
      </c>
      <c r="F174" s="278">
        <f>F170*E174</f>
        <v>0</v>
      </c>
      <c r="G174" s="276">
        <v>104</v>
      </c>
      <c r="H174" s="276">
        <f>F174*G174</f>
        <v>0</v>
      </c>
      <c r="I174" s="276"/>
      <c r="J174" s="276"/>
      <c r="K174" s="276"/>
      <c r="L174" s="276"/>
      <c r="M174" s="276">
        <f t="shared" si="8"/>
        <v>0</v>
      </c>
      <c r="N174" s="207"/>
    </row>
    <row r="175" spans="1:14" hidden="1">
      <c r="A175" s="364"/>
      <c r="B175" s="279" t="s">
        <v>123</v>
      </c>
      <c r="C175" s="190" t="s">
        <v>111</v>
      </c>
      <c r="D175" s="279" t="s">
        <v>75</v>
      </c>
      <c r="E175" s="278">
        <f>0.06*0.01</f>
        <v>5.9999999999999995E-4</v>
      </c>
      <c r="F175" s="278">
        <f>E175*F170</f>
        <v>0</v>
      </c>
      <c r="G175" s="276">
        <v>88</v>
      </c>
      <c r="H175" s="276">
        <f>F175*G175</f>
        <v>0</v>
      </c>
      <c r="I175" s="276"/>
      <c r="J175" s="276"/>
      <c r="K175" s="276"/>
      <c r="L175" s="276"/>
      <c r="M175" s="276">
        <f t="shared" si="8"/>
        <v>0</v>
      </c>
      <c r="N175" s="207"/>
    </row>
    <row r="176" spans="1:14" hidden="1">
      <c r="A176" s="364"/>
      <c r="B176" s="279"/>
      <c r="C176" s="190" t="s">
        <v>31</v>
      </c>
      <c r="D176" s="279" t="s">
        <v>22</v>
      </c>
      <c r="E176" s="278">
        <f>9.6*0.01</f>
        <v>9.6000000000000002E-2</v>
      </c>
      <c r="F176" s="278">
        <f>E176*F170</f>
        <v>0</v>
      </c>
      <c r="G176" s="276">
        <v>3.2</v>
      </c>
      <c r="H176" s="276">
        <f>F176*G176</f>
        <v>0</v>
      </c>
      <c r="I176" s="276"/>
      <c r="J176" s="276"/>
      <c r="K176" s="276"/>
      <c r="L176" s="276"/>
      <c r="M176" s="276">
        <f t="shared" si="8"/>
        <v>0</v>
      </c>
      <c r="N176" s="207"/>
    </row>
    <row r="177" spans="1:14" ht="47.25">
      <c r="A177" s="279" t="s">
        <v>265</v>
      </c>
      <c r="B177" s="279"/>
      <c r="C177" s="275" t="s">
        <v>196</v>
      </c>
      <c r="D177" s="64" t="s">
        <v>11</v>
      </c>
      <c r="E177" s="1"/>
      <c r="F177" s="1">
        <v>81</v>
      </c>
      <c r="G177" s="276"/>
      <c r="H177" s="276"/>
      <c r="I177" s="276"/>
      <c r="J177" s="276"/>
      <c r="K177" s="276"/>
      <c r="L177" s="276"/>
      <c r="M177" s="276"/>
      <c r="N177" s="207"/>
    </row>
    <row r="178" spans="1:14" ht="63">
      <c r="A178" s="266" t="s">
        <v>266</v>
      </c>
      <c r="B178" s="279" t="s">
        <v>70</v>
      </c>
      <c r="C178" s="70" t="s">
        <v>98</v>
      </c>
      <c r="D178" s="64" t="s">
        <v>17</v>
      </c>
      <c r="E178" s="278"/>
      <c r="F178" s="1">
        <f>0.1*(0.07+0.1+0.1)*F177</f>
        <v>2.1870000000000003</v>
      </c>
      <c r="G178" s="276"/>
      <c r="H178" s="276"/>
      <c r="I178" s="276"/>
      <c r="J178" s="276"/>
      <c r="K178" s="276"/>
      <c r="L178" s="276"/>
      <c r="M178" s="276"/>
      <c r="N178" s="207"/>
    </row>
    <row r="179" spans="1:14">
      <c r="A179" s="267"/>
      <c r="B179" s="28"/>
      <c r="C179" s="80" t="s">
        <v>23</v>
      </c>
      <c r="D179" s="231" t="s">
        <v>25</v>
      </c>
      <c r="E179" s="67">
        <v>2.06</v>
      </c>
      <c r="F179" s="67">
        <f>E179*F178</f>
        <v>4.5052200000000004</v>
      </c>
      <c r="G179" s="16"/>
      <c r="H179" s="276"/>
      <c r="I179" s="16"/>
      <c r="J179" s="276">
        <f>F179*I179</f>
        <v>0</v>
      </c>
      <c r="K179" s="276"/>
      <c r="L179" s="276"/>
      <c r="M179" s="276">
        <f>H179+J179+L179</f>
        <v>0</v>
      </c>
      <c r="N179" s="207">
        <f>J179/F178</f>
        <v>0</v>
      </c>
    </row>
    <row r="180" spans="1:14" ht="47.25">
      <c r="A180" s="271" t="s">
        <v>267</v>
      </c>
      <c r="B180" s="279" t="s">
        <v>71</v>
      </c>
      <c r="C180" s="70" t="s">
        <v>454</v>
      </c>
      <c r="D180" s="64" t="s">
        <v>74</v>
      </c>
      <c r="E180" s="278"/>
      <c r="F180" s="1">
        <f>0.07*0.1*F177</f>
        <v>0.56700000000000006</v>
      </c>
      <c r="G180" s="276"/>
      <c r="H180" s="276"/>
      <c r="I180" s="276"/>
      <c r="J180" s="276"/>
      <c r="K180" s="276"/>
      <c r="L180" s="276"/>
      <c r="M180" s="276"/>
      <c r="N180" s="211"/>
    </row>
    <row r="181" spans="1:14">
      <c r="A181" s="272"/>
      <c r="B181" s="279"/>
      <c r="C181" s="190" t="s">
        <v>55</v>
      </c>
      <c r="D181" s="279" t="s">
        <v>53</v>
      </c>
      <c r="E181" s="278">
        <v>3.52</v>
      </c>
      <c r="F181" s="278">
        <f>E181*F180</f>
        <v>1.9958400000000003</v>
      </c>
      <c r="G181" s="276"/>
      <c r="H181" s="276"/>
      <c r="I181" s="276"/>
      <c r="J181" s="276">
        <f>F181*I181</f>
        <v>0</v>
      </c>
      <c r="K181" s="276"/>
      <c r="L181" s="276"/>
      <c r="M181" s="276">
        <f>H181+J181+L181</f>
        <v>0</v>
      </c>
      <c r="N181" s="207">
        <f>J181/F180</f>
        <v>0</v>
      </c>
    </row>
    <row r="182" spans="1:14">
      <c r="A182" s="272"/>
      <c r="B182" s="279"/>
      <c r="C182" s="190" t="s">
        <v>30</v>
      </c>
      <c r="D182" s="279" t="s">
        <v>22</v>
      </c>
      <c r="E182" s="278">
        <v>1.06</v>
      </c>
      <c r="F182" s="284">
        <f>F180*E182</f>
        <v>0.60102000000000011</v>
      </c>
      <c r="G182" s="276"/>
      <c r="H182" s="276"/>
      <c r="I182" s="276"/>
      <c r="J182" s="276"/>
      <c r="K182" s="276"/>
      <c r="L182" s="276">
        <f>F182*K182</f>
        <v>0</v>
      </c>
      <c r="M182" s="276">
        <f>H182+J182+L182</f>
        <v>0</v>
      </c>
      <c r="N182" s="207"/>
    </row>
    <row r="183" spans="1:14">
      <c r="A183" s="273"/>
      <c r="B183" s="55"/>
      <c r="C183" s="190" t="s">
        <v>66</v>
      </c>
      <c r="D183" s="279" t="s">
        <v>75</v>
      </c>
      <c r="E183" s="278">
        <f>0.18+0.09+0.97</f>
        <v>1.24</v>
      </c>
      <c r="F183" s="284">
        <f>E183*F180</f>
        <v>0.70308000000000004</v>
      </c>
      <c r="G183" s="276"/>
      <c r="H183" s="276">
        <f>F183*G183</f>
        <v>0</v>
      </c>
      <c r="I183" s="276"/>
      <c r="J183" s="276"/>
      <c r="K183" s="276"/>
      <c r="L183" s="276"/>
      <c r="M183" s="276">
        <f>H183+J183+L183</f>
        <v>0</v>
      </c>
      <c r="N183" s="207"/>
    </row>
    <row r="184" spans="1:14" ht="63" hidden="1">
      <c r="A184" s="280" t="s">
        <v>282</v>
      </c>
      <c r="B184" s="186" t="s">
        <v>114</v>
      </c>
      <c r="C184" s="84" t="s">
        <v>115</v>
      </c>
      <c r="D184" s="5" t="s">
        <v>74</v>
      </c>
      <c r="E184" s="94"/>
      <c r="F184" s="1">
        <v>0</v>
      </c>
      <c r="G184" s="276"/>
      <c r="H184" s="276"/>
      <c r="I184" s="276"/>
      <c r="J184" s="276"/>
      <c r="K184" s="276"/>
      <c r="L184" s="276"/>
      <c r="M184" s="276"/>
      <c r="N184" s="207"/>
    </row>
    <row r="185" spans="1:14" hidden="1">
      <c r="A185" s="281"/>
      <c r="B185" s="3"/>
      <c r="C185" s="78" t="s">
        <v>48</v>
      </c>
      <c r="D185" s="3" t="s">
        <v>53</v>
      </c>
      <c r="E185" s="93">
        <v>1.37</v>
      </c>
      <c r="F185" s="93">
        <f>F184*E185</f>
        <v>0</v>
      </c>
      <c r="G185" s="95"/>
      <c r="H185" s="276"/>
      <c r="I185" s="95">
        <v>6</v>
      </c>
      <c r="J185" s="276">
        <f>F185*I185</f>
        <v>0</v>
      </c>
      <c r="K185" s="95"/>
      <c r="L185" s="276"/>
      <c r="M185" s="276">
        <f>H185+J185+L185</f>
        <v>0</v>
      </c>
      <c r="N185" s="207"/>
    </row>
    <row r="186" spans="1:14" hidden="1">
      <c r="A186" s="281"/>
      <c r="B186" s="3"/>
      <c r="C186" s="190" t="s">
        <v>24</v>
      </c>
      <c r="D186" s="26" t="s">
        <v>22</v>
      </c>
      <c r="E186" s="93">
        <v>0.28299999999999997</v>
      </c>
      <c r="F186" s="93">
        <f>E186*F184</f>
        <v>0</v>
      </c>
      <c r="G186" s="95"/>
      <c r="H186" s="276"/>
      <c r="I186" s="95"/>
      <c r="J186" s="276"/>
      <c r="K186" s="95">
        <v>3.2</v>
      </c>
      <c r="L186" s="276">
        <f>F186*K186</f>
        <v>0</v>
      </c>
      <c r="M186" s="276">
        <f>H186+J186+L186</f>
        <v>0</v>
      </c>
      <c r="N186" s="207"/>
    </row>
    <row r="187" spans="1:14" hidden="1">
      <c r="A187" s="281"/>
      <c r="B187" s="3"/>
      <c r="C187" s="78" t="s">
        <v>287</v>
      </c>
      <c r="D187" s="3" t="s">
        <v>75</v>
      </c>
      <c r="E187" s="93">
        <v>1.02</v>
      </c>
      <c r="F187" s="93">
        <f>E187*F184</f>
        <v>0</v>
      </c>
      <c r="G187" s="95">
        <v>95</v>
      </c>
      <c r="H187" s="276">
        <f>F187*G187</f>
        <v>0</v>
      </c>
      <c r="I187" s="95"/>
      <c r="J187" s="276"/>
      <c r="K187" s="95"/>
      <c r="L187" s="276"/>
      <c r="M187" s="276">
        <f>H187+J187+L187</f>
        <v>0</v>
      </c>
      <c r="N187" s="207"/>
    </row>
    <row r="188" spans="1:14" hidden="1">
      <c r="A188" s="282"/>
      <c r="B188" s="3"/>
      <c r="C188" s="190" t="s">
        <v>31</v>
      </c>
      <c r="D188" s="29" t="s">
        <v>22</v>
      </c>
      <c r="E188" s="93">
        <v>0.62</v>
      </c>
      <c r="F188" s="93">
        <f>E188*F184</f>
        <v>0</v>
      </c>
      <c r="G188" s="95">
        <v>3.2</v>
      </c>
      <c r="H188" s="276">
        <f>F188*G188</f>
        <v>0</v>
      </c>
      <c r="I188" s="95"/>
      <c r="J188" s="276"/>
      <c r="K188" s="95"/>
      <c r="L188" s="276"/>
      <c r="M188" s="276">
        <f>H188+J188+L188</f>
        <v>0</v>
      </c>
      <c r="N188" s="207"/>
    </row>
    <row r="189" spans="1:14" ht="47.25">
      <c r="A189" s="266" t="s">
        <v>518</v>
      </c>
      <c r="B189" s="279" t="s">
        <v>110</v>
      </c>
      <c r="C189" s="70" t="s">
        <v>199</v>
      </c>
      <c r="D189" s="64" t="s">
        <v>54</v>
      </c>
      <c r="E189" s="1"/>
      <c r="F189" s="1">
        <f>F177</f>
        <v>81</v>
      </c>
      <c r="G189" s="276"/>
      <c r="H189" s="276"/>
      <c r="I189" s="276"/>
      <c r="J189" s="276"/>
      <c r="K189" s="276"/>
      <c r="L189" s="276"/>
      <c r="M189" s="276"/>
      <c r="N189" s="207"/>
    </row>
    <row r="190" spans="1:14">
      <c r="A190" s="268"/>
      <c r="B190" s="279"/>
      <c r="C190" s="190" t="s">
        <v>55</v>
      </c>
      <c r="D190" s="279" t="s">
        <v>53</v>
      </c>
      <c r="E190" s="278">
        <v>0.74</v>
      </c>
      <c r="F190" s="278">
        <f>E190*F189</f>
        <v>59.94</v>
      </c>
      <c r="G190" s="276"/>
      <c r="H190" s="276"/>
      <c r="I190" s="276"/>
      <c r="J190" s="276">
        <f>F190*I190</f>
        <v>0</v>
      </c>
      <c r="K190" s="276"/>
      <c r="L190" s="276"/>
      <c r="M190" s="276">
        <f t="shared" ref="M190:M195" si="9">H190+J190+L190</f>
        <v>0</v>
      </c>
      <c r="N190" s="207">
        <f>J190/F189</f>
        <v>0</v>
      </c>
    </row>
    <row r="191" spans="1:14">
      <c r="A191" s="268"/>
      <c r="B191" s="279"/>
      <c r="C191" s="190" t="s">
        <v>24</v>
      </c>
      <c r="D191" s="279" t="s">
        <v>60</v>
      </c>
      <c r="E191" s="278">
        <f>0.71*0.01</f>
        <v>7.0999999999999995E-3</v>
      </c>
      <c r="F191" s="278">
        <f>E191*F189</f>
        <v>0.57509999999999994</v>
      </c>
      <c r="G191" s="276"/>
      <c r="H191" s="276"/>
      <c r="I191" s="276"/>
      <c r="J191" s="276"/>
      <c r="K191" s="276"/>
      <c r="L191" s="276">
        <f>F191*K191</f>
        <v>0</v>
      </c>
      <c r="M191" s="276">
        <f t="shared" si="9"/>
        <v>0</v>
      </c>
      <c r="N191" s="207"/>
    </row>
    <row r="192" spans="1:14">
      <c r="A192" s="268"/>
      <c r="B192" s="279"/>
      <c r="C192" s="190" t="s">
        <v>200</v>
      </c>
      <c r="D192" s="279" t="s">
        <v>54</v>
      </c>
      <c r="E192" s="278">
        <v>1</v>
      </c>
      <c r="F192" s="278">
        <f>E192*F189</f>
        <v>81</v>
      </c>
      <c r="G192" s="276"/>
      <c r="H192" s="276">
        <f>F192*G192</f>
        <v>0</v>
      </c>
      <c r="I192" s="276"/>
      <c r="J192" s="276"/>
      <c r="K192" s="276"/>
      <c r="L192" s="276"/>
      <c r="M192" s="276">
        <f t="shared" si="9"/>
        <v>0</v>
      </c>
      <c r="N192" s="207"/>
    </row>
    <row r="193" spans="1:15">
      <c r="A193" s="268"/>
      <c r="B193" s="279"/>
      <c r="C193" s="83" t="s">
        <v>446</v>
      </c>
      <c r="D193" s="279" t="s">
        <v>75</v>
      </c>
      <c r="E193" s="278">
        <f>5.9*0.01</f>
        <v>5.9000000000000004E-2</v>
      </c>
      <c r="F193" s="278">
        <f>F189*E193</f>
        <v>4.7789999999999999</v>
      </c>
      <c r="G193" s="276"/>
      <c r="H193" s="276">
        <f>F193*G193</f>
        <v>0</v>
      </c>
      <c r="I193" s="276"/>
      <c r="J193" s="276"/>
      <c r="K193" s="276"/>
      <c r="L193" s="276"/>
      <c r="M193" s="276">
        <f t="shared" si="9"/>
        <v>0</v>
      </c>
      <c r="N193" s="207"/>
    </row>
    <row r="194" spans="1:15">
      <c r="A194" s="268"/>
      <c r="B194" s="279"/>
      <c r="C194" s="190" t="s">
        <v>111</v>
      </c>
      <c r="D194" s="279" t="s">
        <v>75</v>
      </c>
      <c r="E194" s="278">
        <f>0.06*0.01</f>
        <v>5.9999999999999995E-4</v>
      </c>
      <c r="F194" s="278">
        <f>E194*F189</f>
        <v>4.8599999999999997E-2</v>
      </c>
      <c r="G194" s="276"/>
      <c r="H194" s="276">
        <f>F194*G194</f>
        <v>0</v>
      </c>
      <c r="I194" s="276"/>
      <c r="J194" s="276"/>
      <c r="K194" s="276"/>
      <c r="L194" s="276"/>
      <c r="M194" s="276">
        <f t="shared" si="9"/>
        <v>0</v>
      </c>
      <c r="N194" s="207"/>
    </row>
    <row r="195" spans="1:15">
      <c r="A195" s="267"/>
      <c r="B195" s="279"/>
      <c r="C195" s="190" t="s">
        <v>31</v>
      </c>
      <c r="D195" s="279" t="s">
        <v>22</v>
      </c>
      <c r="E195" s="278">
        <f>9.6*0.01</f>
        <v>9.6000000000000002E-2</v>
      </c>
      <c r="F195" s="278">
        <f>E195*F189</f>
        <v>7.7759999999999998</v>
      </c>
      <c r="G195" s="276"/>
      <c r="H195" s="276">
        <f>F195*G195</f>
        <v>0</v>
      </c>
      <c r="I195" s="276"/>
      <c r="J195" s="276"/>
      <c r="K195" s="276"/>
      <c r="L195" s="276"/>
      <c r="M195" s="276">
        <f t="shared" si="9"/>
        <v>0</v>
      </c>
      <c r="N195" s="207"/>
    </row>
    <row r="196" spans="1:15" ht="31.5">
      <c r="A196" s="279" t="s">
        <v>268</v>
      </c>
      <c r="B196" s="279"/>
      <c r="C196" s="275" t="s">
        <v>311</v>
      </c>
      <c r="D196" s="64" t="s">
        <v>18</v>
      </c>
      <c r="E196" s="1"/>
      <c r="F196" s="1">
        <v>74</v>
      </c>
      <c r="G196" s="276"/>
      <c r="H196" s="276"/>
      <c r="I196" s="276"/>
      <c r="J196" s="276"/>
      <c r="K196" s="276"/>
      <c r="L196" s="276"/>
      <c r="M196" s="276"/>
      <c r="N196" s="207"/>
    </row>
    <row r="197" spans="1:15" ht="31.5">
      <c r="A197" s="266" t="s">
        <v>269</v>
      </c>
      <c r="B197" s="279" t="s">
        <v>391</v>
      </c>
      <c r="C197" s="189" t="s">
        <v>389</v>
      </c>
      <c r="D197" s="64" t="s">
        <v>17</v>
      </c>
      <c r="E197" s="278"/>
      <c r="F197" s="1">
        <f>F196*0.2</f>
        <v>14.8</v>
      </c>
      <c r="G197" s="276"/>
      <c r="H197" s="276"/>
      <c r="I197" s="276"/>
      <c r="J197" s="276"/>
      <c r="K197" s="276"/>
      <c r="L197" s="276"/>
      <c r="M197" s="276"/>
      <c r="N197" s="207"/>
    </row>
    <row r="198" spans="1:15">
      <c r="A198" s="268"/>
      <c r="B198" s="279"/>
      <c r="C198" s="53" t="s">
        <v>23</v>
      </c>
      <c r="D198" s="279" t="s">
        <v>25</v>
      </c>
      <c r="E198" s="278">
        <v>3</v>
      </c>
      <c r="F198" s="278">
        <f>F197*E198</f>
        <v>44.400000000000006</v>
      </c>
      <c r="G198" s="276"/>
      <c r="H198" s="276"/>
      <c r="I198" s="276"/>
      <c r="J198" s="276">
        <f>F198*I198</f>
        <v>0</v>
      </c>
      <c r="K198" s="276"/>
      <c r="L198" s="276"/>
      <c r="M198" s="276">
        <f>H198+J198+L198</f>
        <v>0</v>
      </c>
      <c r="N198" s="207">
        <f>J198/F197</f>
        <v>0</v>
      </c>
    </row>
    <row r="199" spans="1:15">
      <c r="A199" s="268"/>
      <c r="B199" s="279" t="s">
        <v>96</v>
      </c>
      <c r="C199" s="53" t="s">
        <v>390</v>
      </c>
      <c r="D199" s="279" t="s">
        <v>17</v>
      </c>
      <c r="E199" s="278">
        <v>1.1200000000000001</v>
      </c>
      <c r="F199" s="278">
        <f>F197*E199</f>
        <v>16.576000000000004</v>
      </c>
      <c r="G199" s="276"/>
      <c r="H199" s="276">
        <f>F199*G199</f>
        <v>0</v>
      </c>
      <c r="I199" s="276"/>
      <c r="J199" s="276"/>
      <c r="K199" s="276"/>
      <c r="L199" s="276"/>
      <c r="M199" s="276">
        <f>H199+J199+L199</f>
        <v>0</v>
      </c>
      <c r="N199" s="207"/>
    </row>
    <row r="200" spans="1:15">
      <c r="A200" s="267"/>
      <c r="B200" s="279"/>
      <c r="C200" s="53" t="s">
        <v>31</v>
      </c>
      <c r="D200" s="279" t="s">
        <v>22</v>
      </c>
      <c r="E200" s="278">
        <v>0.01</v>
      </c>
      <c r="F200" s="278">
        <f>F197*E200</f>
        <v>0.14800000000000002</v>
      </c>
      <c r="G200" s="276"/>
      <c r="H200" s="276">
        <f>F200*G200</f>
        <v>0</v>
      </c>
      <c r="I200" s="276"/>
      <c r="J200" s="276"/>
      <c r="K200" s="276"/>
      <c r="L200" s="276"/>
      <c r="M200" s="276">
        <f>H200+J200+L200</f>
        <v>0</v>
      </c>
      <c r="N200" s="207"/>
    </row>
    <row r="201" spans="1:15" ht="47.25">
      <c r="A201" s="266" t="s">
        <v>270</v>
      </c>
      <c r="B201" s="279" t="s">
        <v>447</v>
      </c>
      <c r="C201" s="189" t="s">
        <v>393</v>
      </c>
      <c r="D201" s="64" t="s">
        <v>18</v>
      </c>
      <c r="E201" s="278"/>
      <c r="F201" s="1">
        <f>F196</f>
        <v>74</v>
      </c>
      <c r="G201" s="276"/>
      <c r="H201" s="276"/>
      <c r="I201" s="276"/>
      <c r="J201" s="276"/>
      <c r="K201" s="276"/>
      <c r="L201" s="276"/>
      <c r="M201" s="276"/>
      <c r="N201" s="207"/>
      <c r="O201" s="292"/>
    </row>
    <row r="202" spans="1:15" ht="33">
      <c r="A202" s="268"/>
      <c r="B202" s="279"/>
      <c r="C202" s="53" t="s">
        <v>23</v>
      </c>
      <c r="D202" s="279" t="s">
        <v>25</v>
      </c>
      <c r="E202" s="278">
        <v>0.77900000000000003</v>
      </c>
      <c r="F202" s="278">
        <f>F201*E202</f>
        <v>57.646000000000001</v>
      </c>
      <c r="G202" s="276"/>
      <c r="H202" s="276"/>
      <c r="I202" s="276"/>
      <c r="J202" s="276">
        <f>F202*I202</f>
        <v>0</v>
      </c>
      <c r="K202" s="276"/>
      <c r="L202" s="276"/>
      <c r="M202" s="276">
        <f>H202+J202+L202</f>
        <v>0</v>
      </c>
      <c r="N202" s="207">
        <f>J202/F201</f>
        <v>0</v>
      </c>
      <c r="O202" s="292" t="s">
        <v>449</v>
      </c>
    </row>
    <row r="203" spans="1:15">
      <c r="A203" s="268"/>
      <c r="B203" s="279"/>
      <c r="C203" s="53" t="s">
        <v>30</v>
      </c>
      <c r="D203" s="279" t="s">
        <v>22</v>
      </c>
      <c r="E203" s="278">
        <v>0.104</v>
      </c>
      <c r="F203" s="278">
        <f>F201*E203</f>
        <v>7.6959999999999997</v>
      </c>
      <c r="G203" s="276"/>
      <c r="H203" s="276"/>
      <c r="I203" s="276"/>
      <c r="J203" s="276"/>
      <c r="K203" s="276"/>
      <c r="L203" s="276">
        <f>F203*K203</f>
        <v>0</v>
      </c>
      <c r="M203" s="276">
        <f>H203+J203+L203</f>
        <v>0</v>
      </c>
      <c r="N203" s="207"/>
      <c r="O203" s="292"/>
    </row>
    <row r="204" spans="1:15" ht="31.5">
      <c r="A204" s="268"/>
      <c r="B204" s="279" t="s">
        <v>126</v>
      </c>
      <c r="C204" s="53" t="s">
        <v>189</v>
      </c>
      <c r="D204" s="279" t="s">
        <v>18</v>
      </c>
      <c r="E204" s="278">
        <v>1.01</v>
      </c>
      <c r="F204" s="278">
        <f>F201*E204</f>
        <v>74.739999999999995</v>
      </c>
      <c r="G204" s="276"/>
      <c r="H204" s="276">
        <f>F204*G204</f>
        <v>0</v>
      </c>
      <c r="I204" s="276"/>
      <c r="J204" s="276"/>
      <c r="K204" s="276"/>
      <c r="L204" s="276"/>
      <c r="M204" s="276">
        <f>H204+J204+L204</f>
        <v>0</v>
      </c>
      <c r="N204" s="207"/>
      <c r="O204" s="292"/>
    </row>
    <row r="205" spans="1:15" ht="33">
      <c r="A205" s="268"/>
      <c r="B205" s="279" t="s">
        <v>125</v>
      </c>
      <c r="C205" s="53" t="s">
        <v>531</v>
      </c>
      <c r="D205" s="279" t="s">
        <v>17</v>
      </c>
      <c r="E205" s="278">
        <v>2.1100000000000001E-2</v>
      </c>
      <c r="F205" s="278">
        <f>F201*E205</f>
        <v>1.5614000000000001</v>
      </c>
      <c r="G205" s="276"/>
      <c r="H205" s="276">
        <f>F205*G205</f>
        <v>0</v>
      </c>
      <c r="I205" s="276"/>
      <c r="J205" s="276"/>
      <c r="K205" s="276"/>
      <c r="L205" s="276"/>
      <c r="M205" s="276">
        <f>H205+J205+L205</f>
        <v>0</v>
      </c>
      <c r="N205" s="207"/>
      <c r="O205" s="292" t="s">
        <v>448</v>
      </c>
    </row>
    <row r="206" spans="1:15">
      <c r="A206" s="267"/>
      <c r="B206" s="279"/>
      <c r="C206" s="53" t="s">
        <v>107</v>
      </c>
      <c r="D206" s="279" t="s">
        <v>22</v>
      </c>
      <c r="E206" s="278">
        <v>4.6600000000000003E-2</v>
      </c>
      <c r="F206" s="278">
        <f>F201*E206</f>
        <v>3.4484000000000004</v>
      </c>
      <c r="G206" s="276"/>
      <c r="H206" s="276">
        <f>F206*G206</f>
        <v>0</v>
      </c>
      <c r="I206" s="276"/>
      <c r="J206" s="276"/>
      <c r="K206" s="276"/>
      <c r="L206" s="276"/>
      <c r="M206" s="276">
        <f>H206+J206+L206</f>
        <v>0</v>
      </c>
      <c r="N206" s="207"/>
      <c r="O206" s="292"/>
    </row>
    <row r="207" spans="1:15" ht="31.5">
      <c r="A207" s="279" t="s">
        <v>272</v>
      </c>
      <c r="B207" s="279"/>
      <c r="C207" s="275" t="s">
        <v>188</v>
      </c>
      <c r="D207" s="64"/>
      <c r="E207" s="1"/>
      <c r="F207" s="1"/>
      <c r="G207" s="276"/>
      <c r="H207" s="276"/>
      <c r="I207" s="276"/>
      <c r="J207" s="276"/>
      <c r="K207" s="276"/>
      <c r="L207" s="276"/>
      <c r="M207" s="276"/>
      <c r="N207" s="207"/>
    </row>
    <row r="208" spans="1:15" ht="31.5">
      <c r="A208" s="216" t="s">
        <v>275</v>
      </c>
      <c r="B208" s="231" t="s">
        <v>185</v>
      </c>
      <c r="C208" s="79" t="s">
        <v>186</v>
      </c>
      <c r="D208" s="27" t="s">
        <v>73</v>
      </c>
      <c r="E208" s="10"/>
      <c r="F208" s="10">
        <v>151</v>
      </c>
      <c r="G208" s="276"/>
      <c r="H208" s="276"/>
      <c r="I208" s="276"/>
      <c r="J208" s="276"/>
      <c r="K208" s="276"/>
      <c r="L208" s="276"/>
      <c r="M208" s="276"/>
      <c r="N208" s="211"/>
    </row>
    <row r="209" spans="1:14">
      <c r="A209" s="217"/>
      <c r="B209" s="231"/>
      <c r="C209" s="80" t="s">
        <v>23</v>
      </c>
      <c r="D209" s="279" t="s">
        <v>25</v>
      </c>
      <c r="E209" s="66">
        <f>38.3*0.01</f>
        <v>0.38300000000000001</v>
      </c>
      <c r="F209" s="66">
        <f>F208*E209</f>
        <v>57.832999999999998</v>
      </c>
      <c r="G209" s="276"/>
      <c r="H209" s="276"/>
      <c r="I209" s="276"/>
      <c r="J209" s="276">
        <f>F209*I209</f>
        <v>0</v>
      </c>
      <c r="K209" s="276"/>
      <c r="L209" s="276"/>
      <c r="M209" s="276">
        <f>H209+J209+L209</f>
        <v>0</v>
      </c>
      <c r="N209" s="207">
        <f>J209/F208</f>
        <v>0</v>
      </c>
    </row>
    <row r="210" spans="1:14">
      <c r="A210" s="218"/>
      <c r="B210" s="231"/>
      <c r="C210" s="80" t="s">
        <v>187</v>
      </c>
      <c r="D210" s="231" t="s">
        <v>104</v>
      </c>
      <c r="E210" s="66">
        <f>2*0.01</f>
        <v>0.02</v>
      </c>
      <c r="F210" s="66">
        <f>E210*F208</f>
        <v>3.02</v>
      </c>
      <c r="G210" s="276"/>
      <c r="H210" s="276">
        <f>F210*G210</f>
        <v>0</v>
      </c>
      <c r="I210" s="276"/>
      <c r="J210" s="276"/>
      <c r="K210" s="276"/>
      <c r="L210" s="276"/>
      <c r="M210" s="276">
        <f>H210+J210+L210</f>
        <v>0</v>
      </c>
      <c r="N210" s="207"/>
    </row>
    <row r="211" spans="1:14" ht="47.25">
      <c r="A211" s="266" t="s">
        <v>276</v>
      </c>
      <c r="B211" s="279"/>
      <c r="C211" s="70" t="s">
        <v>465</v>
      </c>
      <c r="D211" s="64"/>
      <c r="E211" s="1"/>
      <c r="F211" s="1"/>
      <c r="G211" s="276"/>
      <c r="H211" s="276"/>
      <c r="I211" s="276"/>
      <c r="J211" s="276"/>
      <c r="K211" s="276"/>
      <c r="L211" s="276"/>
      <c r="M211" s="276"/>
      <c r="N211" s="207"/>
    </row>
    <row r="212" spans="1:14" ht="31.5" hidden="1">
      <c r="A212" s="266"/>
      <c r="B212" s="36">
        <v>1</v>
      </c>
      <c r="C212" s="70" t="s">
        <v>466</v>
      </c>
      <c r="D212" s="64" t="s">
        <v>15</v>
      </c>
      <c r="E212" s="278"/>
      <c r="F212" s="1"/>
      <c r="G212" s="276"/>
      <c r="H212" s="276"/>
      <c r="I212" s="276"/>
      <c r="J212" s="276"/>
      <c r="K212" s="276"/>
      <c r="L212" s="276"/>
      <c r="M212" s="276"/>
      <c r="N212" s="207"/>
    </row>
    <row r="213" spans="1:14" hidden="1">
      <c r="A213" s="266"/>
      <c r="B213" s="36">
        <v>2</v>
      </c>
      <c r="C213" s="70" t="s">
        <v>467</v>
      </c>
      <c r="D213" s="64" t="s">
        <v>15</v>
      </c>
      <c r="E213" s="278"/>
      <c r="F213" s="1"/>
      <c r="G213" s="276"/>
      <c r="H213" s="276"/>
      <c r="I213" s="276"/>
      <c r="J213" s="276"/>
      <c r="K213" s="276"/>
      <c r="L213" s="276"/>
      <c r="M213" s="276"/>
      <c r="N213" s="207"/>
    </row>
    <row r="214" spans="1:14" ht="31.5" hidden="1">
      <c r="A214" s="266"/>
      <c r="B214" s="36">
        <v>3</v>
      </c>
      <c r="C214" s="70" t="s">
        <v>468</v>
      </c>
      <c r="D214" s="64" t="s">
        <v>15</v>
      </c>
      <c r="E214" s="278"/>
      <c r="F214" s="1"/>
      <c r="G214" s="276"/>
      <c r="H214" s="276"/>
      <c r="I214" s="276"/>
      <c r="J214" s="276"/>
      <c r="K214" s="276"/>
      <c r="L214" s="276"/>
      <c r="M214" s="276"/>
      <c r="N214" s="207"/>
    </row>
    <row r="215" spans="1:14" ht="31.5" hidden="1">
      <c r="A215" s="266"/>
      <c r="B215" s="36">
        <v>4</v>
      </c>
      <c r="C215" s="70" t="s">
        <v>469</v>
      </c>
      <c r="D215" s="64" t="s">
        <v>15</v>
      </c>
      <c r="E215" s="278"/>
      <c r="F215" s="1"/>
      <c r="G215" s="276"/>
      <c r="H215" s="276"/>
      <c r="I215" s="276"/>
      <c r="J215" s="276"/>
      <c r="K215" s="276"/>
      <c r="L215" s="276"/>
      <c r="M215" s="276"/>
      <c r="N215" s="207"/>
    </row>
    <row r="216" spans="1:14" ht="31.5" hidden="1">
      <c r="A216" s="266"/>
      <c r="B216" s="36">
        <v>5</v>
      </c>
      <c r="C216" s="70" t="s">
        <v>470</v>
      </c>
      <c r="D216" s="64" t="s">
        <v>15</v>
      </c>
      <c r="E216" s="278"/>
      <c r="F216" s="1"/>
      <c r="G216" s="276"/>
      <c r="H216" s="276"/>
      <c r="I216" s="276"/>
      <c r="J216" s="276"/>
      <c r="K216" s="276"/>
      <c r="L216" s="276"/>
      <c r="M216" s="276"/>
      <c r="N216" s="207"/>
    </row>
    <row r="217" spans="1:14" hidden="1">
      <c r="A217" s="266"/>
      <c r="B217" s="36">
        <v>6</v>
      </c>
      <c r="C217" s="70" t="s">
        <v>471</v>
      </c>
      <c r="D217" s="64" t="s">
        <v>15</v>
      </c>
      <c r="E217" s="278"/>
      <c r="F217" s="1"/>
      <c r="G217" s="276"/>
      <c r="H217" s="276"/>
      <c r="I217" s="276"/>
      <c r="J217" s="276"/>
      <c r="K217" s="276"/>
      <c r="L217" s="276"/>
      <c r="M217" s="276"/>
      <c r="N217" s="207"/>
    </row>
    <row r="218" spans="1:14" hidden="1">
      <c r="A218" s="266"/>
      <c r="B218" s="36">
        <v>7</v>
      </c>
      <c r="C218" s="70" t="s">
        <v>472</v>
      </c>
      <c r="D218" s="64" t="s">
        <v>15</v>
      </c>
      <c r="E218" s="278"/>
      <c r="F218" s="1"/>
      <c r="G218" s="276"/>
      <c r="H218" s="276"/>
      <c r="I218" s="276"/>
      <c r="J218" s="276"/>
      <c r="K218" s="276"/>
      <c r="L218" s="276"/>
      <c r="M218" s="276"/>
      <c r="N218" s="207"/>
    </row>
    <row r="219" spans="1:14" ht="31.5">
      <c r="A219" s="268"/>
      <c r="B219" s="36"/>
      <c r="C219" s="70" t="s">
        <v>473</v>
      </c>
      <c r="D219" s="64" t="s">
        <v>15</v>
      </c>
      <c r="E219" s="278"/>
      <c r="F219" s="1">
        <v>7</v>
      </c>
      <c r="G219" s="276"/>
      <c r="H219" s="276"/>
      <c r="I219" s="276"/>
      <c r="J219" s="276"/>
      <c r="K219" s="276"/>
      <c r="L219" s="276"/>
      <c r="M219" s="276"/>
      <c r="N219" s="207"/>
    </row>
    <row r="220" spans="1:14" ht="31.5" hidden="1">
      <c r="A220" s="268"/>
      <c r="B220" s="36"/>
      <c r="C220" s="70" t="s">
        <v>474</v>
      </c>
      <c r="D220" s="64" t="s">
        <v>15</v>
      </c>
      <c r="E220" s="278"/>
      <c r="F220" s="1"/>
      <c r="G220" s="276"/>
      <c r="H220" s="276"/>
      <c r="I220" s="276"/>
      <c r="J220" s="276"/>
      <c r="K220" s="276"/>
      <c r="L220" s="276"/>
      <c r="M220" s="276"/>
      <c r="N220" s="207"/>
    </row>
    <row r="221" spans="1:14" ht="63" hidden="1">
      <c r="A221" s="268"/>
      <c r="B221" s="36"/>
      <c r="C221" s="70" t="s">
        <v>475</v>
      </c>
      <c r="D221" s="64" t="s">
        <v>15</v>
      </c>
      <c r="E221" s="278"/>
      <c r="F221" s="1"/>
      <c r="G221" s="276"/>
      <c r="H221" s="276"/>
      <c r="I221" s="276"/>
      <c r="J221" s="276"/>
      <c r="K221" s="276"/>
      <c r="L221" s="276"/>
      <c r="M221" s="276"/>
      <c r="N221" s="207"/>
    </row>
    <row r="222" spans="1:14" ht="31.5" hidden="1">
      <c r="A222" s="268"/>
      <c r="B222" s="36"/>
      <c r="C222" s="70" t="s">
        <v>476</v>
      </c>
      <c r="D222" s="64" t="s">
        <v>15</v>
      </c>
      <c r="E222" s="278"/>
      <c r="F222" s="1"/>
      <c r="G222" s="276"/>
      <c r="H222" s="276"/>
      <c r="I222" s="276"/>
      <c r="J222" s="276"/>
      <c r="K222" s="276"/>
      <c r="L222" s="276"/>
      <c r="M222" s="276"/>
      <c r="N222" s="207"/>
    </row>
    <row r="223" spans="1:14" hidden="1">
      <c r="A223" s="268"/>
      <c r="B223" s="36"/>
      <c r="C223" s="70" t="s">
        <v>477</v>
      </c>
      <c r="D223" s="64" t="s">
        <v>15</v>
      </c>
      <c r="E223" s="278"/>
      <c r="F223" s="1"/>
      <c r="G223" s="276"/>
      <c r="H223" s="276"/>
      <c r="I223" s="276"/>
      <c r="J223" s="276"/>
      <c r="K223" s="276"/>
      <c r="L223" s="276"/>
      <c r="M223" s="276"/>
      <c r="N223" s="207"/>
    </row>
    <row r="224" spans="1:14" hidden="1">
      <c r="A224" s="268"/>
      <c r="B224" s="36"/>
      <c r="C224" s="70" t="s">
        <v>478</v>
      </c>
      <c r="D224" s="64" t="s">
        <v>15</v>
      </c>
      <c r="E224" s="278"/>
      <c r="F224" s="1"/>
      <c r="G224" s="276"/>
      <c r="H224" s="276"/>
      <c r="I224" s="276"/>
      <c r="J224" s="276"/>
      <c r="K224" s="276"/>
      <c r="L224" s="276"/>
      <c r="M224" s="276"/>
      <c r="N224" s="207"/>
    </row>
    <row r="225" spans="1:14" ht="31.5" hidden="1">
      <c r="A225" s="268"/>
      <c r="B225" s="36"/>
      <c r="C225" s="70" t="s">
        <v>479</v>
      </c>
      <c r="D225" s="64" t="s">
        <v>15</v>
      </c>
      <c r="E225" s="278"/>
      <c r="F225" s="1"/>
      <c r="G225" s="276"/>
      <c r="H225" s="276"/>
      <c r="I225" s="276"/>
      <c r="J225" s="276"/>
      <c r="K225" s="276"/>
      <c r="L225" s="276"/>
      <c r="M225" s="276"/>
      <c r="N225" s="207"/>
    </row>
    <row r="226" spans="1:14" ht="31.5" hidden="1">
      <c r="A226" s="268"/>
      <c r="B226" s="36"/>
      <c r="C226" s="70" t="s">
        <v>480</v>
      </c>
      <c r="D226" s="64" t="s">
        <v>15</v>
      </c>
      <c r="E226" s="278"/>
      <c r="F226" s="1"/>
      <c r="G226" s="276"/>
      <c r="H226" s="276"/>
      <c r="I226" s="276"/>
      <c r="J226" s="276"/>
      <c r="K226" s="276"/>
      <c r="L226" s="276"/>
      <c r="M226" s="276"/>
      <c r="N226" s="207"/>
    </row>
    <row r="227" spans="1:14" ht="31.5" hidden="1">
      <c r="A227" s="268"/>
      <c r="B227" s="36"/>
      <c r="C227" s="70" t="s">
        <v>481</v>
      </c>
      <c r="D227" s="64" t="s">
        <v>15</v>
      </c>
      <c r="E227" s="278"/>
      <c r="F227" s="1"/>
      <c r="G227" s="276"/>
      <c r="H227" s="276"/>
      <c r="I227" s="276"/>
      <c r="J227" s="276"/>
      <c r="K227" s="276"/>
      <c r="L227" s="276"/>
      <c r="M227" s="276"/>
      <c r="N227" s="207"/>
    </row>
    <row r="228" spans="1:14" ht="31.5" hidden="1">
      <c r="A228" s="268"/>
      <c r="B228" s="36"/>
      <c r="C228" s="70" t="s">
        <v>482</v>
      </c>
      <c r="D228" s="64" t="s">
        <v>15</v>
      </c>
      <c r="E228" s="278"/>
      <c r="F228" s="1"/>
      <c r="G228" s="276"/>
      <c r="H228" s="276"/>
      <c r="I228" s="276"/>
      <c r="J228" s="276"/>
      <c r="K228" s="276"/>
      <c r="L228" s="276"/>
      <c r="M228" s="276"/>
      <c r="N228" s="207"/>
    </row>
    <row r="229" spans="1:14" hidden="1">
      <c r="A229" s="268"/>
      <c r="B229" s="36"/>
      <c r="C229" s="70" t="s">
        <v>483</v>
      </c>
      <c r="D229" s="64" t="s">
        <v>15</v>
      </c>
      <c r="E229" s="278"/>
      <c r="F229" s="1"/>
      <c r="G229" s="276"/>
      <c r="H229" s="276"/>
      <c r="I229" s="276"/>
      <c r="J229" s="276"/>
      <c r="K229" s="276"/>
      <c r="L229" s="276"/>
      <c r="M229" s="276"/>
      <c r="N229" s="207"/>
    </row>
    <row r="230" spans="1:14" ht="31.5" hidden="1">
      <c r="A230" s="268"/>
      <c r="B230" s="36"/>
      <c r="C230" s="70" t="s">
        <v>484</v>
      </c>
      <c r="D230" s="64" t="s">
        <v>15</v>
      </c>
      <c r="E230" s="278"/>
      <c r="F230" s="1"/>
      <c r="G230" s="276"/>
      <c r="H230" s="276"/>
      <c r="I230" s="276"/>
      <c r="J230" s="276"/>
      <c r="K230" s="276"/>
      <c r="L230" s="276"/>
      <c r="M230" s="276"/>
      <c r="N230" s="207"/>
    </row>
    <row r="231" spans="1:14" ht="31.5" hidden="1">
      <c r="A231" s="268"/>
      <c r="B231" s="36"/>
      <c r="C231" s="70" t="s">
        <v>485</v>
      </c>
      <c r="D231" s="64" t="s">
        <v>15</v>
      </c>
      <c r="E231" s="278"/>
      <c r="F231" s="1"/>
      <c r="G231" s="276"/>
      <c r="H231" s="276"/>
      <c r="I231" s="276"/>
      <c r="J231" s="276"/>
      <c r="K231" s="276"/>
      <c r="L231" s="276"/>
      <c r="M231" s="276"/>
      <c r="N231" s="207"/>
    </row>
    <row r="232" spans="1:14" ht="47.25" hidden="1">
      <c r="A232" s="268"/>
      <c r="B232" s="36"/>
      <c r="C232" s="70" t="s">
        <v>486</v>
      </c>
      <c r="D232" s="64" t="s">
        <v>15</v>
      </c>
      <c r="E232" s="278"/>
      <c r="F232" s="1"/>
      <c r="G232" s="276"/>
      <c r="H232" s="276"/>
      <c r="I232" s="276"/>
      <c r="J232" s="276"/>
      <c r="K232" s="276"/>
      <c r="L232" s="276"/>
      <c r="M232" s="276"/>
      <c r="N232" s="207"/>
    </row>
    <row r="233" spans="1:14" hidden="1">
      <c r="A233" s="268"/>
      <c r="B233" s="36"/>
      <c r="C233" s="70" t="s">
        <v>487</v>
      </c>
      <c r="D233" s="64" t="s">
        <v>15</v>
      </c>
      <c r="E233" s="278"/>
      <c r="F233" s="1"/>
      <c r="G233" s="276"/>
      <c r="H233" s="276"/>
      <c r="I233" s="276"/>
      <c r="J233" s="276"/>
      <c r="K233" s="276"/>
      <c r="L233" s="276"/>
      <c r="M233" s="276"/>
      <c r="N233" s="207"/>
    </row>
    <row r="234" spans="1:14" hidden="1">
      <c r="A234" s="268"/>
      <c r="B234" s="36"/>
      <c r="C234" s="70" t="s">
        <v>488</v>
      </c>
      <c r="D234" s="64" t="s">
        <v>15</v>
      </c>
      <c r="E234" s="278"/>
      <c r="F234" s="1"/>
      <c r="G234" s="276"/>
      <c r="H234" s="276"/>
      <c r="I234" s="276"/>
      <c r="J234" s="276"/>
      <c r="K234" s="276"/>
      <c r="L234" s="276"/>
      <c r="M234" s="276"/>
      <c r="N234" s="207"/>
    </row>
    <row r="235" spans="1:14">
      <c r="A235" s="268"/>
      <c r="B235" s="36"/>
      <c r="C235" s="70"/>
      <c r="D235" s="64"/>
      <c r="E235" s="278"/>
      <c r="F235" s="1"/>
      <c r="G235" s="276"/>
      <c r="H235" s="276"/>
      <c r="I235" s="276"/>
      <c r="J235" s="276"/>
      <c r="K235" s="276"/>
      <c r="L235" s="276"/>
      <c r="M235" s="276"/>
      <c r="N235" s="207"/>
    </row>
    <row r="236" spans="1:14" ht="47.25">
      <c r="A236" s="266" t="s">
        <v>277</v>
      </c>
      <c r="B236" s="64" t="s">
        <v>489</v>
      </c>
      <c r="C236" s="70" t="s">
        <v>490</v>
      </c>
      <c r="D236" s="64" t="s">
        <v>15</v>
      </c>
      <c r="E236" s="278"/>
      <c r="F236" s="1">
        <f>F212+F213+F214+F215+F216+F217+F218+F219+F220+F221+F222+F223+F224+F225+F226+F227+F228+F229+F230+F231+F232+F233+F234+F235</f>
        <v>7</v>
      </c>
      <c r="G236" s="276"/>
      <c r="H236" s="276"/>
      <c r="I236" s="276"/>
      <c r="J236" s="276"/>
      <c r="K236" s="276"/>
      <c r="L236" s="276"/>
      <c r="M236" s="276"/>
      <c r="N236" s="207"/>
    </row>
    <row r="237" spans="1:14">
      <c r="A237" s="267"/>
      <c r="B237" s="279"/>
      <c r="C237" s="190" t="s">
        <v>23</v>
      </c>
      <c r="D237" s="279" t="s">
        <v>25</v>
      </c>
      <c r="E237" s="278">
        <v>3.18</v>
      </c>
      <c r="F237" s="278">
        <f>F236*E237</f>
        <v>22.26</v>
      </c>
      <c r="G237" s="276"/>
      <c r="H237" s="276"/>
      <c r="I237" s="276"/>
      <c r="J237" s="276">
        <f>F237*I237</f>
        <v>0</v>
      </c>
      <c r="K237" s="276"/>
      <c r="L237" s="276"/>
      <c r="M237" s="276">
        <f>H237+J237+L237</f>
        <v>0</v>
      </c>
      <c r="N237" s="207"/>
    </row>
    <row r="238" spans="1:14" ht="31.5">
      <c r="A238" s="266" t="s">
        <v>278</v>
      </c>
      <c r="B238" s="64" t="s">
        <v>491</v>
      </c>
      <c r="C238" s="70" t="s">
        <v>492</v>
      </c>
      <c r="D238" s="64" t="s">
        <v>15</v>
      </c>
      <c r="E238" s="278"/>
      <c r="F238" s="1">
        <f>F236</f>
        <v>7</v>
      </c>
      <c r="G238" s="276"/>
      <c r="H238" s="276"/>
      <c r="I238" s="276"/>
      <c r="J238" s="276"/>
      <c r="K238" s="276"/>
      <c r="L238" s="276"/>
      <c r="M238" s="276"/>
      <c r="N238" s="207"/>
    </row>
    <row r="239" spans="1:14">
      <c r="A239" s="268"/>
      <c r="B239" s="279"/>
      <c r="C239" s="190" t="s">
        <v>23</v>
      </c>
      <c r="D239" s="279" t="s">
        <v>25</v>
      </c>
      <c r="E239" s="278">
        <v>1.6</v>
      </c>
      <c r="F239" s="278">
        <f>F238*E239</f>
        <v>11.200000000000001</v>
      </c>
      <c r="G239" s="276"/>
      <c r="H239" s="276"/>
      <c r="I239" s="276"/>
      <c r="J239" s="276">
        <f>F239*I239</f>
        <v>0</v>
      </c>
      <c r="K239" s="276"/>
      <c r="L239" s="276"/>
      <c r="M239" s="276">
        <f>H239+J239+L239</f>
        <v>0</v>
      </c>
      <c r="N239" s="207"/>
    </row>
    <row r="240" spans="1:14">
      <c r="A240" s="268"/>
      <c r="B240" s="64" t="s">
        <v>80</v>
      </c>
      <c r="C240" s="190" t="s">
        <v>493</v>
      </c>
      <c r="D240" s="279" t="s">
        <v>26</v>
      </c>
      <c r="E240" s="278">
        <v>7.0999999999999994E-2</v>
      </c>
      <c r="F240" s="278">
        <f>F238*E240</f>
        <v>0.49699999999999994</v>
      </c>
      <c r="G240" s="276"/>
      <c r="H240" s="276"/>
      <c r="I240" s="276"/>
      <c r="J240" s="276"/>
      <c r="K240" s="276"/>
      <c r="L240" s="276">
        <f>F240*K240</f>
        <v>0</v>
      </c>
      <c r="M240" s="276">
        <f>H240+J240+L240</f>
        <v>0</v>
      </c>
      <c r="N240" s="207"/>
    </row>
    <row r="241" spans="1:14" ht="31.5">
      <c r="A241" s="268"/>
      <c r="B241" s="64" t="s">
        <v>494</v>
      </c>
      <c r="C241" s="190" t="s">
        <v>495</v>
      </c>
      <c r="D241" s="279" t="s">
        <v>26</v>
      </c>
      <c r="E241" s="278">
        <v>0.13400000000000001</v>
      </c>
      <c r="F241" s="278">
        <f>F238*E241</f>
        <v>0.93800000000000006</v>
      </c>
      <c r="G241" s="276"/>
      <c r="H241" s="276"/>
      <c r="I241" s="276"/>
      <c r="J241" s="276"/>
      <c r="K241" s="276"/>
      <c r="L241" s="276">
        <f>F241*K241</f>
        <v>0</v>
      </c>
      <c r="M241" s="276">
        <f>H241+J241+L241</f>
        <v>0</v>
      </c>
      <c r="N241" s="207"/>
    </row>
    <row r="242" spans="1:14">
      <c r="A242" s="268"/>
      <c r="B242" s="279"/>
      <c r="C242" s="70" t="s">
        <v>496</v>
      </c>
      <c r="D242" s="279"/>
      <c r="E242" s="278">
        <v>1</v>
      </c>
      <c r="F242" s="1">
        <f>F238*E242</f>
        <v>7</v>
      </c>
      <c r="G242" s="276"/>
      <c r="H242" s="276"/>
      <c r="I242" s="276"/>
      <c r="J242" s="276"/>
      <c r="K242" s="276"/>
      <c r="L242" s="276"/>
      <c r="M242" s="276"/>
      <c r="N242" s="207"/>
    </row>
    <row r="243" spans="1:14" ht="31.5" hidden="1">
      <c r="A243" s="268"/>
      <c r="B243" s="279"/>
      <c r="C243" s="70" t="s">
        <v>466</v>
      </c>
      <c r="D243" s="64" t="s">
        <v>15</v>
      </c>
      <c r="E243" s="278"/>
      <c r="F243" s="278">
        <f t="shared" ref="F243:F265" si="10">F212</f>
        <v>0</v>
      </c>
      <c r="G243" s="276">
        <v>300</v>
      </c>
      <c r="H243" s="276">
        <f t="shared" ref="H243:H268" si="11">F243*G243</f>
        <v>0</v>
      </c>
      <c r="I243" s="276"/>
      <c r="J243" s="276"/>
      <c r="K243" s="276"/>
      <c r="L243" s="276"/>
      <c r="M243" s="276">
        <f t="shared" ref="M243:M268" si="12">H243+J243+L243</f>
        <v>0</v>
      </c>
      <c r="N243" s="207"/>
    </row>
    <row r="244" spans="1:14" hidden="1">
      <c r="A244" s="268"/>
      <c r="B244" s="279"/>
      <c r="C244" s="70" t="s">
        <v>467</v>
      </c>
      <c r="D244" s="64" t="s">
        <v>15</v>
      </c>
      <c r="E244" s="278"/>
      <c r="F244" s="278">
        <f t="shared" si="10"/>
        <v>0</v>
      </c>
      <c r="G244" s="276">
        <v>250</v>
      </c>
      <c r="H244" s="276">
        <f t="shared" si="11"/>
        <v>0</v>
      </c>
      <c r="I244" s="276"/>
      <c r="J244" s="276"/>
      <c r="K244" s="276"/>
      <c r="L244" s="276"/>
      <c r="M244" s="276">
        <f t="shared" si="12"/>
        <v>0</v>
      </c>
      <c r="N244" s="207"/>
    </row>
    <row r="245" spans="1:14" ht="31.5" hidden="1">
      <c r="A245" s="268"/>
      <c r="B245" s="279"/>
      <c r="C245" s="70" t="s">
        <v>468</v>
      </c>
      <c r="D245" s="64" t="s">
        <v>15</v>
      </c>
      <c r="E245" s="278"/>
      <c r="F245" s="278">
        <f t="shared" si="10"/>
        <v>0</v>
      </c>
      <c r="G245" s="276">
        <v>100</v>
      </c>
      <c r="H245" s="276">
        <f t="shared" si="11"/>
        <v>0</v>
      </c>
      <c r="I245" s="276"/>
      <c r="J245" s="276"/>
      <c r="K245" s="276"/>
      <c r="L245" s="276"/>
      <c r="M245" s="276">
        <f t="shared" si="12"/>
        <v>0</v>
      </c>
      <c r="N245" s="207"/>
    </row>
    <row r="246" spans="1:14" ht="31.5" hidden="1">
      <c r="A246" s="268"/>
      <c r="B246" s="279"/>
      <c r="C246" s="70" t="s">
        <v>469</v>
      </c>
      <c r="D246" s="64" t="s">
        <v>15</v>
      </c>
      <c r="E246" s="278"/>
      <c r="F246" s="278">
        <f t="shared" si="10"/>
        <v>0</v>
      </c>
      <c r="G246" s="276"/>
      <c r="H246" s="276">
        <f t="shared" si="11"/>
        <v>0</v>
      </c>
      <c r="I246" s="276"/>
      <c r="J246" s="276"/>
      <c r="K246" s="276"/>
      <c r="L246" s="276"/>
      <c r="M246" s="276">
        <f t="shared" si="12"/>
        <v>0</v>
      </c>
      <c r="N246" s="207"/>
    </row>
    <row r="247" spans="1:14" ht="31.5" hidden="1">
      <c r="A247" s="268"/>
      <c r="B247" s="279"/>
      <c r="C247" s="70" t="s">
        <v>470</v>
      </c>
      <c r="D247" s="64" t="s">
        <v>15</v>
      </c>
      <c r="E247" s="278"/>
      <c r="F247" s="278">
        <f t="shared" si="10"/>
        <v>0</v>
      </c>
      <c r="G247" s="276"/>
      <c r="H247" s="276">
        <f t="shared" si="11"/>
        <v>0</v>
      </c>
      <c r="I247" s="276"/>
      <c r="J247" s="276"/>
      <c r="K247" s="276"/>
      <c r="L247" s="276"/>
      <c r="M247" s="276">
        <f t="shared" si="12"/>
        <v>0</v>
      </c>
      <c r="N247" s="207"/>
    </row>
    <row r="248" spans="1:14" hidden="1">
      <c r="A248" s="268"/>
      <c r="B248" s="279"/>
      <c r="C248" s="70" t="s">
        <v>471</v>
      </c>
      <c r="D248" s="64" t="s">
        <v>15</v>
      </c>
      <c r="E248" s="278"/>
      <c r="F248" s="278">
        <f t="shared" si="10"/>
        <v>0</v>
      </c>
      <c r="G248" s="276"/>
      <c r="H248" s="276">
        <f t="shared" si="11"/>
        <v>0</v>
      </c>
      <c r="I248" s="276"/>
      <c r="J248" s="276"/>
      <c r="K248" s="276"/>
      <c r="L248" s="276"/>
      <c r="M248" s="276">
        <f t="shared" si="12"/>
        <v>0</v>
      </c>
      <c r="N248" s="207"/>
    </row>
    <row r="249" spans="1:14" hidden="1">
      <c r="A249" s="268"/>
      <c r="B249" s="279"/>
      <c r="C249" s="70" t="s">
        <v>472</v>
      </c>
      <c r="D249" s="64" t="s">
        <v>15</v>
      </c>
      <c r="E249" s="278"/>
      <c r="F249" s="278">
        <f t="shared" si="10"/>
        <v>0</v>
      </c>
      <c r="G249" s="276">
        <v>160</v>
      </c>
      <c r="H249" s="276">
        <f t="shared" si="11"/>
        <v>0</v>
      </c>
      <c r="I249" s="276"/>
      <c r="J249" s="276"/>
      <c r="K249" s="276"/>
      <c r="L249" s="276"/>
      <c r="M249" s="276">
        <f t="shared" si="12"/>
        <v>0</v>
      </c>
      <c r="N249" s="207"/>
    </row>
    <row r="250" spans="1:14" ht="31.5">
      <c r="A250" s="268"/>
      <c r="B250" s="279"/>
      <c r="C250" s="70" t="s">
        <v>473</v>
      </c>
      <c r="D250" s="64" t="s">
        <v>15</v>
      </c>
      <c r="E250" s="278"/>
      <c r="F250" s="278">
        <f t="shared" si="10"/>
        <v>7</v>
      </c>
      <c r="G250" s="276"/>
      <c r="H250" s="276">
        <f t="shared" si="11"/>
        <v>0</v>
      </c>
      <c r="I250" s="276"/>
      <c r="J250" s="276"/>
      <c r="K250" s="276"/>
      <c r="L250" s="276"/>
      <c r="M250" s="276">
        <f t="shared" si="12"/>
        <v>0</v>
      </c>
      <c r="N250" s="207"/>
    </row>
    <row r="251" spans="1:14" ht="31.5" hidden="1">
      <c r="A251" s="268"/>
      <c r="B251" s="279"/>
      <c r="C251" s="70" t="s">
        <v>474</v>
      </c>
      <c r="D251" s="64" t="s">
        <v>15</v>
      </c>
      <c r="E251" s="278"/>
      <c r="F251" s="278">
        <f t="shared" si="10"/>
        <v>0</v>
      </c>
      <c r="G251" s="276">
        <v>830</v>
      </c>
      <c r="H251" s="276">
        <f t="shared" si="11"/>
        <v>0</v>
      </c>
      <c r="I251" s="276"/>
      <c r="J251" s="276"/>
      <c r="K251" s="276"/>
      <c r="L251" s="276"/>
      <c r="M251" s="276">
        <f t="shared" si="12"/>
        <v>0</v>
      </c>
      <c r="N251" s="207"/>
    </row>
    <row r="252" spans="1:14" ht="63" hidden="1">
      <c r="A252" s="268"/>
      <c r="B252" s="279"/>
      <c r="C252" s="70" t="s">
        <v>475</v>
      </c>
      <c r="D252" s="64" t="s">
        <v>15</v>
      </c>
      <c r="E252" s="278"/>
      <c r="F252" s="278">
        <f t="shared" si="10"/>
        <v>0</v>
      </c>
      <c r="G252" s="276">
        <v>570</v>
      </c>
      <c r="H252" s="276">
        <f t="shared" si="11"/>
        <v>0</v>
      </c>
      <c r="I252" s="276"/>
      <c r="J252" s="276"/>
      <c r="K252" s="276"/>
      <c r="L252" s="276"/>
      <c r="M252" s="276">
        <f t="shared" si="12"/>
        <v>0</v>
      </c>
      <c r="N252" s="207"/>
    </row>
    <row r="253" spans="1:14" ht="31.5" hidden="1">
      <c r="A253" s="268"/>
      <c r="B253" s="279"/>
      <c r="C253" s="70" t="s">
        <v>476</v>
      </c>
      <c r="D253" s="64" t="s">
        <v>15</v>
      </c>
      <c r="E253" s="278"/>
      <c r="F253" s="278">
        <f t="shared" si="10"/>
        <v>0</v>
      </c>
      <c r="G253" s="276">
        <v>789</v>
      </c>
      <c r="H253" s="276">
        <f t="shared" si="11"/>
        <v>0</v>
      </c>
      <c r="I253" s="276"/>
      <c r="J253" s="276"/>
      <c r="K253" s="276"/>
      <c r="L253" s="276"/>
      <c r="M253" s="276">
        <f t="shared" si="12"/>
        <v>0</v>
      </c>
      <c r="N253" s="207"/>
    </row>
    <row r="254" spans="1:14" hidden="1">
      <c r="A254" s="268"/>
      <c r="B254" s="279"/>
      <c r="C254" s="70" t="s">
        <v>477</v>
      </c>
      <c r="D254" s="64" t="s">
        <v>15</v>
      </c>
      <c r="E254" s="278"/>
      <c r="F254" s="278">
        <f t="shared" si="10"/>
        <v>0</v>
      </c>
      <c r="G254" s="276">
        <v>160</v>
      </c>
      <c r="H254" s="276">
        <f t="shared" si="11"/>
        <v>0</v>
      </c>
      <c r="I254" s="276"/>
      <c r="J254" s="276"/>
      <c r="K254" s="276"/>
      <c r="L254" s="276"/>
      <c r="M254" s="276">
        <f t="shared" si="12"/>
        <v>0</v>
      </c>
      <c r="N254" s="207"/>
    </row>
    <row r="255" spans="1:14" hidden="1">
      <c r="A255" s="268"/>
      <c r="B255" s="279"/>
      <c r="C255" s="70" t="s">
        <v>478</v>
      </c>
      <c r="D255" s="64" t="s">
        <v>15</v>
      </c>
      <c r="E255" s="278"/>
      <c r="F255" s="278">
        <f t="shared" si="10"/>
        <v>0</v>
      </c>
      <c r="G255" s="276">
        <v>530</v>
      </c>
      <c r="H255" s="276">
        <f t="shared" si="11"/>
        <v>0</v>
      </c>
      <c r="I255" s="276"/>
      <c r="J255" s="276"/>
      <c r="K255" s="276"/>
      <c r="L255" s="276"/>
      <c r="M255" s="276">
        <f t="shared" si="12"/>
        <v>0</v>
      </c>
      <c r="N255" s="207"/>
    </row>
    <row r="256" spans="1:14" ht="31.5" hidden="1">
      <c r="A256" s="268"/>
      <c r="B256" s="279"/>
      <c r="C256" s="70" t="s">
        <v>479</v>
      </c>
      <c r="D256" s="64" t="s">
        <v>15</v>
      </c>
      <c r="E256" s="278"/>
      <c r="F256" s="278">
        <f t="shared" si="10"/>
        <v>0</v>
      </c>
      <c r="G256" s="276">
        <v>1445</v>
      </c>
      <c r="H256" s="276">
        <f t="shared" si="11"/>
        <v>0</v>
      </c>
      <c r="I256" s="276"/>
      <c r="J256" s="276"/>
      <c r="K256" s="276"/>
      <c r="L256" s="276"/>
      <c r="M256" s="276">
        <f t="shared" si="12"/>
        <v>0</v>
      </c>
      <c r="N256" s="207"/>
    </row>
    <row r="257" spans="1:14" ht="31.5" hidden="1">
      <c r="A257" s="268"/>
      <c r="B257" s="279"/>
      <c r="C257" s="70" t="s">
        <v>480</v>
      </c>
      <c r="D257" s="64" t="s">
        <v>15</v>
      </c>
      <c r="E257" s="278"/>
      <c r="F257" s="278">
        <f t="shared" si="10"/>
        <v>0</v>
      </c>
      <c r="G257" s="276"/>
      <c r="H257" s="276">
        <f t="shared" si="11"/>
        <v>0</v>
      </c>
      <c r="I257" s="276"/>
      <c r="J257" s="276"/>
      <c r="K257" s="276"/>
      <c r="L257" s="276"/>
      <c r="M257" s="276">
        <f t="shared" si="12"/>
        <v>0</v>
      </c>
      <c r="N257" s="207"/>
    </row>
    <row r="258" spans="1:14" ht="31.5" hidden="1">
      <c r="A258" s="268"/>
      <c r="B258" s="279"/>
      <c r="C258" s="70" t="s">
        <v>481</v>
      </c>
      <c r="D258" s="64" t="s">
        <v>15</v>
      </c>
      <c r="E258" s="278"/>
      <c r="F258" s="278">
        <f t="shared" si="10"/>
        <v>0</v>
      </c>
      <c r="G258" s="276">
        <v>875</v>
      </c>
      <c r="H258" s="276">
        <f t="shared" si="11"/>
        <v>0</v>
      </c>
      <c r="I258" s="276"/>
      <c r="J258" s="276"/>
      <c r="K258" s="276"/>
      <c r="L258" s="276"/>
      <c r="M258" s="276">
        <f t="shared" si="12"/>
        <v>0</v>
      </c>
      <c r="N258" s="207"/>
    </row>
    <row r="259" spans="1:14" ht="31.5" hidden="1">
      <c r="A259" s="268"/>
      <c r="B259" s="279"/>
      <c r="C259" s="70" t="s">
        <v>482</v>
      </c>
      <c r="D259" s="64" t="s">
        <v>15</v>
      </c>
      <c r="E259" s="278"/>
      <c r="F259" s="278">
        <f t="shared" si="10"/>
        <v>0</v>
      </c>
      <c r="G259" s="276">
        <v>830</v>
      </c>
      <c r="H259" s="276">
        <f t="shared" si="11"/>
        <v>0</v>
      </c>
      <c r="I259" s="276"/>
      <c r="J259" s="276"/>
      <c r="K259" s="276"/>
      <c r="L259" s="276"/>
      <c r="M259" s="276">
        <f t="shared" si="12"/>
        <v>0</v>
      </c>
      <c r="N259" s="207"/>
    </row>
    <row r="260" spans="1:14" hidden="1">
      <c r="A260" s="268"/>
      <c r="B260" s="279"/>
      <c r="C260" s="70" t="s">
        <v>483</v>
      </c>
      <c r="D260" s="64" t="s">
        <v>15</v>
      </c>
      <c r="E260" s="278"/>
      <c r="F260" s="278">
        <f t="shared" si="10"/>
        <v>0</v>
      </c>
      <c r="G260" s="276">
        <v>127</v>
      </c>
      <c r="H260" s="276">
        <f t="shared" si="11"/>
        <v>0</v>
      </c>
      <c r="I260" s="276"/>
      <c r="J260" s="276"/>
      <c r="K260" s="276"/>
      <c r="L260" s="276"/>
      <c r="M260" s="276">
        <f t="shared" si="12"/>
        <v>0</v>
      </c>
      <c r="N260" s="207"/>
    </row>
    <row r="261" spans="1:14" ht="31.5" hidden="1">
      <c r="A261" s="268"/>
      <c r="B261" s="279"/>
      <c r="C261" s="70" t="s">
        <v>484</v>
      </c>
      <c r="D261" s="64" t="s">
        <v>15</v>
      </c>
      <c r="E261" s="278"/>
      <c r="F261" s="278">
        <f t="shared" si="10"/>
        <v>0</v>
      </c>
      <c r="G261" s="276">
        <v>250</v>
      </c>
      <c r="H261" s="276">
        <f t="shared" si="11"/>
        <v>0</v>
      </c>
      <c r="I261" s="276"/>
      <c r="J261" s="276"/>
      <c r="K261" s="276"/>
      <c r="L261" s="276"/>
      <c r="M261" s="276">
        <f t="shared" si="12"/>
        <v>0</v>
      </c>
      <c r="N261" s="207"/>
    </row>
    <row r="262" spans="1:14" ht="31.5" hidden="1">
      <c r="A262" s="268"/>
      <c r="B262" s="279"/>
      <c r="C262" s="70" t="s">
        <v>497</v>
      </c>
      <c r="D262" s="64" t="s">
        <v>15</v>
      </c>
      <c r="E262" s="278"/>
      <c r="F262" s="278">
        <f t="shared" si="10"/>
        <v>0</v>
      </c>
      <c r="G262" s="276">
        <v>785</v>
      </c>
      <c r="H262" s="276">
        <f t="shared" si="11"/>
        <v>0</v>
      </c>
      <c r="I262" s="276"/>
      <c r="J262" s="276"/>
      <c r="K262" s="276"/>
      <c r="L262" s="276"/>
      <c r="M262" s="276">
        <f t="shared" si="12"/>
        <v>0</v>
      </c>
      <c r="N262" s="207"/>
    </row>
    <row r="263" spans="1:14" ht="47.25" hidden="1">
      <c r="A263" s="268"/>
      <c r="B263" s="279"/>
      <c r="C263" s="70" t="s">
        <v>486</v>
      </c>
      <c r="D263" s="64" t="s">
        <v>15</v>
      </c>
      <c r="E263" s="278"/>
      <c r="F263" s="278">
        <f t="shared" si="10"/>
        <v>0</v>
      </c>
      <c r="G263" s="276"/>
      <c r="H263" s="276">
        <f t="shared" si="11"/>
        <v>0</v>
      </c>
      <c r="I263" s="276"/>
      <c r="J263" s="276"/>
      <c r="K263" s="276"/>
      <c r="L263" s="276"/>
      <c r="M263" s="276">
        <f t="shared" si="12"/>
        <v>0</v>
      </c>
      <c r="N263" s="207"/>
    </row>
    <row r="264" spans="1:14" hidden="1">
      <c r="A264" s="268"/>
      <c r="B264" s="279"/>
      <c r="C264" s="70" t="s">
        <v>487</v>
      </c>
      <c r="D264" s="64" t="s">
        <v>15</v>
      </c>
      <c r="E264" s="278"/>
      <c r="F264" s="278">
        <f t="shared" si="10"/>
        <v>0</v>
      </c>
      <c r="G264" s="276">
        <v>350</v>
      </c>
      <c r="H264" s="276">
        <f t="shared" si="11"/>
        <v>0</v>
      </c>
      <c r="I264" s="276"/>
      <c r="J264" s="276"/>
      <c r="K264" s="276"/>
      <c r="L264" s="276"/>
      <c r="M264" s="276">
        <f t="shared" si="12"/>
        <v>0</v>
      </c>
      <c r="N264" s="207"/>
    </row>
    <row r="265" spans="1:14" hidden="1">
      <c r="A265" s="268"/>
      <c r="B265" s="279"/>
      <c r="C265" s="70" t="s">
        <v>488</v>
      </c>
      <c r="D265" s="64" t="s">
        <v>15</v>
      </c>
      <c r="E265" s="278"/>
      <c r="F265" s="278">
        <f t="shared" si="10"/>
        <v>0</v>
      </c>
      <c r="G265" s="276">
        <v>160</v>
      </c>
      <c r="H265" s="276">
        <f t="shared" si="11"/>
        <v>0</v>
      </c>
      <c r="I265" s="276"/>
      <c r="J265" s="276"/>
      <c r="K265" s="276"/>
      <c r="L265" s="276"/>
      <c r="M265" s="276">
        <f t="shared" si="12"/>
        <v>0</v>
      </c>
      <c r="N265" s="207"/>
    </row>
    <row r="266" spans="1:14">
      <c r="A266" s="268"/>
      <c r="B266" s="279"/>
      <c r="C266" s="70"/>
      <c r="D266" s="64"/>
      <c r="E266" s="278"/>
      <c r="F266" s="278"/>
      <c r="G266" s="276"/>
      <c r="H266" s="276"/>
      <c r="I266" s="276"/>
      <c r="J266" s="276"/>
      <c r="K266" s="276"/>
      <c r="L266" s="276"/>
      <c r="M266" s="276"/>
      <c r="N266" s="207"/>
    </row>
    <row r="267" spans="1:14">
      <c r="A267" s="268"/>
      <c r="B267" s="279"/>
      <c r="C267" s="190" t="s">
        <v>150</v>
      </c>
      <c r="D267" s="279" t="s">
        <v>17</v>
      </c>
      <c r="E267" s="278">
        <v>0.26</v>
      </c>
      <c r="F267" s="278">
        <f>F238*E267</f>
        <v>1.82</v>
      </c>
      <c r="G267" s="276"/>
      <c r="H267" s="276">
        <f t="shared" si="11"/>
        <v>0</v>
      </c>
      <c r="I267" s="276"/>
      <c r="J267" s="276"/>
      <c r="K267" s="276"/>
      <c r="L267" s="276"/>
      <c r="M267" s="276">
        <f t="shared" si="12"/>
        <v>0</v>
      </c>
      <c r="N267" s="207"/>
    </row>
    <row r="268" spans="1:14">
      <c r="A268" s="267"/>
      <c r="B268" s="279"/>
      <c r="C268" s="190" t="s">
        <v>28</v>
      </c>
      <c r="D268" s="279" t="s">
        <v>22</v>
      </c>
      <c r="E268" s="278">
        <v>0.17899999999999999</v>
      </c>
      <c r="F268" s="278">
        <f>F238*E268</f>
        <v>1.2529999999999999</v>
      </c>
      <c r="G268" s="276"/>
      <c r="H268" s="276">
        <f t="shared" si="11"/>
        <v>0</v>
      </c>
      <c r="I268" s="276"/>
      <c r="J268" s="276"/>
      <c r="K268" s="276"/>
      <c r="L268" s="276"/>
      <c r="M268" s="276">
        <f t="shared" si="12"/>
        <v>0</v>
      </c>
      <c r="N268" s="207"/>
    </row>
    <row r="269" spans="1:14">
      <c r="A269" s="218"/>
      <c r="B269" s="231"/>
      <c r="C269" s="80"/>
      <c r="D269" s="231"/>
      <c r="E269" s="66"/>
      <c r="F269" s="66"/>
      <c r="G269" s="276"/>
      <c r="H269" s="276"/>
      <c r="I269" s="276"/>
      <c r="J269" s="276"/>
      <c r="K269" s="276"/>
      <c r="L269" s="276"/>
      <c r="M269" s="276"/>
      <c r="N269" s="207"/>
    </row>
    <row r="270" spans="1:14" s="35" customFormat="1" ht="78.75">
      <c r="A270" s="266" t="s">
        <v>279</v>
      </c>
      <c r="B270" s="185" t="s">
        <v>191</v>
      </c>
      <c r="C270" s="70" t="s">
        <v>93</v>
      </c>
      <c r="D270" s="64" t="s">
        <v>17</v>
      </c>
      <c r="E270" s="278"/>
      <c r="F270" s="1">
        <v>10</v>
      </c>
      <c r="G270" s="276"/>
      <c r="H270" s="276"/>
      <c r="I270" s="276"/>
      <c r="J270" s="276"/>
      <c r="K270" s="276"/>
      <c r="L270" s="276"/>
      <c r="M270" s="276"/>
      <c r="N270" s="212"/>
    </row>
    <row r="271" spans="1:14" s="35" customFormat="1">
      <c r="A271" s="268"/>
      <c r="B271" s="279"/>
      <c r="C271" s="71" t="s">
        <v>29</v>
      </c>
      <c r="D271" s="4" t="s">
        <v>25</v>
      </c>
      <c r="E271" s="88">
        <v>0.6</v>
      </c>
      <c r="F271" s="160">
        <f>F270*E271</f>
        <v>6</v>
      </c>
      <c r="G271" s="89"/>
      <c r="H271" s="276"/>
      <c r="I271" s="89"/>
      <c r="J271" s="276">
        <f>F271*I271</f>
        <v>0</v>
      </c>
      <c r="K271" s="276"/>
      <c r="L271" s="276"/>
      <c r="M271" s="276">
        <f>H271+J271+L271</f>
        <v>0</v>
      </c>
      <c r="N271" s="212"/>
    </row>
    <row r="272" spans="1:14" s="35" customFormat="1" ht="47.25">
      <c r="A272" s="268"/>
      <c r="B272" s="187" t="s">
        <v>192</v>
      </c>
      <c r="C272" s="72" t="s">
        <v>52</v>
      </c>
      <c r="D272" s="64" t="s">
        <v>20</v>
      </c>
      <c r="E272" s="88"/>
      <c r="F272" s="171">
        <f>F270*1.65</f>
        <v>16.5</v>
      </c>
      <c r="G272" s="89"/>
      <c r="H272" s="276"/>
      <c r="I272" s="89"/>
      <c r="J272" s="276"/>
      <c r="K272" s="89"/>
      <c r="L272" s="276"/>
      <c r="M272" s="276"/>
      <c r="N272" s="212"/>
    </row>
    <row r="273" spans="1:14" s="35" customFormat="1">
      <c r="A273" s="268"/>
      <c r="B273" s="2"/>
      <c r="C273" s="73" t="s">
        <v>32</v>
      </c>
      <c r="D273" s="4" t="s">
        <v>25</v>
      </c>
      <c r="E273" s="88">
        <v>0.53</v>
      </c>
      <c r="F273" s="160">
        <f>F272*E273</f>
        <v>8.745000000000001</v>
      </c>
      <c r="G273" s="89"/>
      <c r="H273" s="276"/>
      <c r="I273" s="89"/>
      <c r="J273" s="276">
        <f>F273*I273</f>
        <v>0</v>
      </c>
      <c r="K273" s="89"/>
      <c r="L273" s="276"/>
      <c r="M273" s="276">
        <f>H273+J273+L273</f>
        <v>0</v>
      </c>
      <c r="N273" s="212"/>
    </row>
    <row r="274" spans="1:14" s="35" customFormat="1" ht="31.5">
      <c r="A274" s="267"/>
      <c r="B274" s="279" t="s">
        <v>117</v>
      </c>
      <c r="C274" s="74" t="s">
        <v>382</v>
      </c>
      <c r="D274" s="64" t="s">
        <v>20</v>
      </c>
      <c r="E274" s="88"/>
      <c r="F274" s="171">
        <f>F272</f>
        <v>16.5</v>
      </c>
      <c r="G274" s="89"/>
      <c r="H274" s="276"/>
      <c r="I274" s="89"/>
      <c r="J274" s="276"/>
      <c r="K274" s="89"/>
      <c r="L274" s="276">
        <f>F274*K274</f>
        <v>0</v>
      </c>
      <c r="M274" s="276">
        <f>H274+J274+L274</f>
        <v>0</v>
      </c>
      <c r="N274" s="212"/>
    </row>
    <row r="275" spans="1:14" ht="31.5">
      <c r="A275" s="279"/>
      <c r="B275" s="343"/>
      <c r="C275" s="344" t="s">
        <v>435</v>
      </c>
      <c r="D275" s="345"/>
      <c r="E275" s="347"/>
      <c r="F275" s="347"/>
      <c r="G275" s="353"/>
      <c r="H275" s="353">
        <f>SUM(H7:H274)</f>
        <v>0</v>
      </c>
      <c r="I275" s="353"/>
      <c r="J275" s="353">
        <f>SUM(J7:J274)</f>
        <v>0</v>
      </c>
      <c r="K275" s="353"/>
      <c r="L275" s="353">
        <f>SUM(L7:L274)</f>
        <v>0</v>
      </c>
      <c r="M275" s="353">
        <f>SUM(M7:M274)</f>
        <v>0</v>
      </c>
      <c r="N275" s="211">
        <f>H275+J275+L275</f>
        <v>0</v>
      </c>
    </row>
    <row r="276" spans="1:14" ht="47.25">
      <c r="A276" s="232"/>
      <c r="B276" s="232"/>
      <c r="C276" s="214" t="s">
        <v>426</v>
      </c>
      <c r="D276" s="232"/>
      <c r="E276" s="234"/>
      <c r="F276" s="335"/>
      <c r="G276" s="209"/>
      <c r="H276" s="209"/>
      <c r="I276" s="209"/>
      <c r="J276" s="209"/>
      <c r="K276" s="209"/>
      <c r="L276" s="209"/>
      <c r="M276" s="277">
        <f>H275*F276</f>
        <v>0</v>
      </c>
      <c r="N276" s="211"/>
    </row>
    <row r="277" spans="1:14">
      <c r="A277" s="232"/>
      <c r="B277" s="232"/>
      <c r="C277" s="80"/>
      <c r="D277" s="232"/>
      <c r="E277" s="234"/>
      <c r="F277" s="234"/>
      <c r="G277" s="209"/>
      <c r="H277" s="209"/>
      <c r="I277" s="209"/>
      <c r="J277" s="98" t="s">
        <v>10</v>
      </c>
      <c r="K277" s="209"/>
      <c r="L277" s="209"/>
      <c r="M277" s="277">
        <f>M275+M276</f>
        <v>0</v>
      </c>
      <c r="N277" s="211"/>
    </row>
    <row r="278" spans="1:14">
      <c r="A278" s="279"/>
      <c r="B278" s="36"/>
      <c r="C278" s="132" t="s">
        <v>14</v>
      </c>
      <c r="D278" s="44"/>
      <c r="E278" s="65"/>
      <c r="F278" s="335"/>
      <c r="G278" s="277"/>
      <c r="H278" s="277"/>
      <c r="I278" s="277"/>
      <c r="J278" s="98"/>
      <c r="K278" s="277"/>
      <c r="L278" s="277"/>
      <c r="M278" s="277">
        <f>M277*F278</f>
        <v>0</v>
      </c>
      <c r="N278" s="207"/>
    </row>
    <row r="279" spans="1:14" s="42" customFormat="1">
      <c r="A279" s="267"/>
      <c r="B279" s="37"/>
      <c r="C279" s="133"/>
      <c r="D279" s="45"/>
      <c r="E279" s="97"/>
      <c r="F279" s="97"/>
      <c r="G279" s="98"/>
      <c r="H279" s="98"/>
      <c r="I279" s="98"/>
      <c r="J279" s="98" t="s">
        <v>10</v>
      </c>
      <c r="K279" s="98"/>
      <c r="L279" s="98"/>
      <c r="M279" s="98">
        <f>M277+M278</f>
        <v>0</v>
      </c>
      <c r="N279" s="213"/>
    </row>
    <row r="280" spans="1:14">
      <c r="A280" s="267"/>
      <c r="B280" s="37"/>
      <c r="C280" s="134" t="s">
        <v>13</v>
      </c>
      <c r="D280" s="45"/>
      <c r="E280" s="99"/>
      <c r="F280" s="336"/>
      <c r="G280" s="100"/>
      <c r="H280" s="100"/>
      <c r="I280" s="100"/>
      <c r="J280" s="100"/>
      <c r="K280" s="100"/>
      <c r="L280" s="100"/>
      <c r="M280" s="100">
        <f>M279*F280</f>
        <v>0</v>
      </c>
      <c r="N280" s="207"/>
    </row>
    <row r="281" spans="1:14" s="42" customFormat="1" ht="20.25" customHeight="1">
      <c r="A281" s="267"/>
      <c r="B281" s="350"/>
      <c r="C281" s="344" t="s">
        <v>263</v>
      </c>
      <c r="D281" s="351"/>
      <c r="E281" s="352"/>
      <c r="F281" s="352"/>
      <c r="G281" s="349"/>
      <c r="H281" s="349"/>
      <c r="I281" s="349"/>
      <c r="J281" s="349" t="s">
        <v>10</v>
      </c>
      <c r="K281" s="349"/>
      <c r="L281" s="349"/>
      <c r="M281" s="349">
        <f>M279+M280</f>
        <v>0</v>
      </c>
      <c r="N281" s="213"/>
    </row>
    <row r="282" spans="1:14" ht="21.75" customHeight="1">
      <c r="A282" s="279"/>
      <c r="B282" s="279"/>
      <c r="C282" s="274" t="s">
        <v>12</v>
      </c>
      <c r="D282" s="64"/>
      <c r="E282" s="278"/>
      <c r="F282" s="333">
        <v>0.05</v>
      </c>
      <c r="G282" s="276"/>
      <c r="H282" s="276"/>
      <c r="I282" s="276"/>
      <c r="J282" s="276"/>
      <c r="K282" s="276"/>
      <c r="L282" s="276"/>
      <c r="M282" s="276">
        <f>M281*F282</f>
        <v>0</v>
      </c>
      <c r="N282" s="207"/>
    </row>
    <row r="283" spans="1:14">
      <c r="A283" s="279"/>
      <c r="B283" s="279"/>
      <c r="C283" s="53"/>
      <c r="D283" s="64"/>
      <c r="E283" s="278"/>
      <c r="F283" s="1"/>
      <c r="G283" s="276"/>
      <c r="H283" s="276"/>
      <c r="I283" s="276"/>
      <c r="J283" s="98" t="s">
        <v>21</v>
      </c>
      <c r="K283" s="276"/>
      <c r="L283" s="276"/>
      <c r="M283" s="276">
        <f>M281+M282</f>
        <v>0</v>
      </c>
      <c r="N283" s="207"/>
    </row>
    <row r="284" spans="1:14">
      <c r="A284" s="279"/>
      <c r="B284" s="279"/>
      <c r="C284" s="357" t="s">
        <v>540</v>
      </c>
      <c r="D284" s="64"/>
      <c r="E284" s="278"/>
      <c r="F284" s="334" t="s">
        <v>262</v>
      </c>
      <c r="G284" s="276"/>
      <c r="H284" s="276"/>
      <c r="I284" s="276"/>
      <c r="J284" s="276"/>
      <c r="K284" s="276"/>
      <c r="L284" s="276"/>
      <c r="M284" s="276">
        <f>M283*F284</f>
        <v>0</v>
      </c>
      <c r="N284" s="207"/>
    </row>
    <row r="285" spans="1:14" ht="24.75" customHeight="1">
      <c r="A285" s="279"/>
      <c r="B285" s="343"/>
      <c r="C285" s="344" t="s">
        <v>263</v>
      </c>
      <c r="D285" s="345"/>
      <c r="E285" s="346"/>
      <c r="F285" s="347"/>
      <c r="G285" s="348"/>
      <c r="H285" s="348"/>
      <c r="I285" s="348"/>
      <c r="J285" s="348"/>
      <c r="K285" s="348"/>
      <c r="L285" s="348"/>
      <c r="M285" s="349">
        <f>M283+M284</f>
        <v>0</v>
      </c>
      <c r="N285" s="207"/>
    </row>
    <row r="288" spans="1:14">
      <c r="C288" s="69"/>
      <c r="H288" s="108"/>
      <c r="I288" s="108"/>
    </row>
    <row r="289" spans="1:13">
      <c r="C289" s="87"/>
      <c r="D289" s="46"/>
      <c r="E289" s="101"/>
    </row>
    <row r="290" spans="1:13">
      <c r="B290" s="188"/>
      <c r="C290" s="54"/>
      <c r="D290" s="54"/>
      <c r="E290" s="102"/>
    </row>
    <row r="295" spans="1:13" ht="31.5" hidden="1">
      <c r="A295" s="283" t="s">
        <v>178</v>
      </c>
      <c r="B295" s="3"/>
      <c r="C295" s="275" t="s">
        <v>312</v>
      </c>
      <c r="D295" s="279"/>
      <c r="E295" s="162"/>
      <c r="F295" s="163"/>
      <c r="G295" s="151"/>
      <c r="H295" s="17">
        <f t="shared" ref="H295:H337" si="13">F295*G295</f>
        <v>0</v>
      </c>
      <c r="I295" s="17"/>
      <c r="J295" s="17">
        <f t="shared" ref="J295:J337" si="14">F295*I295</f>
        <v>0</v>
      </c>
      <c r="K295" s="17"/>
      <c r="L295" s="17">
        <f t="shared" ref="L295:L337" si="15">F295*K295</f>
        <v>0</v>
      </c>
      <c r="M295" s="17">
        <f t="shared" ref="M295:M337" si="16">H295+J295+L295</f>
        <v>0</v>
      </c>
    </row>
    <row r="296" spans="1:13" ht="47.25" hidden="1">
      <c r="A296" s="381" t="s">
        <v>179</v>
      </c>
      <c r="B296" s="3" t="s">
        <v>173</v>
      </c>
      <c r="C296" s="275" t="s">
        <v>313</v>
      </c>
      <c r="D296" s="5" t="s">
        <v>74</v>
      </c>
      <c r="E296" s="164"/>
      <c r="F296" s="94">
        <v>0.87</v>
      </c>
      <c r="G296" s="6"/>
      <c r="H296" s="17">
        <f t="shared" si="13"/>
        <v>0</v>
      </c>
      <c r="I296" s="6"/>
      <c r="J296" s="17">
        <f t="shared" si="14"/>
        <v>0</v>
      </c>
      <c r="K296" s="6"/>
      <c r="L296" s="17">
        <f t="shared" si="15"/>
        <v>0</v>
      </c>
      <c r="M296" s="17">
        <f t="shared" si="16"/>
        <v>0</v>
      </c>
    </row>
    <row r="297" spans="1:13" hidden="1">
      <c r="A297" s="382"/>
      <c r="B297" s="3"/>
      <c r="C297" s="152" t="s">
        <v>48</v>
      </c>
      <c r="D297" s="3" t="s">
        <v>53</v>
      </c>
      <c r="E297" s="153">
        <f>666*0.01</f>
        <v>6.66</v>
      </c>
      <c r="F297" s="93">
        <f>E297*F296</f>
        <v>5.7942</v>
      </c>
      <c r="G297" s="95"/>
      <c r="H297" s="17">
        <f t="shared" si="13"/>
        <v>0</v>
      </c>
      <c r="I297" s="95">
        <v>6</v>
      </c>
      <c r="J297" s="17">
        <f t="shared" si="14"/>
        <v>34.7652</v>
      </c>
      <c r="K297" s="95"/>
      <c r="L297" s="17">
        <f t="shared" si="15"/>
        <v>0</v>
      </c>
      <c r="M297" s="17">
        <f t="shared" si="16"/>
        <v>34.7652</v>
      </c>
    </row>
    <row r="298" spans="1:13" hidden="1">
      <c r="A298" s="382"/>
      <c r="B298" s="3"/>
      <c r="C298" s="53" t="s">
        <v>24</v>
      </c>
      <c r="D298" s="26" t="s">
        <v>22</v>
      </c>
      <c r="E298" s="153">
        <f>59*0.01</f>
        <v>0.59</v>
      </c>
      <c r="F298" s="93">
        <f>E298*F296</f>
        <v>0.51329999999999998</v>
      </c>
      <c r="G298" s="95"/>
      <c r="H298" s="17">
        <f t="shared" si="13"/>
        <v>0</v>
      </c>
      <c r="I298" s="95"/>
      <c r="J298" s="17">
        <f t="shared" si="14"/>
        <v>0</v>
      </c>
      <c r="K298" s="95">
        <v>3.2</v>
      </c>
      <c r="L298" s="17">
        <f t="shared" si="15"/>
        <v>1.64256</v>
      </c>
      <c r="M298" s="17">
        <f t="shared" si="16"/>
        <v>1.64256</v>
      </c>
    </row>
    <row r="299" spans="1:13" hidden="1">
      <c r="A299" s="382"/>
      <c r="B299" s="3" t="s">
        <v>89</v>
      </c>
      <c r="C299" s="152" t="s">
        <v>314</v>
      </c>
      <c r="D299" s="3" t="s">
        <v>75</v>
      </c>
      <c r="E299" s="153">
        <f>101.5*0.01</f>
        <v>1.0150000000000001</v>
      </c>
      <c r="F299" s="93">
        <f>E299*F296</f>
        <v>0.88305000000000011</v>
      </c>
      <c r="G299" s="95">
        <v>113</v>
      </c>
      <c r="H299" s="17">
        <f t="shared" si="13"/>
        <v>99.784650000000013</v>
      </c>
      <c r="I299" s="95"/>
      <c r="J299" s="17">
        <f t="shared" si="14"/>
        <v>0</v>
      </c>
      <c r="K299" s="95"/>
      <c r="L299" s="17">
        <f t="shared" si="15"/>
        <v>0</v>
      </c>
      <c r="M299" s="17">
        <f t="shared" si="16"/>
        <v>99.784650000000013</v>
      </c>
    </row>
    <row r="300" spans="1:13" hidden="1">
      <c r="A300" s="382"/>
      <c r="B300" s="3" t="s">
        <v>119</v>
      </c>
      <c r="C300" s="152" t="s">
        <v>67</v>
      </c>
      <c r="D300" s="3" t="s">
        <v>69</v>
      </c>
      <c r="E300" s="153">
        <f>160*0.01</f>
        <v>1.6</v>
      </c>
      <c r="F300" s="93">
        <f>E300*F296</f>
        <v>1.3920000000000001</v>
      </c>
      <c r="G300" s="95">
        <v>12</v>
      </c>
      <c r="H300" s="17">
        <f t="shared" si="13"/>
        <v>16.704000000000001</v>
      </c>
      <c r="I300" s="95"/>
      <c r="J300" s="17">
        <f t="shared" si="14"/>
        <v>0</v>
      </c>
      <c r="K300" s="95"/>
      <c r="L300" s="17">
        <f t="shared" si="15"/>
        <v>0</v>
      </c>
      <c r="M300" s="17">
        <f t="shared" si="16"/>
        <v>16.704000000000001</v>
      </c>
    </row>
    <row r="301" spans="1:13" hidden="1">
      <c r="A301" s="382"/>
      <c r="B301" s="3" t="s">
        <v>72</v>
      </c>
      <c r="C301" s="152" t="s">
        <v>68</v>
      </c>
      <c r="D301" s="3" t="s">
        <v>75</v>
      </c>
      <c r="E301" s="153">
        <f>1.83*0.01</f>
        <v>1.83E-2</v>
      </c>
      <c r="F301" s="93">
        <f>E301*F296</f>
        <v>1.5921000000000001E-2</v>
      </c>
      <c r="G301" s="95">
        <v>500</v>
      </c>
      <c r="H301" s="17">
        <f t="shared" si="13"/>
        <v>7.9605000000000006</v>
      </c>
      <c r="I301" s="95"/>
      <c r="J301" s="17">
        <f t="shared" si="14"/>
        <v>0</v>
      </c>
      <c r="K301" s="95"/>
      <c r="L301" s="17">
        <f t="shared" si="15"/>
        <v>0</v>
      </c>
      <c r="M301" s="17">
        <f t="shared" si="16"/>
        <v>7.9605000000000006</v>
      </c>
    </row>
    <row r="302" spans="1:13" hidden="1">
      <c r="A302" s="382"/>
      <c r="B302" s="3"/>
      <c r="C302" s="53" t="s">
        <v>31</v>
      </c>
      <c r="D302" s="29" t="s">
        <v>22</v>
      </c>
      <c r="E302" s="153">
        <f>40*0.01</f>
        <v>0.4</v>
      </c>
      <c r="F302" s="93">
        <f>E302*F296</f>
        <v>0.34800000000000003</v>
      </c>
      <c r="G302" s="95">
        <v>3.2</v>
      </c>
      <c r="H302" s="17">
        <f t="shared" si="13"/>
        <v>1.1136000000000001</v>
      </c>
      <c r="I302" s="95"/>
      <c r="J302" s="17">
        <f t="shared" si="14"/>
        <v>0</v>
      </c>
      <c r="K302" s="95"/>
      <c r="L302" s="17">
        <f t="shared" si="15"/>
        <v>0</v>
      </c>
      <c r="M302" s="17">
        <f t="shared" si="16"/>
        <v>1.1136000000000001</v>
      </c>
    </row>
    <row r="303" spans="1:13" hidden="1">
      <c r="A303" s="382"/>
      <c r="B303" s="3" t="s">
        <v>82</v>
      </c>
      <c r="C303" s="165" t="s">
        <v>315</v>
      </c>
      <c r="D303" s="3" t="s">
        <v>65</v>
      </c>
      <c r="E303" s="153">
        <v>1.03</v>
      </c>
      <c r="F303" s="166">
        <f>0.023+0.031</f>
        <v>5.3999999999999999E-2</v>
      </c>
      <c r="G303" s="95">
        <v>1505</v>
      </c>
      <c r="H303" s="17">
        <f t="shared" si="13"/>
        <v>81.27</v>
      </c>
      <c r="I303" s="95"/>
      <c r="J303" s="17">
        <f t="shared" si="14"/>
        <v>0</v>
      </c>
      <c r="K303" s="95"/>
      <c r="L303" s="17">
        <f t="shared" si="15"/>
        <v>0</v>
      </c>
      <c r="M303" s="17">
        <f t="shared" si="16"/>
        <v>81.27</v>
      </c>
    </row>
    <row r="304" spans="1:13" hidden="1">
      <c r="A304" s="383"/>
      <c r="B304" s="3" t="s">
        <v>83</v>
      </c>
      <c r="C304" s="165" t="s">
        <v>316</v>
      </c>
      <c r="D304" s="3" t="s">
        <v>65</v>
      </c>
      <c r="E304" s="153">
        <v>1.03</v>
      </c>
      <c r="F304" s="166">
        <v>1.7999999999999999E-2</v>
      </c>
      <c r="G304" s="95">
        <v>1696</v>
      </c>
      <c r="H304" s="17">
        <f t="shared" si="13"/>
        <v>30.527999999999999</v>
      </c>
      <c r="I304" s="95"/>
      <c r="J304" s="17">
        <f t="shared" si="14"/>
        <v>0</v>
      </c>
      <c r="K304" s="95"/>
      <c r="L304" s="17">
        <f t="shared" si="15"/>
        <v>0</v>
      </c>
      <c r="M304" s="17">
        <f t="shared" si="16"/>
        <v>30.527999999999999</v>
      </c>
    </row>
    <row r="305" spans="1:13" ht="31.5" hidden="1">
      <c r="A305" s="384" t="s">
        <v>180</v>
      </c>
      <c r="B305" s="3"/>
      <c r="C305" s="275" t="s">
        <v>317</v>
      </c>
      <c r="D305" s="279"/>
      <c r="E305" s="162"/>
      <c r="F305" s="163"/>
      <c r="G305" s="151"/>
      <c r="H305" s="17">
        <f t="shared" si="13"/>
        <v>0</v>
      </c>
      <c r="I305" s="95"/>
      <c r="J305" s="17">
        <f t="shared" si="14"/>
        <v>0</v>
      </c>
      <c r="K305" s="95"/>
      <c r="L305" s="17">
        <f t="shared" si="15"/>
        <v>0</v>
      </c>
      <c r="M305" s="17">
        <f t="shared" si="16"/>
        <v>0</v>
      </c>
    </row>
    <row r="306" spans="1:13" ht="31.5" hidden="1">
      <c r="A306" s="385"/>
      <c r="B306" s="3"/>
      <c r="C306" s="189" t="s">
        <v>318</v>
      </c>
      <c r="D306" s="64" t="s">
        <v>20</v>
      </c>
      <c r="E306" s="167"/>
      <c r="F306" s="168">
        <v>0.38300000000000001</v>
      </c>
      <c r="G306" s="17"/>
      <c r="H306" s="17">
        <f t="shared" si="13"/>
        <v>0</v>
      </c>
      <c r="I306" s="95"/>
      <c r="J306" s="17">
        <f t="shared" si="14"/>
        <v>0</v>
      </c>
      <c r="K306" s="95"/>
      <c r="L306" s="17">
        <f t="shared" si="15"/>
        <v>0</v>
      </c>
      <c r="M306" s="17">
        <f t="shared" si="16"/>
        <v>0</v>
      </c>
    </row>
    <row r="307" spans="1:13" ht="31.5" hidden="1">
      <c r="A307" s="385"/>
      <c r="B307" s="3"/>
      <c r="C307" s="189" t="s">
        <v>319</v>
      </c>
      <c r="D307" s="64" t="s">
        <v>20</v>
      </c>
      <c r="E307" s="167"/>
      <c r="F307" s="168">
        <v>0.26900000000000002</v>
      </c>
      <c r="G307" s="17"/>
      <c r="H307" s="17">
        <f t="shared" si="13"/>
        <v>0</v>
      </c>
      <c r="I307" s="95"/>
      <c r="J307" s="17">
        <f t="shared" si="14"/>
        <v>0</v>
      </c>
      <c r="K307" s="95"/>
      <c r="L307" s="17">
        <f t="shared" si="15"/>
        <v>0</v>
      </c>
      <c r="M307" s="17">
        <f t="shared" si="16"/>
        <v>0</v>
      </c>
    </row>
    <row r="308" spans="1:13" ht="31.5" hidden="1">
      <c r="A308" s="385"/>
      <c r="B308" s="3"/>
      <c r="C308" s="189" t="s">
        <v>320</v>
      </c>
      <c r="D308" s="64" t="s">
        <v>20</v>
      </c>
      <c r="E308" s="167"/>
      <c r="F308" s="168">
        <v>2.5000000000000001E-2</v>
      </c>
      <c r="G308" s="17"/>
      <c r="H308" s="17">
        <f t="shared" si="13"/>
        <v>0</v>
      </c>
      <c r="I308" s="95"/>
      <c r="J308" s="17">
        <f t="shared" si="14"/>
        <v>0</v>
      </c>
      <c r="K308" s="95"/>
      <c r="L308" s="17">
        <f t="shared" si="15"/>
        <v>0</v>
      </c>
      <c r="M308" s="17">
        <f t="shared" si="16"/>
        <v>0</v>
      </c>
    </row>
    <row r="309" spans="1:13" ht="31.5" hidden="1">
      <c r="A309" s="385"/>
      <c r="B309" s="3"/>
      <c r="C309" s="189" t="s">
        <v>321</v>
      </c>
      <c r="D309" s="64" t="s">
        <v>20</v>
      </c>
      <c r="E309" s="167"/>
      <c r="F309" s="168">
        <v>0.441</v>
      </c>
      <c r="G309" s="17"/>
      <c r="H309" s="17">
        <f t="shared" si="13"/>
        <v>0</v>
      </c>
      <c r="I309" s="95"/>
      <c r="J309" s="17">
        <f t="shared" si="14"/>
        <v>0</v>
      </c>
      <c r="K309" s="95"/>
      <c r="L309" s="17">
        <f t="shared" si="15"/>
        <v>0</v>
      </c>
      <c r="M309" s="17">
        <f t="shared" si="16"/>
        <v>0</v>
      </c>
    </row>
    <row r="310" spans="1:13" ht="31.5" hidden="1">
      <c r="A310" s="385"/>
      <c r="B310" s="3"/>
      <c r="C310" s="189" t="s">
        <v>322</v>
      </c>
      <c r="D310" s="64" t="s">
        <v>20</v>
      </c>
      <c r="E310" s="167"/>
      <c r="F310" s="168">
        <v>3.0000000000000001E-3</v>
      </c>
      <c r="G310" s="17"/>
      <c r="H310" s="17">
        <f t="shared" si="13"/>
        <v>0</v>
      </c>
      <c r="I310" s="95"/>
      <c r="J310" s="17">
        <f t="shared" si="14"/>
        <v>0</v>
      </c>
      <c r="K310" s="95"/>
      <c r="L310" s="17">
        <f t="shared" si="15"/>
        <v>0</v>
      </c>
      <c r="M310" s="17">
        <f t="shared" si="16"/>
        <v>0</v>
      </c>
    </row>
    <row r="311" spans="1:13" hidden="1">
      <c r="A311" s="385"/>
      <c r="B311" s="3"/>
      <c r="C311" s="189"/>
      <c r="D311" s="64"/>
      <c r="E311" s="167"/>
      <c r="F311" s="168"/>
      <c r="G311" s="17"/>
      <c r="H311" s="17">
        <f t="shared" si="13"/>
        <v>0</v>
      </c>
      <c r="I311" s="95"/>
      <c r="J311" s="17">
        <f t="shared" si="14"/>
        <v>0</v>
      </c>
      <c r="K311" s="95"/>
      <c r="L311" s="17">
        <f t="shared" si="15"/>
        <v>0</v>
      </c>
      <c r="M311" s="17">
        <f t="shared" si="16"/>
        <v>0</v>
      </c>
    </row>
    <row r="312" spans="1:13" ht="31.5" hidden="1">
      <c r="A312" s="385"/>
      <c r="B312" s="169"/>
      <c r="C312" s="198" t="s">
        <v>323</v>
      </c>
      <c r="D312" s="199" t="s">
        <v>20</v>
      </c>
      <c r="E312" s="200"/>
      <c r="F312" s="1">
        <f>F306+F307+F308+F309+F310</f>
        <v>1.121</v>
      </c>
      <c r="G312" s="17"/>
      <c r="H312" s="17">
        <f t="shared" si="13"/>
        <v>0</v>
      </c>
      <c r="I312" s="95"/>
      <c r="J312" s="17">
        <f t="shared" si="14"/>
        <v>0</v>
      </c>
      <c r="K312" s="95"/>
      <c r="L312" s="17">
        <f t="shared" si="15"/>
        <v>0</v>
      </c>
      <c r="M312" s="17">
        <f t="shared" si="16"/>
        <v>0</v>
      </c>
    </row>
    <row r="313" spans="1:13" ht="47.25" hidden="1">
      <c r="A313" s="385"/>
      <c r="B313" s="169" t="s">
        <v>175</v>
      </c>
      <c r="C313" s="198" t="s">
        <v>324</v>
      </c>
      <c r="D313" s="169" t="s">
        <v>20</v>
      </c>
      <c r="E313" s="58"/>
      <c r="F313" s="7">
        <f>F312</f>
        <v>1.121</v>
      </c>
      <c r="G313" s="47"/>
      <c r="H313" s="17">
        <f t="shared" si="13"/>
        <v>0</v>
      </c>
      <c r="I313" s="47"/>
      <c r="J313" s="17">
        <f t="shared" si="14"/>
        <v>0</v>
      </c>
      <c r="K313" s="47"/>
      <c r="L313" s="17">
        <f t="shared" si="15"/>
        <v>0</v>
      </c>
      <c r="M313" s="17">
        <f t="shared" si="16"/>
        <v>0</v>
      </c>
    </row>
    <row r="314" spans="1:13" hidden="1">
      <c r="A314" s="385"/>
      <c r="B314" s="169"/>
      <c r="C314" s="201" t="s">
        <v>23</v>
      </c>
      <c r="D314" s="169" t="s">
        <v>25</v>
      </c>
      <c r="E314" s="58">
        <v>13.9</v>
      </c>
      <c r="F314" s="265">
        <f>F313*E314</f>
        <v>15.581900000000001</v>
      </c>
      <c r="G314" s="47"/>
      <c r="H314" s="17">
        <f t="shared" si="13"/>
        <v>0</v>
      </c>
      <c r="I314" s="47">
        <v>7.8</v>
      </c>
      <c r="J314" s="17">
        <f t="shared" si="14"/>
        <v>121.53882</v>
      </c>
      <c r="K314" s="47"/>
      <c r="L314" s="17">
        <f t="shared" si="15"/>
        <v>0</v>
      </c>
      <c r="M314" s="17">
        <f t="shared" si="16"/>
        <v>121.53882</v>
      </c>
    </row>
    <row r="315" spans="1:13" hidden="1">
      <c r="A315" s="385"/>
      <c r="B315" s="169" t="s">
        <v>81</v>
      </c>
      <c r="C315" s="201" t="s">
        <v>87</v>
      </c>
      <c r="D315" s="169" t="s">
        <v>26</v>
      </c>
      <c r="E315" s="58">
        <v>0.82</v>
      </c>
      <c r="F315" s="265">
        <f>F313*E315</f>
        <v>0.91921999999999993</v>
      </c>
      <c r="G315" s="47"/>
      <c r="H315" s="17">
        <f t="shared" si="13"/>
        <v>0</v>
      </c>
      <c r="I315" s="47"/>
      <c r="J315" s="17">
        <f t="shared" si="14"/>
        <v>0</v>
      </c>
      <c r="K315" s="47">
        <v>47.41</v>
      </c>
      <c r="L315" s="17">
        <f t="shared" si="15"/>
        <v>43.580220199999992</v>
      </c>
      <c r="M315" s="17">
        <f t="shared" si="16"/>
        <v>43.580220199999992</v>
      </c>
    </row>
    <row r="316" spans="1:13" hidden="1">
      <c r="A316" s="385"/>
      <c r="B316" s="169" t="s">
        <v>81</v>
      </c>
      <c r="C316" s="201" t="s">
        <v>88</v>
      </c>
      <c r="D316" s="169" t="s">
        <v>26</v>
      </c>
      <c r="E316" s="58">
        <v>0.25</v>
      </c>
      <c r="F316" s="265">
        <f>F313*E316</f>
        <v>0.28025</v>
      </c>
      <c r="G316" s="47"/>
      <c r="H316" s="17">
        <f t="shared" si="13"/>
        <v>0</v>
      </c>
      <c r="I316" s="47"/>
      <c r="J316" s="17">
        <f t="shared" si="14"/>
        <v>0</v>
      </c>
      <c r="K316" s="47">
        <v>39.880000000000003</v>
      </c>
      <c r="L316" s="17">
        <f t="shared" si="15"/>
        <v>11.17637</v>
      </c>
      <c r="M316" s="17">
        <f t="shared" si="16"/>
        <v>11.17637</v>
      </c>
    </row>
    <row r="317" spans="1:13" hidden="1">
      <c r="A317" s="385"/>
      <c r="B317" s="169"/>
      <c r="C317" s="201" t="s">
        <v>24</v>
      </c>
      <c r="D317" s="169" t="s">
        <v>22</v>
      </c>
      <c r="E317" s="58">
        <v>3.38</v>
      </c>
      <c r="F317" s="265">
        <f>F313*E317</f>
        <v>3.78898</v>
      </c>
      <c r="G317" s="47"/>
      <c r="H317" s="17">
        <f t="shared" si="13"/>
        <v>0</v>
      </c>
      <c r="I317" s="47"/>
      <c r="J317" s="17">
        <f t="shared" si="14"/>
        <v>0</v>
      </c>
      <c r="K317" s="47">
        <v>3.2</v>
      </c>
      <c r="L317" s="17">
        <f t="shared" si="15"/>
        <v>12.124736</v>
      </c>
      <c r="M317" s="17">
        <f t="shared" si="16"/>
        <v>12.124736</v>
      </c>
    </row>
    <row r="318" spans="1:13" ht="31.5" hidden="1">
      <c r="A318" s="385"/>
      <c r="B318" s="169"/>
      <c r="C318" s="190" t="s">
        <v>318</v>
      </c>
      <c r="D318" s="279" t="s">
        <v>20</v>
      </c>
      <c r="E318" s="162"/>
      <c r="F318" s="163">
        <v>0.38300000000000001</v>
      </c>
      <c r="G318" s="151">
        <v>1830</v>
      </c>
      <c r="H318" s="17">
        <f t="shared" si="13"/>
        <v>700.89</v>
      </c>
      <c r="I318" s="47"/>
      <c r="J318" s="17">
        <f t="shared" si="14"/>
        <v>0</v>
      </c>
      <c r="K318" s="47"/>
      <c r="L318" s="17">
        <f t="shared" si="15"/>
        <v>0</v>
      </c>
      <c r="M318" s="17">
        <f t="shared" si="16"/>
        <v>700.89</v>
      </c>
    </row>
    <row r="319" spans="1:13" ht="31.5" hidden="1">
      <c r="A319" s="385"/>
      <c r="B319" s="169"/>
      <c r="C319" s="190" t="s">
        <v>319</v>
      </c>
      <c r="D319" s="279" t="s">
        <v>20</v>
      </c>
      <c r="E319" s="162"/>
      <c r="F319" s="163">
        <v>0.26900000000000002</v>
      </c>
      <c r="G319" s="151">
        <v>1830</v>
      </c>
      <c r="H319" s="17">
        <f t="shared" si="13"/>
        <v>492.27000000000004</v>
      </c>
      <c r="I319" s="47"/>
      <c r="J319" s="17">
        <f t="shared" si="14"/>
        <v>0</v>
      </c>
      <c r="K319" s="47"/>
      <c r="L319" s="17">
        <f t="shared" si="15"/>
        <v>0</v>
      </c>
      <c r="M319" s="17">
        <f t="shared" si="16"/>
        <v>492.27000000000004</v>
      </c>
    </row>
    <row r="320" spans="1:13" ht="31.5" hidden="1">
      <c r="A320" s="385"/>
      <c r="B320" s="169"/>
      <c r="C320" s="190" t="s">
        <v>320</v>
      </c>
      <c r="D320" s="279" t="s">
        <v>20</v>
      </c>
      <c r="E320" s="162"/>
      <c r="F320" s="163">
        <v>2.5000000000000001E-2</v>
      </c>
      <c r="G320" s="151">
        <v>1960</v>
      </c>
      <c r="H320" s="17">
        <f t="shared" si="13"/>
        <v>49</v>
      </c>
      <c r="I320" s="47"/>
      <c r="J320" s="17">
        <f t="shared" si="14"/>
        <v>0</v>
      </c>
      <c r="K320" s="47"/>
      <c r="L320" s="17">
        <f t="shared" si="15"/>
        <v>0</v>
      </c>
      <c r="M320" s="17">
        <f t="shared" si="16"/>
        <v>49</v>
      </c>
    </row>
    <row r="321" spans="1:13" ht="31.5" hidden="1">
      <c r="A321" s="385"/>
      <c r="B321" s="169"/>
      <c r="C321" s="190" t="s">
        <v>321</v>
      </c>
      <c r="D321" s="279" t="s">
        <v>20</v>
      </c>
      <c r="E321" s="162"/>
      <c r="F321" s="163">
        <v>0.441</v>
      </c>
      <c r="G321" s="151">
        <v>1830</v>
      </c>
      <c r="H321" s="17">
        <f t="shared" si="13"/>
        <v>807.03</v>
      </c>
      <c r="I321" s="47"/>
      <c r="J321" s="17">
        <f t="shared" si="14"/>
        <v>0</v>
      </c>
      <c r="K321" s="47"/>
      <c r="L321" s="17">
        <f t="shared" si="15"/>
        <v>0</v>
      </c>
      <c r="M321" s="17">
        <f t="shared" si="16"/>
        <v>807.03</v>
      </c>
    </row>
    <row r="322" spans="1:13" ht="31.5" hidden="1">
      <c r="A322" s="385"/>
      <c r="B322" s="169"/>
      <c r="C322" s="190" t="s">
        <v>322</v>
      </c>
      <c r="D322" s="279" t="s">
        <v>20</v>
      </c>
      <c r="E322" s="162"/>
      <c r="F322" s="163">
        <v>3.0000000000000001E-3</v>
      </c>
      <c r="G322" s="151">
        <v>1950</v>
      </c>
      <c r="H322" s="17">
        <f t="shared" si="13"/>
        <v>5.8500000000000005</v>
      </c>
      <c r="I322" s="47"/>
      <c r="J322" s="17">
        <f t="shared" si="14"/>
        <v>0</v>
      </c>
      <c r="K322" s="47"/>
      <c r="L322" s="17">
        <f t="shared" si="15"/>
        <v>0</v>
      </c>
      <c r="M322" s="17">
        <f t="shared" si="16"/>
        <v>5.8500000000000005</v>
      </c>
    </row>
    <row r="323" spans="1:13" ht="47.25" hidden="1">
      <c r="A323" s="385"/>
      <c r="B323" s="169"/>
      <c r="C323" s="190" t="s">
        <v>325</v>
      </c>
      <c r="D323" s="279" t="s">
        <v>15</v>
      </c>
      <c r="E323" s="162"/>
      <c r="F323" s="163">
        <v>24</v>
      </c>
      <c r="G323" s="151">
        <v>2</v>
      </c>
      <c r="H323" s="17">
        <f t="shared" si="13"/>
        <v>48</v>
      </c>
      <c r="I323" s="47"/>
      <c r="J323" s="17">
        <f t="shared" si="14"/>
        <v>0</v>
      </c>
      <c r="K323" s="47"/>
      <c r="L323" s="17">
        <f t="shared" si="15"/>
        <v>0</v>
      </c>
      <c r="M323" s="17">
        <f t="shared" si="16"/>
        <v>48</v>
      </c>
    </row>
    <row r="324" spans="1:13" hidden="1">
      <c r="A324" s="385"/>
      <c r="B324" s="169"/>
      <c r="C324" s="190" t="s">
        <v>49</v>
      </c>
      <c r="D324" s="279" t="s">
        <v>19</v>
      </c>
      <c r="E324" s="162"/>
      <c r="F324" s="163">
        <f>8+7+10</f>
        <v>25</v>
      </c>
      <c r="G324" s="151">
        <v>3.7</v>
      </c>
      <c r="H324" s="17">
        <f t="shared" si="13"/>
        <v>92.5</v>
      </c>
      <c r="I324" s="47"/>
      <c r="J324" s="17">
        <f t="shared" si="14"/>
        <v>0</v>
      </c>
      <c r="K324" s="47"/>
      <c r="L324" s="17">
        <f t="shared" si="15"/>
        <v>0</v>
      </c>
      <c r="M324" s="17">
        <f t="shared" si="16"/>
        <v>92.5</v>
      </c>
    </row>
    <row r="325" spans="1:13" hidden="1">
      <c r="A325" s="386"/>
      <c r="B325" s="169"/>
      <c r="C325" s="184" t="s">
        <v>31</v>
      </c>
      <c r="D325" s="169" t="s">
        <v>22</v>
      </c>
      <c r="E325" s="58">
        <v>2.78</v>
      </c>
      <c r="F325" s="265">
        <f>F313*E325</f>
        <v>3.1163799999999999</v>
      </c>
      <c r="G325" s="47">
        <v>3.2</v>
      </c>
      <c r="H325" s="17">
        <f t="shared" si="13"/>
        <v>9.9724160000000008</v>
      </c>
      <c r="I325" s="47"/>
      <c r="J325" s="17">
        <f t="shared" si="14"/>
        <v>0</v>
      </c>
      <c r="K325" s="47"/>
      <c r="L325" s="17">
        <f t="shared" si="15"/>
        <v>0</v>
      </c>
      <c r="M325" s="17">
        <f t="shared" si="16"/>
        <v>9.9724160000000008</v>
      </c>
    </row>
    <row r="326" spans="1:13" ht="47.25" hidden="1">
      <c r="A326" s="387" t="s">
        <v>181</v>
      </c>
      <c r="B326" s="169" t="s">
        <v>326</v>
      </c>
      <c r="C326" s="202" t="s">
        <v>327</v>
      </c>
      <c r="D326" s="169" t="s">
        <v>108</v>
      </c>
      <c r="E326" s="58"/>
      <c r="F326" s="7">
        <f>(0.11+0.11)*2*20+(0.04+0.04)*2*80+0.53*1</f>
        <v>22.130000000000003</v>
      </c>
      <c r="G326" s="47"/>
      <c r="H326" s="17">
        <f t="shared" si="13"/>
        <v>0</v>
      </c>
      <c r="I326" s="47"/>
      <c r="J326" s="17">
        <f t="shared" si="14"/>
        <v>0</v>
      </c>
      <c r="K326" s="47"/>
      <c r="L326" s="17">
        <f t="shared" si="15"/>
        <v>0</v>
      </c>
      <c r="M326" s="17">
        <f t="shared" si="16"/>
        <v>0</v>
      </c>
    </row>
    <row r="327" spans="1:13" hidden="1">
      <c r="A327" s="388"/>
      <c r="B327" s="169"/>
      <c r="C327" s="184" t="s">
        <v>23</v>
      </c>
      <c r="D327" s="169" t="s">
        <v>25</v>
      </c>
      <c r="E327" s="58">
        <v>38.799999999999997</v>
      </c>
      <c r="F327" s="265">
        <f>F326*E327</f>
        <v>858.64400000000001</v>
      </c>
      <c r="G327" s="47"/>
      <c r="H327" s="17">
        <f t="shared" si="13"/>
        <v>0</v>
      </c>
      <c r="I327" s="47">
        <v>7.8</v>
      </c>
      <c r="J327" s="17">
        <f t="shared" si="14"/>
        <v>6697.4232000000002</v>
      </c>
      <c r="K327" s="47"/>
      <c r="L327" s="17">
        <f t="shared" si="15"/>
        <v>0</v>
      </c>
      <c r="M327" s="17">
        <f t="shared" si="16"/>
        <v>6697.4232000000002</v>
      </c>
    </row>
    <row r="328" spans="1:13" hidden="1">
      <c r="A328" s="388"/>
      <c r="B328" s="169"/>
      <c r="C328" s="184" t="s">
        <v>30</v>
      </c>
      <c r="D328" s="169" t="s">
        <v>25</v>
      </c>
      <c r="E328" s="58">
        <v>0.03</v>
      </c>
      <c r="F328" s="265">
        <f>F326*E328</f>
        <v>0.66390000000000005</v>
      </c>
      <c r="G328" s="47"/>
      <c r="H328" s="17">
        <f t="shared" si="13"/>
        <v>0</v>
      </c>
      <c r="I328" s="47"/>
      <c r="J328" s="17">
        <f t="shared" si="14"/>
        <v>0</v>
      </c>
      <c r="K328" s="47">
        <v>3.2</v>
      </c>
      <c r="L328" s="17">
        <f t="shared" si="15"/>
        <v>2.1244800000000001</v>
      </c>
      <c r="M328" s="17">
        <f t="shared" si="16"/>
        <v>2.1244800000000001</v>
      </c>
    </row>
    <row r="329" spans="1:13" hidden="1">
      <c r="A329" s="388"/>
      <c r="B329" s="169" t="s">
        <v>328</v>
      </c>
      <c r="C329" s="184" t="s">
        <v>329</v>
      </c>
      <c r="D329" s="169" t="s">
        <v>19</v>
      </c>
      <c r="E329" s="58">
        <v>35</v>
      </c>
      <c r="F329" s="265">
        <f>F326*E329</f>
        <v>774.55000000000007</v>
      </c>
      <c r="G329" s="47">
        <v>4.2</v>
      </c>
      <c r="H329" s="17">
        <f t="shared" si="13"/>
        <v>3253.1100000000006</v>
      </c>
      <c r="I329" s="47"/>
      <c r="J329" s="17">
        <f t="shared" si="14"/>
        <v>0</v>
      </c>
      <c r="K329" s="47"/>
      <c r="L329" s="17">
        <f t="shared" si="15"/>
        <v>0</v>
      </c>
      <c r="M329" s="17">
        <f t="shared" si="16"/>
        <v>3253.1100000000006</v>
      </c>
    </row>
    <row r="330" spans="1:13" hidden="1">
      <c r="A330" s="388"/>
      <c r="B330" s="169"/>
      <c r="C330" s="184" t="s">
        <v>31</v>
      </c>
      <c r="D330" s="169" t="s">
        <v>22</v>
      </c>
      <c r="E330" s="58">
        <v>0.19</v>
      </c>
      <c r="F330" s="265">
        <f>F326*E330</f>
        <v>4.2047000000000008</v>
      </c>
      <c r="G330" s="47">
        <v>3.2</v>
      </c>
      <c r="H330" s="17">
        <f t="shared" si="13"/>
        <v>13.455040000000004</v>
      </c>
      <c r="I330" s="47"/>
      <c r="J330" s="17">
        <f t="shared" si="14"/>
        <v>0</v>
      </c>
      <c r="K330" s="47"/>
      <c r="L330" s="17">
        <f t="shared" si="15"/>
        <v>0</v>
      </c>
      <c r="M330" s="17">
        <f t="shared" si="16"/>
        <v>13.455040000000004</v>
      </c>
    </row>
    <row r="331" spans="1:13" ht="63" hidden="1">
      <c r="A331" s="388" t="s">
        <v>182</v>
      </c>
      <c r="B331" s="169" t="s">
        <v>330</v>
      </c>
      <c r="C331" s="202" t="s">
        <v>375</v>
      </c>
      <c r="D331" s="169" t="s">
        <v>108</v>
      </c>
      <c r="E331" s="58"/>
      <c r="F331" s="7">
        <f>61/100</f>
        <v>0.61</v>
      </c>
      <c r="G331" s="47"/>
      <c r="H331" s="17">
        <f t="shared" si="13"/>
        <v>0</v>
      </c>
      <c r="I331" s="47"/>
      <c r="J331" s="17">
        <f t="shared" si="14"/>
        <v>0</v>
      </c>
      <c r="K331" s="47"/>
      <c r="L331" s="17">
        <f t="shared" si="15"/>
        <v>0</v>
      </c>
      <c r="M331" s="17">
        <f t="shared" si="16"/>
        <v>0</v>
      </c>
    </row>
    <row r="332" spans="1:13" hidden="1">
      <c r="A332" s="388"/>
      <c r="B332" s="169"/>
      <c r="C332" s="184" t="s">
        <v>23</v>
      </c>
      <c r="D332" s="169" t="s">
        <v>25</v>
      </c>
      <c r="E332" s="58">
        <v>42.9</v>
      </c>
      <c r="F332" s="265">
        <f>F331*E332</f>
        <v>26.168999999999997</v>
      </c>
      <c r="G332" s="47"/>
      <c r="H332" s="17">
        <f t="shared" si="13"/>
        <v>0</v>
      </c>
      <c r="I332" s="47">
        <v>7.8</v>
      </c>
      <c r="J332" s="17">
        <f t="shared" si="14"/>
        <v>204.11819999999997</v>
      </c>
      <c r="K332" s="47"/>
      <c r="L332" s="17">
        <f t="shared" si="15"/>
        <v>0</v>
      </c>
      <c r="M332" s="17">
        <f t="shared" si="16"/>
        <v>204.11819999999997</v>
      </c>
    </row>
    <row r="333" spans="1:13" hidden="1">
      <c r="A333" s="388"/>
      <c r="B333" s="169"/>
      <c r="C333" s="184" t="s">
        <v>30</v>
      </c>
      <c r="D333" s="169" t="s">
        <v>26</v>
      </c>
      <c r="E333" s="58">
        <v>2.64</v>
      </c>
      <c r="F333" s="265">
        <f>F331*E333</f>
        <v>1.6104000000000001</v>
      </c>
      <c r="G333" s="47"/>
      <c r="H333" s="17">
        <f t="shared" si="13"/>
        <v>0</v>
      </c>
      <c r="I333" s="47"/>
      <c r="J333" s="17">
        <f t="shared" si="14"/>
        <v>0</v>
      </c>
      <c r="K333" s="47">
        <v>3.2</v>
      </c>
      <c r="L333" s="17">
        <f t="shared" si="15"/>
        <v>5.1532800000000005</v>
      </c>
      <c r="M333" s="17">
        <f t="shared" si="16"/>
        <v>5.1532800000000005</v>
      </c>
    </row>
    <row r="334" spans="1:13" ht="31.5" hidden="1">
      <c r="A334" s="388"/>
      <c r="B334" s="169" t="s">
        <v>331</v>
      </c>
      <c r="C334" s="184" t="s">
        <v>332</v>
      </c>
      <c r="D334" s="169" t="s">
        <v>18</v>
      </c>
      <c r="E334" s="58">
        <v>130</v>
      </c>
      <c r="F334" s="265">
        <f>F331*E334</f>
        <v>79.3</v>
      </c>
      <c r="G334" s="47">
        <v>27</v>
      </c>
      <c r="H334" s="17">
        <f t="shared" si="13"/>
        <v>2141.1</v>
      </c>
      <c r="I334" s="47"/>
      <c r="J334" s="17">
        <f t="shared" si="14"/>
        <v>0</v>
      </c>
      <c r="K334" s="47"/>
      <c r="L334" s="17">
        <f t="shared" si="15"/>
        <v>0</v>
      </c>
      <c r="M334" s="17">
        <f t="shared" si="16"/>
        <v>2141.1</v>
      </c>
    </row>
    <row r="335" spans="1:13" hidden="1">
      <c r="A335" s="388"/>
      <c r="B335" s="169" t="s">
        <v>177</v>
      </c>
      <c r="C335" s="184" t="s">
        <v>176</v>
      </c>
      <c r="D335" s="169" t="s">
        <v>15</v>
      </c>
      <c r="E335" s="58">
        <v>600</v>
      </c>
      <c r="F335" s="265">
        <f>F331*E335</f>
        <v>366</v>
      </c>
      <c r="G335" s="47">
        <v>0.12</v>
      </c>
      <c r="H335" s="17">
        <f t="shared" si="13"/>
        <v>43.92</v>
      </c>
      <c r="I335" s="47"/>
      <c r="J335" s="17">
        <f t="shared" si="14"/>
        <v>0</v>
      </c>
      <c r="K335" s="47"/>
      <c r="L335" s="17">
        <f t="shared" si="15"/>
        <v>0</v>
      </c>
      <c r="M335" s="17">
        <f t="shared" si="16"/>
        <v>43.92</v>
      </c>
    </row>
    <row r="336" spans="1:13" hidden="1">
      <c r="A336" s="388"/>
      <c r="B336" s="169" t="s">
        <v>333</v>
      </c>
      <c r="C336" s="184" t="s">
        <v>334</v>
      </c>
      <c r="D336" s="169" t="s">
        <v>19</v>
      </c>
      <c r="E336" s="58">
        <v>7.9</v>
      </c>
      <c r="F336" s="265">
        <f>F331*E336</f>
        <v>4.819</v>
      </c>
      <c r="G336" s="47">
        <v>3.6</v>
      </c>
      <c r="H336" s="17">
        <f t="shared" si="13"/>
        <v>17.348400000000002</v>
      </c>
      <c r="I336" s="47"/>
      <c r="J336" s="17">
        <f t="shared" si="14"/>
        <v>0</v>
      </c>
      <c r="K336" s="47"/>
      <c r="L336" s="17">
        <f t="shared" si="15"/>
        <v>0</v>
      </c>
      <c r="M336" s="17">
        <f t="shared" si="16"/>
        <v>17.348400000000002</v>
      </c>
    </row>
    <row r="337" spans="1:14" hidden="1">
      <c r="A337" s="389"/>
      <c r="B337" s="169"/>
      <c r="C337" s="184" t="s">
        <v>31</v>
      </c>
      <c r="D337" s="169" t="s">
        <v>22</v>
      </c>
      <c r="E337" s="58">
        <v>6.36</v>
      </c>
      <c r="F337" s="265">
        <f>F331*E337</f>
        <v>3.8795999999999999</v>
      </c>
      <c r="G337" s="47">
        <v>3.2</v>
      </c>
      <c r="H337" s="17">
        <f t="shared" si="13"/>
        <v>12.414720000000001</v>
      </c>
      <c r="I337" s="47"/>
      <c r="J337" s="17">
        <f t="shared" si="14"/>
        <v>0</v>
      </c>
      <c r="K337" s="47"/>
      <c r="L337" s="17">
        <f t="shared" si="15"/>
        <v>0</v>
      </c>
      <c r="M337" s="17">
        <f t="shared" si="16"/>
        <v>12.414720000000001</v>
      </c>
    </row>
    <row r="351" spans="1:14" ht="47.25" hidden="1">
      <c r="A351" s="293" t="s">
        <v>116</v>
      </c>
      <c r="B351" s="169"/>
      <c r="C351" s="275" t="s">
        <v>460</v>
      </c>
      <c r="D351" s="169"/>
      <c r="E351" s="265"/>
      <c r="F351" s="265"/>
      <c r="G351" s="47"/>
      <c r="H351" s="47"/>
      <c r="I351" s="47"/>
      <c r="J351" s="47"/>
      <c r="K351" s="47"/>
      <c r="L351" s="47"/>
      <c r="M351" s="47"/>
      <c r="N351" s="207"/>
    </row>
    <row r="352" spans="1:14" ht="31.5" hidden="1">
      <c r="A352" s="374" t="s">
        <v>441</v>
      </c>
      <c r="B352" s="34" t="s">
        <v>76</v>
      </c>
      <c r="C352" s="76" t="s">
        <v>462</v>
      </c>
      <c r="D352" s="55" t="s">
        <v>17</v>
      </c>
      <c r="E352" s="12"/>
      <c r="F352" s="172">
        <f xml:space="preserve"> (1*2*2) *0.6*0.8+2.1*1.7*2*0.2</f>
        <v>3.3479999999999999</v>
      </c>
      <c r="G352" s="90"/>
      <c r="H352" s="276"/>
      <c r="I352" s="90"/>
      <c r="J352" s="276"/>
      <c r="K352" s="91"/>
      <c r="L352" s="276"/>
      <c r="M352" s="177"/>
      <c r="N352" s="207"/>
    </row>
    <row r="353" spans="1:14" hidden="1">
      <c r="A353" s="376"/>
      <c r="B353" s="55"/>
      <c r="C353" s="77" t="s">
        <v>23</v>
      </c>
      <c r="D353" s="55" t="s">
        <v>25</v>
      </c>
      <c r="E353" s="12">
        <v>3.88</v>
      </c>
      <c r="F353" s="12">
        <f>F352*E353</f>
        <v>12.990239999999998</v>
      </c>
      <c r="G353" s="90"/>
      <c r="H353" s="276"/>
      <c r="I353" s="16">
        <v>3</v>
      </c>
      <c r="J353" s="177">
        <f>F353*I353</f>
        <v>38.970719999999993</v>
      </c>
      <c r="K353" s="177"/>
      <c r="L353" s="177"/>
      <c r="M353" s="177">
        <f>H353+J353+L353</f>
        <v>38.970719999999993</v>
      </c>
      <c r="N353" s="207">
        <f>J353/F352</f>
        <v>11.639999999999999</v>
      </c>
    </row>
    <row r="354" spans="1:14" hidden="1">
      <c r="A354" s="374" t="s">
        <v>442</v>
      </c>
      <c r="B354" s="34" t="s">
        <v>71</v>
      </c>
      <c r="C354" s="76" t="s">
        <v>459</v>
      </c>
      <c r="D354" s="55" t="s">
        <v>17</v>
      </c>
      <c r="E354" s="12"/>
      <c r="F354" s="172">
        <f>0.8*0.1*(1*2*2)+1.7*2.1*2*0.1</f>
        <v>1.034</v>
      </c>
      <c r="G354" s="90"/>
      <c r="H354" s="276"/>
      <c r="I354" s="90"/>
      <c r="J354" s="177"/>
      <c r="K354" s="177"/>
      <c r="L354" s="177"/>
      <c r="M354" s="177"/>
      <c r="N354" s="207"/>
    </row>
    <row r="355" spans="1:14" hidden="1">
      <c r="A355" s="375"/>
      <c r="B355" s="55"/>
      <c r="C355" s="77" t="s">
        <v>84</v>
      </c>
      <c r="D355" s="55" t="s">
        <v>85</v>
      </c>
      <c r="E355" s="12">
        <v>3.52</v>
      </c>
      <c r="F355" s="12">
        <f>F354*E355</f>
        <v>3.6396800000000002</v>
      </c>
      <c r="G355" s="90"/>
      <c r="H355" s="276"/>
      <c r="I355" s="90">
        <v>6</v>
      </c>
      <c r="J355" s="276">
        <f>F355*I355</f>
        <v>21.838080000000001</v>
      </c>
      <c r="K355" s="91"/>
      <c r="L355" s="276"/>
      <c r="M355" s="276">
        <f>H355+J355+L355</f>
        <v>21.838080000000001</v>
      </c>
      <c r="N355" s="207"/>
    </row>
    <row r="356" spans="1:14" hidden="1">
      <c r="A356" s="375"/>
      <c r="B356" s="55"/>
      <c r="C356" s="77" t="s">
        <v>30</v>
      </c>
      <c r="D356" s="55" t="s">
        <v>22</v>
      </c>
      <c r="E356" s="12">
        <v>1.06</v>
      </c>
      <c r="F356" s="12">
        <f>F354*E356</f>
        <v>1.0960400000000001</v>
      </c>
      <c r="G356" s="90"/>
      <c r="H356" s="276"/>
      <c r="I356" s="276"/>
      <c r="J356" s="276"/>
      <c r="K356" s="91">
        <v>3.2</v>
      </c>
      <c r="L356" s="276">
        <f>F356*K356</f>
        <v>3.5073280000000007</v>
      </c>
      <c r="M356" s="276">
        <f>H356+J356+L356</f>
        <v>3.5073280000000007</v>
      </c>
      <c r="N356" s="207"/>
    </row>
    <row r="357" spans="1:14" hidden="1">
      <c r="A357" s="375"/>
      <c r="B357" s="55"/>
      <c r="C357" s="77" t="s">
        <v>134</v>
      </c>
      <c r="D357" s="55" t="s">
        <v>17</v>
      </c>
      <c r="E357" s="12">
        <f>0.18+0.09+0.97</f>
        <v>1.24</v>
      </c>
      <c r="F357" s="12">
        <f>F354*E357</f>
        <v>1.28216</v>
      </c>
      <c r="G357" s="90">
        <v>16</v>
      </c>
      <c r="H357" s="276">
        <f>F357*G357</f>
        <v>20.514559999999999</v>
      </c>
      <c r="I357" s="276"/>
      <c r="J357" s="276"/>
      <c r="K357" s="91"/>
      <c r="L357" s="276"/>
      <c r="M357" s="276">
        <f>H357+J357+L357</f>
        <v>20.514559999999999</v>
      </c>
      <c r="N357" s="207"/>
    </row>
    <row r="358" spans="1:14" hidden="1">
      <c r="A358" s="376"/>
      <c r="B358" s="55"/>
      <c r="C358" s="77" t="s">
        <v>28</v>
      </c>
      <c r="D358" s="55" t="s">
        <v>22</v>
      </c>
      <c r="E358" s="12">
        <v>0.02</v>
      </c>
      <c r="F358" s="12">
        <f>F354*E358</f>
        <v>2.068E-2</v>
      </c>
      <c r="G358" s="90">
        <v>3.2</v>
      </c>
      <c r="H358" s="276">
        <f>F358*G358</f>
        <v>6.6175999999999999E-2</v>
      </c>
      <c r="I358" s="276"/>
      <c r="J358" s="276"/>
      <c r="K358" s="91"/>
      <c r="L358" s="276"/>
      <c r="M358" s="276">
        <f>H358+J358+L358</f>
        <v>6.6175999999999999E-2</v>
      </c>
      <c r="N358" s="207"/>
    </row>
    <row r="359" spans="1:14" ht="31.5" hidden="1">
      <c r="A359" s="374" t="s">
        <v>284</v>
      </c>
      <c r="B359" s="34" t="s">
        <v>378</v>
      </c>
      <c r="C359" s="76" t="s">
        <v>377</v>
      </c>
      <c r="D359" s="55" t="s">
        <v>17</v>
      </c>
      <c r="E359" s="12"/>
      <c r="F359" s="172">
        <f>2.1*1.7*2*0.15+(0.3*0.15)/2*1.7*6*2+  (1*2*2)*(0.4+0.8+0.4*1.2)</f>
        <v>8.25</v>
      </c>
      <c r="G359" s="90"/>
      <c r="H359" s="276"/>
      <c r="I359" s="90"/>
      <c r="J359" s="276"/>
      <c r="K359" s="91"/>
      <c r="L359" s="276"/>
      <c r="M359" s="177"/>
      <c r="N359" s="207"/>
    </row>
    <row r="360" spans="1:14" hidden="1">
      <c r="A360" s="375"/>
      <c r="B360" s="55"/>
      <c r="C360" s="77" t="s">
        <v>23</v>
      </c>
      <c r="D360" s="55" t="s">
        <v>379</v>
      </c>
      <c r="E360" s="12">
        <v>13.9</v>
      </c>
      <c r="F360" s="12">
        <f>F359*E360</f>
        <v>114.675</v>
      </c>
      <c r="G360" s="90"/>
      <c r="H360" s="276"/>
      <c r="I360" s="90">
        <v>4</v>
      </c>
      <c r="J360" s="177">
        <f>F360*I360</f>
        <v>458.7</v>
      </c>
      <c r="K360" s="177"/>
      <c r="L360" s="177"/>
      <c r="M360" s="177">
        <f t="shared" ref="M360:M368" si="17">H360+J360+L360</f>
        <v>458.7</v>
      </c>
      <c r="N360" s="207">
        <f>J360/F359</f>
        <v>55.6</v>
      </c>
    </row>
    <row r="361" spans="1:14" hidden="1">
      <c r="A361" s="375"/>
      <c r="B361" s="55"/>
      <c r="C361" s="77" t="s">
        <v>30</v>
      </c>
      <c r="D361" s="55" t="s">
        <v>22</v>
      </c>
      <c r="E361" s="12">
        <v>1.28</v>
      </c>
      <c r="F361" s="12">
        <f>F359*E361</f>
        <v>10.56</v>
      </c>
      <c r="G361" s="90"/>
      <c r="H361" s="276"/>
      <c r="I361" s="90"/>
      <c r="J361" s="276"/>
      <c r="K361" s="177">
        <v>3.2</v>
      </c>
      <c r="L361" s="177">
        <f>F361*K361</f>
        <v>33.792000000000002</v>
      </c>
      <c r="M361" s="177">
        <f t="shared" si="17"/>
        <v>33.792000000000002</v>
      </c>
      <c r="N361" s="207"/>
    </row>
    <row r="362" spans="1:14" hidden="1">
      <c r="A362" s="375"/>
      <c r="B362" s="55"/>
      <c r="C362" s="77" t="s">
        <v>314</v>
      </c>
      <c r="D362" s="55" t="s">
        <v>17</v>
      </c>
      <c r="E362" s="12">
        <v>1.0149999999999999</v>
      </c>
      <c r="F362" s="12">
        <f>F359*E362</f>
        <v>8.3737499999999994</v>
      </c>
      <c r="G362" s="90">
        <v>113</v>
      </c>
      <c r="H362" s="177">
        <f t="shared" ref="H362:H368" si="18">F362*G362</f>
        <v>946.23374999999987</v>
      </c>
      <c r="I362" s="177"/>
      <c r="J362" s="177"/>
      <c r="K362" s="177"/>
      <c r="L362" s="177"/>
      <c r="M362" s="177">
        <f t="shared" si="17"/>
        <v>946.23374999999987</v>
      </c>
      <c r="N362" s="207"/>
    </row>
    <row r="363" spans="1:14" hidden="1">
      <c r="A363" s="375"/>
      <c r="B363" s="55"/>
      <c r="C363" s="77" t="s">
        <v>380</v>
      </c>
      <c r="D363" s="55" t="s">
        <v>18</v>
      </c>
      <c r="E363" s="12">
        <v>2.29</v>
      </c>
      <c r="F363" s="12">
        <f>F359*E363</f>
        <v>18.892500000000002</v>
      </c>
      <c r="G363" s="90">
        <v>16</v>
      </c>
      <c r="H363" s="177">
        <f t="shared" si="18"/>
        <v>302.28000000000003</v>
      </c>
      <c r="I363" s="177"/>
      <c r="J363" s="177"/>
      <c r="K363" s="177"/>
      <c r="L363" s="177"/>
      <c r="M363" s="177">
        <f t="shared" si="17"/>
        <v>302.28000000000003</v>
      </c>
      <c r="N363" s="207"/>
    </row>
    <row r="364" spans="1:14" hidden="1">
      <c r="A364" s="375"/>
      <c r="B364" s="55"/>
      <c r="C364" s="77" t="s">
        <v>273</v>
      </c>
      <c r="D364" s="55" t="s">
        <v>17</v>
      </c>
      <c r="E364" s="12">
        <f>(1.4+4.29+0.2)/100</f>
        <v>5.8899999999999994E-2</v>
      </c>
      <c r="F364" s="12">
        <f>F359*E364</f>
        <v>0.48592499999999994</v>
      </c>
      <c r="G364" s="90">
        <v>490</v>
      </c>
      <c r="H364" s="177">
        <f t="shared" si="18"/>
        <v>238.10324999999997</v>
      </c>
      <c r="I364" s="177"/>
      <c r="J364" s="177"/>
      <c r="K364" s="177"/>
      <c r="L364" s="177"/>
      <c r="M364" s="177">
        <f t="shared" si="17"/>
        <v>238.10324999999997</v>
      </c>
      <c r="N364" s="207"/>
    </row>
    <row r="365" spans="1:14" hidden="1">
      <c r="A365" s="375"/>
      <c r="B365" s="55"/>
      <c r="C365" s="77" t="s">
        <v>49</v>
      </c>
      <c r="D365" s="55" t="s">
        <v>19</v>
      </c>
      <c r="E365" s="12">
        <v>2.5</v>
      </c>
      <c r="F365" s="12">
        <f>F359*E365</f>
        <v>20.625</v>
      </c>
      <c r="G365" s="90">
        <v>3.8</v>
      </c>
      <c r="H365" s="177">
        <f t="shared" si="18"/>
        <v>78.375</v>
      </c>
      <c r="I365" s="177"/>
      <c r="J365" s="177"/>
      <c r="K365" s="177"/>
      <c r="L365" s="177"/>
      <c r="M365" s="177">
        <f t="shared" si="17"/>
        <v>78.375</v>
      </c>
      <c r="N365" s="207"/>
    </row>
    <row r="366" spans="1:14" hidden="1">
      <c r="A366" s="375"/>
      <c r="B366" s="55"/>
      <c r="C366" s="77" t="s">
        <v>28</v>
      </c>
      <c r="D366" s="55" t="s">
        <v>22</v>
      </c>
      <c r="E366" s="12">
        <v>0.93</v>
      </c>
      <c r="F366" s="12">
        <f>F359*E366</f>
        <v>7.6725000000000003</v>
      </c>
      <c r="G366" s="90">
        <v>3.2</v>
      </c>
      <c r="H366" s="177">
        <f t="shared" si="18"/>
        <v>24.552000000000003</v>
      </c>
      <c r="I366" s="177"/>
      <c r="J366" s="177"/>
      <c r="K366" s="177"/>
      <c r="L366" s="177"/>
      <c r="M366" s="177">
        <f t="shared" si="17"/>
        <v>24.552000000000003</v>
      </c>
      <c r="N366" s="207"/>
    </row>
    <row r="367" spans="1:14" hidden="1">
      <c r="A367" s="375"/>
      <c r="B367" s="55"/>
      <c r="C367" s="180" t="s">
        <v>364</v>
      </c>
      <c r="D367" s="279" t="s">
        <v>336</v>
      </c>
      <c r="E367" s="285"/>
      <c r="F367" s="181">
        <f>(  (30*2*(1.6+0.8)) + (9+6)*2*(1*2*2)  )*0.395*1.03/1000     +   2*1.7*2.1*16*0.395*1.03/1000 + ( ((0.3+0.3)+(0.15+0.1))*((1.7/0.15)+1)+1.7*3 )*12*0.395*1.03/1000</f>
        <v>0.22996789400000001</v>
      </c>
      <c r="G367" s="95">
        <v>1561</v>
      </c>
      <c r="H367" s="47">
        <f t="shared" si="18"/>
        <v>358.97988253400001</v>
      </c>
      <c r="I367" s="276"/>
      <c r="J367" s="47"/>
      <c r="K367" s="276"/>
      <c r="L367" s="47"/>
      <c r="M367" s="47">
        <f t="shared" si="17"/>
        <v>358.97988253400001</v>
      </c>
      <c r="N367" s="207"/>
    </row>
    <row r="368" spans="1:14" hidden="1">
      <c r="A368" s="376"/>
      <c r="B368" s="55"/>
      <c r="C368" s="180" t="s">
        <v>365</v>
      </c>
      <c r="D368" s="279" t="s">
        <v>336</v>
      </c>
      <c r="E368" s="285"/>
      <c r="F368" s="181">
        <f>30*7*0.5*0.222*1.03/1000</f>
        <v>2.4009300000000001E-2</v>
      </c>
      <c r="G368" s="276">
        <v>1760</v>
      </c>
      <c r="H368" s="47">
        <f t="shared" si="18"/>
        <v>42.256368000000002</v>
      </c>
      <c r="I368" s="276"/>
      <c r="J368" s="47"/>
      <c r="K368" s="276"/>
      <c r="L368" s="47"/>
      <c r="M368" s="47">
        <f t="shared" si="17"/>
        <v>42.256368000000002</v>
      </c>
      <c r="N368" s="207"/>
    </row>
  </sheetData>
  <autoFilter ref="A6:M281"/>
  <mergeCells count="47">
    <mergeCell ref="C27:C28"/>
    <mergeCell ref="A145:A151"/>
    <mergeCell ref="A121:A132"/>
    <mergeCell ref="A133:A138"/>
    <mergeCell ref="A31:A33"/>
    <mergeCell ref="A44:A45"/>
    <mergeCell ref="A34:A39"/>
    <mergeCell ref="A74:A76"/>
    <mergeCell ref="A47:A49"/>
    <mergeCell ref="A50:A54"/>
    <mergeCell ref="A58:A59"/>
    <mergeCell ref="A69:A70"/>
    <mergeCell ref="A354:A358"/>
    <mergeCell ref="A352:A353"/>
    <mergeCell ref="A359:A368"/>
    <mergeCell ref="A139:A144"/>
    <mergeCell ref="A101:A107"/>
    <mergeCell ref="A152:A157"/>
    <mergeCell ref="A170:A176"/>
    <mergeCell ref="A161:A164"/>
    <mergeCell ref="A165:A169"/>
    <mergeCell ref="A159:A160"/>
    <mergeCell ref="A296:A304"/>
    <mergeCell ref="A305:A325"/>
    <mergeCell ref="A326:A330"/>
    <mergeCell ref="A331:A337"/>
    <mergeCell ref="A115:A116"/>
    <mergeCell ref="A117:A120"/>
    <mergeCell ref="A1:M1"/>
    <mergeCell ref="A2:M2"/>
    <mergeCell ref="A3:M3"/>
    <mergeCell ref="A4:A5"/>
    <mergeCell ref="B4:B5"/>
    <mergeCell ref="C4:C5"/>
    <mergeCell ref="D4:D5"/>
    <mergeCell ref="G4:H4"/>
    <mergeCell ref="I4:J4"/>
    <mergeCell ref="K4:L4"/>
    <mergeCell ref="M4:M5"/>
    <mergeCell ref="E4:F4"/>
    <mergeCell ref="A19:A20"/>
    <mergeCell ref="A14:A16"/>
    <mergeCell ref="A27:A30"/>
    <mergeCell ref="A8:A10"/>
    <mergeCell ref="A11:A13"/>
    <mergeCell ref="A21:A23"/>
    <mergeCell ref="A24:A26"/>
  </mergeCells>
  <pageMargins left="0.35433070866141703" right="0.15748031496063" top="0.55118110236220497" bottom="0.43307086614173201" header="0.27559055118110198" footer="0.31496062992126"/>
  <pageSetup paperSize="9" scale="66" orientation="landscape" r:id="rId1"/>
  <headerFooter>
    <oddHeader>&amp;R&amp;P--&amp;N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99"/>
  </sheetPr>
  <dimension ref="A1:M99"/>
  <sheetViews>
    <sheetView zoomScaleNormal="100" zoomScaleSheetLayoutView="160" workbookViewId="0">
      <pane xSplit="3" ySplit="6" topLeftCell="D89" activePane="bottomRight" state="frozen"/>
      <selection pane="topRight" activeCell="D1" sqref="D1"/>
      <selection pane="bottomLeft" activeCell="A7" sqref="A7"/>
      <selection pane="bottomRight" activeCell="F92" sqref="F92"/>
    </sheetView>
  </sheetViews>
  <sheetFormatPr defaultColWidth="8.85546875" defaultRowHeight="16.5"/>
  <cols>
    <col min="1" max="1" width="5.28515625" style="38" customWidth="1"/>
    <col min="2" max="2" width="8.7109375" style="38" customWidth="1"/>
    <col min="3" max="3" width="36.42578125" style="103" customWidth="1"/>
    <col min="4" max="4" width="10.140625" style="30" customWidth="1"/>
    <col min="5" max="5" width="7.85546875" style="68" customWidth="1"/>
    <col min="6" max="6" width="10.5703125" style="68" customWidth="1"/>
    <col min="7" max="7" width="9" style="61" customWidth="1"/>
    <col min="8" max="8" width="12.42578125" style="61" customWidth="1"/>
    <col min="9" max="9" width="8.5703125" style="61" customWidth="1"/>
    <col min="10" max="10" width="9.7109375" style="61" customWidth="1"/>
    <col min="11" max="11" width="8.28515625" style="61" customWidth="1"/>
    <col min="12" max="12" width="9.28515625" style="61" customWidth="1"/>
    <col min="13" max="13" width="11.5703125" style="61" customWidth="1"/>
    <col min="14" max="16384" width="8.85546875" style="8"/>
  </cols>
  <sheetData>
    <row r="1" spans="1:13" s="31" customFormat="1" ht="41.25" customHeight="1">
      <c r="A1" s="360" t="str">
        <f>krebsiti!A2</f>
        <v>q.borjomSi WavWavaZis quCaze sastumro "Tbilisis" mimdebared  skveris mowyobis samuSaoebi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s="31" customFormat="1" ht="21" customHeight="1">
      <c r="A2" s="360" t="s">
        <v>50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3" spans="1:13" s="31" customFormat="1" ht="30.75" customHeight="1">
      <c r="A3" s="360" t="s">
        <v>261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spans="1:13" s="31" customFormat="1" ht="15.75" customHeight="1">
      <c r="A4" s="367" t="s">
        <v>0</v>
      </c>
      <c r="B4" s="367" t="s">
        <v>1</v>
      </c>
      <c r="C4" s="367" t="s">
        <v>2</v>
      </c>
      <c r="D4" s="367" t="s">
        <v>3</v>
      </c>
      <c r="E4" s="395" t="s">
        <v>4</v>
      </c>
      <c r="F4" s="395" t="s">
        <v>5</v>
      </c>
      <c r="G4" s="371" t="s">
        <v>6</v>
      </c>
      <c r="H4" s="372"/>
      <c r="I4" s="371" t="s">
        <v>7</v>
      </c>
      <c r="J4" s="372"/>
      <c r="K4" s="371" t="s">
        <v>27</v>
      </c>
      <c r="L4" s="372"/>
      <c r="M4" s="397" t="s">
        <v>8</v>
      </c>
    </row>
    <row r="5" spans="1:13" s="31" customFormat="1" ht="31.5">
      <c r="A5" s="368"/>
      <c r="B5" s="368"/>
      <c r="C5" s="368"/>
      <c r="D5" s="368"/>
      <c r="E5" s="396"/>
      <c r="F5" s="396"/>
      <c r="G5" s="312" t="s">
        <v>9</v>
      </c>
      <c r="H5" s="312" t="s">
        <v>10</v>
      </c>
      <c r="I5" s="312" t="s">
        <v>9</v>
      </c>
      <c r="J5" s="312" t="s">
        <v>10</v>
      </c>
      <c r="K5" s="312" t="s">
        <v>9</v>
      </c>
      <c r="L5" s="312" t="s">
        <v>10</v>
      </c>
      <c r="M5" s="398"/>
    </row>
    <row r="6" spans="1:13">
      <c r="A6" s="309">
        <v>1</v>
      </c>
      <c r="B6" s="309">
        <v>2</v>
      </c>
      <c r="C6" s="310">
        <v>3</v>
      </c>
      <c r="D6" s="309">
        <v>4</v>
      </c>
      <c r="E6" s="314">
        <v>5</v>
      </c>
      <c r="F6" s="309">
        <v>6</v>
      </c>
      <c r="G6" s="314">
        <v>7</v>
      </c>
      <c r="H6" s="309">
        <v>8</v>
      </c>
      <c r="I6" s="314">
        <v>9</v>
      </c>
      <c r="J6" s="309">
        <v>10</v>
      </c>
      <c r="K6" s="314">
        <v>11</v>
      </c>
      <c r="L6" s="309">
        <v>12</v>
      </c>
      <c r="M6" s="314">
        <v>13</v>
      </c>
    </row>
    <row r="7" spans="1:13" ht="27" customHeight="1">
      <c r="A7" s="294"/>
      <c r="B7" s="294"/>
      <c r="C7" s="295" t="s">
        <v>249</v>
      </c>
      <c r="D7" s="296"/>
      <c r="E7" s="297"/>
      <c r="F7" s="297"/>
      <c r="G7" s="90"/>
      <c r="H7" s="312"/>
      <c r="I7" s="90"/>
      <c r="J7" s="312"/>
      <c r="K7" s="91"/>
      <c r="L7" s="312"/>
      <c r="M7" s="312"/>
    </row>
    <row r="8" spans="1:13" ht="31.5">
      <c r="A8" s="309"/>
      <c r="B8" s="309"/>
      <c r="C8" s="70" t="s">
        <v>372</v>
      </c>
      <c r="D8" s="64" t="s">
        <v>145</v>
      </c>
      <c r="E8" s="314"/>
      <c r="F8" s="1">
        <v>6</v>
      </c>
      <c r="G8" s="90"/>
      <c r="H8" s="312"/>
      <c r="I8" s="90"/>
      <c r="J8" s="312"/>
      <c r="K8" s="91"/>
      <c r="L8" s="312"/>
      <c r="M8" s="312"/>
    </row>
    <row r="9" spans="1:13" ht="47.25">
      <c r="A9" s="220">
        <v>1</v>
      </c>
      <c r="B9" s="109" t="s">
        <v>90</v>
      </c>
      <c r="C9" s="76" t="s">
        <v>238</v>
      </c>
      <c r="D9" s="109" t="s">
        <v>207</v>
      </c>
      <c r="E9" s="13"/>
      <c r="F9" s="194">
        <f>150*0.25*0.7/1000</f>
        <v>2.6249999999999999E-2</v>
      </c>
      <c r="G9" s="90"/>
      <c r="H9" s="312"/>
      <c r="I9" s="90"/>
      <c r="J9" s="312"/>
      <c r="K9" s="91"/>
      <c r="L9" s="312"/>
      <c r="M9" s="312"/>
    </row>
    <row r="10" spans="1:13">
      <c r="A10" s="221"/>
      <c r="B10" s="110"/>
      <c r="C10" s="77" t="s">
        <v>208</v>
      </c>
      <c r="D10" s="110" t="s">
        <v>141</v>
      </c>
      <c r="E10" s="13">
        <v>15.4</v>
      </c>
      <c r="F10" s="13">
        <f>F9*E10</f>
        <v>0.40425</v>
      </c>
      <c r="G10" s="90"/>
      <c r="H10" s="312"/>
      <c r="I10" s="90"/>
      <c r="J10" s="312">
        <f>F10*I10</f>
        <v>0</v>
      </c>
      <c r="K10" s="91"/>
      <c r="L10" s="312"/>
      <c r="M10" s="312">
        <f>H10+J10+L10</f>
        <v>0</v>
      </c>
    </row>
    <row r="11" spans="1:13">
      <c r="A11" s="222"/>
      <c r="B11" s="110" t="s">
        <v>239</v>
      </c>
      <c r="C11" s="77" t="s">
        <v>209</v>
      </c>
      <c r="D11" s="110" t="s">
        <v>210</v>
      </c>
      <c r="E11" s="13">
        <v>72.599999999999994</v>
      </c>
      <c r="F11" s="13">
        <f>F9*E11</f>
        <v>1.9057499999999998</v>
      </c>
      <c r="G11" s="90"/>
      <c r="H11" s="312"/>
      <c r="I11" s="90"/>
      <c r="J11" s="312"/>
      <c r="K11" s="91"/>
      <c r="L11" s="312">
        <f>F11*K11</f>
        <v>0</v>
      </c>
      <c r="M11" s="312">
        <f>H11+J11+L11</f>
        <v>0</v>
      </c>
    </row>
    <row r="12" spans="1:13" ht="47.25">
      <c r="A12" s="228">
        <v>2</v>
      </c>
      <c r="B12" s="34" t="s">
        <v>76</v>
      </c>
      <c r="C12" s="321" t="s">
        <v>211</v>
      </c>
      <c r="D12" s="109" t="s">
        <v>212</v>
      </c>
      <c r="E12" s="12"/>
      <c r="F12" s="172">
        <f>0.4*0.4*0.8*F8</f>
        <v>0.76800000000000024</v>
      </c>
      <c r="G12" s="90"/>
      <c r="H12" s="312"/>
      <c r="I12" s="90"/>
      <c r="J12" s="312"/>
      <c r="K12" s="91"/>
      <c r="L12" s="312"/>
      <c r="M12" s="312"/>
    </row>
    <row r="13" spans="1:13">
      <c r="A13" s="229"/>
      <c r="B13" s="55"/>
      <c r="C13" s="77" t="s">
        <v>208</v>
      </c>
      <c r="D13" s="55" t="s">
        <v>141</v>
      </c>
      <c r="E13" s="12">
        <v>3.88</v>
      </c>
      <c r="F13" s="12">
        <f>F12*E13</f>
        <v>2.9798400000000007</v>
      </c>
      <c r="G13" s="90"/>
      <c r="H13" s="312"/>
      <c r="I13" s="90"/>
      <c r="J13" s="312">
        <f>F13*I13</f>
        <v>0</v>
      </c>
      <c r="K13" s="91"/>
      <c r="L13" s="312"/>
      <c r="M13" s="312">
        <f>H13+J13+L13</f>
        <v>0</v>
      </c>
    </row>
    <row r="14" spans="1:13" ht="31.5">
      <c r="A14" s="228">
        <v>3</v>
      </c>
      <c r="B14" s="34" t="s">
        <v>70</v>
      </c>
      <c r="C14" s="321" t="s">
        <v>213</v>
      </c>
      <c r="D14" s="109" t="s">
        <v>212</v>
      </c>
      <c r="E14" s="12"/>
      <c r="F14" s="172">
        <f>(F9*1000+F12)*10%</f>
        <v>2.7018000000000004</v>
      </c>
      <c r="G14" s="90"/>
      <c r="H14" s="312"/>
      <c r="I14" s="90"/>
      <c r="J14" s="312"/>
      <c r="K14" s="91"/>
      <c r="L14" s="312"/>
      <c r="M14" s="312"/>
    </row>
    <row r="15" spans="1:13">
      <c r="A15" s="229"/>
      <c r="B15" s="55"/>
      <c r="C15" s="77" t="s">
        <v>208</v>
      </c>
      <c r="D15" s="55" t="s">
        <v>141</v>
      </c>
      <c r="E15" s="12">
        <v>2.06</v>
      </c>
      <c r="F15" s="12">
        <f>F14*E15</f>
        <v>5.5657080000000008</v>
      </c>
      <c r="G15" s="90"/>
      <c r="H15" s="312"/>
      <c r="I15" s="90"/>
      <c r="J15" s="312">
        <f>F15*I15</f>
        <v>0</v>
      </c>
      <c r="K15" s="91"/>
      <c r="L15" s="312"/>
      <c r="M15" s="312">
        <f>H15+J15+L15</f>
        <v>0</v>
      </c>
    </row>
    <row r="16" spans="1:13" ht="31.5">
      <c r="A16" s="225">
        <v>4</v>
      </c>
      <c r="B16" s="111" t="s">
        <v>91</v>
      </c>
      <c r="C16" s="322" t="s">
        <v>214</v>
      </c>
      <c r="D16" s="111" t="s">
        <v>215</v>
      </c>
      <c r="E16" s="11"/>
      <c r="F16" s="195">
        <f>150*0.25*0.25</f>
        <v>9.375</v>
      </c>
      <c r="G16" s="90"/>
      <c r="H16" s="312"/>
      <c r="I16" s="90"/>
      <c r="J16" s="312"/>
      <c r="K16" s="91"/>
      <c r="L16" s="312"/>
      <c r="M16" s="312"/>
    </row>
    <row r="17" spans="1:13">
      <c r="A17" s="226"/>
      <c r="B17" s="112"/>
      <c r="C17" s="323" t="s">
        <v>208</v>
      </c>
      <c r="D17" s="112" t="s">
        <v>141</v>
      </c>
      <c r="E17" s="11">
        <v>1.8</v>
      </c>
      <c r="F17" s="11">
        <f>F16*E17</f>
        <v>16.875</v>
      </c>
      <c r="G17" s="90"/>
      <c r="H17" s="312"/>
      <c r="I17" s="90"/>
      <c r="J17" s="312">
        <f>F17*I17</f>
        <v>0</v>
      </c>
      <c r="K17" s="91"/>
      <c r="L17" s="312"/>
      <c r="M17" s="312">
        <f>H17+J17+L17</f>
        <v>0</v>
      </c>
    </row>
    <row r="18" spans="1:13">
      <c r="A18" s="227"/>
      <c r="B18" s="112" t="s">
        <v>118</v>
      </c>
      <c r="C18" s="323" t="s">
        <v>532</v>
      </c>
      <c r="D18" s="112" t="s">
        <v>215</v>
      </c>
      <c r="E18" s="11">
        <v>1.1000000000000001</v>
      </c>
      <c r="F18" s="11">
        <f>F16*E18</f>
        <v>10.3125</v>
      </c>
      <c r="G18" s="90"/>
      <c r="H18" s="312">
        <f t="shared" ref="H18:H23" si="0">F18*G18</f>
        <v>0</v>
      </c>
      <c r="I18" s="90"/>
      <c r="J18" s="312"/>
      <c r="K18" s="91"/>
      <c r="L18" s="312"/>
      <c r="M18" s="312">
        <f>H18+J18+L18</f>
        <v>0</v>
      </c>
    </row>
    <row r="19" spans="1:13" ht="46.5">
      <c r="A19" s="220">
        <v>5</v>
      </c>
      <c r="B19" s="109" t="s">
        <v>533</v>
      </c>
      <c r="C19" s="118" t="s">
        <v>534</v>
      </c>
      <c r="D19" s="109" t="s">
        <v>216</v>
      </c>
      <c r="E19" s="13"/>
      <c r="F19" s="194">
        <f>150</f>
        <v>150</v>
      </c>
      <c r="G19" s="90"/>
      <c r="H19" s="312"/>
      <c r="I19" s="90"/>
      <c r="J19" s="312"/>
      <c r="K19" s="91"/>
      <c r="L19" s="312"/>
      <c r="M19" s="312"/>
    </row>
    <row r="20" spans="1:13">
      <c r="A20" s="221"/>
      <c r="B20" s="110"/>
      <c r="C20" s="77" t="s">
        <v>208</v>
      </c>
      <c r="D20" s="110" t="s">
        <v>141</v>
      </c>
      <c r="E20" s="13">
        <v>0.105</v>
      </c>
      <c r="F20" s="13">
        <f>F19*E20</f>
        <v>15.75</v>
      </c>
      <c r="G20" s="90"/>
      <c r="H20" s="312"/>
      <c r="I20" s="90"/>
      <c r="J20" s="312">
        <f>F20*I20</f>
        <v>0</v>
      </c>
      <c r="K20" s="91"/>
      <c r="L20" s="312"/>
      <c r="M20" s="312">
        <f>H20+J20+L20</f>
        <v>0</v>
      </c>
    </row>
    <row r="21" spans="1:13">
      <c r="A21" s="221"/>
      <c r="B21" s="110"/>
      <c r="C21" s="77" t="s">
        <v>217</v>
      </c>
      <c r="D21" s="110" t="s">
        <v>143</v>
      </c>
      <c r="E21" s="13">
        <v>5.3800000000000001E-2</v>
      </c>
      <c r="F21" s="13">
        <f>F19*E21</f>
        <v>8.07</v>
      </c>
      <c r="G21" s="90"/>
      <c r="H21" s="312"/>
      <c r="I21" s="90"/>
      <c r="J21" s="312"/>
      <c r="K21" s="91"/>
      <c r="L21" s="312">
        <f>F21*K21</f>
        <v>0</v>
      </c>
      <c r="M21" s="312">
        <f>H21+J21+L21</f>
        <v>0</v>
      </c>
    </row>
    <row r="22" spans="1:13" ht="30.75">
      <c r="A22" s="221"/>
      <c r="B22" s="110"/>
      <c r="C22" s="324" t="s">
        <v>535</v>
      </c>
      <c r="D22" s="110" t="s">
        <v>216</v>
      </c>
      <c r="E22" s="13">
        <v>1.01</v>
      </c>
      <c r="F22" s="13">
        <f>F19*E22</f>
        <v>151.5</v>
      </c>
      <c r="G22" s="90"/>
      <c r="H22" s="312">
        <f t="shared" si="0"/>
        <v>0</v>
      </c>
      <c r="I22" s="90"/>
      <c r="J22" s="312"/>
      <c r="K22" s="91"/>
      <c r="L22" s="312"/>
      <c r="M22" s="312">
        <f>H22+J22+L22</f>
        <v>0</v>
      </c>
    </row>
    <row r="23" spans="1:13">
      <c r="A23" s="222"/>
      <c r="B23" s="110"/>
      <c r="C23" s="77" t="s">
        <v>218</v>
      </c>
      <c r="D23" s="110" t="s">
        <v>143</v>
      </c>
      <c r="E23" s="13">
        <v>1.1999999999999999E-3</v>
      </c>
      <c r="F23" s="13">
        <f>F19*E23</f>
        <v>0.18</v>
      </c>
      <c r="G23" s="90"/>
      <c r="H23" s="312">
        <f t="shared" si="0"/>
        <v>0</v>
      </c>
      <c r="I23" s="90"/>
      <c r="J23" s="312"/>
      <c r="K23" s="91"/>
      <c r="L23" s="312"/>
      <c r="M23" s="312">
        <f>H23+J23+L23</f>
        <v>0</v>
      </c>
    </row>
    <row r="24" spans="1:13" ht="31.5">
      <c r="A24" s="216">
        <v>6</v>
      </c>
      <c r="B24" s="27" t="s">
        <v>520</v>
      </c>
      <c r="C24" s="79" t="s">
        <v>219</v>
      </c>
      <c r="D24" s="27" t="s">
        <v>216</v>
      </c>
      <c r="E24" s="10"/>
      <c r="F24" s="10">
        <f>150</f>
        <v>150</v>
      </c>
      <c r="G24" s="90"/>
      <c r="H24" s="312"/>
      <c r="I24" s="90"/>
      <c r="J24" s="312"/>
      <c r="K24" s="91"/>
      <c r="L24" s="312"/>
      <c r="M24" s="312"/>
    </row>
    <row r="25" spans="1:13">
      <c r="A25" s="217"/>
      <c r="B25" s="231"/>
      <c r="C25" s="80" t="s">
        <v>208</v>
      </c>
      <c r="D25" s="110" t="s">
        <v>141</v>
      </c>
      <c r="E25" s="66">
        <f>11/1000</f>
        <v>1.0999999999999999E-2</v>
      </c>
      <c r="F25" s="66">
        <f>F24*E25</f>
        <v>1.65</v>
      </c>
      <c r="G25" s="90"/>
      <c r="H25" s="312"/>
      <c r="I25" s="90"/>
      <c r="J25" s="312">
        <f>F25*I25</f>
        <v>0</v>
      </c>
      <c r="K25" s="91"/>
      <c r="L25" s="312"/>
      <c r="M25" s="312">
        <f>H25+J25+L25</f>
        <v>0</v>
      </c>
    </row>
    <row r="26" spans="1:13">
      <c r="A26" s="218"/>
      <c r="B26" s="113"/>
      <c r="C26" s="325" t="s">
        <v>220</v>
      </c>
      <c r="D26" s="121" t="s">
        <v>216</v>
      </c>
      <c r="E26" s="123"/>
      <c r="F26" s="123">
        <f>F24</f>
        <v>150</v>
      </c>
      <c r="G26" s="90"/>
      <c r="H26" s="312">
        <f>F26*G26</f>
        <v>0</v>
      </c>
      <c r="I26" s="90"/>
      <c r="J26" s="312"/>
      <c r="K26" s="91"/>
      <c r="L26" s="312"/>
      <c r="M26" s="312">
        <f>H26+J26+L26</f>
        <v>0</v>
      </c>
    </row>
    <row r="27" spans="1:13" ht="31.5">
      <c r="A27" s="223">
        <v>7</v>
      </c>
      <c r="B27" s="114" t="s">
        <v>92</v>
      </c>
      <c r="C27" s="326" t="s">
        <v>221</v>
      </c>
      <c r="D27" s="114" t="s">
        <v>215</v>
      </c>
      <c r="E27" s="14"/>
      <c r="F27" s="196">
        <f>150*0.25*(0.7-0.25)</f>
        <v>16.875</v>
      </c>
      <c r="G27" s="90"/>
      <c r="H27" s="312"/>
      <c r="I27" s="90"/>
      <c r="J27" s="312"/>
      <c r="K27" s="91"/>
      <c r="L27" s="312"/>
      <c r="M27" s="312"/>
    </row>
    <row r="28" spans="1:13">
      <c r="A28" s="224"/>
      <c r="B28" s="115"/>
      <c r="C28" s="327" t="s">
        <v>208</v>
      </c>
      <c r="D28" s="115" t="s">
        <v>141</v>
      </c>
      <c r="E28" s="14">
        <v>1.21</v>
      </c>
      <c r="F28" s="14">
        <f>F27*E28</f>
        <v>20.418749999999999</v>
      </c>
      <c r="G28" s="90"/>
      <c r="H28" s="312"/>
      <c r="I28" s="90"/>
      <c r="J28" s="312">
        <f>F28*I28</f>
        <v>0</v>
      </c>
      <c r="K28" s="91"/>
      <c r="L28" s="312"/>
      <c r="M28" s="312">
        <f>H28+J28+L28</f>
        <v>0</v>
      </c>
    </row>
    <row r="29" spans="1:13" ht="31.5">
      <c r="A29" s="220">
        <v>8</v>
      </c>
      <c r="B29" s="109" t="s">
        <v>114</v>
      </c>
      <c r="C29" s="76" t="s">
        <v>222</v>
      </c>
      <c r="D29" s="109" t="s">
        <v>215</v>
      </c>
      <c r="E29" s="13"/>
      <c r="F29" s="194">
        <f>0.4*0.4*(0.8)*F8</f>
        <v>0.76800000000000024</v>
      </c>
      <c r="G29" s="90"/>
      <c r="H29" s="312"/>
      <c r="I29" s="90"/>
      <c r="J29" s="312"/>
      <c r="K29" s="91"/>
      <c r="L29" s="312"/>
      <c r="M29" s="312"/>
    </row>
    <row r="30" spans="1:13">
      <c r="A30" s="221"/>
      <c r="B30" s="110"/>
      <c r="C30" s="77" t="s">
        <v>208</v>
      </c>
      <c r="D30" s="110" t="s">
        <v>141</v>
      </c>
      <c r="E30" s="13">
        <v>1.37</v>
      </c>
      <c r="F30" s="13">
        <f>F29*E30</f>
        <v>1.0521600000000004</v>
      </c>
      <c r="G30" s="90"/>
      <c r="H30" s="312"/>
      <c r="I30" s="90"/>
      <c r="J30" s="312">
        <f>F30*I30</f>
        <v>0</v>
      </c>
      <c r="K30" s="91"/>
      <c r="L30" s="312"/>
      <c r="M30" s="312">
        <f t="shared" ref="M30:M35" si="1">H30+J30+L30</f>
        <v>0</v>
      </c>
    </row>
    <row r="31" spans="1:13">
      <c r="A31" s="221"/>
      <c r="B31" s="110"/>
      <c r="C31" s="77" t="s">
        <v>217</v>
      </c>
      <c r="D31" s="110" t="s">
        <v>143</v>
      </c>
      <c r="E31" s="13">
        <v>0.28299999999999997</v>
      </c>
      <c r="F31" s="13">
        <f>F29*E31</f>
        <v>0.21734400000000004</v>
      </c>
      <c r="G31" s="90"/>
      <c r="H31" s="312"/>
      <c r="I31" s="90"/>
      <c r="J31" s="312"/>
      <c r="K31" s="91"/>
      <c r="L31" s="312">
        <f>F31*K31</f>
        <v>0</v>
      </c>
      <c r="M31" s="312">
        <f t="shared" si="1"/>
        <v>0</v>
      </c>
    </row>
    <row r="32" spans="1:13">
      <c r="A32" s="221"/>
      <c r="B32" s="110" t="s">
        <v>89</v>
      </c>
      <c r="C32" s="77" t="s">
        <v>536</v>
      </c>
      <c r="D32" s="110" t="s">
        <v>215</v>
      </c>
      <c r="E32" s="13">
        <v>1.02</v>
      </c>
      <c r="F32" s="13">
        <f>F29*E32</f>
        <v>0.78336000000000028</v>
      </c>
      <c r="G32" s="90"/>
      <c r="H32" s="312">
        <f>F32*G32</f>
        <v>0</v>
      </c>
      <c r="I32" s="90"/>
      <c r="J32" s="312"/>
      <c r="K32" s="91"/>
      <c r="L32" s="312"/>
      <c r="M32" s="312">
        <f t="shared" si="1"/>
        <v>0</v>
      </c>
    </row>
    <row r="33" spans="1:13">
      <c r="A33" s="221"/>
      <c r="B33" s="309" t="s">
        <v>174</v>
      </c>
      <c r="C33" s="190" t="s">
        <v>223</v>
      </c>
      <c r="D33" s="309" t="s">
        <v>224</v>
      </c>
      <c r="E33" s="13">
        <v>1.03</v>
      </c>
      <c r="F33" s="13">
        <v>1.4999999999999999E-2</v>
      </c>
      <c r="G33" s="90"/>
      <c r="H33" s="312">
        <f>F33*G33</f>
        <v>0</v>
      </c>
      <c r="I33" s="90"/>
      <c r="J33" s="312"/>
      <c r="K33" s="91"/>
      <c r="L33" s="312"/>
      <c r="M33" s="312">
        <f t="shared" si="1"/>
        <v>0</v>
      </c>
    </row>
    <row r="34" spans="1:13">
      <c r="A34" s="222"/>
      <c r="B34" s="223"/>
      <c r="C34" s="327" t="s">
        <v>225</v>
      </c>
      <c r="D34" s="122" t="s">
        <v>143</v>
      </c>
      <c r="E34" s="14">
        <v>0.62</v>
      </c>
      <c r="F34" s="14">
        <f>F29*E34</f>
        <v>0.47616000000000014</v>
      </c>
      <c r="G34" s="90"/>
      <c r="H34" s="312">
        <f>F34*G34</f>
        <v>0</v>
      </c>
      <c r="I34" s="312"/>
      <c r="J34" s="312"/>
      <c r="K34" s="91"/>
      <c r="L34" s="312"/>
      <c r="M34" s="312">
        <f t="shared" si="1"/>
        <v>0</v>
      </c>
    </row>
    <row r="35" spans="1:13" ht="29.45" customHeight="1">
      <c r="A35" s="64"/>
      <c r="B35" s="64"/>
      <c r="C35" s="64" t="s">
        <v>430</v>
      </c>
      <c r="D35" s="298"/>
      <c r="E35" s="299"/>
      <c r="F35" s="1"/>
      <c r="G35" s="300"/>
      <c r="H35" s="6">
        <f>SUM(H7:H34)</f>
        <v>0</v>
      </c>
      <c r="I35" s="300"/>
      <c r="J35" s="6">
        <f>SUM(J7:J34)</f>
        <v>0</v>
      </c>
      <c r="K35" s="301"/>
      <c r="L35" s="6">
        <f>SUM(L7:L34)</f>
        <v>0</v>
      </c>
      <c r="M35" s="6">
        <f t="shared" si="1"/>
        <v>0</v>
      </c>
    </row>
    <row r="36" spans="1:13" ht="40.5">
      <c r="A36" s="232"/>
      <c r="B36" s="232"/>
      <c r="C36" s="231" t="s">
        <v>426</v>
      </c>
      <c r="D36" s="232"/>
      <c r="E36" s="234"/>
      <c r="F36" s="335"/>
      <c r="G36" s="209"/>
      <c r="H36" s="209"/>
      <c r="I36" s="209"/>
      <c r="J36" s="209"/>
      <c r="K36" s="209"/>
      <c r="L36" s="209"/>
      <c r="M36" s="313">
        <f>H35*F36</f>
        <v>0</v>
      </c>
    </row>
    <row r="37" spans="1:13" ht="21" customHeight="1">
      <c r="A37" s="232"/>
      <c r="B37" s="232"/>
      <c r="C37" s="80"/>
      <c r="D37" s="232"/>
      <c r="E37" s="234"/>
      <c r="F37" s="234"/>
      <c r="G37" s="209"/>
      <c r="H37" s="209"/>
      <c r="I37" s="209"/>
      <c r="J37" s="98" t="s">
        <v>21</v>
      </c>
      <c r="K37" s="209"/>
      <c r="L37" s="209"/>
      <c r="M37" s="313">
        <f>M35+M36</f>
        <v>0</v>
      </c>
    </row>
    <row r="38" spans="1:13" ht="21.75" customHeight="1">
      <c r="A38" s="64"/>
      <c r="B38" s="44"/>
      <c r="C38" s="132" t="s">
        <v>433</v>
      </c>
      <c r="D38" s="44"/>
      <c r="E38" s="96"/>
      <c r="F38" s="335"/>
      <c r="G38" s="124"/>
      <c r="H38" s="124"/>
      <c r="I38" s="124"/>
      <c r="J38" s="124"/>
      <c r="K38" s="124"/>
      <c r="L38" s="124"/>
      <c r="M38" s="124">
        <f>M37*F38</f>
        <v>0</v>
      </c>
    </row>
    <row r="39" spans="1:13" ht="21" customHeight="1">
      <c r="A39" s="257"/>
      <c r="B39" s="45"/>
      <c r="C39" s="133" t="s">
        <v>434</v>
      </c>
      <c r="D39" s="45"/>
      <c r="E39" s="97"/>
      <c r="F39" s="97"/>
      <c r="G39" s="98"/>
      <c r="H39" s="98"/>
      <c r="I39" s="98"/>
      <c r="J39" s="98"/>
      <c r="K39" s="98"/>
      <c r="L39" s="98"/>
      <c r="M39" s="98">
        <f>M37+M38</f>
        <v>0</v>
      </c>
    </row>
    <row r="40" spans="1:13" ht="20.25" customHeight="1">
      <c r="A40" s="302"/>
      <c r="B40" s="302"/>
      <c r="C40" s="303" t="s">
        <v>226</v>
      </c>
      <c r="D40" s="304"/>
      <c r="E40" s="305"/>
      <c r="F40" s="305"/>
      <c r="G40" s="125"/>
      <c r="H40" s="315"/>
      <c r="I40" s="125"/>
      <c r="J40" s="315"/>
      <c r="K40" s="126"/>
      <c r="L40" s="315"/>
      <c r="M40" s="315"/>
    </row>
    <row r="41" spans="1:13" ht="47.25">
      <c r="A41" s="306" t="s">
        <v>251</v>
      </c>
      <c r="B41" s="116" t="s">
        <v>194</v>
      </c>
      <c r="C41" s="189" t="s">
        <v>397</v>
      </c>
      <c r="D41" s="309" t="s">
        <v>145</v>
      </c>
      <c r="E41" s="314"/>
      <c r="F41" s="1">
        <f>F44+F45</f>
        <v>6</v>
      </c>
      <c r="G41" s="312"/>
      <c r="H41" s="312"/>
      <c r="I41" s="312"/>
      <c r="J41" s="312"/>
      <c r="K41" s="312"/>
      <c r="L41" s="312"/>
      <c r="M41" s="312"/>
    </row>
    <row r="42" spans="1:13">
      <c r="A42" s="308"/>
      <c r="B42" s="115"/>
      <c r="C42" s="328" t="s">
        <v>208</v>
      </c>
      <c r="D42" s="115" t="s">
        <v>141</v>
      </c>
      <c r="E42" s="14">
        <v>1</v>
      </c>
      <c r="F42" s="14">
        <f>F41*E42</f>
        <v>6</v>
      </c>
      <c r="G42" s="90"/>
      <c r="H42" s="312"/>
      <c r="I42" s="90"/>
      <c r="J42" s="312">
        <f>F42*I42</f>
        <v>0</v>
      </c>
      <c r="K42" s="91"/>
      <c r="L42" s="312"/>
      <c r="M42" s="312">
        <f>J42</f>
        <v>0</v>
      </c>
    </row>
    <row r="43" spans="1:13">
      <c r="A43" s="308"/>
      <c r="B43" s="115"/>
      <c r="C43" s="328" t="s">
        <v>24</v>
      </c>
      <c r="D43" s="115" t="s">
        <v>22</v>
      </c>
      <c r="E43" s="14">
        <v>1.1599999999999999</v>
      </c>
      <c r="F43" s="14">
        <f>F41*E43</f>
        <v>6.9599999999999991</v>
      </c>
      <c r="G43" s="90"/>
      <c r="H43" s="312"/>
      <c r="I43" s="90"/>
      <c r="J43" s="312"/>
      <c r="K43" s="91"/>
      <c r="L43" s="312">
        <f>F43*K43</f>
        <v>0</v>
      </c>
      <c r="M43" s="312">
        <f>L43</f>
        <v>0</v>
      </c>
    </row>
    <row r="44" spans="1:13" ht="47.25">
      <c r="A44" s="308"/>
      <c r="B44" s="309"/>
      <c r="C44" s="53" t="s">
        <v>398</v>
      </c>
      <c r="D44" s="309" t="s">
        <v>227</v>
      </c>
      <c r="E44" s="314"/>
      <c r="F44" s="314">
        <v>6</v>
      </c>
      <c r="G44" s="312"/>
      <c r="H44" s="312">
        <f>F44*G44</f>
        <v>0</v>
      </c>
      <c r="I44" s="90"/>
      <c r="J44" s="312"/>
      <c r="K44" s="312"/>
      <c r="L44" s="312"/>
      <c r="M44" s="312">
        <f>H44</f>
        <v>0</v>
      </c>
    </row>
    <row r="45" spans="1:13" ht="48.6" hidden="1" customHeight="1">
      <c r="A45" s="308"/>
      <c r="B45" s="309"/>
      <c r="C45" s="53" t="s">
        <v>376</v>
      </c>
      <c r="D45" s="309" t="s">
        <v>227</v>
      </c>
      <c r="E45" s="314"/>
      <c r="F45" s="314">
        <v>0</v>
      </c>
      <c r="G45" s="312"/>
      <c r="H45" s="312">
        <f>F45*G45</f>
        <v>0</v>
      </c>
      <c r="I45" s="90"/>
      <c r="J45" s="312"/>
      <c r="K45" s="312"/>
      <c r="L45" s="312"/>
      <c r="M45" s="312">
        <f>H45</f>
        <v>0</v>
      </c>
    </row>
    <row r="46" spans="1:13">
      <c r="A46" s="307"/>
      <c r="B46" s="309"/>
      <c r="C46" s="53" t="s">
        <v>28</v>
      </c>
      <c r="D46" s="309" t="s">
        <v>22</v>
      </c>
      <c r="E46" s="314">
        <v>0.05</v>
      </c>
      <c r="F46" s="314">
        <f>F41*E46</f>
        <v>0.30000000000000004</v>
      </c>
      <c r="G46" s="312"/>
      <c r="H46" s="312">
        <f>F46*G46</f>
        <v>0</v>
      </c>
      <c r="I46" s="90"/>
      <c r="J46" s="312"/>
      <c r="K46" s="312"/>
      <c r="L46" s="312"/>
      <c r="M46" s="312">
        <f>H46</f>
        <v>0</v>
      </c>
    </row>
    <row r="47" spans="1:13">
      <c r="A47" s="306" t="s">
        <v>252</v>
      </c>
      <c r="B47" s="64" t="s">
        <v>399</v>
      </c>
      <c r="C47" s="329" t="s">
        <v>400</v>
      </c>
      <c r="D47" s="309" t="s">
        <v>401</v>
      </c>
      <c r="E47" s="316"/>
      <c r="F47" s="1">
        <f>F49+F50+F51</f>
        <v>325</v>
      </c>
      <c r="G47" s="205"/>
      <c r="H47" s="177"/>
      <c r="I47" s="205"/>
      <c r="J47" s="312"/>
      <c r="K47" s="312"/>
      <c r="L47" s="312"/>
      <c r="M47" s="312"/>
    </row>
    <row r="48" spans="1:13">
      <c r="A48" s="308"/>
      <c r="B48" s="309"/>
      <c r="C48" s="23" t="s">
        <v>32</v>
      </c>
      <c r="D48" s="309" t="s">
        <v>402</v>
      </c>
      <c r="E48" s="316">
        <v>0.13900000000000001</v>
      </c>
      <c r="F48" s="316">
        <f>F47*E48</f>
        <v>45.175000000000004</v>
      </c>
      <c r="G48" s="317"/>
      <c r="H48" s="177"/>
      <c r="I48" s="317"/>
      <c r="J48" s="312">
        <f>F48*I48</f>
        <v>0</v>
      </c>
      <c r="K48" s="312"/>
      <c r="L48" s="312"/>
      <c r="M48" s="312">
        <f>J48</f>
        <v>0</v>
      </c>
    </row>
    <row r="49" spans="1:13">
      <c r="A49" s="308"/>
      <c r="B49" s="309"/>
      <c r="C49" s="53" t="s">
        <v>403</v>
      </c>
      <c r="D49" s="115" t="s">
        <v>11</v>
      </c>
      <c r="E49" s="14"/>
      <c r="F49" s="14">
        <v>25</v>
      </c>
      <c r="G49" s="90"/>
      <c r="H49" s="312">
        <f>F49*G49</f>
        <v>0</v>
      </c>
      <c r="I49" s="90"/>
      <c r="J49" s="312"/>
      <c r="K49" s="91"/>
      <c r="L49" s="312"/>
      <c r="M49" s="312">
        <f>H49</f>
        <v>0</v>
      </c>
    </row>
    <row r="50" spans="1:13">
      <c r="A50" s="308"/>
      <c r="B50" s="309"/>
      <c r="C50" s="53" t="s">
        <v>404</v>
      </c>
      <c r="D50" s="309" t="s">
        <v>11</v>
      </c>
      <c r="E50" s="314"/>
      <c r="F50" s="314">
        <v>150</v>
      </c>
      <c r="G50" s="312"/>
      <c r="H50" s="312">
        <f>F50*G50</f>
        <v>0</v>
      </c>
      <c r="I50" s="90"/>
      <c r="J50" s="312"/>
      <c r="K50" s="312"/>
      <c r="L50" s="312"/>
      <c r="M50" s="312">
        <f>H50</f>
        <v>0</v>
      </c>
    </row>
    <row r="51" spans="1:13">
      <c r="A51" s="308"/>
      <c r="B51" s="309"/>
      <c r="C51" s="53" t="s">
        <v>405</v>
      </c>
      <c r="D51" s="309" t="s">
        <v>11</v>
      </c>
      <c r="E51" s="314"/>
      <c r="F51" s="314">
        <v>150</v>
      </c>
      <c r="G51" s="312"/>
      <c r="H51" s="312">
        <f>F51*G51</f>
        <v>0</v>
      </c>
      <c r="I51" s="90"/>
      <c r="J51" s="312"/>
      <c r="K51" s="312"/>
      <c r="L51" s="312"/>
      <c r="M51" s="312">
        <f>H51</f>
        <v>0</v>
      </c>
    </row>
    <row r="52" spans="1:13">
      <c r="A52" s="307"/>
      <c r="B52" s="309"/>
      <c r="C52" s="23" t="s">
        <v>146</v>
      </c>
      <c r="D52" s="309" t="s">
        <v>143</v>
      </c>
      <c r="E52" s="316">
        <v>9.7000000000000003E-3</v>
      </c>
      <c r="F52" s="14">
        <f>F47*E52</f>
        <v>3.1525000000000003</v>
      </c>
      <c r="G52" s="317"/>
      <c r="H52" s="177">
        <f>F52*G52</f>
        <v>0</v>
      </c>
      <c r="I52" s="90"/>
      <c r="J52" s="312"/>
      <c r="K52" s="312"/>
      <c r="L52" s="312"/>
      <c r="M52" s="312">
        <f>H52</f>
        <v>0</v>
      </c>
    </row>
    <row r="53" spans="1:13" ht="38.25" customHeight="1">
      <c r="A53" s="306" t="s">
        <v>128</v>
      </c>
      <c r="B53" s="64" t="s">
        <v>406</v>
      </c>
      <c r="C53" s="191" t="s">
        <v>407</v>
      </c>
      <c r="D53" s="309"/>
      <c r="E53" s="316"/>
      <c r="F53" s="14" t="s">
        <v>86</v>
      </c>
      <c r="G53" s="317"/>
      <c r="H53" s="177"/>
      <c r="I53" s="90"/>
      <c r="J53" s="312"/>
      <c r="K53" s="312"/>
      <c r="L53" s="312"/>
      <c r="M53" s="312"/>
    </row>
    <row r="54" spans="1:13">
      <c r="A54" s="308"/>
      <c r="B54" s="309"/>
      <c r="C54" s="23" t="s">
        <v>32</v>
      </c>
      <c r="D54" s="309" t="s">
        <v>402</v>
      </c>
      <c r="E54" s="316">
        <v>7.05</v>
      </c>
      <c r="F54" s="316">
        <f>F53*E54</f>
        <v>7.05</v>
      </c>
      <c r="G54" s="317"/>
      <c r="H54" s="177"/>
      <c r="I54" s="317"/>
      <c r="J54" s="177">
        <f>F54*I54</f>
        <v>0</v>
      </c>
      <c r="K54" s="317"/>
      <c r="L54" s="177"/>
      <c r="M54" s="177">
        <f>H54+J54+L54</f>
        <v>0</v>
      </c>
    </row>
    <row r="55" spans="1:13" ht="67.5">
      <c r="A55" s="308"/>
      <c r="B55" s="233"/>
      <c r="C55" s="23" t="s">
        <v>408</v>
      </c>
      <c r="D55" s="309" t="s">
        <v>15</v>
      </c>
      <c r="E55" s="316"/>
      <c r="F55" s="14" t="s">
        <v>86</v>
      </c>
      <c r="G55" s="317"/>
      <c r="H55" s="312">
        <f>F55*G55</f>
        <v>0</v>
      </c>
      <c r="I55" s="90"/>
      <c r="J55" s="312"/>
      <c r="K55" s="312"/>
      <c r="L55" s="312"/>
      <c r="M55" s="312">
        <f>H55</f>
        <v>0</v>
      </c>
    </row>
    <row r="56" spans="1:13">
      <c r="A56" s="308"/>
      <c r="B56" s="309"/>
      <c r="C56" s="23" t="s">
        <v>409</v>
      </c>
      <c r="D56" s="309" t="s">
        <v>15</v>
      </c>
      <c r="E56" s="316"/>
      <c r="F56" s="14" t="s">
        <v>86</v>
      </c>
      <c r="G56" s="317"/>
      <c r="H56" s="312">
        <f>F56*G56</f>
        <v>0</v>
      </c>
      <c r="I56" s="90"/>
      <c r="J56" s="312"/>
      <c r="K56" s="312"/>
      <c r="L56" s="312"/>
      <c r="M56" s="312">
        <f>H56</f>
        <v>0</v>
      </c>
    </row>
    <row r="57" spans="1:13">
      <c r="A57" s="308"/>
      <c r="B57" s="309"/>
      <c r="C57" s="23" t="s">
        <v>410</v>
      </c>
      <c r="D57" s="309" t="s">
        <v>15</v>
      </c>
      <c r="E57" s="316"/>
      <c r="F57" s="14">
        <v>1</v>
      </c>
      <c r="G57" s="317"/>
      <c r="H57" s="312">
        <f t="shared" ref="H57:H63" si="2">F57*G57</f>
        <v>0</v>
      </c>
      <c r="I57" s="90"/>
      <c r="J57" s="312"/>
      <c r="K57" s="312"/>
      <c r="L57" s="312"/>
      <c r="M57" s="312">
        <f t="shared" ref="M57:M63" si="3">H57</f>
        <v>0</v>
      </c>
    </row>
    <row r="58" spans="1:13">
      <c r="A58" s="308"/>
      <c r="B58" s="309"/>
      <c r="C58" s="63" t="s">
        <v>507</v>
      </c>
      <c r="D58" s="309" t="s">
        <v>15</v>
      </c>
      <c r="E58" s="309"/>
      <c r="F58" s="258" t="s">
        <v>265</v>
      </c>
      <c r="G58" s="317"/>
      <c r="H58" s="312">
        <f t="shared" si="2"/>
        <v>0</v>
      </c>
      <c r="I58" s="90"/>
      <c r="J58" s="312"/>
      <c r="K58" s="312"/>
      <c r="L58" s="312"/>
      <c r="M58" s="312">
        <f t="shared" si="3"/>
        <v>0</v>
      </c>
    </row>
    <row r="59" spans="1:13">
      <c r="A59" s="308"/>
      <c r="B59" s="309"/>
      <c r="C59" s="23" t="s">
        <v>411</v>
      </c>
      <c r="D59" s="309" t="s">
        <v>15</v>
      </c>
      <c r="E59" s="316"/>
      <c r="F59" s="14" t="s">
        <v>86</v>
      </c>
      <c r="G59" s="317"/>
      <c r="H59" s="312">
        <f t="shared" si="2"/>
        <v>0</v>
      </c>
      <c r="I59" s="90"/>
      <c r="J59" s="312"/>
      <c r="K59" s="312"/>
      <c r="L59" s="312"/>
      <c r="M59" s="312">
        <f t="shared" si="3"/>
        <v>0</v>
      </c>
    </row>
    <row r="60" spans="1:13">
      <c r="A60" s="308"/>
      <c r="B60" s="309"/>
      <c r="C60" s="23" t="s">
        <v>412</v>
      </c>
      <c r="D60" s="309" t="s">
        <v>15</v>
      </c>
      <c r="E60" s="316"/>
      <c r="F60" s="14" t="s">
        <v>86</v>
      </c>
      <c r="G60" s="317"/>
      <c r="H60" s="312">
        <f t="shared" si="2"/>
        <v>0</v>
      </c>
      <c r="I60" s="90"/>
      <c r="J60" s="312"/>
      <c r="K60" s="312"/>
      <c r="L60" s="312"/>
      <c r="M60" s="312">
        <f t="shared" si="3"/>
        <v>0</v>
      </c>
    </row>
    <row r="61" spans="1:13">
      <c r="A61" s="308"/>
      <c r="B61" s="309"/>
      <c r="C61" s="23" t="s">
        <v>413</v>
      </c>
      <c r="D61" s="309" t="s">
        <v>15</v>
      </c>
      <c r="E61" s="316"/>
      <c r="F61" s="14" t="s">
        <v>86</v>
      </c>
      <c r="G61" s="317"/>
      <c r="H61" s="312">
        <f t="shared" si="2"/>
        <v>0</v>
      </c>
      <c r="I61" s="90"/>
      <c r="J61" s="312"/>
      <c r="K61" s="312"/>
      <c r="L61" s="312"/>
      <c r="M61" s="312">
        <f t="shared" si="3"/>
        <v>0</v>
      </c>
    </row>
    <row r="62" spans="1:13" hidden="1">
      <c r="A62" s="308"/>
      <c r="B62" s="309"/>
      <c r="C62" s="63" t="s">
        <v>414</v>
      </c>
      <c r="D62" s="309" t="s">
        <v>15</v>
      </c>
      <c r="E62" s="309" t="s">
        <v>86</v>
      </c>
      <c r="F62" s="258"/>
      <c r="G62" s="317"/>
      <c r="H62" s="312">
        <f t="shared" si="2"/>
        <v>0</v>
      </c>
      <c r="I62" s="90"/>
      <c r="J62" s="312"/>
      <c r="K62" s="312"/>
      <c r="L62" s="312"/>
      <c r="M62" s="312">
        <f t="shared" si="3"/>
        <v>0</v>
      </c>
    </row>
    <row r="63" spans="1:13">
      <c r="A63" s="307"/>
      <c r="B63" s="309"/>
      <c r="C63" s="23" t="s">
        <v>415</v>
      </c>
      <c r="D63" s="309" t="s">
        <v>15</v>
      </c>
      <c r="E63" s="316"/>
      <c r="F63" s="14" t="s">
        <v>86</v>
      </c>
      <c r="G63" s="317"/>
      <c r="H63" s="312">
        <f t="shared" si="2"/>
        <v>0</v>
      </c>
      <c r="I63" s="90"/>
      <c r="J63" s="312"/>
      <c r="K63" s="312"/>
      <c r="L63" s="312"/>
      <c r="M63" s="312">
        <f t="shared" si="3"/>
        <v>0</v>
      </c>
    </row>
    <row r="64" spans="1:13" hidden="1">
      <c r="A64" s="362" t="s">
        <v>253</v>
      </c>
      <c r="B64" s="64" t="s">
        <v>234</v>
      </c>
      <c r="C64" s="70" t="s">
        <v>228</v>
      </c>
      <c r="D64" s="309" t="s">
        <v>15</v>
      </c>
      <c r="E64" s="314"/>
      <c r="F64" s="1">
        <v>0</v>
      </c>
      <c r="G64" s="312"/>
      <c r="H64" s="312"/>
      <c r="I64" s="90"/>
      <c r="J64" s="312"/>
      <c r="K64" s="312"/>
      <c r="L64" s="312"/>
      <c r="M64" s="312"/>
    </row>
    <row r="65" spans="1:13" hidden="1">
      <c r="A65" s="365"/>
      <c r="B65" s="309"/>
      <c r="C65" s="119" t="s">
        <v>208</v>
      </c>
      <c r="D65" s="115" t="s">
        <v>141</v>
      </c>
      <c r="E65" s="14">
        <v>1.69</v>
      </c>
      <c r="F65" s="14">
        <f>F64*E65</f>
        <v>0</v>
      </c>
      <c r="G65" s="90"/>
      <c r="H65" s="312"/>
      <c r="I65" s="90">
        <v>6</v>
      </c>
      <c r="J65" s="312">
        <f>F65*I65</f>
        <v>0</v>
      </c>
      <c r="K65" s="91"/>
      <c r="L65" s="312"/>
      <c r="M65" s="312">
        <f>J65</f>
        <v>0</v>
      </c>
    </row>
    <row r="66" spans="1:13" hidden="1">
      <c r="A66" s="365"/>
      <c r="B66" s="309"/>
      <c r="C66" s="119" t="s">
        <v>24</v>
      </c>
      <c r="D66" s="115" t="s">
        <v>22</v>
      </c>
      <c r="E66" s="14">
        <v>2.3E-2</v>
      </c>
      <c r="F66" s="14">
        <f>F64*E66</f>
        <v>0</v>
      </c>
      <c r="G66" s="90"/>
      <c r="H66" s="312"/>
      <c r="I66" s="90"/>
      <c r="J66" s="312"/>
      <c r="K66" s="91">
        <v>3.2</v>
      </c>
      <c r="L66" s="312">
        <f>F66*K66</f>
        <v>0</v>
      </c>
      <c r="M66" s="312">
        <f>L66</f>
        <v>0</v>
      </c>
    </row>
    <row r="67" spans="1:13" hidden="1">
      <c r="A67" s="365"/>
      <c r="B67" s="309" t="s">
        <v>235</v>
      </c>
      <c r="C67" s="190" t="s">
        <v>228</v>
      </c>
      <c r="D67" s="309" t="s">
        <v>15</v>
      </c>
      <c r="E67" s="314">
        <v>1</v>
      </c>
      <c r="F67" s="314">
        <f>F64*E67</f>
        <v>0</v>
      </c>
      <c r="G67" s="312"/>
      <c r="H67" s="312">
        <f>F67*G67</f>
        <v>0</v>
      </c>
      <c r="I67" s="90"/>
      <c r="J67" s="312"/>
      <c r="K67" s="312"/>
      <c r="L67" s="312"/>
      <c r="M67" s="312">
        <f>H67</f>
        <v>0</v>
      </c>
    </row>
    <row r="68" spans="1:13" hidden="1">
      <c r="A68" s="365"/>
      <c r="B68" s="309" t="s">
        <v>236</v>
      </c>
      <c r="C68" s="190" t="s">
        <v>237</v>
      </c>
      <c r="D68" s="309" t="s">
        <v>15</v>
      </c>
      <c r="E68" s="314">
        <v>1</v>
      </c>
      <c r="F68" s="314">
        <f>F64*E68</f>
        <v>0</v>
      </c>
      <c r="G68" s="312"/>
      <c r="H68" s="312">
        <f>F68*G68</f>
        <v>0</v>
      </c>
      <c r="I68" s="90"/>
      <c r="J68" s="312"/>
      <c r="K68" s="312"/>
      <c r="L68" s="312"/>
      <c r="M68" s="312">
        <f>H68</f>
        <v>0</v>
      </c>
    </row>
    <row r="69" spans="1:13" hidden="1">
      <c r="A69" s="363"/>
      <c r="B69" s="309"/>
      <c r="C69" s="190" t="s">
        <v>28</v>
      </c>
      <c r="D69" s="309" t="s">
        <v>22</v>
      </c>
      <c r="E69" s="314">
        <v>1.01E-2</v>
      </c>
      <c r="F69" s="314">
        <f>F64*E69</f>
        <v>0</v>
      </c>
      <c r="G69" s="312"/>
      <c r="H69" s="312">
        <f>F69*G69</f>
        <v>0</v>
      </c>
      <c r="I69" s="90"/>
      <c r="J69" s="312"/>
      <c r="K69" s="312"/>
      <c r="L69" s="312"/>
      <c r="M69" s="312">
        <f>H69</f>
        <v>0</v>
      </c>
    </row>
    <row r="70" spans="1:13">
      <c r="A70" s="307"/>
      <c r="B70" s="309"/>
      <c r="C70" s="23" t="s">
        <v>146</v>
      </c>
      <c r="D70" s="309" t="s">
        <v>143</v>
      </c>
      <c r="E70" s="316">
        <v>0.39600000000000002</v>
      </c>
      <c r="F70" s="14">
        <f>E70*F55</f>
        <v>0.39600000000000002</v>
      </c>
      <c r="G70" s="317"/>
      <c r="H70" s="177">
        <f>F70*G70</f>
        <v>0</v>
      </c>
      <c r="I70" s="90"/>
      <c r="J70" s="312"/>
      <c r="K70" s="312"/>
      <c r="L70" s="312"/>
      <c r="M70" s="312">
        <f>H70</f>
        <v>0</v>
      </c>
    </row>
    <row r="71" spans="1:13" ht="31.5">
      <c r="A71" s="309" t="s">
        <v>129</v>
      </c>
      <c r="B71" s="309"/>
      <c r="C71" s="311" t="s">
        <v>229</v>
      </c>
      <c r="D71" s="309"/>
      <c r="E71" s="127"/>
      <c r="F71" s="127"/>
      <c r="G71" s="128"/>
      <c r="H71" s="128"/>
      <c r="I71" s="129"/>
      <c r="J71" s="128"/>
      <c r="K71" s="128"/>
      <c r="L71" s="128"/>
      <c r="M71" s="128"/>
    </row>
    <row r="72" spans="1:13" ht="40.5">
      <c r="A72" s="242" t="s">
        <v>438</v>
      </c>
      <c r="B72" s="57" t="s">
        <v>230</v>
      </c>
      <c r="C72" s="330" t="s">
        <v>231</v>
      </c>
      <c r="D72" s="48" t="s">
        <v>15</v>
      </c>
      <c r="E72" s="130"/>
      <c r="F72" s="154">
        <v>9</v>
      </c>
      <c r="G72" s="17"/>
      <c r="H72" s="49"/>
      <c r="I72" s="49"/>
      <c r="J72" s="49"/>
      <c r="K72" s="49"/>
      <c r="L72" s="49"/>
      <c r="M72" s="49"/>
    </row>
    <row r="73" spans="1:13">
      <c r="A73" s="243"/>
      <c r="B73" s="219"/>
      <c r="C73" s="331" t="s">
        <v>23</v>
      </c>
      <c r="D73" s="48" t="s">
        <v>25</v>
      </c>
      <c r="E73" s="106">
        <v>0.9</v>
      </c>
      <c r="F73" s="197">
        <f>E73*F72</f>
        <v>8.1</v>
      </c>
      <c r="G73" s="17"/>
      <c r="H73" s="49"/>
      <c r="I73" s="49"/>
      <c r="J73" s="49">
        <f>F73*I73</f>
        <v>0</v>
      </c>
      <c r="K73" s="49"/>
      <c r="L73" s="49"/>
      <c r="M73" s="49">
        <f>J73</f>
        <v>0</v>
      </c>
    </row>
    <row r="74" spans="1:13">
      <c r="A74" s="243"/>
      <c r="B74" s="219"/>
      <c r="C74" s="332" t="s">
        <v>24</v>
      </c>
      <c r="D74" s="48" t="s">
        <v>22</v>
      </c>
      <c r="E74" s="106">
        <v>7.0000000000000007E-2</v>
      </c>
      <c r="F74" s="106">
        <f>E74*F72</f>
        <v>0.63000000000000012</v>
      </c>
      <c r="G74" s="17"/>
      <c r="H74" s="49"/>
      <c r="I74" s="49"/>
      <c r="J74" s="49"/>
      <c r="K74" s="49"/>
      <c r="L74" s="49">
        <f>F74*K74</f>
        <v>0</v>
      </c>
      <c r="M74" s="49">
        <f>L74</f>
        <v>0</v>
      </c>
    </row>
    <row r="75" spans="1:13" ht="31.5">
      <c r="A75" s="243"/>
      <c r="B75" s="50" t="s">
        <v>416</v>
      </c>
      <c r="C75" s="332" t="s">
        <v>417</v>
      </c>
      <c r="D75" s="51" t="s">
        <v>15</v>
      </c>
      <c r="E75" s="131"/>
      <c r="F75" s="197">
        <v>9</v>
      </c>
      <c r="G75" s="17"/>
      <c r="H75" s="49">
        <f>F75*G75</f>
        <v>0</v>
      </c>
      <c r="I75" s="49"/>
      <c r="J75" s="49"/>
      <c r="K75" s="49"/>
      <c r="L75" s="49"/>
      <c r="M75" s="49">
        <f>H75</f>
        <v>0</v>
      </c>
    </row>
    <row r="76" spans="1:13">
      <c r="A76" s="243"/>
      <c r="B76" s="50" t="s">
        <v>418</v>
      </c>
      <c r="C76" s="332" t="s">
        <v>508</v>
      </c>
      <c r="D76" s="51" t="s">
        <v>15</v>
      </c>
      <c r="E76" s="131"/>
      <c r="F76" s="197">
        <v>9</v>
      </c>
      <c r="G76" s="17"/>
      <c r="H76" s="49">
        <f t="shared" ref="H76:H83" si="4">F76*G76</f>
        <v>0</v>
      </c>
      <c r="I76" s="49"/>
      <c r="J76" s="49"/>
      <c r="K76" s="49"/>
      <c r="L76" s="49"/>
      <c r="M76" s="49">
        <f>H76</f>
        <v>0</v>
      </c>
    </row>
    <row r="77" spans="1:13">
      <c r="A77" s="243"/>
      <c r="B77" s="50"/>
      <c r="C77" s="332" t="s">
        <v>419</v>
      </c>
      <c r="D77" s="51" t="s">
        <v>15</v>
      </c>
      <c r="E77" s="131"/>
      <c r="F77" s="197">
        <v>1</v>
      </c>
      <c r="G77" s="17"/>
      <c r="H77" s="49">
        <f t="shared" si="4"/>
        <v>0</v>
      </c>
      <c r="I77" s="49"/>
      <c r="J77" s="49"/>
      <c r="K77" s="49"/>
      <c r="L77" s="49"/>
      <c r="M77" s="49">
        <f>H77</f>
        <v>0</v>
      </c>
    </row>
    <row r="78" spans="1:13">
      <c r="A78" s="244"/>
      <c r="B78" s="219"/>
      <c r="C78" s="331" t="s">
        <v>31</v>
      </c>
      <c r="D78" s="48" t="s">
        <v>22</v>
      </c>
      <c r="E78" s="106">
        <v>1.4</v>
      </c>
      <c r="F78" s="197">
        <f>E78*F72</f>
        <v>12.6</v>
      </c>
      <c r="G78" s="17"/>
      <c r="H78" s="49">
        <f t="shared" si="4"/>
        <v>0</v>
      </c>
      <c r="I78" s="17"/>
      <c r="J78" s="49"/>
      <c r="K78" s="17"/>
      <c r="L78" s="49"/>
      <c r="M78" s="49">
        <f>H78</f>
        <v>0</v>
      </c>
    </row>
    <row r="79" spans="1:13" ht="40.5">
      <c r="A79" s="242" t="s">
        <v>439</v>
      </c>
      <c r="B79" s="57" t="s">
        <v>232</v>
      </c>
      <c r="C79" s="330" t="s">
        <v>233</v>
      </c>
      <c r="D79" s="51" t="s">
        <v>11</v>
      </c>
      <c r="E79" s="130"/>
      <c r="F79" s="154">
        <f>F82</f>
        <v>12</v>
      </c>
      <c r="G79" s="17"/>
      <c r="H79" s="49"/>
      <c r="I79" s="49"/>
      <c r="J79" s="49"/>
      <c r="K79" s="49"/>
      <c r="L79" s="49"/>
      <c r="M79" s="49"/>
    </row>
    <row r="80" spans="1:13">
      <c r="A80" s="243"/>
      <c r="B80" s="219"/>
      <c r="C80" s="331" t="s">
        <v>23</v>
      </c>
      <c r="D80" s="48" t="s">
        <v>25</v>
      </c>
      <c r="E80" s="106">
        <v>0.12</v>
      </c>
      <c r="F80" s="197">
        <f>E80*F79</f>
        <v>1.44</v>
      </c>
      <c r="G80" s="17"/>
      <c r="H80" s="49"/>
      <c r="I80" s="49"/>
      <c r="J80" s="49">
        <f>F80*I80</f>
        <v>0</v>
      </c>
      <c r="K80" s="49"/>
      <c r="L80" s="49"/>
      <c r="M80" s="49">
        <f>J80</f>
        <v>0</v>
      </c>
    </row>
    <row r="81" spans="1:13">
      <c r="A81" s="243"/>
      <c r="B81" s="219"/>
      <c r="C81" s="332" t="s">
        <v>24</v>
      </c>
      <c r="D81" s="48" t="s">
        <v>22</v>
      </c>
      <c r="E81" s="106">
        <v>8.9999999999999993E-3</v>
      </c>
      <c r="F81" s="106">
        <f>E81*F79</f>
        <v>0.10799999999999998</v>
      </c>
      <c r="G81" s="17"/>
      <c r="H81" s="49"/>
      <c r="I81" s="49"/>
      <c r="J81" s="49"/>
      <c r="K81" s="49"/>
      <c r="L81" s="49">
        <f>F81*K81</f>
        <v>0</v>
      </c>
      <c r="M81" s="49">
        <f>L81</f>
        <v>0</v>
      </c>
    </row>
    <row r="82" spans="1:13" ht="31.5">
      <c r="A82" s="243"/>
      <c r="B82" s="50" t="s">
        <v>420</v>
      </c>
      <c r="C82" s="332" t="s">
        <v>421</v>
      </c>
      <c r="D82" s="51" t="s">
        <v>11</v>
      </c>
      <c r="E82" s="131"/>
      <c r="F82" s="197">
        <v>12</v>
      </c>
      <c r="G82" s="17"/>
      <c r="H82" s="49">
        <f t="shared" si="4"/>
        <v>0</v>
      </c>
      <c r="I82" s="49"/>
      <c r="J82" s="49"/>
      <c r="K82" s="49"/>
      <c r="L82" s="49"/>
      <c r="M82" s="49">
        <f>H82</f>
        <v>0</v>
      </c>
    </row>
    <row r="83" spans="1:13">
      <c r="A83" s="244"/>
      <c r="B83" s="219"/>
      <c r="C83" s="331" t="s">
        <v>31</v>
      </c>
      <c r="D83" s="48" t="s">
        <v>22</v>
      </c>
      <c r="E83" s="106">
        <v>0.193</v>
      </c>
      <c r="F83" s="197">
        <f>E83*F79</f>
        <v>2.3159999999999998</v>
      </c>
      <c r="G83" s="17"/>
      <c r="H83" s="49">
        <f t="shared" si="4"/>
        <v>0</v>
      </c>
      <c r="I83" s="17"/>
      <c r="J83" s="49"/>
      <c r="K83" s="17"/>
      <c r="L83" s="49"/>
      <c r="M83" s="49">
        <f>H83</f>
        <v>0</v>
      </c>
    </row>
    <row r="84" spans="1:13" ht="22.5" customHeight="1">
      <c r="A84" s="345"/>
      <c r="B84" s="345"/>
      <c r="C84" s="345" t="s">
        <v>430</v>
      </c>
      <c r="D84" s="345"/>
      <c r="E84" s="347"/>
      <c r="F84" s="347"/>
      <c r="G84" s="353"/>
      <c r="H84" s="353">
        <f>SUM(H42:H83)</f>
        <v>0</v>
      </c>
      <c r="I84" s="353"/>
      <c r="J84" s="353">
        <f>SUM(J42:J83)</f>
        <v>0</v>
      </c>
      <c r="K84" s="353"/>
      <c r="L84" s="353">
        <f>SUM(L42:L83)</f>
        <v>0</v>
      </c>
      <c r="M84" s="353">
        <f>SUM(M42:M83)</f>
        <v>0</v>
      </c>
    </row>
    <row r="85" spans="1:13" ht="40.5">
      <c r="A85" s="232"/>
      <c r="B85" s="232"/>
      <c r="C85" s="231" t="s">
        <v>426</v>
      </c>
      <c r="D85" s="232"/>
      <c r="E85" s="234"/>
      <c r="F85" s="335"/>
      <c r="G85" s="209"/>
      <c r="H85" s="209"/>
      <c r="I85" s="209"/>
      <c r="J85" s="209"/>
      <c r="K85" s="209"/>
      <c r="L85" s="209"/>
      <c r="M85" s="313">
        <f>H84*F85</f>
        <v>0</v>
      </c>
    </row>
    <row r="86" spans="1:13" ht="40.5">
      <c r="A86" s="309"/>
      <c r="B86" s="309"/>
      <c r="C86" s="309" t="s">
        <v>250</v>
      </c>
      <c r="D86" s="64"/>
      <c r="E86" s="314"/>
      <c r="F86" s="337"/>
      <c r="G86" s="312"/>
      <c r="H86" s="312"/>
      <c r="I86" s="312"/>
      <c r="J86" s="312"/>
      <c r="K86" s="312"/>
      <c r="L86" s="312"/>
      <c r="M86" s="312">
        <f>J84*F86</f>
        <v>0</v>
      </c>
    </row>
    <row r="87" spans="1:13" ht="21" customHeight="1">
      <c r="A87" s="64"/>
      <c r="B87" s="64"/>
      <c r="C87" s="311" t="s">
        <v>431</v>
      </c>
      <c r="D87" s="64"/>
      <c r="E87" s="1"/>
      <c r="F87" s="1"/>
      <c r="G87" s="6"/>
      <c r="H87" s="6"/>
      <c r="I87" s="6"/>
      <c r="J87" s="6"/>
      <c r="K87" s="6"/>
      <c r="L87" s="6"/>
      <c r="M87" s="6">
        <f>M84+M85+M86</f>
        <v>0</v>
      </c>
    </row>
    <row r="88" spans="1:13" ht="20.25" customHeight="1">
      <c r="A88" s="345"/>
      <c r="B88" s="345"/>
      <c r="C88" s="354" t="s">
        <v>432</v>
      </c>
      <c r="D88" s="345"/>
      <c r="E88" s="347"/>
      <c r="F88" s="347"/>
      <c r="G88" s="353"/>
      <c r="H88" s="353"/>
      <c r="I88" s="353"/>
      <c r="J88" s="353"/>
      <c r="K88" s="353"/>
      <c r="L88" s="353"/>
      <c r="M88" s="353">
        <f>M39+M87</f>
        <v>0</v>
      </c>
    </row>
    <row r="89" spans="1:13" ht="21" customHeight="1">
      <c r="A89" s="309"/>
      <c r="B89" s="309"/>
      <c r="C89" s="310" t="s">
        <v>35</v>
      </c>
      <c r="D89" s="64"/>
      <c r="E89" s="314"/>
      <c r="F89" s="337"/>
      <c r="G89" s="312"/>
      <c r="H89" s="6"/>
      <c r="I89" s="312"/>
      <c r="J89" s="312"/>
      <c r="K89" s="312"/>
      <c r="L89" s="312"/>
      <c r="M89" s="312">
        <f>M88*F89</f>
        <v>0</v>
      </c>
    </row>
    <row r="90" spans="1:13" ht="19.5" customHeight="1">
      <c r="A90" s="351"/>
      <c r="B90" s="351"/>
      <c r="C90" s="354" t="s">
        <v>429</v>
      </c>
      <c r="D90" s="351"/>
      <c r="E90" s="352"/>
      <c r="F90" s="352"/>
      <c r="G90" s="349"/>
      <c r="H90" s="349"/>
      <c r="I90" s="349"/>
      <c r="J90" s="349" t="s">
        <v>21</v>
      </c>
      <c r="K90" s="349"/>
      <c r="L90" s="349"/>
      <c r="M90" s="349">
        <f>M88+M89</f>
        <v>0</v>
      </c>
    </row>
    <row r="91" spans="1:13" ht="22.5" customHeight="1">
      <c r="A91" s="309"/>
      <c r="B91" s="309"/>
      <c r="C91" s="310" t="s">
        <v>12</v>
      </c>
      <c r="D91" s="64"/>
      <c r="E91" s="314"/>
      <c r="F91" s="333">
        <v>0.05</v>
      </c>
      <c r="G91" s="312"/>
      <c r="H91" s="312"/>
      <c r="I91" s="312"/>
      <c r="J91" s="312"/>
      <c r="K91" s="312"/>
      <c r="L91" s="312"/>
      <c r="M91" s="312">
        <f>M90*F91</f>
        <v>0</v>
      </c>
    </row>
    <row r="92" spans="1:13">
      <c r="A92" s="309"/>
      <c r="B92" s="309"/>
      <c r="C92" s="53"/>
      <c r="D92" s="64"/>
      <c r="E92" s="314"/>
      <c r="F92" s="1"/>
      <c r="G92" s="312"/>
      <c r="H92" s="312"/>
      <c r="I92" s="312"/>
      <c r="J92" s="6" t="s">
        <v>21</v>
      </c>
      <c r="K92" s="312"/>
      <c r="L92" s="312"/>
      <c r="M92" s="312">
        <f>M90+M91</f>
        <v>0</v>
      </c>
    </row>
    <row r="93" spans="1:13" ht="24" customHeight="1">
      <c r="A93" s="309"/>
      <c r="B93" s="309"/>
      <c r="C93" s="338" t="s">
        <v>539</v>
      </c>
      <c r="D93" s="64"/>
      <c r="E93" s="314"/>
      <c r="F93" s="334" t="s">
        <v>262</v>
      </c>
      <c r="G93" s="312"/>
      <c r="H93" s="312"/>
      <c r="I93" s="312"/>
      <c r="J93" s="312"/>
      <c r="K93" s="312"/>
      <c r="L93" s="312"/>
      <c r="M93" s="312">
        <f>M92*F93</f>
        <v>0</v>
      </c>
    </row>
    <row r="94" spans="1:13" ht="24" customHeight="1">
      <c r="A94" s="343"/>
      <c r="B94" s="343"/>
      <c r="C94" s="354" t="s">
        <v>429</v>
      </c>
      <c r="D94" s="343"/>
      <c r="E94" s="346"/>
      <c r="F94" s="355"/>
      <c r="G94" s="348"/>
      <c r="H94" s="348"/>
      <c r="I94" s="348"/>
      <c r="J94" s="348"/>
      <c r="K94" s="348"/>
      <c r="L94" s="348"/>
      <c r="M94" s="349">
        <f>M92+M93</f>
        <v>0</v>
      </c>
    </row>
    <row r="97" spans="1:10">
      <c r="A97" s="117"/>
      <c r="C97" s="69"/>
      <c r="D97" s="204"/>
      <c r="E97" s="52"/>
      <c r="I97" s="108"/>
      <c r="J97" s="108"/>
    </row>
    <row r="98" spans="1:10">
      <c r="C98" s="120"/>
      <c r="D98" s="105"/>
      <c r="E98" s="107"/>
    </row>
    <row r="99" spans="1:10">
      <c r="B99" s="54"/>
      <c r="C99" s="54"/>
      <c r="D99" s="54"/>
      <c r="E99" s="102"/>
      <c r="F99" s="102"/>
    </row>
  </sheetData>
  <autoFilter ref="A6:M72"/>
  <mergeCells count="14">
    <mergeCell ref="A64:A69"/>
    <mergeCell ref="A1:M1"/>
    <mergeCell ref="A2:M2"/>
    <mergeCell ref="A3:M3"/>
    <mergeCell ref="A4:A5"/>
    <mergeCell ref="B4:B5"/>
    <mergeCell ref="C4:C5"/>
    <mergeCell ref="D4:D5"/>
    <mergeCell ref="E4:E5"/>
    <mergeCell ref="F4:F5"/>
    <mergeCell ref="G4:H4"/>
    <mergeCell ref="I4:J4"/>
    <mergeCell ref="K4:L4"/>
    <mergeCell ref="M4:M5"/>
  </mergeCells>
  <pageMargins left="0.43307086614173229" right="0.19685039370078741" top="0.27559055118110237" bottom="0.19685039370078741" header="0.19685039370078741" footer="0.15748031496062992"/>
  <pageSetup paperSize="9" scale="72" orientation="landscape" r:id="rId1"/>
  <headerFooter>
    <oddHeader>&amp;R&amp;P--&amp;N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2"/>
  <sheetViews>
    <sheetView zoomScaleNormal="100" zoomScaleSheetLayoutView="140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M1"/>
    </sheetView>
  </sheetViews>
  <sheetFormatPr defaultColWidth="8.85546875" defaultRowHeight="15"/>
  <cols>
    <col min="1" max="1" width="5.140625" style="40" customWidth="1"/>
    <col min="2" max="2" width="8" style="40" customWidth="1"/>
    <col min="3" max="3" width="45" style="39" customWidth="1"/>
    <col min="4" max="4" width="8" style="40" customWidth="1"/>
    <col min="5" max="5" width="9.140625" style="41" bestFit="1" customWidth="1"/>
    <col min="6" max="6" width="10" style="41" customWidth="1"/>
    <col min="7" max="7" width="7.85546875" style="62" customWidth="1"/>
    <col min="8" max="8" width="10.7109375" style="62" customWidth="1"/>
    <col min="9" max="9" width="8.85546875" style="62" customWidth="1"/>
    <col min="10" max="10" width="10.5703125" style="62" customWidth="1"/>
    <col min="11" max="11" width="8.5703125" style="62" customWidth="1"/>
    <col min="12" max="12" width="9.140625" style="62" customWidth="1"/>
    <col min="13" max="13" width="12.28515625" style="62" customWidth="1"/>
    <col min="14" max="14" width="38.28515625" style="32" customWidth="1"/>
    <col min="15" max="16384" width="8.85546875" style="32"/>
  </cols>
  <sheetData>
    <row r="1" spans="1:13" ht="34.5" customHeight="1">
      <c r="A1" s="360" t="str">
        <f>krebsiti!A2</f>
        <v>q.borjomSi WavWavaZis quCaze sastumro "Tbilisis" mimdebared  skveris mowyobis samuSaoebi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ht="24.75" customHeight="1">
      <c r="A2" s="360" t="s">
        <v>137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3" spans="1:13" ht="30" customHeight="1">
      <c r="A3" s="360" t="s">
        <v>172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spans="1:13" ht="33.75" customHeight="1">
      <c r="A4" s="366" t="s">
        <v>0</v>
      </c>
      <c r="B4" s="366" t="s">
        <v>1</v>
      </c>
      <c r="C4" s="366" t="s">
        <v>2</v>
      </c>
      <c r="D4" s="366" t="s">
        <v>3</v>
      </c>
      <c r="E4" s="373" t="s">
        <v>4</v>
      </c>
      <c r="F4" s="373" t="s">
        <v>5</v>
      </c>
      <c r="G4" s="370" t="s">
        <v>6</v>
      </c>
      <c r="H4" s="370"/>
      <c r="I4" s="370" t="s">
        <v>7</v>
      </c>
      <c r="J4" s="370"/>
      <c r="K4" s="370" t="s">
        <v>27</v>
      </c>
      <c r="L4" s="370"/>
      <c r="M4" s="370" t="s">
        <v>8</v>
      </c>
    </row>
    <row r="5" spans="1:13" ht="39.75" customHeight="1">
      <c r="A5" s="366"/>
      <c r="B5" s="366"/>
      <c r="C5" s="366"/>
      <c r="D5" s="366"/>
      <c r="E5" s="373"/>
      <c r="F5" s="373"/>
      <c r="G5" s="312" t="s">
        <v>9</v>
      </c>
      <c r="H5" s="312" t="s">
        <v>10</v>
      </c>
      <c r="I5" s="312" t="s">
        <v>9</v>
      </c>
      <c r="J5" s="312" t="s">
        <v>10</v>
      </c>
      <c r="K5" s="312" t="s">
        <v>9</v>
      </c>
      <c r="L5" s="312" t="s">
        <v>10</v>
      </c>
      <c r="M5" s="370"/>
    </row>
    <row r="6" spans="1:13" ht="15.75">
      <c r="A6" s="310">
        <v>1</v>
      </c>
      <c r="B6" s="310">
        <v>2</v>
      </c>
      <c r="C6" s="310">
        <v>3</v>
      </c>
      <c r="D6" s="310">
        <v>4</v>
      </c>
      <c r="E6" s="314">
        <v>5</v>
      </c>
      <c r="F6" s="314">
        <v>6</v>
      </c>
      <c r="G6" s="314">
        <v>7</v>
      </c>
      <c r="H6" s="314">
        <v>8</v>
      </c>
      <c r="I6" s="314">
        <v>9</v>
      </c>
      <c r="J6" s="314">
        <v>10</v>
      </c>
      <c r="K6" s="314">
        <v>11</v>
      </c>
      <c r="L6" s="314">
        <v>12</v>
      </c>
      <c r="M6" s="314">
        <v>13</v>
      </c>
    </row>
    <row r="7" spans="1:13" ht="47.25">
      <c r="A7" s="64"/>
      <c r="B7" s="309"/>
      <c r="C7" s="311" t="s">
        <v>260</v>
      </c>
      <c r="D7" s="64"/>
      <c r="E7" s="314"/>
      <c r="F7" s="1"/>
      <c r="G7" s="312"/>
      <c r="H7" s="312"/>
      <c r="I7" s="312"/>
      <c r="J7" s="312"/>
      <c r="K7" s="312"/>
      <c r="L7" s="312"/>
      <c r="M7" s="312"/>
    </row>
    <row r="8" spans="1:13" ht="31.5">
      <c r="A8" s="64">
        <v>1</v>
      </c>
      <c r="B8" s="309"/>
      <c r="C8" s="311" t="s">
        <v>464</v>
      </c>
      <c r="D8" s="64" t="s">
        <v>11</v>
      </c>
      <c r="E8" s="314"/>
      <c r="F8" s="1">
        <v>20</v>
      </c>
      <c r="G8" s="312"/>
      <c r="H8" s="312"/>
      <c r="I8" s="312"/>
      <c r="J8" s="312"/>
      <c r="K8" s="312"/>
      <c r="L8" s="312"/>
      <c r="M8" s="312"/>
    </row>
    <row r="9" spans="1:13" ht="31.5">
      <c r="A9" s="230">
        <v>1</v>
      </c>
      <c r="B9" s="64" t="s">
        <v>70</v>
      </c>
      <c r="C9" s="70" t="s">
        <v>165</v>
      </c>
      <c r="D9" s="64" t="s">
        <v>74</v>
      </c>
      <c r="E9" s="1"/>
      <c r="F9" s="1">
        <f>F8*0.5*1</f>
        <v>10</v>
      </c>
      <c r="G9" s="6"/>
      <c r="H9" s="312"/>
      <c r="I9" s="6"/>
      <c r="J9" s="312"/>
      <c r="K9" s="6"/>
      <c r="L9" s="312"/>
      <c r="M9" s="312"/>
    </row>
    <row r="10" spans="1:13" ht="15.75">
      <c r="A10" s="241"/>
      <c r="B10" s="64"/>
      <c r="C10" s="190" t="s">
        <v>55</v>
      </c>
      <c r="D10" s="309" t="s">
        <v>53</v>
      </c>
      <c r="E10" s="314">
        <v>2.06</v>
      </c>
      <c r="F10" s="314">
        <f>E10*F9</f>
        <v>20.6</v>
      </c>
      <c r="G10" s="312"/>
      <c r="H10" s="312"/>
      <c r="I10" s="312"/>
      <c r="J10" s="312">
        <f>F10*I10</f>
        <v>0</v>
      </c>
      <c r="K10" s="312"/>
      <c r="L10" s="312"/>
      <c r="M10" s="312">
        <f t="shared" ref="M10:M56" si="0">H10+J10+L10</f>
        <v>0</v>
      </c>
    </row>
    <row r="11" spans="1:13" ht="31.5">
      <c r="A11" s="216">
        <v>2</v>
      </c>
      <c r="B11" s="64" t="s">
        <v>156</v>
      </c>
      <c r="C11" s="135" t="s">
        <v>166</v>
      </c>
      <c r="D11" s="64" t="s">
        <v>74</v>
      </c>
      <c r="E11" s="1"/>
      <c r="F11" s="1">
        <f>F8*0.5*0.2</f>
        <v>2</v>
      </c>
      <c r="G11" s="19"/>
      <c r="H11" s="312"/>
      <c r="I11" s="17"/>
      <c r="J11" s="312"/>
      <c r="K11" s="17"/>
      <c r="L11" s="312"/>
      <c r="M11" s="312"/>
    </row>
    <row r="12" spans="1:13" ht="15.75">
      <c r="A12" s="217"/>
      <c r="B12" s="309"/>
      <c r="C12" s="190" t="s">
        <v>55</v>
      </c>
      <c r="D12" s="309" t="s">
        <v>25</v>
      </c>
      <c r="E12" s="314">
        <f>18/10</f>
        <v>1.8</v>
      </c>
      <c r="F12" s="314">
        <f>E12*F11</f>
        <v>3.6</v>
      </c>
      <c r="G12" s="312"/>
      <c r="H12" s="312"/>
      <c r="I12" s="312"/>
      <c r="J12" s="312">
        <f>F12*I12</f>
        <v>0</v>
      </c>
      <c r="K12" s="312"/>
      <c r="L12" s="312"/>
      <c r="M12" s="312">
        <f t="shared" si="0"/>
        <v>0</v>
      </c>
    </row>
    <row r="13" spans="1:13" ht="15.75">
      <c r="A13" s="218"/>
      <c r="B13" s="309" t="s">
        <v>167</v>
      </c>
      <c r="C13" s="190" t="s">
        <v>157</v>
      </c>
      <c r="D13" s="309" t="s">
        <v>75</v>
      </c>
      <c r="E13" s="314">
        <v>1.1000000000000001</v>
      </c>
      <c r="F13" s="314">
        <f>F11*E13</f>
        <v>2.2000000000000002</v>
      </c>
      <c r="G13" s="312"/>
      <c r="H13" s="312">
        <f>F13*G13</f>
        <v>0</v>
      </c>
      <c r="I13" s="141"/>
      <c r="J13" s="312"/>
      <c r="K13" s="312"/>
      <c r="L13" s="312"/>
      <c r="M13" s="312">
        <f t="shared" si="0"/>
        <v>0</v>
      </c>
    </row>
    <row r="14" spans="1:13" ht="47.25">
      <c r="A14" s="216">
        <v>3</v>
      </c>
      <c r="B14" s="64" t="s">
        <v>152</v>
      </c>
      <c r="C14" s="70" t="s">
        <v>139</v>
      </c>
      <c r="D14" s="64" t="s">
        <v>11</v>
      </c>
      <c r="E14" s="1"/>
      <c r="F14" s="1">
        <f>F8</f>
        <v>20</v>
      </c>
      <c r="G14" s="6"/>
      <c r="H14" s="312"/>
      <c r="I14" s="6"/>
      <c r="J14" s="312"/>
      <c r="K14" s="6"/>
      <c r="L14" s="312"/>
      <c r="M14" s="312"/>
    </row>
    <row r="15" spans="1:13" ht="15.75">
      <c r="A15" s="217"/>
      <c r="B15" s="309"/>
      <c r="C15" s="190" t="s">
        <v>140</v>
      </c>
      <c r="D15" s="309" t="s">
        <v>141</v>
      </c>
      <c r="E15" s="314">
        <v>9.5899999999999999E-2</v>
      </c>
      <c r="F15" s="314">
        <f>F14*E15</f>
        <v>1.9179999999999999</v>
      </c>
      <c r="G15" s="312"/>
      <c r="H15" s="312"/>
      <c r="I15" s="312"/>
      <c r="J15" s="312">
        <f>F15*I15</f>
        <v>0</v>
      </c>
      <c r="K15" s="312"/>
      <c r="L15" s="312"/>
      <c r="M15" s="312">
        <f t="shared" si="0"/>
        <v>0</v>
      </c>
    </row>
    <row r="16" spans="1:13" ht="15.75">
      <c r="A16" s="217"/>
      <c r="B16" s="309"/>
      <c r="C16" s="190" t="s">
        <v>142</v>
      </c>
      <c r="D16" s="309" t="s">
        <v>143</v>
      </c>
      <c r="E16" s="314">
        <v>4.5199999999999997E-2</v>
      </c>
      <c r="F16" s="314">
        <f>F14*E16</f>
        <v>0.90399999999999991</v>
      </c>
      <c r="G16" s="312"/>
      <c r="H16" s="312"/>
      <c r="I16" s="312"/>
      <c r="J16" s="312"/>
      <c r="K16" s="312"/>
      <c r="L16" s="312">
        <f>F16*K16</f>
        <v>0</v>
      </c>
      <c r="M16" s="312">
        <f t="shared" si="0"/>
        <v>0</v>
      </c>
    </row>
    <row r="17" spans="1:13" ht="30.75">
      <c r="A17" s="217"/>
      <c r="B17" s="309" t="s">
        <v>171</v>
      </c>
      <c r="C17" s="190" t="s">
        <v>395</v>
      </c>
      <c r="D17" s="309" t="s">
        <v>144</v>
      </c>
      <c r="E17" s="314">
        <v>1.01</v>
      </c>
      <c r="F17" s="314">
        <f>F14*E17</f>
        <v>20.2</v>
      </c>
      <c r="G17" s="312"/>
      <c r="H17" s="312">
        <f>F17*G17</f>
        <v>0</v>
      </c>
      <c r="I17" s="312"/>
      <c r="J17" s="312"/>
      <c r="K17" s="312"/>
      <c r="L17" s="312"/>
      <c r="M17" s="312">
        <f t="shared" si="0"/>
        <v>0</v>
      </c>
    </row>
    <row r="18" spans="1:13" ht="15.75">
      <c r="A18" s="218"/>
      <c r="B18" s="309"/>
      <c r="C18" s="190" t="s">
        <v>146</v>
      </c>
      <c r="D18" s="309" t="s">
        <v>143</v>
      </c>
      <c r="E18" s="314">
        <v>5.9999999999999995E-4</v>
      </c>
      <c r="F18" s="314">
        <f>F14*E18</f>
        <v>1.1999999999999999E-2</v>
      </c>
      <c r="G18" s="312"/>
      <c r="H18" s="312">
        <f>F18*G18</f>
        <v>0</v>
      </c>
      <c r="I18" s="312"/>
      <c r="J18" s="312"/>
      <c r="K18" s="312"/>
      <c r="L18" s="312"/>
      <c r="M18" s="312">
        <f t="shared" si="0"/>
        <v>0</v>
      </c>
    </row>
    <row r="19" spans="1:13" ht="27" customHeight="1">
      <c r="A19" s="216">
        <v>4</v>
      </c>
      <c r="B19" s="64" t="s">
        <v>168</v>
      </c>
      <c r="C19" s="118" t="s">
        <v>537</v>
      </c>
      <c r="D19" s="64" t="s">
        <v>74</v>
      </c>
      <c r="E19" s="18"/>
      <c r="F19" s="1">
        <f>F8*0.5*0.8</f>
        <v>8</v>
      </c>
      <c r="G19" s="19"/>
      <c r="H19" s="312"/>
      <c r="I19" s="19"/>
      <c r="J19" s="312"/>
      <c r="K19" s="19"/>
      <c r="L19" s="312"/>
      <c r="M19" s="312"/>
    </row>
    <row r="20" spans="1:13" ht="15.75">
      <c r="A20" s="217"/>
      <c r="B20" s="309"/>
      <c r="C20" s="190" t="s">
        <v>55</v>
      </c>
      <c r="D20" s="309" t="s">
        <v>25</v>
      </c>
      <c r="E20" s="314">
        <f>17.8/10</f>
        <v>1.78</v>
      </c>
      <c r="F20" s="314">
        <f>E20*F19</f>
        <v>14.24</v>
      </c>
      <c r="G20" s="17"/>
      <c r="H20" s="312"/>
      <c r="I20" s="17"/>
      <c r="J20" s="312">
        <f>F20*I20</f>
        <v>0</v>
      </c>
      <c r="K20" s="17"/>
      <c r="L20" s="312"/>
      <c r="M20" s="312">
        <f t="shared" si="0"/>
        <v>0</v>
      </c>
    </row>
    <row r="21" spans="1:13" ht="15.75">
      <c r="A21" s="218"/>
      <c r="B21" s="309" t="s">
        <v>96</v>
      </c>
      <c r="C21" s="190" t="s">
        <v>66</v>
      </c>
      <c r="D21" s="309" t="s">
        <v>75</v>
      </c>
      <c r="E21" s="314">
        <v>1.1000000000000001</v>
      </c>
      <c r="F21" s="314">
        <f>E21*F19</f>
        <v>8.8000000000000007</v>
      </c>
      <c r="G21" s="17"/>
      <c r="H21" s="312">
        <f>F21*G21</f>
        <v>0</v>
      </c>
      <c r="I21" s="17"/>
      <c r="J21" s="312"/>
      <c r="K21" s="17"/>
      <c r="L21" s="312"/>
      <c r="M21" s="312">
        <f t="shared" si="0"/>
        <v>0</v>
      </c>
    </row>
    <row r="22" spans="1:13" ht="32.25" customHeight="1">
      <c r="A22" s="306" t="s">
        <v>205</v>
      </c>
      <c r="B22" s="64" t="s">
        <v>201</v>
      </c>
      <c r="C22" s="70" t="s">
        <v>204</v>
      </c>
      <c r="D22" s="64" t="s">
        <v>145</v>
      </c>
      <c r="E22" s="1"/>
      <c r="F22" s="1">
        <v>2</v>
      </c>
      <c r="G22" s="6"/>
      <c r="H22" s="47"/>
      <c r="I22" s="6"/>
      <c r="J22" s="47"/>
      <c r="K22" s="6"/>
      <c r="L22" s="47"/>
      <c r="M22" s="47"/>
    </row>
    <row r="23" spans="1:13" ht="15.75">
      <c r="A23" s="308"/>
      <c r="B23" s="309"/>
      <c r="C23" s="190" t="s">
        <v>140</v>
      </c>
      <c r="D23" s="309" t="s">
        <v>141</v>
      </c>
      <c r="E23" s="314">
        <v>1.51</v>
      </c>
      <c r="F23" s="314">
        <f>F22*E23</f>
        <v>3.02</v>
      </c>
      <c r="G23" s="312"/>
      <c r="H23" s="47"/>
      <c r="I23" s="312"/>
      <c r="J23" s="312">
        <f>F23*I23</f>
        <v>0</v>
      </c>
      <c r="K23" s="312"/>
      <c r="L23" s="47"/>
      <c r="M23" s="312">
        <f t="shared" si="0"/>
        <v>0</v>
      </c>
    </row>
    <row r="24" spans="1:13" ht="15.75">
      <c r="A24" s="308"/>
      <c r="B24" s="309"/>
      <c r="C24" s="190" t="s">
        <v>202</v>
      </c>
      <c r="D24" s="309" t="s">
        <v>143</v>
      </c>
      <c r="E24" s="314">
        <v>0.13</v>
      </c>
      <c r="F24" s="314">
        <f>F22*E24</f>
        <v>0.26</v>
      </c>
      <c r="G24" s="312"/>
      <c r="H24" s="47"/>
      <c r="I24" s="312"/>
      <c r="J24" s="47"/>
      <c r="K24" s="312"/>
      <c r="L24" s="312">
        <f>F24*K24</f>
        <v>0</v>
      </c>
      <c r="M24" s="312">
        <f t="shared" si="0"/>
        <v>0</v>
      </c>
    </row>
    <row r="25" spans="1:13" ht="15.75">
      <c r="A25" s="308"/>
      <c r="B25" s="309" t="s">
        <v>203</v>
      </c>
      <c r="C25" s="190" t="s">
        <v>396</v>
      </c>
      <c r="D25" s="309" t="s">
        <v>145</v>
      </c>
      <c r="E25" s="314">
        <v>1</v>
      </c>
      <c r="F25" s="314">
        <v>0</v>
      </c>
      <c r="G25" s="312"/>
      <c r="H25" s="312">
        <f>F25*G25</f>
        <v>0</v>
      </c>
      <c r="I25" s="312"/>
      <c r="J25" s="47"/>
      <c r="K25" s="312"/>
      <c r="L25" s="47"/>
      <c r="M25" s="312">
        <f t="shared" si="0"/>
        <v>0</v>
      </c>
    </row>
    <row r="26" spans="1:13" ht="15.75">
      <c r="A26" s="307"/>
      <c r="B26" s="309"/>
      <c r="C26" s="53" t="s">
        <v>146</v>
      </c>
      <c r="D26" s="309" t="s">
        <v>143</v>
      </c>
      <c r="E26" s="314">
        <v>7.0000000000000007E-2</v>
      </c>
      <c r="F26" s="314">
        <f>F22*E26</f>
        <v>0.14000000000000001</v>
      </c>
      <c r="G26" s="312"/>
      <c r="H26" s="312">
        <f>F26*G26</f>
        <v>0</v>
      </c>
      <c r="I26" s="312"/>
      <c r="J26" s="47"/>
      <c r="K26" s="312"/>
      <c r="L26" s="47"/>
      <c r="M26" s="312">
        <f t="shared" si="0"/>
        <v>0</v>
      </c>
    </row>
    <row r="27" spans="1:13" ht="31.5">
      <c r="A27" s="306">
        <v>6</v>
      </c>
      <c r="B27" s="64" t="s">
        <v>147</v>
      </c>
      <c r="C27" s="189" t="s">
        <v>148</v>
      </c>
      <c r="D27" s="309" t="s">
        <v>149</v>
      </c>
      <c r="E27" s="314"/>
      <c r="F27" s="1">
        <f>F8/100</f>
        <v>0.2</v>
      </c>
      <c r="G27" s="312"/>
      <c r="H27" s="312"/>
      <c r="I27" s="312"/>
      <c r="J27" s="312"/>
      <c r="K27" s="312"/>
      <c r="L27" s="312"/>
      <c r="M27" s="312"/>
    </row>
    <row r="28" spans="1:13" ht="15.75">
      <c r="A28" s="308"/>
      <c r="B28" s="309"/>
      <c r="C28" s="53" t="s">
        <v>140</v>
      </c>
      <c r="D28" s="309" t="s">
        <v>141</v>
      </c>
      <c r="E28" s="314">
        <v>5.16</v>
      </c>
      <c r="F28" s="314">
        <f>F27*E28</f>
        <v>1.032</v>
      </c>
      <c r="G28" s="312"/>
      <c r="H28" s="312"/>
      <c r="I28" s="312"/>
      <c r="J28" s="312">
        <f>F28*I28</f>
        <v>0</v>
      </c>
      <c r="K28" s="312"/>
      <c r="L28" s="312"/>
      <c r="M28" s="312">
        <f t="shared" si="0"/>
        <v>0</v>
      </c>
    </row>
    <row r="29" spans="1:13" ht="15.75">
      <c r="A29" s="308"/>
      <c r="B29" s="309"/>
      <c r="C29" s="53" t="s">
        <v>150</v>
      </c>
      <c r="D29" s="309" t="s">
        <v>17</v>
      </c>
      <c r="E29" s="314">
        <v>1</v>
      </c>
      <c r="F29" s="314">
        <f>F27*E29</f>
        <v>0.2</v>
      </c>
      <c r="G29" s="312"/>
      <c r="H29" s="312">
        <f>F29*G29</f>
        <v>0</v>
      </c>
      <c r="I29" s="312"/>
      <c r="J29" s="312"/>
      <c r="K29" s="312"/>
      <c r="L29" s="312"/>
      <c r="M29" s="312">
        <f t="shared" si="0"/>
        <v>0</v>
      </c>
    </row>
    <row r="30" spans="1:13" ht="15.75">
      <c r="A30" s="307"/>
      <c r="B30" s="309"/>
      <c r="C30" s="53" t="s">
        <v>28</v>
      </c>
      <c r="D30" s="309" t="s">
        <v>22</v>
      </c>
      <c r="E30" s="314">
        <v>0.11</v>
      </c>
      <c r="F30" s="314">
        <f>F27*E30</f>
        <v>2.2000000000000002E-2</v>
      </c>
      <c r="G30" s="312"/>
      <c r="H30" s="312"/>
      <c r="I30" s="312"/>
      <c r="J30" s="312"/>
      <c r="K30" s="312"/>
      <c r="L30" s="312"/>
      <c r="M30" s="312"/>
    </row>
    <row r="31" spans="1:13" ht="31.5">
      <c r="A31" s="216">
        <v>7</v>
      </c>
      <c r="B31" s="27" t="s">
        <v>154</v>
      </c>
      <c r="C31" s="189" t="s">
        <v>256</v>
      </c>
      <c r="D31" s="27" t="s">
        <v>138</v>
      </c>
      <c r="E31" s="10"/>
      <c r="F31" s="1">
        <v>1</v>
      </c>
      <c r="G31" s="19"/>
      <c r="H31" s="312"/>
      <c r="I31" s="17"/>
      <c r="J31" s="312"/>
      <c r="K31" s="17"/>
      <c r="L31" s="312"/>
      <c r="M31" s="312"/>
    </row>
    <row r="32" spans="1:13" ht="15.75">
      <c r="A32" s="217"/>
      <c r="B32" s="231"/>
      <c r="C32" s="53" t="s">
        <v>23</v>
      </c>
      <c r="D32" s="309" t="s">
        <v>25</v>
      </c>
      <c r="E32" s="314">
        <v>3.15</v>
      </c>
      <c r="F32" s="314">
        <f>F31*E32</f>
        <v>3.15</v>
      </c>
      <c r="G32" s="17"/>
      <c r="H32" s="312"/>
      <c r="I32" s="17"/>
      <c r="J32" s="312">
        <f>F32*I32</f>
        <v>0</v>
      </c>
      <c r="K32" s="17"/>
      <c r="L32" s="312"/>
      <c r="M32" s="312">
        <f t="shared" si="0"/>
        <v>0</v>
      </c>
    </row>
    <row r="33" spans="1:13" ht="15.75">
      <c r="A33" s="217"/>
      <c r="B33" s="231"/>
      <c r="C33" s="240" t="s">
        <v>24</v>
      </c>
      <c r="D33" s="231" t="s">
        <v>22</v>
      </c>
      <c r="E33" s="66">
        <v>0.84</v>
      </c>
      <c r="F33" s="66">
        <f>F31*E33</f>
        <v>0.84</v>
      </c>
      <c r="G33" s="17"/>
      <c r="H33" s="312"/>
      <c r="I33" s="17"/>
      <c r="J33" s="312"/>
      <c r="K33" s="17"/>
      <c r="L33" s="312">
        <f>F33*K33</f>
        <v>0</v>
      </c>
      <c r="M33" s="312">
        <f t="shared" si="0"/>
        <v>0</v>
      </c>
    </row>
    <row r="34" spans="1:13" ht="15.75">
      <c r="A34" s="217"/>
      <c r="B34" s="231"/>
      <c r="C34" s="80" t="s">
        <v>155</v>
      </c>
      <c r="D34" s="231" t="s">
        <v>151</v>
      </c>
      <c r="E34" s="66">
        <v>20</v>
      </c>
      <c r="F34" s="67">
        <f>E34*F31</f>
        <v>20</v>
      </c>
      <c r="G34" s="17"/>
      <c r="H34" s="312">
        <f>F34*G34</f>
        <v>0</v>
      </c>
      <c r="I34" s="17"/>
      <c r="J34" s="312"/>
      <c r="K34" s="17"/>
      <c r="L34" s="312"/>
      <c r="M34" s="312">
        <f t="shared" si="0"/>
        <v>0</v>
      </c>
    </row>
    <row r="35" spans="1:13" ht="15.75">
      <c r="A35" s="218"/>
      <c r="B35" s="231"/>
      <c r="C35" s="80" t="s">
        <v>31</v>
      </c>
      <c r="D35" s="231" t="s">
        <v>22</v>
      </c>
      <c r="E35" s="66">
        <v>0.47</v>
      </c>
      <c r="F35" s="66">
        <f>F31*E35</f>
        <v>0.47</v>
      </c>
      <c r="G35" s="17"/>
      <c r="H35" s="312">
        <f>F35*G35</f>
        <v>0</v>
      </c>
      <c r="I35" s="17"/>
      <c r="J35" s="312"/>
      <c r="K35" s="17"/>
      <c r="L35" s="312"/>
      <c r="M35" s="312">
        <f t="shared" si="0"/>
        <v>0</v>
      </c>
    </row>
    <row r="36" spans="1:13" ht="31.5">
      <c r="A36" s="64">
        <v>1</v>
      </c>
      <c r="B36" s="309"/>
      <c r="C36" s="311" t="s">
        <v>206</v>
      </c>
      <c r="D36" s="64" t="s">
        <v>11</v>
      </c>
      <c r="E36" s="314"/>
      <c r="F36" s="1">
        <v>25</v>
      </c>
      <c r="G36" s="20"/>
      <c r="H36" s="312"/>
      <c r="I36" s="17"/>
      <c r="J36" s="312"/>
      <c r="K36" s="17"/>
      <c r="L36" s="312"/>
      <c r="M36" s="312"/>
    </row>
    <row r="37" spans="1:13" ht="31.5">
      <c r="A37" s="216">
        <v>1</v>
      </c>
      <c r="B37" s="231" t="s">
        <v>70</v>
      </c>
      <c r="C37" s="79" t="s">
        <v>538</v>
      </c>
      <c r="D37" s="27" t="s">
        <v>74</v>
      </c>
      <c r="E37" s="67"/>
      <c r="F37" s="1">
        <f>F36*0.5*1</f>
        <v>12.5</v>
      </c>
      <c r="G37" s="20"/>
      <c r="H37" s="312"/>
      <c r="I37" s="20"/>
      <c r="J37" s="312"/>
      <c r="K37" s="20"/>
      <c r="L37" s="312"/>
      <c r="M37" s="312"/>
    </row>
    <row r="38" spans="1:13" ht="15.75">
      <c r="A38" s="218"/>
      <c r="B38" s="28"/>
      <c r="C38" s="80" t="s">
        <v>23</v>
      </c>
      <c r="D38" s="231" t="s">
        <v>75</v>
      </c>
      <c r="E38" s="67">
        <v>2.06</v>
      </c>
      <c r="F38" s="67">
        <f>E38*F37</f>
        <v>25.75</v>
      </c>
      <c r="G38" s="16"/>
      <c r="H38" s="312"/>
      <c r="I38" s="16"/>
      <c r="J38" s="312">
        <f>F38*I38</f>
        <v>0</v>
      </c>
      <c r="K38" s="17"/>
      <c r="L38" s="312"/>
      <c r="M38" s="312">
        <f t="shared" si="0"/>
        <v>0</v>
      </c>
    </row>
    <row r="39" spans="1:13" ht="31.5">
      <c r="A39" s="216">
        <v>2</v>
      </c>
      <c r="B39" s="309" t="s">
        <v>156</v>
      </c>
      <c r="C39" s="135" t="s">
        <v>257</v>
      </c>
      <c r="D39" s="64" t="s">
        <v>74</v>
      </c>
      <c r="E39" s="1"/>
      <c r="F39" s="1">
        <f>0.5*0.2*F36-3.14*0.025*0.025*F36</f>
        <v>2.4509375000000002</v>
      </c>
      <c r="G39" s="16"/>
      <c r="H39" s="312"/>
      <c r="I39" s="16"/>
      <c r="J39" s="312"/>
      <c r="K39" s="17"/>
      <c r="L39" s="312"/>
      <c r="M39" s="312"/>
    </row>
    <row r="40" spans="1:13" ht="15.75">
      <c r="A40" s="217"/>
      <c r="B40" s="309"/>
      <c r="C40" s="190" t="s">
        <v>55</v>
      </c>
      <c r="D40" s="309" t="s">
        <v>25</v>
      </c>
      <c r="E40" s="314">
        <f>18/10</f>
        <v>1.8</v>
      </c>
      <c r="F40" s="314">
        <f>E40*F39</f>
        <v>4.4116875000000002</v>
      </c>
      <c r="G40" s="16"/>
      <c r="H40" s="312"/>
      <c r="I40" s="16"/>
      <c r="J40" s="312">
        <f>F40*I40</f>
        <v>0</v>
      </c>
      <c r="K40" s="17"/>
      <c r="L40" s="312"/>
      <c r="M40" s="312">
        <f t="shared" si="0"/>
        <v>0</v>
      </c>
    </row>
    <row r="41" spans="1:13" ht="15.75">
      <c r="A41" s="218"/>
      <c r="B41" s="309" t="s">
        <v>167</v>
      </c>
      <c r="C41" s="190" t="s">
        <v>157</v>
      </c>
      <c r="D41" s="309" t="s">
        <v>75</v>
      </c>
      <c r="E41" s="314">
        <v>1.1499999999999999</v>
      </c>
      <c r="F41" s="314">
        <f>F39*E41</f>
        <v>2.8185781250000002</v>
      </c>
      <c r="G41" s="16"/>
      <c r="H41" s="312">
        <f>F41*G41</f>
        <v>0</v>
      </c>
      <c r="I41" s="16"/>
      <c r="J41" s="312"/>
      <c r="K41" s="17"/>
      <c r="L41" s="312"/>
      <c r="M41" s="312">
        <f t="shared" si="0"/>
        <v>0</v>
      </c>
    </row>
    <row r="42" spans="1:13" ht="31.5">
      <c r="A42" s="216">
        <v>3</v>
      </c>
      <c r="B42" s="64" t="s">
        <v>152</v>
      </c>
      <c r="C42" s="135" t="s">
        <v>258</v>
      </c>
      <c r="D42" s="27" t="s">
        <v>11</v>
      </c>
      <c r="E42" s="10"/>
      <c r="F42" s="1">
        <f>F36</f>
        <v>25</v>
      </c>
      <c r="G42" s="19"/>
      <c r="H42" s="312"/>
      <c r="I42" s="17"/>
      <c r="J42" s="312"/>
      <c r="K42" s="17"/>
      <c r="L42" s="312"/>
      <c r="M42" s="312"/>
    </row>
    <row r="43" spans="1:13" ht="15.75">
      <c r="A43" s="217"/>
      <c r="B43" s="231"/>
      <c r="C43" s="190" t="s">
        <v>23</v>
      </c>
      <c r="D43" s="309" t="s">
        <v>25</v>
      </c>
      <c r="E43" s="66">
        <f>95.9*0.001</f>
        <v>9.5900000000000013E-2</v>
      </c>
      <c r="F43" s="66">
        <f>F42*E43</f>
        <v>2.3975000000000004</v>
      </c>
      <c r="G43" s="17"/>
      <c r="H43" s="312"/>
      <c r="I43" s="17"/>
      <c r="J43" s="312">
        <f>F43*I43</f>
        <v>0</v>
      </c>
      <c r="K43" s="17"/>
      <c r="L43" s="312"/>
      <c r="M43" s="312">
        <f t="shared" si="0"/>
        <v>0</v>
      </c>
    </row>
    <row r="44" spans="1:13" ht="15.75">
      <c r="A44" s="217"/>
      <c r="B44" s="231"/>
      <c r="C44" s="80" t="s">
        <v>24</v>
      </c>
      <c r="D44" s="231" t="s">
        <v>22</v>
      </c>
      <c r="E44" s="66">
        <f>45.2/1000</f>
        <v>4.5200000000000004E-2</v>
      </c>
      <c r="F44" s="66">
        <f>F42*E44</f>
        <v>1.1300000000000001</v>
      </c>
      <c r="G44" s="21"/>
      <c r="H44" s="312"/>
      <c r="I44" s="21"/>
      <c r="J44" s="312"/>
      <c r="K44" s="21"/>
      <c r="L44" s="312">
        <f>F44*K44</f>
        <v>0</v>
      </c>
      <c r="M44" s="312">
        <f t="shared" si="0"/>
        <v>0</v>
      </c>
    </row>
    <row r="45" spans="1:13" ht="15.75">
      <c r="A45" s="217"/>
      <c r="B45" s="231" t="s">
        <v>170</v>
      </c>
      <c r="C45" s="80" t="s">
        <v>259</v>
      </c>
      <c r="D45" s="231" t="str">
        <f>D42</f>
        <v>g/m</v>
      </c>
      <c r="E45" s="66">
        <f>1010*0.001</f>
        <v>1.01</v>
      </c>
      <c r="F45" s="66">
        <f>F42*E45</f>
        <v>25.25</v>
      </c>
      <c r="G45" s="17"/>
      <c r="H45" s="312">
        <f>F45*G45</f>
        <v>0</v>
      </c>
      <c r="I45" s="17"/>
      <c r="J45" s="312"/>
      <c r="K45" s="17"/>
      <c r="L45" s="312"/>
      <c r="M45" s="312">
        <f t="shared" si="0"/>
        <v>0</v>
      </c>
    </row>
    <row r="46" spans="1:13" ht="15.75">
      <c r="A46" s="217"/>
      <c r="B46" s="231"/>
      <c r="C46" s="85" t="s">
        <v>169</v>
      </c>
      <c r="D46" s="136" t="s">
        <v>15</v>
      </c>
      <c r="E46" s="66"/>
      <c r="F46" s="66">
        <v>5</v>
      </c>
      <c r="G46" s="17"/>
      <c r="H46" s="312">
        <f>F46*G46</f>
        <v>0</v>
      </c>
      <c r="I46" s="17"/>
      <c r="J46" s="312"/>
      <c r="K46" s="17"/>
      <c r="L46" s="312"/>
      <c r="M46" s="312">
        <f t="shared" si="0"/>
        <v>0</v>
      </c>
    </row>
    <row r="47" spans="1:13" ht="15.75">
      <c r="A47" s="218"/>
      <c r="B47" s="231"/>
      <c r="C47" s="80" t="s">
        <v>31</v>
      </c>
      <c r="D47" s="231" t="s">
        <v>22</v>
      </c>
      <c r="E47" s="66">
        <f>0.6*0.001</f>
        <v>5.9999999999999995E-4</v>
      </c>
      <c r="F47" s="66">
        <f>F42*E47</f>
        <v>1.4999999999999999E-2</v>
      </c>
      <c r="G47" s="17"/>
      <c r="H47" s="312">
        <f>F47*G47</f>
        <v>0</v>
      </c>
      <c r="I47" s="17"/>
      <c r="J47" s="312"/>
      <c r="K47" s="17"/>
      <c r="L47" s="312"/>
      <c r="M47" s="312">
        <f t="shared" si="0"/>
        <v>0</v>
      </c>
    </row>
    <row r="48" spans="1:13" ht="15.75">
      <c r="A48" s="216">
        <v>4</v>
      </c>
      <c r="B48" s="137" t="s">
        <v>158</v>
      </c>
      <c r="C48" s="118" t="s">
        <v>537</v>
      </c>
      <c r="D48" s="64" t="s">
        <v>74</v>
      </c>
      <c r="E48" s="18"/>
      <c r="F48" s="1">
        <f>F36*0.5*0.8</f>
        <v>10</v>
      </c>
      <c r="G48" s="16"/>
      <c r="H48" s="312"/>
      <c r="I48" s="16"/>
      <c r="J48" s="312"/>
      <c r="K48" s="17"/>
      <c r="L48" s="312"/>
      <c r="M48" s="312"/>
    </row>
    <row r="49" spans="1:14" ht="15.75">
      <c r="A49" s="217"/>
      <c r="B49" s="309"/>
      <c r="C49" s="190" t="s">
        <v>55</v>
      </c>
      <c r="D49" s="309" t="s">
        <v>25</v>
      </c>
      <c r="E49" s="314">
        <f>17.8/10</f>
        <v>1.78</v>
      </c>
      <c r="F49" s="314">
        <f>E49*F48</f>
        <v>17.8</v>
      </c>
      <c r="G49" s="16"/>
      <c r="H49" s="312"/>
      <c r="I49" s="16"/>
      <c r="J49" s="312">
        <f>F49*I49</f>
        <v>0</v>
      </c>
      <c r="K49" s="17"/>
      <c r="L49" s="312"/>
      <c r="M49" s="312">
        <f t="shared" si="0"/>
        <v>0</v>
      </c>
    </row>
    <row r="50" spans="1:14" ht="15.75">
      <c r="A50" s="218"/>
      <c r="B50" s="309" t="s">
        <v>96</v>
      </c>
      <c r="C50" s="190" t="s">
        <v>66</v>
      </c>
      <c r="D50" s="309" t="s">
        <v>75</v>
      </c>
      <c r="E50" s="314">
        <v>1.1000000000000001</v>
      </c>
      <c r="F50" s="314">
        <f>E50*F48</f>
        <v>11</v>
      </c>
      <c r="G50" s="16"/>
      <c r="H50" s="312">
        <f>F50*G50</f>
        <v>0</v>
      </c>
      <c r="I50" s="16"/>
      <c r="J50" s="312"/>
      <c r="K50" s="17"/>
      <c r="L50" s="312"/>
      <c r="M50" s="312">
        <f t="shared" si="0"/>
        <v>0</v>
      </c>
    </row>
    <row r="51" spans="1:14" ht="47.25">
      <c r="A51" s="237" t="s">
        <v>205</v>
      </c>
      <c r="B51" s="137" t="s">
        <v>159</v>
      </c>
      <c r="C51" s="118" t="s">
        <v>160</v>
      </c>
      <c r="D51" s="137" t="s">
        <v>161</v>
      </c>
      <c r="E51" s="18"/>
      <c r="F51" s="1">
        <v>1</v>
      </c>
      <c r="G51" s="22"/>
      <c r="H51" s="312"/>
      <c r="I51" s="22"/>
      <c r="J51" s="312"/>
      <c r="K51" s="22"/>
      <c r="L51" s="312"/>
      <c r="M51" s="312"/>
      <c r="N51" s="31"/>
    </row>
    <row r="52" spans="1:14" ht="15.75">
      <c r="A52" s="238"/>
      <c r="B52" s="138"/>
      <c r="C52" s="190" t="s">
        <v>55</v>
      </c>
      <c r="D52" s="309" t="s">
        <v>25</v>
      </c>
      <c r="E52" s="314">
        <v>17</v>
      </c>
      <c r="F52" s="314">
        <f>F51*E52</f>
        <v>17</v>
      </c>
      <c r="G52" s="312"/>
      <c r="H52" s="312"/>
      <c r="I52" s="312"/>
      <c r="J52" s="312">
        <f>F52*I52</f>
        <v>0</v>
      </c>
      <c r="K52" s="312"/>
      <c r="L52" s="312"/>
      <c r="M52" s="312">
        <f t="shared" si="0"/>
        <v>0</v>
      </c>
    </row>
    <row r="53" spans="1:14" ht="15.75">
      <c r="A53" s="238"/>
      <c r="B53" s="309" t="s">
        <v>162</v>
      </c>
      <c r="C53" s="190" t="s">
        <v>248</v>
      </c>
      <c r="D53" s="309" t="s">
        <v>95</v>
      </c>
      <c r="E53" s="314">
        <v>0.05</v>
      </c>
      <c r="F53" s="314">
        <f>E53*F51</f>
        <v>0.05</v>
      </c>
      <c r="G53" s="17"/>
      <c r="H53" s="312">
        <f>F53*G53</f>
        <v>0</v>
      </c>
      <c r="I53" s="17"/>
      <c r="J53" s="312"/>
      <c r="K53" s="17"/>
      <c r="L53" s="312"/>
      <c r="M53" s="312">
        <f t="shared" si="0"/>
        <v>0</v>
      </c>
    </row>
    <row r="54" spans="1:14" ht="15.75">
      <c r="A54" s="238"/>
      <c r="B54" s="309" t="s">
        <v>163</v>
      </c>
      <c r="C54" s="190" t="s">
        <v>164</v>
      </c>
      <c r="D54" s="309" t="s">
        <v>75</v>
      </c>
      <c r="E54" s="314">
        <v>0.2</v>
      </c>
      <c r="F54" s="314">
        <f>E54*F52</f>
        <v>3.4000000000000004</v>
      </c>
      <c r="G54" s="17"/>
      <c r="H54" s="312">
        <f>F54*G54</f>
        <v>0</v>
      </c>
      <c r="I54" s="17"/>
      <c r="J54" s="312"/>
      <c r="K54" s="17"/>
      <c r="L54" s="312"/>
      <c r="M54" s="312">
        <f t="shared" si="0"/>
        <v>0</v>
      </c>
    </row>
    <row r="55" spans="1:14" ht="15.75">
      <c r="A55" s="238"/>
      <c r="B55" s="138"/>
      <c r="C55" s="190" t="s">
        <v>153</v>
      </c>
      <c r="D55" s="309" t="s">
        <v>19</v>
      </c>
      <c r="E55" s="314">
        <v>7.8</v>
      </c>
      <c r="F55" s="314">
        <f>E55*F51</f>
        <v>7.8</v>
      </c>
      <c r="G55" s="312"/>
      <c r="H55" s="312">
        <f>F55*G55</f>
        <v>0</v>
      </c>
      <c r="I55" s="312"/>
      <c r="J55" s="312"/>
      <c r="K55" s="17"/>
      <c r="L55" s="312"/>
      <c r="M55" s="312">
        <f t="shared" si="0"/>
        <v>0</v>
      </c>
    </row>
    <row r="56" spans="1:14" ht="15.75">
      <c r="A56" s="239"/>
      <c r="B56" s="138"/>
      <c r="C56" s="190" t="s">
        <v>28</v>
      </c>
      <c r="D56" s="309" t="s">
        <v>22</v>
      </c>
      <c r="E56" s="314">
        <v>1.08</v>
      </c>
      <c r="F56" s="314">
        <f>E56*F51</f>
        <v>1.08</v>
      </c>
      <c r="G56" s="312"/>
      <c r="H56" s="312">
        <f>F56*G56</f>
        <v>0</v>
      </c>
      <c r="I56" s="312"/>
      <c r="J56" s="312"/>
      <c r="K56" s="17"/>
      <c r="L56" s="312"/>
      <c r="M56" s="312">
        <f t="shared" si="0"/>
        <v>0</v>
      </c>
    </row>
    <row r="57" spans="1:14" ht="24.75" customHeight="1">
      <c r="A57" s="345"/>
      <c r="B57" s="345"/>
      <c r="C57" s="345" t="s">
        <v>430</v>
      </c>
      <c r="D57" s="345"/>
      <c r="E57" s="347"/>
      <c r="F57" s="347"/>
      <c r="G57" s="353"/>
      <c r="H57" s="353">
        <f>SUM(H7:H56)</f>
        <v>0</v>
      </c>
      <c r="I57" s="353"/>
      <c r="J57" s="353">
        <f>SUM(J7:J56)</f>
        <v>0</v>
      </c>
      <c r="K57" s="353"/>
      <c r="L57" s="353">
        <f>SUM(L7:L56)</f>
        <v>0</v>
      </c>
      <c r="M57" s="353">
        <f>H57+J57+L57</f>
        <v>0</v>
      </c>
      <c r="N57" s="62"/>
    </row>
    <row r="58" spans="1:14" ht="47.25">
      <c r="A58" s="232"/>
      <c r="B58" s="232"/>
      <c r="C58" s="214" t="s">
        <v>426</v>
      </c>
      <c r="D58" s="232"/>
      <c r="E58" s="234"/>
      <c r="F58" s="335"/>
      <c r="G58" s="209"/>
      <c r="H58" s="209"/>
      <c r="I58" s="209"/>
      <c r="J58" s="209"/>
      <c r="K58" s="209"/>
      <c r="L58" s="209"/>
      <c r="M58" s="313">
        <f>H57*F58</f>
        <v>0</v>
      </c>
      <c r="N58" s="62"/>
    </row>
    <row r="59" spans="1:14" ht="15.75">
      <c r="A59" s="232"/>
      <c r="B59" s="232"/>
      <c r="C59" s="80"/>
      <c r="D59" s="232"/>
      <c r="E59" s="234"/>
      <c r="F59" s="255"/>
      <c r="G59" s="209"/>
      <c r="H59" s="209"/>
      <c r="I59" s="209"/>
      <c r="J59" s="6" t="s">
        <v>10</v>
      </c>
      <c r="K59" s="209"/>
      <c r="L59" s="209"/>
      <c r="M59" s="313">
        <f>M57+M58</f>
        <v>0</v>
      </c>
      <c r="N59" s="62"/>
    </row>
    <row r="60" spans="1:14" ht="25.5" customHeight="1">
      <c r="A60" s="309"/>
      <c r="B60" s="309"/>
      <c r="C60" s="310" t="s">
        <v>184</v>
      </c>
      <c r="D60" s="309"/>
      <c r="E60" s="314"/>
      <c r="F60" s="337"/>
      <c r="G60" s="312"/>
      <c r="H60" s="312"/>
      <c r="I60" s="312"/>
      <c r="J60" s="312"/>
      <c r="K60" s="312"/>
      <c r="L60" s="312"/>
      <c r="M60" s="312">
        <f>M59*F60</f>
        <v>0</v>
      </c>
    </row>
    <row r="61" spans="1:14" ht="15.75">
      <c r="A61" s="309"/>
      <c r="B61" s="309"/>
      <c r="C61" s="310"/>
      <c r="D61" s="309"/>
      <c r="E61" s="314"/>
      <c r="F61" s="1"/>
      <c r="G61" s="312"/>
      <c r="H61" s="312"/>
      <c r="I61" s="312"/>
      <c r="J61" s="6" t="s">
        <v>10</v>
      </c>
      <c r="K61" s="312"/>
      <c r="L61" s="312"/>
      <c r="M61" s="312">
        <f>M59+M60</f>
        <v>0</v>
      </c>
    </row>
    <row r="62" spans="1:14" ht="20.25" customHeight="1">
      <c r="A62" s="309"/>
      <c r="B62" s="309"/>
      <c r="C62" s="310" t="s">
        <v>35</v>
      </c>
      <c r="D62" s="309"/>
      <c r="E62" s="314"/>
      <c r="F62" s="337"/>
      <c r="G62" s="312"/>
      <c r="H62" s="312"/>
      <c r="I62" s="312"/>
      <c r="J62" s="312"/>
      <c r="K62" s="312"/>
      <c r="L62" s="312"/>
      <c r="M62" s="312">
        <f>M61*F62</f>
        <v>0</v>
      </c>
    </row>
    <row r="63" spans="1:14" ht="22.5" customHeight="1">
      <c r="A63" s="356"/>
      <c r="B63" s="351"/>
      <c r="C63" s="354" t="s">
        <v>428</v>
      </c>
      <c r="D63" s="351"/>
      <c r="E63" s="352"/>
      <c r="F63" s="352"/>
      <c r="G63" s="349"/>
      <c r="H63" s="349"/>
      <c r="I63" s="349"/>
      <c r="J63" s="349" t="s">
        <v>10</v>
      </c>
      <c r="K63" s="349"/>
      <c r="L63" s="349"/>
      <c r="M63" s="349">
        <f>M61+M62</f>
        <v>0</v>
      </c>
    </row>
    <row r="64" spans="1:14" ht="27" customHeight="1">
      <c r="A64" s="64"/>
      <c r="B64" s="309"/>
      <c r="C64" s="310" t="s">
        <v>12</v>
      </c>
      <c r="D64" s="64"/>
      <c r="E64" s="314"/>
      <c r="F64" s="333">
        <v>0.05</v>
      </c>
      <c r="G64" s="312"/>
      <c r="H64" s="312"/>
      <c r="I64" s="312"/>
      <c r="J64" s="312"/>
      <c r="K64" s="312"/>
      <c r="L64" s="312"/>
      <c r="M64" s="312">
        <f>M63*F64</f>
        <v>0</v>
      </c>
    </row>
    <row r="65" spans="1:13" ht="15.75">
      <c r="A65" s="64"/>
      <c r="B65" s="309"/>
      <c r="C65" s="53"/>
      <c r="D65" s="64"/>
      <c r="E65" s="314"/>
      <c r="F65" s="1"/>
      <c r="G65" s="312"/>
      <c r="H65" s="312"/>
      <c r="I65" s="312"/>
      <c r="J65" s="312"/>
      <c r="K65" s="312"/>
      <c r="L65" s="312"/>
      <c r="M65" s="312">
        <f>M63+M64</f>
        <v>0</v>
      </c>
    </row>
    <row r="66" spans="1:13" ht="21" customHeight="1">
      <c r="A66" s="64"/>
      <c r="B66" s="309"/>
      <c r="C66" s="320" t="s">
        <v>539</v>
      </c>
      <c r="D66" s="64"/>
      <c r="E66" s="314"/>
      <c r="F66" s="334" t="s">
        <v>262</v>
      </c>
      <c r="G66" s="312"/>
      <c r="H66" s="312"/>
      <c r="I66" s="312"/>
      <c r="J66" s="312"/>
      <c r="K66" s="312"/>
      <c r="L66" s="312"/>
      <c r="M66" s="312">
        <f>M65*F66</f>
        <v>0</v>
      </c>
    </row>
    <row r="67" spans="1:13" ht="27" customHeight="1">
      <c r="A67" s="345"/>
      <c r="B67" s="343"/>
      <c r="C67" s="354" t="s">
        <v>428</v>
      </c>
      <c r="D67" s="345"/>
      <c r="E67" s="346"/>
      <c r="F67" s="347"/>
      <c r="G67" s="348"/>
      <c r="H67" s="348"/>
      <c r="I67" s="348"/>
      <c r="J67" s="348"/>
      <c r="K67" s="348"/>
      <c r="L67" s="348"/>
      <c r="M67" s="349">
        <f>M65+M66</f>
        <v>0</v>
      </c>
    </row>
    <row r="70" spans="1:13" ht="15.75">
      <c r="B70" s="38"/>
      <c r="C70" s="69"/>
      <c r="D70" s="30"/>
      <c r="E70" s="68"/>
      <c r="F70" s="68"/>
      <c r="G70" s="61"/>
      <c r="H70" s="61"/>
      <c r="I70" s="108"/>
      <c r="J70" s="108"/>
      <c r="K70" s="108"/>
      <c r="L70" s="108"/>
      <c r="M70" s="108"/>
    </row>
    <row r="71" spans="1:13">
      <c r="B71" s="38"/>
      <c r="C71" s="139"/>
      <c r="D71" s="140"/>
      <c r="E71" s="43"/>
    </row>
    <row r="72" spans="1:13" ht="15.75">
      <c r="B72" s="54"/>
      <c r="C72" s="54"/>
      <c r="D72" s="54"/>
      <c r="E72" s="102"/>
    </row>
  </sheetData>
  <autoFilter ref="A6:M63"/>
  <mergeCells count="13">
    <mergeCell ref="G4:H4"/>
    <mergeCell ref="A1:M1"/>
    <mergeCell ref="M4:M5"/>
    <mergeCell ref="I4:J4"/>
    <mergeCell ref="K4:L4"/>
    <mergeCell ref="F4:F5"/>
    <mergeCell ref="A2:M2"/>
    <mergeCell ref="A3:M3"/>
    <mergeCell ref="A4:A5"/>
    <mergeCell ref="B4:B5"/>
    <mergeCell ref="C4:C5"/>
    <mergeCell ref="E4:E5"/>
    <mergeCell ref="D4:D5"/>
  </mergeCells>
  <pageMargins left="0.41" right="0.15748031496062992" top="0.77" bottom="0.53" header="0.22" footer="0.39"/>
  <pageSetup paperSize="9" scale="55" orientation="landscape" r:id="rId1"/>
  <headerFooter>
    <oddHeader>&amp;R&amp;P--&amp;N</oddHeader>
  </headerFooter>
  <rowBreaks count="1" manualBreakCount="1">
    <brk id="2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66"/>
  </sheetPr>
  <dimension ref="A1:O78"/>
  <sheetViews>
    <sheetView tabSelected="1" zoomScaleNormal="100" zoomScaleSheetLayoutView="120" workbookViewId="0">
      <pane xSplit="3" ySplit="7" topLeftCell="D58" activePane="bottomRight" state="frozen"/>
      <selection pane="topRight" activeCell="D1" sqref="D1"/>
      <selection pane="bottomLeft" activeCell="A8" sqref="A8"/>
      <selection pane="bottomRight" activeCell="H63" sqref="H63"/>
    </sheetView>
  </sheetViews>
  <sheetFormatPr defaultColWidth="8.85546875" defaultRowHeight="15.75"/>
  <cols>
    <col min="1" max="1" width="5.140625" style="38" customWidth="1"/>
    <col min="2" max="2" width="11.42578125" style="38" customWidth="1"/>
    <col min="3" max="3" width="32.42578125" style="103" customWidth="1"/>
    <col min="4" max="4" width="6.42578125" style="38" customWidth="1"/>
    <col min="5" max="5" width="6.5703125" style="68" customWidth="1"/>
    <col min="6" max="6" width="7.5703125" style="68" customWidth="1"/>
    <col min="7" max="7" width="10" style="61" customWidth="1"/>
    <col min="8" max="8" width="11" style="61" customWidth="1"/>
    <col min="9" max="9" width="9.5703125" style="61" customWidth="1"/>
    <col min="10" max="10" width="10" style="61" bestFit="1" customWidth="1"/>
    <col min="11" max="11" width="7.5703125" style="61" customWidth="1"/>
    <col min="12" max="12" width="9.28515625" style="61" bestFit="1" customWidth="1"/>
    <col min="13" max="13" width="12.140625" style="61" customWidth="1"/>
    <col min="14" max="14" width="27.42578125" style="31" customWidth="1"/>
    <col min="15" max="16384" width="8.85546875" style="31"/>
  </cols>
  <sheetData>
    <row r="1" spans="1:15" ht="43.5" customHeight="1">
      <c r="A1" s="360" t="str">
        <f>krebsiti!A2</f>
        <v>q.borjomSi WavWavaZis quCaze sastumro "Tbilisis" mimdebared  skveris mowyobis samuSaoebi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5" ht="24" customHeight="1">
      <c r="A2" s="404" t="s">
        <v>137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3" spans="1:15" ht="30" customHeight="1">
      <c r="A3" s="404" t="s">
        <v>94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</row>
    <row r="4" spans="1:15" ht="38.450000000000003" customHeight="1">
      <c r="A4" s="364" t="s">
        <v>0</v>
      </c>
      <c r="B4" s="364" t="s">
        <v>1</v>
      </c>
      <c r="C4" s="364" t="s">
        <v>2</v>
      </c>
      <c r="D4" s="364" t="s">
        <v>3</v>
      </c>
      <c r="E4" s="405" t="s">
        <v>4</v>
      </c>
      <c r="F4" s="405" t="s">
        <v>5</v>
      </c>
      <c r="G4" s="406" t="s">
        <v>6</v>
      </c>
      <c r="H4" s="406"/>
      <c r="I4" s="406" t="s">
        <v>7</v>
      </c>
      <c r="J4" s="406"/>
      <c r="K4" s="406" t="s">
        <v>27</v>
      </c>
      <c r="L4" s="406"/>
      <c r="M4" s="406" t="s">
        <v>8</v>
      </c>
    </row>
    <row r="5" spans="1:15" ht="27">
      <c r="A5" s="364"/>
      <c r="B5" s="364"/>
      <c r="C5" s="364"/>
      <c r="D5" s="364"/>
      <c r="E5" s="405"/>
      <c r="F5" s="405"/>
      <c r="G5" s="317" t="s">
        <v>9</v>
      </c>
      <c r="H5" s="317" t="s">
        <v>10</v>
      </c>
      <c r="I5" s="317" t="s">
        <v>9</v>
      </c>
      <c r="J5" s="317" t="s">
        <v>10</v>
      </c>
      <c r="K5" s="317" t="s">
        <v>9</v>
      </c>
      <c r="L5" s="317" t="s">
        <v>10</v>
      </c>
      <c r="M5" s="406"/>
    </row>
    <row r="6" spans="1:15">
      <c r="A6" s="309">
        <v>1</v>
      </c>
      <c r="B6" s="309">
        <v>2</v>
      </c>
      <c r="C6" s="310">
        <v>3</v>
      </c>
      <c r="D6" s="309">
        <v>4</v>
      </c>
      <c r="E6" s="314">
        <v>5</v>
      </c>
      <c r="F6" s="314">
        <v>6</v>
      </c>
      <c r="G6" s="314">
        <v>7</v>
      </c>
      <c r="H6" s="314">
        <v>8</v>
      </c>
      <c r="I6" s="314">
        <v>9</v>
      </c>
      <c r="J6" s="314">
        <v>10</v>
      </c>
      <c r="K6" s="314">
        <v>11</v>
      </c>
      <c r="L6" s="314">
        <v>12</v>
      </c>
      <c r="M6" s="314">
        <v>13</v>
      </c>
    </row>
    <row r="7" spans="1:15" ht="47.25" hidden="1">
      <c r="A7" s="309" t="s">
        <v>86</v>
      </c>
      <c r="B7" s="309" t="s">
        <v>436</v>
      </c>
      <c r="C7" s="311" t="s">
        <v>127</v>
      </c>
      <c r="D7" s="144" t="s">
        <v>193</v>
      </c>
      <c r="E7" s="314"/>
      <c r="F7" s="314">
        <v>0</v>
      </c>
      <c r="G7" s="312">
        <v>430</v>
      </c>
      <c r="H7" s="312">
        <f>F7*G7</f>
        <v>0</v>
      </c>
      <c r="I7" s="312">
        <v>250</v>
      </c>
      <c r="J7" s="312">
        <f>F7*I7</f>
        <v>0</v>
      </c>
      <c r="K7" s="312"/>
      <c r="L7" s="312">
        <f>F7*K7</f>
        <v>0</v>
      </c>
      <c r="M7" s="312">
        <f>H7+J7+L7</f>
        <v>0</v>
      </c>
    </row>
    <row r="8" spans="1:15" ht="24" customHeight="1">
      <c r="A8" s="309"/>
      <c r="B8" s="309"/>
      <c r="C8" s="311" t="s">
        <v>437</v>
      </c>
      <c r="D8" s="144"/>
      <c r="E8" s="314"/>
      <c r="F8" s="314"/>
      <c r="G8" s="312"/>
      <c r="H8" s="312"/>
      <c r="I8" s="312"/>
      <c r="J8" s="312"/>
      <c r="K8" s="312"/>
      <c r="L8" s="312"/>
      <c r="M8" s="312"/>
    </row>
    <row r="9" spans="1:15" ht="78.75">
      <c r="A9" s="309" t="s">
        <v>86</v>
      </c>
      <c r="B9" s="309" t="s">
        <v>436</v>
      </c>
      <c r="C9" s="311" t="s">
        <v>504</v>
      </c>
      <c r="D9" s="144"/>
      <c r="E9" s="314"/>
      <c r="F9" s="314">
        <v>1</v>
      </c>
      <c r="G9" s="312"/>
      <c r="H9" s="312">
        <f t="shared" ref="H9:H14" si="0">F9*G9</f>
        <v>0</v>
      </c>
      <c r="I9" s="312"/>
      <c r="J9" s="312">
        <f t="shared" ref="J9:J14" si="1">F9*I9</f>
        <v>0</v>
      </c>
      <c r="K9" s="312"/>
      <c r="L9" s="312"/>
      <c r="M9" s="312">
        <f t="shared" ref="M9:M10" si="2">H9+J9+L9</f>
        <v>0</v>
      </c>
    </row>
    <row r="10" spans="1:15" ht="78.75">
      <c r="A10" s="309" t="s">
        <v>128</v>
      </c>
      <c r="B10" s="309" t="s">
        <v>436</v>
      </c>
      <c r="C10" s="311" t="s">
        <v>505</v>
      </c>
      <c r="D10" s="144"/>
      <c r="E10" s="314"/>
      <c r="F10" s="314">
        <v>4</v>
      </c>
      <c r="G10" s="312"/>
      <c r="H10" s="312">
        <f t="shared" si="0"/>
        <v>0</v>
      </c>
      <c r="I10" s="312"/>
      <c r="J10" s="312">
        <f t="shared" si="1"/>
        <v>0</v>
      </c>
      <c r="K10" s="312"/>
      <c r="L10" s="312"/>
      <c r="M10" s="312">
        <f t="shared" si="2"/>
        <v>0</v>
      </c>
    </row>
    <row r="11" spans="1:15" ht="78.75">
      <c r="A11" s="309" t="s">
        <v>129</v>
      </c>
      <c r="B11" s="309" t="s">
        <v>436</v>
      </c>
      <c r="C11" s="311" t="s">
        <v>506</v>
      </c>
      <c r="D11" s="144" t="s">
        <v>15</v>
      </c>
      <c r="E11" s="314"/>
      <c r="F11" s="314">
        <v>1</v>
      </c>
      <c r="G11" s="312"/>
      <c r="H11" s="312">
        <f t="shared" si="0"/>
        <v>0</v>
      </c>
      <c r="I11" s="312"/>
      <c r="J11" s="312">
        <f t="shared" si="1"/>
        <v>0</v>
      </c>
      <c r="K11" s="312"/>
      <c r="L11" s="312"/>
      <c r="M11" s="312">
        <f>H11+J11+L11</f>
        <v>0</v>
      </c>
      <c r="N11" s="253"/>
      <c r="O11" s="254"/>
    </row>
    <row r="12" spans="1:15">
      <c r="A12" s="309" t="s">
        <v>116</v>
      </c>
      <c r="B12" s="309" t="s">
        <v>436</v>
      </c>
      <c r="C12" s="311" t="s">
        <v>190</v>
      </c>
      <c r="D12" s="144" t="s">
        <v>15</v>
      </c>
      <c r="E12" s="314"/>
      <c r="F12" s="314">
        <v>4</v>
      </c>
      <c r="G12" s="312"/>
      <c r="H12" s="312">
        <f t="shared" si="0"/>
        <v>0</v>
      </c>
      <c r="I12" s="312"/>
      <c r="J12" s="312">
        <f t="shared" si="1"/>
        <v>0</v>
      </c>
      <c r="K12" s="312"/>
      <c r="L12" s="312"/>
      <c r="M12" s="312">
        <f>H12+J12+L12</f>
        <v>0</v>
      </c>
      <c r="N12" s="203"/>
      <c r="O12" s="203"/>
    </row>
    <row r="13" spans="1:15">
      <c r="A13" s="309" t="s">
        <v>205</v>
      </c>
      <c r="B13" s="309" t="s">
        <v>436</v>
      </c>
      <c r="C13" s="311" t="s">
        <v>503</v>
      </c>
      <c r="D13" s="144" t="s">
        <v>15</v>
      </c>
      <c r="E13" s="314"/>
      <c r="F13" s="314">
        <v>4</v>
      </c>
      <c r="G13" s="312"/>
      <c r="H13" s="312">
        <f t="shared" si="0"/>
        <v>0</v>
      </c>
      <c r="I13" s="312"/>
      <c r="J13" s="312">
        <f t="shared" si="1"/>
        <v>0</v>
      </c>
      <c r="K13" s="312"/>
      <c r="L13" s="312"/>
      <c r="M13" s="312">
        <f>H13+J13+L13</f>
        <v>0</v>
      </c>
      <c r="N13" s="203"/>
      <c r="O13" s="203"/>
    </row>
    <row r="14" spans="1:15">
      <c r="A14" s="309" t="s">
        <v>265</v>
      </c>
      <c r="B14" s="309" t="s">
        <v>436</v>
      </c>
      <c r="C14" s="311" t="s">
        <v>130</v>
      </c>
      <c r="D14" s="144" t="s">
        <v>15</v>
      </c>
      <c r="E14" s="314"/>
      <c r="F14" s="314">
        <v>1</v>
      </c>
      <c r="G14" s="312"/>
      <c r="H14" s="312">
        <f t="shared" si="0"/>
        <v>0</v>
      </c>
      <c r="I14" s="312"/>
      <c r="J14" s="312">
        <f t="shared" si="1"/>
        <v>0</v>
      </c>
      <c r="K14" s="312"/>
      <c r="L14" s="312"/>
      <c r="M14" s="312">
        <f>H14+J14+L14</f>
        <v>0</v>
      </c>
      <c r="N14" s="203"/>
      <c r="O14" s="203"/>
    </row>
    <row r="15" spans="1:15">
      <c r="A15" s="309"/>
      <c r="B15" s="311"/>
      <c r="C15" s="311"/>
      <c r="D15" s="144"/>
      <c r="E15" s="314"/>
      <c r="F15" s="314"/>
      <c r="G15" s="312"/>
      <c r="H15" s="312"/>
      <c r="I15" s="312"/>
      <c r="J15" s="312"/>
      <c r="K15" s="312"/>
      <c r="L15" s="312"/>
      <c r="M15" s="312"/>
      <c r="N15" s="203"/>
      <c r="O15" s="203"/>
    </row>
    <row r="16" spans="1:15" ht="31.5" hidden="1">
      <c r="A16" s="309"/>
      <c r="B16" s="311"/>
      <c r="C16" s="311" t="s">
        <v>338</v>
      </c>
      <c r="D16" s="144"/>
      <c r="E16" s="314"/>
      <c r="F16" s="314"/>
      <c r="G16" s="312"/>
      <c r="H16" s="312"/>
      <c r="I16" s="312"/>
      <c r="J16" s="312"/>
      <c r="K16" s="312"/>
      <c r="L16" s="312"/>
      <c r="M16" s="312"/>
      <c r="N16" s="203"/>
      <c r="O16" s="203"/>
    </row>
    <row r="17" spans="1:15" hidden="1">
      <c r="A17" s="309" t="s">
        <v>86</v>
      </c>
      <c r="B17" s="309" t="s">
        <v>436</v>
      </c>
      <c r="C17" s="190" t="s">
        <v>373</v>
      </c>
      <c r="D17" s="170" t="s">
        <v>15</v>
      </c>
      <c r="E17" s="314"/>
      <c r="F17" s="314">
        <v>0</v>
      </c>
      <c r="G17" s="17">
        <f>650/1.18</f>
        <v>550.84745762711873</v>
      </c>
      <c r="H17" s="312">
        <f>F17*G17</f>
        <v>0</v>
      </c>
      <c r="I17" s="312">
        <v>50</v>
      </c>
      <c r="J17" s="312">
        <f>F17*I17</f>
        <v>0</v>
      </c>
      <c r="K17" s="312"/>
      <c r="L17" s="312"/>
      <c r="M17" s="312">
        <f>H17+J17+L17</f>
        <v>0</v>
      </c>
      <c r="N17" s="203"/>
      <c r="O17" s="203"/>
    </row>
    <row r="18" spans="1:15" hidden="1">
      <c r="A18" s="309" t="s">
        <v>128</v>
      </c>
      <c r="B18" s="309" t="s">
        <v>436</v>
      </c>
      <c r="C18" s="190" t="s">
        <v>337</v>
      </c>
      <c r="D18" s="170" t="s">
        <v>15</v>
      </c>
      <c r="E18" s="314"/>
      <c r="F18" s="314">
        <v>0</v>
      </c>
      <c r="G18" s="17">
        <f>650/1.18</f>
        <v>550.84745762711873</v>
      </c>
      <c r="H18" s="312">
        <f>F18*G18</f>
        <v>0</v>
      </c>
      <c r="I18" s="312">
        <v>50</v>
      </c>
      <c r="J18" s="312">
        <f>F18*I18</f>
        <v>0</v>
      </c>
      <c r="K18" s="312"/>
      <c r="L18" s="312"/>
      <c r="M18" s="312">
        <f>H18+J18+L18</f>
        <v>0</v>
      </c>
      <c r="N18" s="203"/>
      <c r="O18" s="203"/>
    </row>
    <row r="19" spans="1:15" ht="31.5" hidden="1">
      <c r="A19" s="309" t="s">
        <v>129</v>
      </c>
      <c r="B19" s="309" t="s">
        <v>436</v>
      </c>
      <c r="C19" s="190" t="s">
        <v>392</v>
      </c>
      <c r="D19" s="170" t="s">
        <v>15</v>
      </c>
      <c r="E19" s="314"/>
      <c r="F19" s="314">
        <v>0</v>
      </c>
      <c r="G19" s="17">
        <f>4500/1.18</f>
        <v>3813.5593220338983</v>
      </c>
      <c r="H19" s="312">
        <f>F19*G19</f>
        <v>0</v>
      </c>
      <c r="I19" s="312">
        <v>250</v>
      </c>
      <c r="J19" s="312">
        <f>F19*I19</f>
        <v>0</v>
      </c>
      <c r="K19" s="312"/>
      <c r="L19" s="312"/>
      <c r="M19" s="312">
        <f>H19+J19+L19</f>
        <v>0</v>
      </c>
      <c r="N19" s="203"/>
      <c r="O19" s="203"/>
    </row>
    <row r="20" spans="1:15">
      <c r="A20" s="309"/>
      <c r="B20" s="309"/>
      <c r="C20" s="311"/>
      <c r="D20" s="144"/>
      <c r="E20" s="314"/>
      <c r="F20" s="314"/>
      <c r="G20" s="312"/>
      <c r="H20" s="312"/>
      <c r="I20" s="312"/>
      <c r="J20" s="312"/>
      <c r="K20" s="312"/>
      <c r="L20" s="312"/>
      <c r="M20" s="312"/>
      <c r="N20" s="203"/>
      <c r="O20" s="203"/>
    </row>
    <row r="21" spans="1:15" hidden="1">
      <c r="A21" s="310" t="s">
        <v>129</v>
      </c>
      <c r="B21" s="309"/>
      <c r="C21" s="311" t="s">
        <v>339</v>
      </c>
      <c r="D21" s="173"/>
      <c r="E21" s="318"/>
      <c r="F21" s="319"/>
      <c r="G21" s="17"/>
      <c r="H21" s="49"/>
      <c r="I21" s="49"/>
      <c r="J21" s="49"/>
      <c r="K21" s="49"/>
      <c r="L21" s="49"/>
      <c r="M21" s="49"/>
      <c r="N21" s="203"/>
      <c r="O21" s="203"/>
    </row>
    <row r="22" spans="1:15" ht="94.5" hidden="1">
      <c r="A22" s="367" t="s">
        <v>86</v>
      </c>
      <c r="B22" s="362" t="s">
        <v>340</v>
      </c>
      <c r="C22" s="184" t="s">
        <v>341</v>
      </c>
      <c r="D22" s="362" t="s">
        <v>15</v>
      </c>
      <c r="E22" s="399"/>
      <c r="F22" s="401"/>
      <c r="G22" s="17">
        <v>1000</v>
      </c>
      <c r="H22" s="49">
        <f t="shared" ref="H22:H40" si="3">F22*G22</f>
        <v>0</v>
      </c>
      <c r="I22" s="49">
        <v>150</v>
      </c>
      <c r="J22" s="49">
        <f t="shared" ref="J22:J40" si="4">F22*I22</f>
        <v>0</v>
      </c>
      <c r="K22" s="49"/>
      <c r="L22" s="49">
        <f t="shared" ref="L22:L40" si="5">F22*K22</f>
        <v>0</v>
      </c>
      <c r="M22" s="49">
        <f t="shared" ref="M22:M40" si="6">H22+J22+L22</f>
        <v>0</v>
      </c>
      <c r="N22" s="407">
        <v>1</v>
      </c>
      <c r="O22" s="203"/>
    </row>
    <row r="23" spans="1:15" ht="78.75" hidden="1">
      <c r="A23" s="368"/>
      <c r="B23" s="363"/>
      <c r="C23" s="175" t="s">
        <v>342</v>
      </c>
      <c r="D23" s="363"/>
      <c r="E23" s="400"/>
      <c r="F23" s="402"/>
      <c r="G23" s="17"/>
      <c r="H23" s="49"/>
      <c r="I23" s="49"/>
      <c r="J23" s="49"/>
      <c r="K23" s="49"/>
      <c r="L23" s="49"/>
      <c r="M23" s="49"/>
      <c r="N23" s="407"/>
      <c r="O23" s="203"/>
    </row>
    <row r="24" spans="1:15" ht="110.25" hidden="1">
      <c r="A24" s="367" t="s">
        <v>128</v>
      </c>
      <c r="B24" s="362" t="s">
        <v>340</v>
      </c>
      <c r="C24" s="184" t="s">
        <v>343</v>
      </c>
      <c r="D24" s="362" t="s">
        <v>15</v>
      </c>
      <c r="E24" s="399"/>
      <c r="F24" s="401"/>
      <c r="G24" s="17">
        <v>1600</v>
      </c>
      <c r="H24" s="49">
        <f t="shared" si="3"/>
        <v>0</v>
      </c>
      <c r="I24" s="49">
        <v>100</v>
      </c>
      <c r="J24" s="49">
        <f t="shared" si="4"/>
        <v>0</v>
      </c>
      <c r="K24" s="49"/>
      <c r="L24" s="49">
        <f t="shared" si="5"/>
        <v>0</v>
      </c>
      <c r="M24" s="49">
        <f t="shared" si="6"/>
        <v>0</v>
      </c>
      <c r="N24" s="407">
        <v>1</v>
      </c>
      <c r="O24" s="203"/>
    </row>
    <row r="25" spans="1:15" ht="78.75" hidden="1">
      <c r="A25" s="368"/>
      <c r="B25" s="363"/>
      <c r="C25" s="175" t="s">
        <v>344</v>
      </c>
      <c r="D25" s="363"/>
      <c r="E25" s="400"/>
      <c r="F25" s="402"/>
      <c r="G25" s="17"/>
      <c r="H25" s="49"/>
      <c r="I25" s="49"/>
      <c r="J25" s="49"/>
      <c r="K25" s="49"/>
      <c r="L25" s="49"/>
      <c r="M25" s="49"/>
      <c r="N25" s="407"/>
      <c r="O25" s="203"/>
    </row>
    <row r="26" spans="1:15" ht="110.25" hidden="1">
      <c r="A26" s="367" t="s">
        <v>129</v>
      </c>
      <c r="B26" s="362" t="s">
        <v>340</v>
      </c>
      <c r="C26" s="174" t="s">
        <v>345</v>
      </c>
      <c r="D26" s="362" t="s">
        <v>15</v>
      </c>
      <c r="E26" s="399"/>
      <c r="F26" s="401"/>
      <c r="G26" s="17">
        <v>1600</v>
      </c>
      <c r="H26" s="49">
        <f t="shared" si="3"/>
        <v>0</v>
      </c>
      <c r="I26" s="49">
        <v>100</v>
      </c>
      <c r="J26" s="49">
        <f t="shared" si="4"/>
        <v>0</v>
      </c>
      <c r="K26" s="49"/>
      <c r="L26" s="49">
        <f t="shared" si="5"/>
        <v>0</v>
      </c>
      <c r="M26" s="49">
        <f t="shared" si="6"/>
        <v>0</v>
      </c>
      <c r="N26" s="407">
        <v>1</v>
      </c>
      <c r="O26" s="203"/>
    </row>
    <row r="27" spans="1:15" ht="78.75" hidden="1">
      <c r="A27" s="368"/>
      <c r="B27" s="363"/>
      <c r="C27" s="175" t="s">
        <v>346</v>
      </c>
      <c r="D27" s="363"/>
      <c r="E27" s="400"/>
      <c r="F27" s="402"/>
      <c r="G27" s="17"/>
      <c r="H27" s="49"/>
      <c r="I27" s="49"/>
      <c r="J27" s="49"/>
      <c r="K27" s="49"/>
      <c r="L27" s="49"/>
      <c r="M27" s="49"/>
      <c r="N27" s="407"/>
      <c r="O27" s="203"/>
    </row>
    <row r="28" spans="1:15" ht="110.25" hidden="1">
      <c r="A28" s="367" t="s">
        <v>116</v>
      </c>
      <c r="B28" s="362" t="s">
        <v>340</v>
      </c>
      <c r="C28" s="174" t="s">
        <v>347</v>
      </c>
      <c r="D28" s="362" t="s">
        <v>15</v>
      </c>
      <c r="E28" s="399"/>
      <c r="F28" s="401"/>
      <c r="G28" s="17">
        <v>1400</v>
      </c>
      <c r="H28" s="49">
        <f t="shared" si="3"/>
        <v>0</v>
      </c>
      <c r="I28" s="49">
        <v>100</v>
      </c>
      <c r="J28" s="49">
        <f t="shared" si="4"/>
        <v>0</v>
      </c>
      <c r="K28" s="49"/>
      <c r="L28" s="49">
        <f t="shared" si="5"/>
        <v>0</v>
      </c>
      <c r="M28" s="49">
        <f t="shared" si="6"/>
        <v>0</v>
      </c>
      <c r="N28" s="407">
        <v>1</v>
      </c>
      <c r="O28" s="203"/>
    </row>
    <row r="29" spans="1:15" ht="78.75" hidden="1">
      <c r="A29" s="368"/>
      <c r="B29" s="363"/>
      <c r="C29" s="175" t="s">
        <v>348</v>
      </c>
      <c r="D29" s="363"/>
      <c r="E29" s="400"/>
      <c r="F29" s="402"/>
      <c r="G29" s="17"/>
      <c r="H29" s="49"/>
      <c r="I29" s="49"/>
      <c r="J29" s="49"/>
      <c r="K29" s="49"/>
      <c r="L29" s="49"/>
      <c r="M29" s="49"/>
      <c r="N29" s="407"/>
      <c r="O29" s="203"/>
    </row>
    <row r="30" spans="1:15" ht="110.25" hidden="1">
      <c r="A30" s="367" t="s">
        <v>205</v>
      </c>
      <c r="B30" s="362" t="s">
        <v>340</v>
      </c>
      <c r="C30" s="174" t="s">
        <v>349</v>
      </c>
      <c r="D30" s="362" t="s">
        <v>15</v>
      </c>
      <c r="E30" s="399"/>
      <c r="F30" s="401"/>
      <c r="G30" s="17">
        <v>1350</v>
      </c>
      <c r="H30" s="49">
        <f t="shared" si="3"/>
        <v>0</v>
      </c>
      <c r="I30" s="49">
        <v>100</v>
      </c>
      <c r="J30" s="49">
        <f t="shared" si="4"/>
        <v>0</v>
      </c>
      <c r="K30" s="49"/>
      <c r="L30" s="49">
        <f t="shared" si="5"/>
        <v>0</v>
      </c>
      <c r="M30" s="49">
        <f t="shared" si="6"/>
        <v>0</v>
      </c>
      <c r="N30" s="407">
        <v>1</v>
      </c>
      <c r="O30" s="203"/>
    </row>
    <row r="31" spans="1:15" ht="78.75" hidden="1">
      <c r="A31" s="368"/>
      <c r="B31" s="363"/>
      <c r="C31" s="175" t="s">
        <v>350</v>
      </c>
      <c r="D31" s="363"/>
      <c r="E31" s="400"/>
      <c r="F31" s="402"/>
      <c r="G31" s="17"/>
      <c r="H31" s="49"/>
      <c r="I31" s="49"/>
      <c r="J31" s="49"/>
      <c r="K31" s="49"/>
      <c r="L31" s="49"/>
      <c r="M31" s="49"/>
      <c r="N31" s="407"/>
      <c r="O31" s="203"/>
    </row>
    <row r="32" spans="1:15" ht="94.5" hidden="1">
      <c r="A32" s="367" t="s">
        <v>265</v>
      </c>
      <c r="B32" s="362" t="s">
        <v>340</v>
      </c>
      <c r="C32" s="174" t="s">
        <v>351</v>
      </c>
      <c r="D32" s="362" t="s">
        <v>15</v>
      </c>
      <c r="E32" s="399"/>
      <c r="F32" s="401"/>
      <c r="G32" s="17">
        <v>1000</v>
      </c>
      <c r="H32" s="49">
        <f t="shared" si="3"/>
        <v>0</v>
      </c>
      <c r="I32" s="49">
        <v>100</v>
      </c>
      <c r="J32" s="49">
        <f t="shared" si="4"/>
        <v>0</v>
      </c>
      <c r="K32" s="49"/>
      <c r="L32" s="49">
        <f t="shared" si="5"/>
        <v>0</v>
      </c>
      <c r="M32" s="49">
        <f t="shared" si="6"/>
        <v>0</v>
      </c>
      <c r="N32" s="407">
        <v>1</v>
      </c>
      <c r="O32" s="203"/>
    </row>
    <row r="33" spans="1:15" ht="78.75" hidden="1">
      <c r="A33" s="368"/>
      <c r="B33" s="363"/>
      <c r="C33" s="175" t="s">
        <v>352</v>
      </c>
      <c r="D33" s="363"/>
      <c r="E33" s="400"/>
      <c r="F33" s="402"/>
      <c r="G33" s="17"/>
      <c r="H33" s="49"/>
      <c r="I33" s="49"/>
      <c r="J33" s="49"/>
      <c r="K33" s="49"/>
      <c r="L33" s="49"/>
      <c r="M33" s="49"/>
      <c r="N33" s="407"/>
      <c r="O33" s="203"/>
    </row>
    <row r="34" spans="1:15" ht="110.25" hidden="1">
      <c r="A34" s="367" t="s">
        <v>268</v>
      </c>
      <c r="B34" s="362" t="s">
        <v>340</v>
      </c>
      <c r="C34" s="184" t="s">
        <v>353</v>
      </c>
      <c r="D34" s="362" t="s">
        <v>15</v>
      </c>
      <c r="E34" s="399"/>
      <c r="F34" s="401"/>
      <c r="G34" s="17">
        <v>400</v>
      </c>
      <c r="H34" s="49">
        <f t="shared" si="3"/>
        <v>0</v>
      </c>
      <c r="I34" s="49">
        <v>100</v>
      </c>
      <c r="J34" s="49">
        <f t="shared" si="4"/>
        <v>0</v>
      </c>
      <c r="K34" s="49"/>
      <c r="L34" s="49">
        <f t="shared" si="5"/>
        <v>0</v>
      </c>
      <c r="M34" s="49">
        <f t="shared" si="6"/>
        <v>0</v>
      </c>
      <c r="N34" s="407">
        <v>1</v>
      </c>
      <c r="O34" s="203"/>
    </row>
    <row r="35" spans="1:15" ht="78.75" hidden="1">
      <c r="A35" s="368"/>
      <c r="B35" s="363"/>
      <c r="C35" s="175" t="s">
        <v>354</v>
      </c>
      <c r="D35" s="363"/>
      <c r="E35" s="400"/>
      <c r="F35" s="402"/>
      <c r="G35" s="17"/>
      <c r="H35" s="49"/>
      <c r="I35" s="49"/>
      <c r="J35" s="49"/>
      <c r="K35" s="49"/>
      <c r="L35" s="49"/>
      <c r="M35" s="49"/>
      <c r="N35" s="407"/>
      <c r="O35" s="203"/>
    </row>
    <row r="36" spans="1:15" ht="94.5" hidden="1">
      <c r="A36" s="367" t="s">
        <v>272</v>
      </c>
      <c r="B36" s="362" t="s">
        <v>340</v>
      </c>
      <c r="C36" s="174" t="s">
        <v>355</v>
      </c>
      <c r="D36" s="362" t="s">
        <v>15</v>
      </c>
      <c r="E36" s="399"/>
      <c r="F36" s="401"/>
      <c r="G36" s="17">
        <v>1850</v>
      </c>
      <c r="H36" s="49">
        <f t="shared" si="3"/>
        <v>0</v>
      </c>
      <c r="I36" s="49">
        <v>100</v>
      </c>
      <c r="J36" s="49">
        <f t="shared" si="4"/>
        <v>0</v>
      </c>
      <c r="K36" s="49"/>
      <c r="L36" s="49">
        <f t="shared" si="5"/>
        <v>0</v>
      </c>
      <c r="M36" s="49">
        <f t="shared" si="6"/>
        <v>0</v>
      </c>
      <c r="N36" s="407">
        <v>1</v>
      </c>
      <c r="O36" s="203"/>
    </row>
    <row r="37" spans="1:15" ht="78.75" hidden="1">
      <c r="A37" s="368"/>
      <c r="B37" s="363"/>
      <c r="C37" s="175" t="s">
        <v>356</v>
      </c>
      <c r="D37" s="363"/>
      <c r="E37" s="400"/>
      <c r="F37" s="402"/>
      <c r="G37" s="17"/>
      <c r="H37" s="49"/>
      <c r="I37" s="49"/>
      <c r="J37" s="49"/>
      <c r="K37" s="49"/>
      <c r="L37" s="49"/>
      <c r="M37" s="49"/>
      <c r="N37" s="407"/>
      <c r="O37" s="203"/>
    </row>
    <row r="38" spans="1:15" ht="110.25" hidden="1">
      <c r="A38" s="367" t="s">
        <v>276</v>
      </c>
      <c r="B38" s="362" t="s">
        <v>340</v>
      </c>
      <c r="C38" s="174" t="s">
        <v>357</v>
      </c>
      <c r="D38" s="362" t="s">
        <v>15</v>
      </c>
      <c r="E38" s="399"/>
      <c r="F38" s="401"/>
      <c r="G38" s="17">
        <v>900</v>
      </c>
      <c r="H38" s="49">
        <f t="shared" si="3"/>
        <v>0</v>
      </c>
      <c r="I38" s="49">
        <v>100</v>
      </c>
      <c r="J38" s="49">
        <f t="shared" si="4"/>
        <v>0</v>
      </c>
      <c r="K38" s="49"/>
      <c r="L38" s="49">
        <f t="shared" si="5"/>
        <v>0</v>
      </c>
      <c r="M38" s="49">
        <f t="shared" si="6"/>
        <v>0</v>
      </c>
      <c r="N38" s="407">
        <v>1</v>
      </c>
      <c r="O38" s="203"/>
    </row>
    <row r="39" spans="1:15" ht="63" hidden="1">
      <c r="A39" s="368"/>
      <c r="B39" s="363"/>
      <c r="C39" s="175" t="s">
        <v>358</v>
      </c>
      <c r="D39" s="363"/>
      <c r="E39" s="400"/>
      <c r="F39" s="402"/>
      <c r="G39" s="17"/>
      <c r="H39" s="49"/>
      <c r="I39" s="49"/>
      <c r="J39" s="49"/>
      <c r="K39" s="49"/>
      <c r="L39" s="49"/>
      <c r="M39" s="49"/>
      <c r="N39" s="407"/>
      <c r="O39" s="203"/>
    </row>
    <row r="40" spans="1:15" ht="94.5" hidden="1">
      <c r="A40" s="367" t="s">
        <v>279</v>
      </c>
      <c r="B40" s="362" t="s">
        <v>340</v>
      </c>
      <c r="C40" s="174" t="s">
        <v>359</v>
      </c>
      <c r="D40" s="362" t="s">
        <v>15</v>
      </c>
      <c r="E40" s="399"/>
      <c r="F40" s="401"/>
      <c r="G40" s="17">
        <v>950</v>
      </c>
      <c r="H40" s="49">
        <f t="shared" si="3"/>
        <v>0</v>
      </c>
      <c r="I40" s="49">
        <v>100</v>
      </c>
      <c r="J40" s="49">
        <f t="shared" si="4"/>
        <v>0</v>
      </c>
      <c r="K40" s="49"/>
      <c r="L40" s="49">
        <f t="shared" si="5"/>
        <v>0</v>
      </c>
      <c r="M40" s="49">
        <f t="shared" si="6"/>
        <v>0</v>
      </c>
      <c r="N40" s="407">
        <v>1</v>
      </c>
      <c r="O40" s="203"/>
    </row>
    <row r="41" spans="1:15" ht="78.75" hidden="1">
      <c r="A41" s="368"/>
      <c r="B41" s="363"/>
      <c r="C41" s="175" t="s">
        <v>360</v>
      </c>
      <c r="D41" s="363"/>
      <c r="E41" s="400"/>
      <c r="F41" s="402"/>
      <c r="G41" s="17"/>
      <c r="H41" s="49"/>
      <c r="I41" s="49"/>
      <c r="J41" s="49"/>
      <c r="K41" s="49"/>
      <c r="L41" s="49"/>
      <c r="M41" s="49"/>
      <c r="N41" s="407"/>
      <c r="O41" s="203"/>
    </row>
    <row r="42" spans="1:15" hidden="1">
      <c r="A42" s="309"/>
      <c r="B42" s="309"/>
      <c r="C42" s="311"/>
      <c r="D42" s="144"/>
      <c r="E42" s="314"/>
      <c r="F42" s="314"/>
      <c r="G42" s="312"/>
      <c r="H42" s="312"/>
      <c r="I42" s="312"/>
      <c r="J42" s="312"/>
      <c r="K42" s="312"/>
      <c r="L42" s="312"/>
      <c r="M42" s="312"/>
      <c r="N42" s="203"/>
      <c r="O42" s="203"/>
    </row>
    <row r="43" spans="1:15" hidden="1">
      <c r="A43" s="309"/>
      <c r="B43" s="309"/>
      <c r="C43" s="311"/>
      <c r="D43" s="144"/>
      <c r="E43" s="314"/>
      <c r="F43" s="314"/>
      <c r="G43" s="312"/>
      <c r="H43" s="312"/>
      <c r="I43" s="312"/>
      <c r="J43" s="312"/>
      <c r="K43" s="312"/>
      <c r="L43" s="312"/>
      <c r="M43" s="312"/>
      <c r="N43" s="203"/>
      <c r="O43" s="203"/>
    </row>
    <row r="44" spans="1:15" hidden="1">
      <c r="A44" s="309"/>
      <c r="B44" s="309"/>
      <c r="C44" s="311"/>
      <c r="D44" s="144"/>
      <c r="E44" s="314"/>
      <c r="F44" s="314"/>
      <c r="G44" s="312"/>
      <c r="H44" s="312"/>
      <c r="I44" s="312"/>
      <c r="J44" s="312"/>
      <c r="K44" s="312"/>
      <c r="L44" s="312"/>
      <c r="M44" s="312"/>
      <c r="N44" s="203"/>
      <c r="O44" s="203"/>
    </row>
    <row r="45" spans="1:15" hidden="1">
      <c r="A45" s="309"/>
      <c r="B45" s="309"/>
      <c r="C45" s="311"/>
      <c r="D45" s="144"/>
      <c r="E45" s="314"/>
      <c r="F45" s="314"/>
      <c r="G45" s="312"/>
      <c r="H45" s="312"/>
      <c r="I45" s="312"/>
      <c r="J45" s="312"/>
      <c r="K45" s="312"/>
      <c r="L45" s="312"/>
      <c r="M45" s="312"/>
      <c r="N45" s="203"/>
      <c r="O45" s="203"/>
    </row>
    <row r="46" spans="1:15" hidden="1">
      <c r="A46" s="309"/>
      <c r="B46" s="309"/>
      <c r="C46" s="311"/>
      <c r="D46" s="144"/>
      <c r="E46" s="314"/>
      <c r="F46" s="314"/>
      <c r="G46" s="312"/>
      <c r="H46" s="312"/>
      <c r="I46" s="312"/>
      <c r="J46" s="312"/>
      <c r="K46" s="312"/>
      <c r="L46" s="312"/>
      <c r="M46" s="312"/>
      <c r="N46" s="203"/>
      <c r="O46" s="203"/>
    </row>
    <row r="47" spans="1:15" hidden="1">
      <c r="A47" s="309"/>
      <c r="B47" s="309"/>
      <c r="C47" s="311"/>
      <c r="D47" s="144"/>
      <c r="E47" s="314"/>
      <c r="F47" s="314"/>
      <c r="G47" s="312"/>
      <c r="H47" s="312"/>
      <c r="I47" s="312"/>
      <c r="J47" s="312"/>
      <c r="K47" s="312"/>
      <c r="L47" s="312"/>
      <c r="M47" s="312"/>
      <c r="N47" s="203"/>
      <c r="O47" s="203"/>
    </row>
    <row r="48" spans="1:15" hidden="1">
      <c r="A48" s="309"/>
      <c r="B48" s="309"/>
      <c r="C48" s="311"/>
      <c r="D48" s="144"/>
      <c r="E48" s="314"/>
      <c r="F48" s="314"/>
      <c r="G48" s="312"/>
      <c r="H48" s="312"/>
      <c r="I48" s="312"/>
      <c r="J48" s="312"/>
      <c r="K48" s="312"/>
      <c r="L48" s="312"/>
      <c r="M48" s="312"/>
      <c r="N48" s="203"/>
      <c r="O48" s="203"/>
    </row>
    <row r="49" spans="1:15" hidden="1">
      <c r="A49" s="309"/>
      <c r="B49" s="309"/>
      <c r="C49" s="311"/>
      <c r="D49" s="144"/>
      <c r="E49" s="314"/>
      <c r="F49" s="314"/>
      <c r="G49" s="312"/>
      <c r="H49" s="312"/>
      <c r="I49" s="312"/>
      <c r="J49" s="312"/>
      <c r="K49" s="312"/>
      <c r="L49" s="312"/>
      <c r="M49" s="312"/>
      <c r="N49" s="203"/>
      <c r="O49" s="203"/>
    </row>
    <row r="50" spans="1:15" hidden="1">
      <c r="A50" s="309"/>
      <c r="B50" s="309"/>
      <c r="C50" s="311"/>
      <c r="D50" s="144"/>
      <c r="E50" s="314"/>
      <c r="F50" s="314"/>
      <c r="G50" s="312"/>
      <c r="H50" s="312"/>
      <c r="I50" s="312"/>
      <c r="J50" s="312"/>
      <c r="K50" s="312"/>
      <c r="L50" s="312"/>
      <c r="M50" s="312"/>
      <c r="N50" s="203"/>
      <c r="O50" s="203"/>
    </row>
    <row r="51" spans="1:15" hidden="1">
      <c r="A51" s="309"/>
      <c r="B51" s="309"/>
      <c r="C51" s="311"/>
      <c r="D51" s="144"/>
      <c r="E51" s="314"/>
      <c r="F51" s="314"/>
      <c r="G51" s="312"/>
      <c r="H51" s="312"/>
      <c r="I51" s="312"/>
      <c r="J51" s="312"/>
      <c r="K51" s="312"/>
      <c r="L51" s="312"/>
      <c r="M51" s="312"/>
      <c r="N51" s="203"/>
      <c r="O51" s="203"/>
    </row>
    <row r="52" spans="1:15" hidden="1">
      <c r="A52" s="309"/>
      <c r="B52" s="309"/>
      <c r="C52" s="311"/>
      <c r="D52" s="144"/>
      <c r="E52" s="314"/>
      <c r="F52" s="314"/>
      <c r="G52" s="312"/>
      <c r="H52" s="312"/>
      <c r="I52" s="312"/>
      <c r="J52" s="312"/>
      <c r="K52" s="312"/>
      <c r="L52" s="312"/>
      <c r="M52" s="312"/>
      <c r="N52" s="203"/>
      <c r="O52" s="203"/>
    </row>
    <row r="53" spans="1:15" hidden="1">
      <c r="A53" s="309"/>
      <c r="B53" s="309"/>
      <c r="C53" s="311"/>
      <c r="D53" s="144"/>
      <c r="E53" s="314"/>
      <c r="F53" s="314"/>
      <c r="G53" s="312"/>
      <c r="H53" s="312"/>
      <c r="I53" s="312"/>
      <c r="J53" s="312"/>
      <c r="K53" s="312"/>
      <c r="L53" s="312"/>
      <c r="M53" s="312"/>
      <c r="N53" s="203"/>
      <c r="O53" s="203"/>
    </row>
    <row r="54" spans="1:15" hidden="1">
      <c r="A54" s="309"/>
      <c r="B54" s="309"/>
      <c r="C54" s="311"/>
      <c r="D54" s="144"/>
      <c r="E54" s="314"/>
      <c r="F54" s="314"/>
      <c r="G54" s="312"/>
      <c r="H54" s="312"/>
      <c r="I54" s="312"/>
      <c r="J54" s="312"/>
      <c r="K54" s="312"/>
      <c r="L54" s="312"/>
      <c r="M54" s="312"/>
      <c r="N54" s="203"/>
      <c r="O54" s="203"/>
    </row>
    <row r="55" spans="1:15" hidden="1">
      <c r="A55" s="309"/>
      <c r="B55" s="309"/>
      <c r="C55" s="311"/>
      <c r="D55" s="144"/>
      <c r="E55" s="314"/>
      <c r="F55" s="314"/>
      <c r="G55" s="312"/>
      <c r="H55" s="312"/>
      <c r="I55" s="312"/>
      <c r="J55" s="312"/>
      <c r="K55" s="312"/>
      <c r="L55" s="312"/>
      <c r="M55" s="312"/>
      <c r="N55" s="203"/>
      <c r="O55" s="203"/>
    </row>
    <row r="56" spans="1:15" hidden="1">
      <c r="A56" s="309"/>
      <c r="B56" s="309"/>
      <c r="C56" s="311"/>
      <c r="D56" s="144"/>
      <c r="E56" s="314"/>
      <c r="F56" s="314"/>
      <c r="G56" s="312"/>
      <c r="H56" s="312"/>
      <c r="I56" s="312"/>
      <c r="J56" s="312"/>
      <c r="K56" s="312"/>
      <c r="L56" s="312"/>
      <c r="M56" s="312"/>
      <c r="N56" s="203"/>
      <c r="O56" s="203"/>
    </row>
    <row r="57" spans="1:15" hidden="1">
      <c r="A57" s="309"/>
      <c r="B57" s="309"/>
      <c r="C57" s="311"/>
      <c r="D57" s="144"/>
      <c r="E57" s="314"/>
      <c r="F57" s="314"/>
      <c r="G57" s="312"/>
      <c r="H57" s="312"/>
      <c r="I57" s="312"/>
      <c r="J57" s="312"/>
      <c r="K57" s="312"/>
      <c r="L57" s="312"/>
      <c r="M57" s="312"/>
      <c r="N57" s="203"/>
      <c r="O57" s="203"/>
    </row>
    <row r="58" spans="1:15">
      <c r="A58" s="309"/>
      <c r="B58" s="309"/>
      <c r="C58" s="311"/>
      <c r="D58" s="144"/>
      <c r="E58" s="314"/>
      <c r="F58" s="314"/>
      <c r="G58" s="312"/>
      <c r="H58" s="312"/>
      <c r="I58" s="312"/>
      <c r="J58" s="312"/>
      <c r="K58" s="312"/>
      <c r="L58" s="312"/>
      <c r="M58" s="312"/>
      <c r="N58" s="203"/>
      <c r="O58" s="203"/>
    </row>
    <row r="59" spans="1:15" ht="31.5" customHeight="1">
      <c r="A59" s="345"/>
      <c r="B59" s="345"/>
      <c r="C59" s="345" t="s">
        <v>430</v>
      </c>
      <c r="D59" s="345"/>
      <c r="E59" s="347"/>
      <c r="F59" s="347"/>
      <c r="G59" s="353"/>
      <c r="H59" s="353">
        <f>SUM(H7:H58)</f>
        <v>0</v>
      </c>
      <c r="I59" s="353"/>
      <c r="J59" s="353">
        <f>SUM(J7:J58)</f>
        <v>0</v>
      </c>
      <c r="K59" s="353"/>
      <c r="L59" s="353">
        <f>SUM(L7:L58)</f>
        <v>0</v>
      </c>
      <c r="M59" s="353">
        <f>SUM(M7:M58)</f>
        <v>0</v>
      </c>
      <c r="N59" s="61">
        <f>H59+J59+L59</f>
        <v>0</v>
      </c>
    </row>
    <row r="60" spans="1:15" ht="31.5" customHeight="1">
      <c r="A60" s="64"/>
      <c r="B60" s="64"/>
      <c r="C60" s="214" t="s">
        <v>426</v>
      </c>
      <c r="D60" s="64"/>
      <c r="E60" s="1"/>
      <c r="F60" s="335"/>
      <c r="G60" s="6"/>
      <c r="H60" s="6"/>
      <c r="I60" s="6"/>
      <c r="J60" s="6"/>
      <c r="K60" s="6"/>
      <c r="L60" s="6"/>
      <c r="M60" s="6">
        <f>H59*F60</f>
        <v>0</v>
      </c>
      <c r="N60" s="61"/>
    </row>
    <row r="61" spans="1:15" ht="40.5">
      <c r="A61" s="309"/>
      <c r="B61" s="309"/>
      <c r="C61" s="309" t="s">
        <v>250</v>
      </c>
      <c r="D61" s="309"/>
      <c r="E61" s="314"/>
      <c r="F61" s="337"/>
      <c r="G61" s="312"/>
      <c r="H61" s="312"/>
      <c r="I61" s="312"/>
      <c r="J61" s="312"/>
      <c r="K61" s="312"/>
      <c r="L61" s="312"/>
      <c r="M61" s="312">
        <f>J59*F61</f>
        <v>0</v>
      </c>
    </row>
    <row r="62" spans="1:15">
      <c r="A62" s="309"/>
      <c r="B62" s="309"/>
      <c r="C62" s="310"/>
      <c r="D62" s="309"/>
      <c r="E62" s="314"/>
      <c r="F62" s="1"/>
      <c r="G62" s="312"/>
      <c r="H62" s="312"/>
      <c r="I62" s="312"/>
      <c r="J62" s="6" t="s">
        <v>21</v>
      </c>
      <c r="K62" s="312"/>
      <c r="L62" s="312"/>
      <c r="M62" s="312">
        <f>M59+M60+M61</f>
        <v>0</v>
      </c>
    </row>
    <row r="63" spans="1:15" ht="21.75" customHeight="1">
      <c r="A63" s="309"/>
      <c r="B63" s="309"/>
      <c r="C63" s="310" t="s">
        <v>35</v>
      </c>
      <c r="D63" s="309"/>
      <c r="E63" s="314"/>
      <c r="F63" s="337"/>
      <c r="G63" s="312"/>
      <c r="H63" s="6">
        <f>H59</f>
        <v>0</v>
      </c>
      <c r="I63" s="312"/>
      <c r="J63" s="6"/>
      <c r="K63" s="312"/>
      <c r="L63" s="312"/>
      <c r="M63" s="312">
        <f>(M62-H63)*F63</f>
        <v>0</v>
      </c>
    </row>
    <row r="64" spans="1:15" ht="24.75" customHeight="1">
      <c r="A64" s="356"/>
      <c r="B64" s="351"/>
      <c r="C64" s="344" t="s">
        <v>427</v>
      </c>
      <c r="D64" s="351"/>
      <c r="E64" s="352"/>
      <c r="F64" s="352"/>
      <c r="G64" s="349"/>
      <c r="H64" s="349"/>
      <c r="I64" s="349"/>
      <c r="J64" s="349" t="s">
        <v>21</v>
      </c>
      <c r="K64" s="349"/>
      <c r="L64" s="349"/>
      <c r="M64" s="349">
        <f>M62+M63</f>
        <v>0</v>
      </c>
    </row>
    <row r="65" spans="1:13" ht="31.5">
      <c r="A65" s="64"/>
      <c r="B65" s="309"/>
      <c r="C65" s="53" t="s">
        <v>12</v>
      </c>
      <c r="D65" s="64"/>
      <c r="E65" s="314"/>
      <c r="F65" s="333">
        <v>0.05</v>
      </c>
      <c r="G65" s="312"/>
      <c r="H65" s="312"/>
      <c r="I65" s="312"/>
      <c r="J65" s="6"/>
      <c r="K65" s="312"/>
      <c r="L65" s="312"/>
      <c r="M65" s="312">
        <f>M64*F65</f>
        <v>0</v>
      </c>
    </row>
    <row r="66" spans="1:13">
      <c r="A66" s="64"/>
      <c r="B66" s="309"/>
      <c r="C66" s="53"/>
      <c r="D66" s="64"/>
      <c r="E66" s="314"/>
      <c r="F66" s="1"/>
      <c r="G66" s="312"/>
      <c r="H66" s="312"/>
      <c r="I66" s="312"/>
      <c r="J66" s="6" t="s">
        <v>21</v>
      </c>
      <c r="K66" s="312"/>
      <c r="L66" s="312"/>
      <c r="M66" s="312">
        <f>M64+M65</f>
        <v>0</v>
      </c>
    </row>
    <row r="67" spans="1:13" ht="21" customHeight="1">
      <c r="A67" s="64"/>
      <c r="B67" s="309"/>
      <c r="C67" s="320" t="s">
        <v>539</v>
      </c>
      <c r="D67" s="64"/>
      <c r="E67" s="314"/>
      <c r="F67" s="334" t="s">
        <v>262</v>
      </c>
      <c r="G67" s="312"/>
      <c r="H67" s="312"/>
      <c r="I67" s="312"/>
      <c r="J67" s="312"/>
      <c r="K67" s="312"/>
      <c r="L67" s="312"/>
      <c r="M67" s="312">
        <f>M66*F67</f>
        <v>0</v>
      </c>
    </row>
    <row r="68" spans="1:13" ht="27" customHeight="1">
      <c r="A68" s="345"/>
      <c r="B68" s="343"/>
      <c r="C68" s="344" t="s">
        <v>427</v>
      </c>
      <c r="D68" s="345"/>
      <c r="E68" s="346"/>
      <c r="F68" s="347"/>
      <c r="G68" s="348"/>
      <c r="H68" s="348"/>
      <c r="I68" s="348"/>
      <c r="J68" s="348"/>
      <c r="K68" s="348"/>
      <c r="L68" s="348"/>
      <c r="M68" s="353">
        <f>M66+M67</f>
        <v>0</v>
      </c>
    </row>
    <row r="69" spans="1:13">
      <c r="A69" s="40"/>
      <c r="B69" s="40"/>
      <c r="C69" s="39"/>
      <c r="D69" s="40"/>
      <c r="E69" s="41"/>
      <c r="F69" s="41"/>
      <c r="G69" s="62"/>
      <c r="H69" s="62"/>
      <c r="I69" s="62"/>
      <c r="J69" s="62"/>
      <c r="K69" s="62"/>
      <c r="L69" s="62"/>
      <c r="M69" s="62"/>
    </row>
    <row r="70" spans="1:13">
      <c r="A70" s="40"/>
      <c r="C70" s="69"/>
      <c r="D70" s="30"/>
      <c r="I70" s="108"/>
      <c r="J70" s="108"/>
      <c r="K70" s="108"/>
      <c r="L70" s="108"/>
      <c r="M70" s="108"/>
    </row>
    <row r="71" spans="1:13">
      <c r="A71" s="40"/>
      <c r="C71" s="69"/>
      <c r="D71" s="140"/>
      <c r="E71" s="43"/>
      <c r="F71" s="41"/>
      <c r="G71" s="62"/>
      <c r="H71" s="62"/>
      <c r="I71" s="62"/>
      <c r="J71" s="62"/>
      <c r="K71" s="62"/>
      <c r="L71" s="62"/>
      <c r="M71" s="62"/>
    </row>
    <row r="72" spans="1:13">
      <c r="A72" s="40"/>
      <c r="C72" s="403"/>
      <c r="D72" s="403"/>
      <c r="E72" s="43"/>
      <c r="F72" s="41"/>
      <c r="G72" s="62"/>
      <c r="H72" s="62"/>
      <c r="I72" s="62"/>
      <c r="J72" s="62"/>
      <c r="K72" s="62"/>
      <c r="L72" s="62"/>
      <c r="M72" s="62"/>
    </row>
    <row r="73" spans="1:13">
      <c r="A73" s="40"/>
      <c r="C73" s="139"/>
      <c r="D73" s="140"/>
      <c r="E73" s="43"/>
      <c r="F73" s="41"/>
      <c r="G73" s="62"/>
      <c r="H73" s="62"/>
      <c r="I73" s="62"/>
      <c r="J73" s="62"/>
      <c r="K73" s="62"/>
      <c r="L73" s="62"/>
      <c r="M73" s="62"/>
    </row>
    <row r="74" spans="1:13">
      <c r="A74" s="40"/>
      <c r="C74" s="139"/>
      <c r="D74" s="140"/>
      <c r="E74" s="43"/>
      <c r="F74" s="41"/>
      <c r="G74" s="62"/>
      <c r="H74" s="62"/>
      <c r="I74" s="62"/>
      <c r="J74" s="62"/>
      <c r="K74" s="62"/>
      <c r="L74" s="62"/>
      <c r="M74" s="62"/>
    </row>
    <row r="75" spans="1:13">
      <c r="A75" s="40"/>
      <c r="C75" s="139"/>
      <c r="D75" s="140"/>
      <c r="E75" s="43"/>
      <c r="F75" s="41"/>
      <c r="G75" s="62"/>
      <c r="H75" s="62"/>
      <c r="I75" s="62"/>
      <c r="J75" s="62"/>
      <c r="K75" s="62"/>
      <c r="L75" s="62"/>
      <c r="M75" s="62"/>
    </row>
    <row r="76" spans="1:13">
      <c r="A76" s="40"/>
      <c r="C76" s="139"/>
      <c r="D76" s="140"/>
      <c r="E76" s="43"/>
      <c r="F76" s="41"/>
      <c r="G76" s="62"/>
      <c r="H76" s="62"/>
      <c r="I76" s="62"/>
      <c r="J76" s="62"/>
      <c r="K76" s="62"/>
      <c r="L76" s="62"/>
      <c r="M76" s="62"/>
    </row>
    <row r="77" spans="1:13">
      <c r="A77" s="40"/>
      <c r="B77" s="54"/>
      <c r="D77" s="103"/>
      <c r="E77" s="102"/>
      <c r="F77" s="41"/>
      <c r="G77" s="62"/>
      <c r="H77" s="62"/>
      <c r="I77" s="62"/>
      <c r="J77" s="62"/>
      <c r="K77" s="62"/>
      <c r="L77" s="62"/>
      <c r="M77" s="62"/>
    </row>
    <row r="78" spans="1:13">
      <c r="A78" s="117"/>
      <c r="B78" s="117"/>
      <c r="C78" s="104"/>
      <c r="D78" s="117"/>
      <c r="E78" s="142"/>
      <c r="F78" s="142"/>
      <c r="G78" s="143"/>
      <c r="H78" s="143"/>
      <c r="I78" s="143"/>
      <c r="J78" s="143"/>
      <c r="K78" s="143"/>
      <c r="L78" s="143"/>
      <c r="M78" s="143"/>
    </row>
  </sheetData>
  <mergeCells count="74">
    <mergeCell ref="N32:N33"/>
    <mergeCell ref="N34:N35"/>
    <mergeCell ref="N36:N37"/>
    <mergeCell ref="N38:N39"/>
    <mergeCell ref="N40:N41"/>
    <mergeCell ref="N22:N23"/>
    <mergeCell ref="N24:N25"/>
    <mergeCell ref="N26:N27"/>
    <mergeCell ref="N28:N29"/>
    <mergeCell ref="N30:N31"/>
    <mergeCell ref="C72:D72"/>
    <mergeCell ref="A1:M1"/>
    <mergeCell ref="A2:M2"/>
    <mergeCell ref="A3:M3"/>
    <mergeCell ref="A4:A5"/>
    <mergeCell ref="B4:B5"/>
    <mergeCell ref="C4:C5"/>
    <mergeCell ref="D4:D5"/>
    <mergeCell ref="E4:E5"/>
    <mergeCell ref="F4:F5"/>
    <mergeCell ref="G4:H4"/>
    <mergeCell ref="I4:J4"/>
    <mergeCell ref="K4:L4"/>
    <mergeCell ref="M4:M5"/>
    <mergeCell ref="A22:A23"/>
    <mergeCell ref="B22:B23"/>
    <mergeCell ref="D22:D23"/>
    <mergeCell ref="E22:E23"/>
    <mergeCell ref="F22:F23"/>
    <mergeCell ref="A24:A25"/>
    <mergeCell ref="B24:B25"/>
    <mergeCell ref="D24:D25"/>
    <mergeCell ref="E24:E25"/>
    <mergeCell ref="F24:F25"/>
    <mergeCell ref="A26:A27"/>
    <mergeCell ref="B26:B27"/>
    <mergeCell ref="D26:D27"/>
    <mergeCell ref="E26:E27"/>
    <mergeCell ref="F26:F27"/>
    <mergeCell ref="A28:A29"/>
    <mergeCell ref="B28:B29"/>
    <mergeCell ref="D28:D29"/>
    <mergeCell ref="E28:E29"/>
    <mergeCell ref="F28:F29"/>
    <mergeCell ref="A30:A31"/>
    <mergeCell ref="B30:B31"/>
    <mergeCell ref="D30:D31"/>
    <mergeCell ref="E30:E31"/>
    <mergeCell ref="F30:F31"/>
    <mergeCell ref="A32:A33"/>
    <mergeCell ref="B32:B33"/>
    <mergeCell ref="D32:D33"/>
    <mergeCell ref="E32:E33"/>
    <mergeCell ref="F32:F33"/>
    <mergeCell ref="A34:A35"/>
    <mergeCell ref="B34:B35"/>
    <mergeCell ref="D34:D35"/>
    <mergeCell ref="E34:E35"/>
    <mergeCell ref="F34:F35"/>
    <mergeCell ref="A40:A41"/>
    <mergeCell ref="B40:B41"/>
    <mergeCell ref="D40:D41"/>
    <mergeCell ref="E40:E41"/>
    <mergeCell ref="F40:F41"/>
    <mergeCell ref="A38:A39"/>
    <mergeCell ref="B38:B39"/>
    <mergeCell ref="D38:D39"/>
    <mergeCell ref="E38:E39"/>
    <mergeCell ref="F38:F39"/>
    <mergeCell ref="A36:A37"/>
    <mergeCell ref="B36:B37"/>
    <mergeCell ref="D36:D37"/>
    <mergeCell ref="E36:E37"/>
    <mergeCell ref="F36:F37"/>
  </mergeCells>
  <pageMargins left="0.59055118110236227" right="0.19685039370078741" top="0.19685039370078741" bottom="0.19685039370078741" header="0.19685039370078741" footer="0.19685039370078741"/>
  <pageSetup paperSize="9" scale="66" orientation="landscape" r:id="rId1"/>
  <headerFooter>
    <oddHeader>&amp;R&amp;P--&amp;N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krebsiti</vt:lpstr>
      <vt:lpstr>#1</vt:lpstr>
      <vt:lpstr>#2</vt:lpstr>
      <vt:lpstr>#3</vt:lpstr>
      <vt:lpstr>#4</vt:lpstr>
      <vt:lpstr>'#1'!Print_Area</vt:lpstr>
      <vt:lpstr>'#2'!Print_Area</vt:lpstr>
      <vt:lpstr>'#3'!Print_Area</vt:lpstr>
      <vt:lpstr>'#4'!Print_Area</vt:lpstr>
      <vt:lpstr>krebsiti!Print_Area</vt:lpstr>
      <vt:lpstr>'#1'!Print_Titles</vt:lpstr>
      <vt:lpstr>'#2'!Print_Titles</vt:lpstr>
      <vt:lpstr>'#3'!Print_Titles</vt:lpstr>
      <vt:lpstr>'#4'!Print_Titles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2019-07-22T06:32:49Z</dcterms:modified>
</cp:coreProperties>
</file>