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a.Bochikashvili\Desktop\arlis stadioni\"/>
    </mc:Choice>
  </mc:AlternateContent>
  <bookViews>
    <workbookView xWindow="0" yWindow="0" windowWidth="17880" windowHeight="11670"/>
  </bookViews>
  <sheets>
    <sheet name="ხარჯთაღრიცხვა" sheetId="5" r:id="rId1"/>
  </sheets>
  <definedNames>
    <definedName name="_xlnm._FilterDatabase" localSheetId="0" hidden="1">ხარჯთაღრიცხვა!$A$6:$M$190</definedName>
    <definedName name="_xlnm.Print_Area" localSheetId="0">ხარჯთაღრიცხვა!$A$2:$M$191</definedName>
    <definedName name="_xlnm.Print_Titles" localSheetId="0">ხარჯთაღრიცხვა!$6:$6</definedName>
  </definedNames>
  <calcPr calcId="162913"/>
</workbook>
</file>

<file path=xl/calcChain.xml><?xml version="1.0" encoding="utf-8"?>
<calcChain xmlns="http://schemas.openxmlformats.org/spreadsheetml/2006/main">
  <c r="F114" i="5" l="1"/>
  <c r="F116" i="5" s="1"/>
  <c r="F153" i="5"/>
  <c r="F158" i="5" s="1"/>
  <c r="F138" i="5"/>
  <c r="F79" i="5" l="1"/>
  <c r="F78" i="5"/>
  <c r="F77" i="5"/>
  <c r="F74" i="5"/>
  <c r="F54" i="5"/>
  <c r="F104" i="5"/>
  <c r="F82" i="5"/>
  <c r="F75" i="5" l="1"/>
  <c r="F76" i="5"/>
  <c r="F28" i="5"/>
  <c r="F27" i="5"/>
  <c r="F67" i="5"/>
  <c r="E64" i="5"/>
  <c r="E65" i="5"/>
  <c r="F65" i="5" s="1"/>
  <c r="E61" i="5"/>
  <c r="E60" i="5"/>
  <c r="F59" i="5"/>
  <c r="F40" i="5" l="1"/>
  <c r="F51" i="5" s="1"/>
  <c r="F56" i="5" s="1"/>
  <c r="E48" i="5"/>
  <c r="F30" i="5"/>
  <c r="F21" i="5"/>
  <c r="F16" i="5"/>
  <c r="F14" i="5"/>
  <c r="F8" i="5"/>
  <c r="F57" i="5" l="1"/>
  <c r="F18" i="5"/>
  <c r="F19" i="5"/>
  <c r="F20" i="5"/>
  <c r="F17" i="5"/>
  <c r="F152" i="5"/>
  <c r="F151" i="5"/>
  <c r="F150" i="5"/>
  <c r="F149" i="5"/>
  <c r="F147" i="5"/>
  <c r="F146" i="5"/>
  <c r="F145" i="5"/>
  <c r="F144" i="5"/>
  <c r="F176" i="5"/>
  <c r="F175" i="5"/>
  <c r="F174" i="5"/>
  <c r="F173" i="5"/>
  <c r="F171" i="5"/>
  <c r="F170" i="5"/>
  <c r="F169" i="5"/>
  <c r="F168" i="5"/>
  <c r="F166" i="5"/>
  <c r="F165" i="5"/>
  <c r="F164" i="5"/>
  <c r="F161" i="5"/>
  <c r="F162" i="5"/>
  <c r="F157" i="5"/>
  <c r="F156" i="5"/>
  <c r="F155" i="5"/>
  <c r="F154" i="5"/>
  <c r="F129" i="5"/>
  <c r="F128" i="5"/>
  <c r="F127" i="5"/>
  <c r="F160" i="5" l="1"/>
  <c r="F159" i="5"/>
  <c r="F71" i="5"/>
  <c r="F142" i="5" l="1"/>
  <c r="F141" i="5"/>
  <c r="F140" i="5"/>
  <c r="F139" i="5"/>
  <c r="F125" i="5"/>
  <c r="F124" i="5"/>
  <c r="F123" i="5"/>
  <c r="F122" i="5"/>
  <c r="F120" i="5"/>
  <c r="F119" i="5"/>
  <c r="F117" i="5"/>
  <c r="E87" i="5"/>
  <c r="F87" i="5" s="1"/>
  <c r="E86" i="5"/>
  <c r="F86" i="5" s="1"/>
  <c r="E85" i="5"/>
  <c r="F85" i="5" s="1"/>
  <c r="E84" i="5"/>
  <c r="F84" i="5" s="1"/>
  <c r="E83" i="5"/>
  <c r="F83" i="5" s="1"/>
  <c r="F53" i="5"/>
  <c r="F49" i="5"/>
  <c r="E39" i="5"/>
  <c r="F39" i="5" s="1"/>
  <c r="F38" i="5"/>
  <c r="E37" i="5"/>
  <c r="E36" i="5"/>
  <c r="E35" i="5"/>
  <c r="E34" i="5"/>
  <c r="E33" i="5"/>
  <c r="E32" i="5"/>
  <c r="E31" i="5"/>
  <c r="F31" i="5" s="1"/>
  <c r="F29" i="5"/>
  <c r="F15" i="5"/>
  <c r="F70" i="5"/>
  <c r="F69" i="5"/>
  <c r="F68" i="5"/>
  <c r="F103" i="5"/>
  <c r="F11" i="5" l="1"/>
  <c r="F13" i="5"/>
  <c r="F50" i="5"/>
  <c r="F115" i="5"/>
  <c r="F9" i="5"/>
  <c r="F12" i="5"/>
  <c r="F10" i="5"/>
  <c r="F44" i="5"/>
  <c r="F47" i="5"/>
  <c r="F43" i="5"/>
  <c r="F48" i="5"/>
  <c r="F55" i="5"/>
  <c r="F52" i="5"/>
  <c r="F41" i="5"/>
  <c r="F45" i="5"/>
  <c r="F32" i="5"/>
  <c r="F33" i="5"/>
  <c r="F34" i="5"/>
  <c r="F35" i="5"/>
  <c r="F36" i="5"/>
  <c r="F37" i="5"/>
  <c r="F42" i="5"/>
  <c r="F46" i="5"/>
  <c r="F24" i="5"/>
  <c r="F25" i="5"/>
  <c r="F26" i="5"/>
  <c r="F22" i="5"/>
  <c r="F23" i="5"/>
  <c r="F58" i="5" l="1"/>
  <c r="F101" i="5" l="1"/>
  <c r="F99" i="5"/>
  <c r="F97" i="5"/>
  <c r="F95" i="5"/>
  <c r="F94" i="5"/>
  <c r="F93" i="5"/>
  <c r="F92" i="5"/>
  <c r="F91" i="5"/>
  <c r="F89" i="5"/>
  <c r="F100" i="5" l="1"/>
  <c r="F66" i="5" l="1"/>
  <c r="F64" i="5"/>
  <c r="F61" i="5"/>
  <c r="F62" i="5"/>
  <c r="F60" i="5"/>
  <c r="F72" i="5" l="1"/>
  <c r="F80" i="5"/>
  <c r="F81" i="5" l="1"/>
  <c r="F73" i="5"/>
</calcChain>
</file>

<file path=xl/sharedStrings.xml><?xml version="1.0" encoding="utf-8"?>
<sst xmlns="http://schemas.openxmlformats.org/spreadsheetml/2006/main" count="403" uniqueCount="171">
  <si>
    <t>masala</t>
  </si>
  <si>
    <t>xelfasi</t>
  </si>
  <si>
    <t>კომპლ.</t>
  </si>
  <si>
    <t>კალათბურთის ფარის მოწყობა შეღებვით. (რგოლითა და ბადით)</t>
  </si>
  <si>
    <t>#</t>
  </si>
  <si>
    <t>samuSaoebis da danaxarjebis dasaxeleba</t>
  </si>
  <si>
    <t>ganz. erT.</t>
  </si>
  <si>
    <t>raodenoba</t>
  </si>
  <si>
    <t>transporti (meqanizmebi)</t>
  </si>
  <si>
    <t>sul</t>
  </si>
  <si>
    <t>შრომის დანახარჯები</t>
  </si>
  <si>
    <t>ლარი</t>
  </si>
  <si>
    <t>ლითონის კონსტრუქციების შეღებვა ანტიკოროზიული საღებავით სრულ დაფარვამდე. (ორივე მხარეს)</t>
  </si>
  <si>
    <t>ხელოვნური ბალახი სიმაღლით 26 მმ.</t>
  </si>
  <si>
    <t>ლითონის კონსტრუქციები</t>
  </si>
  <si>
    <t>ტონა</t>
  </si>
  <si>
    <t>ხარჯთაღრიცხვა</t>
  </si>
  <si>
    <t>კალათბურთის ფარის რგოლის  ბადე</t>
  </si>
  <si>
    <t>კალათბურთის ფარის რგოლი</t>
  </si>
  <si>
    <t>დ.ღ.გ</t>
  </si>
  <si>
    <t>კალათბურთის ფარის დაფა</t>
  </si>
  <si>
    <t>ფეხბურთის კარების მოწყობა შეღებვით</t>
  </si>
  <si>
    <t>11-1-3.</t>
  </si>
  <si>
    <t>1-22-15</t>
  </si>
  <si>
    <t>1-116-5</t>
  </si>
  <si>
    <t>6-1-22.</t>
  </si>
  <si>
    <t>27-7-4.</t>
  </si>
  <si>
    <t>15-164-8</t>
  </si>
  <si>
    <t>1-80-2</t>
  </si>
  <si>
    <t>1-81-2</t>
  </si>
  <si>
    <t>33-303-4</t>
  </si>
  <si>
    <t>33-251-6</t>
  </si>
  <si>
    <t>8-142-1</t>
  </si>
  <si>
    <t>9-32-12</t>
  </si>
  <si>
    <t>34-103-1</t>
  </si>
  <si>
    <t>8-417-1</t>
  </si>
  <si>
    <t>8-149-1</t>
  </si>
  <si>
    <t>8-371-2</t>
  </si>
  <si>
    <t>8-471-1</t>
  </si>
  <si>
    <t>8-472-2</t>
  </si>
  <si>
    <t>8-363-1</t>
  </si>
  <si>
    <t xml:space="preserve">8-370-2    </t>
  </si>
  <si>
    <t>27-11-1,4</t>
  </si>
  <si>
    <t>erT-ze</t>
  </si>
  <si>
    <t>Rireb.</t>
  </si>
  <si>
    <t>1. სტადიონის სამშენებლო სამუშაოები</t>
  </si>
  <si>
    <t>გრუნტის დამუშავება ექსკავატორით ავტომანქანებზე დატვირთვით</t>
  </si>
  <si>
    <t xml:space="preserve">შრომის დანახარჯები </t>
  </si>
  <si>
    <t>ექსკავატორი მუხლუხა სვლაზე ჩამჩის ტევადობით 0,5მ3</t>
  </si>
  <si>
    <t>სხვა მანქანა</t>
  </si>
  <si>
    <t>ღორღი მ800 ფრ. 20-40მმ</t>
  </si>
  <si>
    <t xml:space="preserve">გრუნტის ტრანსპორტირება 5 კმ-ზე  </t>
  </si>
  <si>
    <t>ქვაბულის ძირის მოშანდაკება</t>
  </si>
  <si>
    <t xml:space="preserve">ავტოგრეიდერი საშუალო 108ცხ.ძ. </t>
  </si>
  <si>
    <t xml:space="preserve">ბულდოზერი 108ცხ.ძ. </t>
  </si>
  <si>
    <t xml:space="preserve">თვითმავალი სატკეპნი 5ტ-მდე </t>
  </si>
  <si>
    <t xml:space="preserve">თვითმავალი სატკეპნი 10ტ-მდე </t>
  </si>
  <si>
    <t xml:space="preserve">მოსარწყავ-მოსარეცხი მანქანა </t>
  </si>
  <si>
    <t xml:space="preserve">ქვის ნამტვრევების მანაწილებელი </t>
  </si>
  <si>
    <t xml:space="preserve">ღორღი  ფრ.40-70მმ </t>
  </si>
  <si>
    <t>ღორღი  ფრ.10-20მმ</t>
  </si>
  <si>
    <t>წყალი</t>
  </si>
  <si>
    <t>მონ. რკინაბეტონის ლენტური საძირკველის  და ზეძირკველის მოწყობა B22.5 ბეტონით</t>
  </si>
  <si>
    <t>შრომითი რესურსები</t>
  </si>
  <si>
    <t>მანქანები</t>
  </si>
  <si>
    <t xml:space="preserve">ბეტონი B22.5 </t>
  </si>
  <si>
    <t>ყალიბის ფარი</t>
  </si>
  <si>
    <t>ყალიბის ფიცარი IIIხ. 40მმ-იანი</t>
  </si>
  <si>
    <t>ა-I კლასის არმატურა</t>
  </si>
  <si>
    <t>ა-III კლასის არმატურა</t>
  </si>
  <si>
    <t>სხვა ხარჯები</t>
  </si>
  <si>
    <t>ავტოგრეიდერი 79კვტ.</t>
  </si>
  <si>
    <t>ბულდოზერი 59კვტ</t>
  </si>
  <si>
    <t>საგზაო მტკეპ. თვითმ. პნევ.სვლაზე 18ტ.</t>
  </si>
  <si>
    <t>საგზაო მტკეპნავი თვითმ. გლუვი 5ტ.</t>
  </si>
  <si>
    <t>იგივე, 10 ტ.</t>
  </si>
  <si>
    <t>სარწყავი მანქანა</t>
  </si>
  <si>
    <t>ქვიშა-ხრეში</t>
  </si>
  <si>
    <t>ღორღის ფუძის მოწყობა სისქით 8სმ</t>
  </si>
  <si>
    <t>სხვა მანქანები</t>
  </si>
  <si>
    <t>ცემენტო-ბეტონი ბ-22.5</t>
  </si>
  <si>
    <t>არმატურა ა-I</t>
  </si>
  <si>
    <t>სხვა მასალა</t>
  </si>
  <si>
    <t>მოედნის დახაზვა თეთრი სპეც.საღებავით  10სმ–სიგანის</t>
  </si>
  <si>
    <t>სპეც.საღებავი</t>
  </si>
  <si>
    <t>გარეცხილი კვარცის ქვიშის შემოტანა სისქ.1.0სმ</t>
  </si>
  <si>
    <t xml:space="preserve">კვარცის ქვიშა </t>
  </si>
  <si>
    <t xml:space="preserve">მილიკვადრატი  100X100X4 </t>
  </si>
  <si>
    <t>მილიკვადრატი  80X40X4</t>
  </si>
  <si>
    <t>ლითონის ბადე  50X50X2,5</t>
  </si>
  <si>
    <t>ელექტროდი</t>
  </si>
  <si>
    <t xml:space="preserve">შრომითი რესურსები </t>
  </si>
  <si>
    <t>ზეთოვანი ანტიკოროზიული საღებავი</t>
  </si>
  <si>
    <t>ოლიფა</t>
  </si>
  <si>
    <t>ფეხბურთის კარის  ბადე</t>
  </si>
  <si>
    <t>სამშენებლო ნაგვის დატვირთვა თვითმცლელზე ხელით</t>
  </si>
  <si>
    <t>შრომის დანახარჯები:</t>
  </si>
  <si>
    <t>სამშენებლო ნაგვის გატანა 5კმ მანძილზე</t>
  </si>
  <si>
    <t xml:space="preserve">ჯამი </t>
  </si>
  <si>
    <t xml:space="preserve">ზედნადები ხარჯები </t>
  </si>
  <si>
    <t>ჯამი</t>
  </si>
  <si>
    <t>ჯამი 1</t>
  </si>
  <si>
    <t>2. სტადიონის განათება</t>
  </si>
  <si>
    <t>2.1. სამშენებლო სამუშაოები</t>
  </si>
  <si>
    <t xml:space="preserve">თხრილის გათხრა ხელით </t>
  </si>
  <si>
    <t xml:space="preserve">შრომის დანახარჯები  </t>
  </si>
  <si>
    <t>გრუნტის უკუჩაყრა ხელით</t>
  </si>
  <si>
    <t>ბეტონი მ200</t>
  </si>
  <si>
    <t>ანტიკოროზიულად შეღებილი ლითონის ბოძის მონტაჟი სიმაღლით /7+2/ მ (ორმოების დაბურღვის გათვალისწინებით)</t>
  </si>
  <si>
    <t xml:space="preserve">ავტოამწე საბურღი მოწყობილობით </t>
  </si>
  <si>
    <t xml:space="preserve">ამწე საავტომობილო 16ტ </t>
  </si>
  <si>
    <t>ლითონის ბოძები 9მ სიმაღლის</t>
  </si>
  <si>
    <t>პლასტმასის მილი დ=25მმ</t>
  </si>
  <si>
    <t>2.2. სამონტაჟო სამუშაოები</t>
  </si>
  <si>
    <t>ქვიშის საფუძველის მომზადება თხრილში ერთი კაბელისათვის</t>
  </si>
  <si>
    <t xml:space="preserve">სხვა მანქანა </t>
  </si>
  <si>
    <t>ქვიშა</t>
  </si>
  <si>
    <t>კრონშტეინი სანათის დასამაგრებლად</t>
  </si>
  <si>
    <t xml:space="preserve">სხვა მანქანა  </t>
  </si>
  <si>
    <t>სანათი</t>
  </si>
  <si>
    <t>გოფრირებული პლასტმასის მილის მონტაჟი დ=25მმ ბოძებში</t>
  </si>
  <si>
    <t>კაბელის გატარება გოფრირებულ მილებში და საყრდენ ბოძებში</t>
  </si>
  <si>
    <t>ფარი ცოკოლში ერთფაზა ავტომატური ამომრთველით ნომინალურ დენზე 6ა გარე განათებისთვის</t>
  </si>
  <si>
    <t xml:space="preserve">ფარი ცოკოლში </t>
  </si>
  <si>
    <t>კუთხოვანა 50X50X5მმ</t>
  </si>
  <si>
    <t>დამიწების ფოლადის სალტე 40X4მმ</t>
  </si>
  <si>
    <t>ფოლადის ზოლოვანა 40X4მმ</t>
  </si>
  <si>
    <t>საკონტროლო ლენტა "ელექტრო"</t>
  </si>
  <si>
    <t>ზედნადები ხარჯები სამონტაჟო სამუშაოებზე</t>
  </si>
  <si>
    <t>სატრანსპორტო ხარჯები</t>
  </si>
  <si>
    <t xml:space="preserve">გაუთვალისწინებელი ხარჯი </t>
  </si>
  <si>
    <t>კაც/სთ</t>
  </si>
  <si>
    <t>მანქ/სთ</t>
  </si>
  <si>
    <t>კუბ.მ.</t>
  </si>
  <si>
    <t>კვ.მ.</t>
  </si>
  <si>
    <t>კგ.</t>
  </si>
  <si>
    <t>ცალი</t>
  </si>
  <si>
    <t>8-3-2</t>
  </si>
  <si>
    <t>გრძ.მ.</t>
  </si>
  <si>
    <t xml:space="preserve">ჯამი 2.1 </t>
  </si>
  <si>
    <t>კომბინირებული მოედნისათვის ცემენტობეტონის (ბ-22.5) საფარის მოწყობა სისქით 10სმ და წყლის გადასაყვანად ზედაპირის ქანობის მოწყობა 0,5%</t>
  </si>
  <si>
    <t>პროექ.</t>
  </si>
  <si>
    <t>რკინაბეტონის ლენტური საძირკველის ქვეშ ღორღის საფუძვლის მოწყობა სისქით 10სმ</t>
  </si>
  <si>
    <t xml:space="preserve">ქვიშა-ხრეშის გაშლა დატკეპნა 25სმ-ზე </t>
  </si>
  <si>
    <t>6-1-16</t>
  </si>
  <si>
    <t>ყალიბის ფარი 40 მმ</t>
  </si>
  <si>
    <t>ფიცარი ჩამოგანული მე-3 ხარ. 40მმ და ზევით</t>
  </si>
  <si>
    <t>სხვა მასალები</t>
  </si>
  <si>
    <t>1-122-1</t>
  </si>
  <si>
    <t>27-56-1</t>
  </si>
  <si>
    <t>გოფრირებული პლასტმასის მილის ჩდება ტრანშეაში დ=25მმ</t>
  </si>
  <si>
    <t>ღობის ლითონის კონსტრუქციების მონტაჟი და ღირებულება</t>
  </si>
  <si>
    <t>EHиP        1-22-1</t>
  </si>
  <si>
    <t xml:space="preserve">ღორღი ფრ. 0-40მმ </t>
  </si>
  <si>
    <t>ლითონის ზოლოვანა 50*4მმ</t>
  </si>
  <si>
    <t>სტადიონის ტერიტორიაზე ხელოვნური საფარის მოწყობა, ბალახის სიმაღლით 26 მმ.</t>
  </si>
  <si>
    <t>კუთხოვანა  45X45X4</t>
  </si>
  <si>
    <t>ჩასაყოლებელი დეტალები (ფირფიტები) სისქ.5</t>
  </si>
  <si>
    <t>გოფრირებული პლასტმასის მილი</t>
  </si>
  <si>
    <t xml:space="preserve">ჯამი 2.2 </t>
  </si>
  <si>
    <t xml:space="preserve">ჯამი 2=2.1+2.2 </t>
  </si>
  <si>
    <t xml:space="preserve">ჯამი 1+2 </t>
  </si>
  <si>
    <t>სპილენძის ძარღვიანი ორმაგიზოლაციანი კაბელი კვეთით: 3X2.5 მმ2</t>
  </si>
  <si>
    <t>გეგმიური დაგროვება</t>
  </si>
  <si>
    <t>დანართი #2</t>
  </si>
  <si>
    <t xml:space="preserve">პრეტენდენტის დასახელება </t>
  </si>
  <si>
    <r>
      <t xml:space="preserve">საყრდენი ბოძის დაბეტონება </t>
    </r>
    <r>
      <rPr>
        <b/>
        <sz val="10"/>
        <color theme="1"/>
        <rFont val="Cambria"/>
        <family val="1"/>
        <charset val="204"/>
        <scheme val="major"/>
      </rPr>
      <t>B</t>
    </r>
    <r>
      <rPr>
        <b/>
        <sz val="10"/>
        <color theme="1"/>
        <rFont val="AcadNusx"/>
      </rPr>
      <t>15 ბეტონით</t>
    </r>
  </si>
  <si>
    <r>
      <t xml:space="preserve">განათების ლამპიონების მოწყობა  </t>
    </r>
    <r>
      <rPr>
        <b/>
        <sz val="10"/>
        <color theme="1"/>
        <rFont val="Cambria"/>
        <family val="1"/>
        <charset val="204"/>
        <scheme val="major"/>
      </rPr>
      <t>120W 85-265V 90-100LM/W</t>
    </r>
    <r>
      <rPr>
        <b/>
        <sz val="10"/>
        <color theme="1"/>
        <rFont val="AcadNusx"/>
      </rPr>
      <t xml:space="preserve">  </t>
    </r>
  </si>
  <si>
    <r>
      <t xml:space="preserve">კუთხოვანა 50X50X5მმ </t>
    </r>
    <r>
      <rPr>
        <b/>
        <sz val="10"/>
        <color theme="1"/>
        <rFont val="Cambria"/>
        <family val="1"/>
        <charset val="204"/>
        <scheme val="major"/>
      </rPr>
      <t>L</t>
    </r>
    <r>
      <rPr>
        <b/>
        <sz val="10"/>
        <color theme="1"/>
        <rFont val="AcadNusx"/>
      </rPr>
      <t>=2.5მ</t>
    </r>
  </si>
  <si>
    <t>%</t>
  </si>
  <si>
    <t>adigenis municipalitetis sofel arlis mini fexburTis moednis mowyobis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</si>
</sst>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0"/>
  </numFmts>
  <fonts count="30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cadNusx"/>
    </font>
    <font>
      <sz val="10"/>
      <name val="Arial"/>
      <family val="2"/>
      <charset val="204"/>
    </font>
    <font>
      <sz val="9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name val="Arial"/>
      <family val="2"/>
    </font>
    <font>
      <sz val="10"/>
      <name val="ChveuNusx"/>
    </font>
    <font>
      <sz val="10"/>
      <color theme="1"/>
      <name val="AcadNusx"/>
    </font>
    <font>
      <sz val="10"/>
      <color rgb="FFFF0000"/>
      <name val="AcadNusx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indexed="8"/>
      <name val="Calibri"/>
      <family val="2"/>
    </font>
    <font>
      <b/>
      <sz val="10"/>
      <name val="Helv"/>
    </font>
    <font>
      <sz val="10"/>
      <color theme="1"/>
      <name val="Arial"/>
      <family val="2"/>
      <charset val="204"/>
    </font>
    <font>
      <b/>
      <sz val="11"/>
      <color theme="1"/>
      <name val="AcadNusx"/>
    </font>
    <font>
      <sz val="9"/>
      <color theme="1"/>
      <name val="AcadNusx"/>
    </font>
    <font>
      <b/>
      <sz val="14"/>
      <color theme="1"/>
      <name val="AcadNusx"/>
    </font>
    <font>
      <sz val="10"/>
      <color theme="1"/>
      <name val="Times New Roman"/>
      <family val="1"/>
    </font>
    <font>
      <sz val="10"/>
      <color theme="1"/>
      <name val="Helv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Arial Cyr"/>
      <family val="2"/>
      <charset val="204"/>
    </font>
    <font>
      <i/>
      <sz val="10"/>
      <color theme="1"/>
      <name val="AcadNusx"/>
    </font>
    <font>
      <b/>
      <sz val="10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</cellStyleXfs>
  <cellXfs count="199">
    <xf numFmtId="0" fontId="0" fillId="0" borderId="0" xfId="0"/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left" vertical="center" wrapText="1"/>
    </xf>
    <xf numFmtId="2" fontId="2" fillId="2" borderId="0" xfId="0" applyNumberFormat="1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65" fontId="10" fillId="0" borderId="8" xfId="1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2" fontId="10" fillId="0" borderId="8" xfId="1" applyNumberFormat="1" applyFont="1" applyFill="1" applyBorder="1" applyAlignment="1" applyProtection="1">
      <alignment horizontal="center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0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2" fontId="10" fillId="0" borderId="8" xfId="1" applyNumberFormat="1" applyFont="1" applyFill="1" applyBorder="1" applyAlignment="1" applyProtection="1">
      <alignment horizontal="center" vertical="center"/>
      <protection locked="0"/>
    </xf>
    <xf numFmtId="2" fontId="10" fillId="0" borderId="0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horizontal="center" vertical="center"/>
    </xf>
    <xf numFmtId="2" fontId="10" fillId="0" borderId="9" xfId="1" applyNumberFormat="1" applyFont="1" applyFill="1" applyBorder="1" applyAlignment="1" applyProtection="1">
      <alignment horizontal="center" vertical="center"/>
      <protection locked="0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9" xfId="1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left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22" fillId="0" borderId="2" xfId="0" quotePrefix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165" fontId="10" fillId="0" borderId="8" xfId="0" applyNumberFormat="1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2" fillId="0" borderId="8" xfId="0" quotePrefix="1" applyFont="1" applyFill="1" applyBorder="1" applyAlignment="1">
      <alignment horizontal="left" vertical="center" wrapText="1"/>
    </xf>
    <xf numFmtId="165" fontId="10" fillId="0" borderId="8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65" fontId="10" fillId="0" borderId="3" xfId="1" applyNumberFormat="1" applyFont="1" applyFill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165" fontId="10" fillId="0" borderId="3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2" fontId="10" fillId="0" borderId="3" xfId="1" applyNumberFormat="1" applyFont="1" applyFill="1" applyBorder="1" applyAlignment="1" applyProtection="1">
      <alignment horizontal="center" vertical="center"/>
      <protection locked="0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2" fontId="10" fillId="0" borderId="3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5" fillId="0" borderId="8" xfId="0" quotePrefix="1" applyFont="1" applyFill="1" applyBorder="1" applyAlignment="1">
      <alignment horizontal="left" vertical="center" wrapText="1"/>
    </xf>
    <xf numFmtId="0" fontId="25" fillId="0" borderId="3" xfId="0" quotePrefix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2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5" fontId="10" fillId="0" borderId="8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165" fontId="10" fillId="0" borderId="4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2" fontId="10" fillId="0" borderId="3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left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165" fontId="10" fillId="0" borderId="2" xfId="0" applyNumberFormat="1" applyFont="1" applyFill="1" applyBorder="1" applyAlignment="1" applyProtection="1">
      <alignment horizontal="center" vertical="center" wrapText="1"/>
    </xf>
    <xf numFmtId="2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>
      <alignment horizontal="left" vertical="center" wrapText="1"/>
    </xf>
    <xf numFmtId="2" fontId="20" fillId="0" borderId="8" xfId="1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0" fontId="22" fillId="0" borderId="8" xfId="0" quotePrefix="1" applyFont="1" applyFill="1" applyBorder="1" applyAlignment="1" applyProtection="1">
      <alignment horizontal="left" vertical="center" wrapText="1"/>
    </xf>
    <xf numFmtId="2" fontId="10" fillId="0" borderId="11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2" fillId="0" borderId="3" xfId="0" quotePrefix="1" applyFont="1" applyFill="1" applyBorder="1" applyAlignment="1" applyProtection="1">
      <alignment horizontal="left" vertical="center" wrapText="1"/>
    </xf>
    <xf numFmtId="165" fontId="10" fillId="0" borderId="3" xfId="0" applyNumberFormat="1" applyFont="1" applyFill="1" applyBorder="1" applyAlignment="1" applyProtection="1">
      <alignment horizontal="center" vertical="center" wrapText="1"/>
    </xf>
    <xf numFmtId="165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5" fontId="10" fillId="0" borderId="3" xfId="8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/>
    </xf>
    <xf numFmtId="2" fontId="10" fillId="0" borderId="7" xfId="1" applyNumberFormat="1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>
      <alignment horizontal="left" vertical="center"/>
    </xf>
    <xf numFmtId="165" fontId="10" fillId="0" borderId="1" xfId="1" applyNumberFormat="1" applyFont="1" applyFill="1" applyBorder="1" applyAlignment="1">
      <alignment horizontal="center" vertical="center"/>
    </xf>
    <xf numFmtId="2" fontId="10" fillId="0" borderId="9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0" fillId="0" borderId="8" xfId="0" quotePrefix="1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9" fillId="0" borderId="8" xfId="0" quotePrefix="1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horizontal="left" vertical="center" wrapText="1"/>
    </xf>
    <xf numFmtId="165" fontId="24" fillId="0" borderId="1" xfId="0" applyNumberFormat="1" applyFont="1" applyFill="1" applyBorder="1" applyAlignment="1">
      <alignment horizontal="left" vertical="center"/>
    </xf>
    <xf numFmtId="165" fontId="24" fillId="0" borderId="1" xfId="0" applyNumberFormat="1" applyFont="1" applyFill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horizontal="left" vertical="center" wrapText="1"/>
    </xf>
    <xf numFmtId="165" fontId="26" fillId="0" borderId="1" xfId="1" applyNumberFormat="1" applyFont="1" applyFill="1" applyBorder="1" applyAlignment="1">
      <alignment horizontal="left" vertical="center"/>
    </xf>
    <xf numFmtId="2" fontId="26" fillId="0" borderId="1" xfId="1" applyNumberFormat="1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2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165" fontId="10" fillId="0" borderId="1" xfId="1" applyNumberFormat="1" applyFont="1" applyFill="1" applyBorder="1" applyAlignment="1" applyProtection="1">
      <alignment horizontal="left" vertical="center" wrapText="1"/>
    </xf>
    <xf numFmtId="2" fontId="10" fillId="0" borderId="1" xfId="1" applyNumberFormat="1" applyFont="1" applyFill="1" applyBorder="1" applyAlignment="1" applyProtection="1">
      <alignment horizontal="left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4" xfId="1" applyFont="1" applyFill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Normal 2" xfId="3"/>
    <cellStyle name="Normal 2 2" xfId="7"/>
    <cellStyle name="Normal 2 2 2" xfId="2"/>
    <cellStyle name="Normal 3" xfId="4"/>
    <cellStyle name="Normal 3 2" xfId="8"/>
    <cellStyle name="Normal 6 3" xfId="5"/>
    <cellStyle name="Normal 6 4" xfId="6"/>
    <cellStyle name="Обычный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zoomScaleNormal="100" zoomScaleSheetLayoutView="90" workbookViewId="0">
      <pane ySplit="7" topLeftCell="A8" activePane="bottomLeft" state="frozen"/>
      <selection pane="bottomLeft" activeCell="A2" sqref="A2:M2"/>
    </sheetView>
  </sheetViews>
  <sheetFormatPr defaultRowHeight="13.5" x14ac:dyDescent="0.2"/>
  <cols>
    <col min="1" max="1" width="5.140625" style="20" customWidth="1"/>
    <col min="2" max="2" width="7.28515625" style="1" customWidth="1"/>
    <col min="3" max="3" width="45.28515625" style="3" customWidth="1"/>
    <col min="4" max="4" width="8" style="3" bestFit="1" customWidth="1"/>
    <col min="5" max="5" width="8" style="7" bestFit="1" customWidth="1"/>
    <col min="6" max="6" width="9.7109375" style="5" bestFit="1" customWidth="1"/>
    <col min="7" max="7" width="9.5703125" style="6" bestFit="1" customWidth="1"/>
    <col min="8" max="8" width="9.7109375" style="6" bestFit="1" customWidth="1"/>
    <col min="9" max="9" width="7.85546875" style="6" bestFit="1" customWidth="1"/>
    <col min="10" max="10" width="9.140625" style="6" bestFit="1" customWidth="1"/>
    <col min="11" max="11" width="7.85546875" style="6" bestFit="1" customWidth="1"/>
    <col min="12" max="12" width="8.42578125" style="6" bestFit="1" customWidth="1"/>
    <col min="13" max="13" width="9.42578125" style="6" bestFit="1" customWidth="1"/>
    <col min="14" max="16384" width="9.140625" style="3"/>
  </cols>
  <sheetData>
    <row r="1" spans="1:13" ht="45.75" customHeight="1" x14ac:dyDescent="0.2">
      <c r="A1" s="185" t="s">
        <v>165</v>
      </c>
      <c r="B1" s="185"/>
      <c r="C1" s="185"/>
      <c r="D1" s="185"/>
      <c r="E1" s="185"/>
      <c r="F1" s="185"/>
      <c r="G1" s="185"/>
      <c r="H1" s="185"/>
      <c r="I1" s="185"/>
      <c r="J1" s="185"/>
      <c r="K1" s="47"/>
      <c r="L1" s="184" t="s">
        <v>164</v>
      </c>
      <c r="M1" s="184"/>
    </row>
    <row r="2" spans="1:13" s="1" customFormat="1" ht="15.75" x14ac:dyDescent="0.2">
      <c r="A2" s="186" t="s">
        <v>170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2" customFormat="1" x14ac:dyDescent="0.2">
      <c r="A3" s="195" t="s">
        <v>16</v>
      </c>
      <c r="B3" s="195"/>
      <c r="C3" s="195"/>
      <c r="D3" s="195"/>
      <c r="E3" s="195"/>
      <c r="F3" s="195"/>
      <c r="G3" s="195"/>
      <c r="H3" s="195"/>
      <c r="I3" s="195"/>
      <c r="J3" s="195"/>
      <c r="K3" s="48"/>
      <c r="L3" s="198"/>
      <c r="M3" s="198"/>
    </row>
    <row r="4" spans="1:13" ht="27.75" customHeight="1" x14ac:dyDescent="0.2">
      <c r="A4" s="187" t="s">
        <v>4</v>
      </c>
      <c r="B4" s="196"/>
      <c r="C4" s="188" t="s">
        <v>5</v>
      </c>
      <c r="D4" s="188" t="s">
        <v>6</v>
      </c>
      <c r="E4" s="189" t="s">
        <v>7</v>
      </c>
      <c r="F4" s="190"/>
      <c r="G4" s="191" t="s">
        <v>0</v>
      </c>
      <c r="H4" s="191"/>
      <c r="I4" s="191" t="s">
        <v>1</v>
      </c>
      <c r="J4" s="191"/>
      <c r="K4" s="192" t="s">
        <v>8</v>
      </c>
      <c r="L4" s="192"/>
      <c r="M4" s="193" t="s">
        <v>44</v>
      </c>
    </row>
    <row r="5" spans="1:13" x14ac:dyDescent="0.2">
      <c r="A5" s="187"/>
      <c r="B5" s="197"/>
      <c r="C5" s="188"/>
      <c r="D5" s="188"/>
      <c r="E5" s="49" t="s">
        <v>43</v>
      </c>
      <c r="F5" s="49" t="s">
        <v>9</v>
      </c>
      <c r="G5" s="50" t="s">
        <v>43</v>
      </c>
      <c r="H5" s="50" t="s">
        <v>9</v>
      </c>
      <c r="I5" s="50" t="s">
        <v>43</v>
      </c>
      <c r="J5" s="50" t="s">
        <v>9</v>
      </c>
      <c r="K5" s="50" t="s">
        <v>43</v>
      </c>
      <c r="L5" s="50" t="s">
        <v>9</v>
      </c>
      <c r="M5" s="194"/>
    </row>
    <row r="6" spans="1:13" s="2" customFormat="1" ht="12.75" x14ac:dyDescent="0.2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</row>
    <row r="7" spans="1:13" s="2" customFormat="1" ht="42" x14ac:dyDescent="0.2">
      <c r="A7" s="51"/>
      <c r="B7" s="52"/>
      <c r="C7" s="53" t="s">
        <v>45</v>
      </c>
      <c r="D7" s="52"/>
      <c r="E7" s="54"/>
      <c r="F7" s="54"/>
      <c r="G7" s="55"/>
      <c r="H7" s="55"/>
      <c r="I7" s="55"/>
      <c r="J7" s="55"/>
      <c r="K7" s="55"/>
      <c r="L7" s="55"/>
      <c r="M7" s="55"/>
    </row>
    <row r="8" spans="1:13" s="10" customFormat="1" ht="27" x14ac:dyDescent="0.2">
      <c r="A8" s="56">
        <v>1</v>
      </c>
      <c r="B8" s="57" t="s">
        <v>23</v>
      </c>
      <c r="C8" s="58" t="s">
        <v>46</v>
      </c>
      <c r="D8" s="59" t="s">
        <v>133</v>
      </c>
      <c r="E8" s="60"/>
      <c r="F8" s="61">
        <f>31.5*16.5*0.356+(31.15*2+16.15*2)*0.3*0.394</f>
        <v>196.21271999999999</v>
      </c>
      <c r="G8" s="24"/>
      <c r="H8" s="24"/>
      <c r="I8" s="24"/>
      <c r="J8" s="24"/>
      <c r="K8" s="24"/>
      <c r="L8" s="24"/>
      <c r="M8" s="24"/>
    </row>
    <row r="9" spans="1:13" s="8" customFormat="1" x14ac:dyDescent="0.2">
      <c r="A9" s="62"/>
      <c r="B9" s="63"/>
      <c r="C9" s="23" t="s">
        <v>47</v>
      </c>
      <c r="D9" s="23" t="s">
        <v>131</v>
      </c>
      <c r="E9" s="64">
        <v>0.02</v>
      </c>
      <c r="F9" s="64">
        <f>F8*E9</f>
        <v>3.9242543999999997</v>
      </c>
      <c r="G9" s="65"/>
      <c r="H9" s="65"/>
      <c r="I9" s="65"/>
      <c r="J9" s="65"/>
      <c r="K9" s="65"/>
      <c r="L9" s="65"/>
      <c r="M9" s="65"/>
    </row>
    <row r="10" spans="1:13" s="8" customFormat="1" ht="27" x14ac:dyDescent="0.2">
      <c r="A10" s="62"/>
      <c r="B10" s="63"/>
      <c r="C10" s="23" t="s">
        <v>48</v>
      </c>
      <c r="D10" s="23" t="s">
        <v>132</v>
      </c>
      <c r="E10" s="64">
        <v>4.48E-2</v>
      </c>
      <c r="F10" s="64">
        <f>F8*E10</f>
        <v>8.7903298559999996</v>
      </c>
      <c r="G10" s="65"/>
      <c r="H10" s="65"/>
      <c r="I10" s="65"/>
      <c r="J10" s="65"/>
      <c r="K10" s="65"/>
      <c r="L10" s="65"/>
      <c r="M10" s="65"/>
    </row>
    <row r="11" spans="1:13" s="8" customFormat="1" x14ac:dyDescent="0.2">
      <c r="A11" s="62"/>
      <c r="B11" s="63"/>
      <c r="C11" s="23" t="s">
        <v>49</v>
      </c>
      <c r="D11" s="23" t="s">
        <v>11</v>
      </c>
      <c r="E11" s="64">
        <v>2.0999999999999999E-3</v>
      </c>
      <c r="F11" s="64">
        <f>F8*E11</f>
        <v>0.41204671199999998</v>
      </c>
      <c r="G11" s="65"/>
      <c r="H11" s="65"/>
      <c r="I11" s="65"/>
      <c r="J11" s="65"/>
      <c r="K11" s="65"/>
      <c r="L11" s="65"/>
      <c r="M11" s="65"/>
    </row>
    <row r="12" spans="1:13" s="8" customFormat="1" x14ac:dyDescent="0.2">
      <c r="A12" s="66"/>
      <c r="B12" s="67"/>
      <c r="C12" s="68" t="s">
        <v>50</v>
      </c>
      <c r="D12" s="68" t="s">
        <v>133</v>
      </c>
      <c r="E12" s="69">
        <v>5.0000000000000002E-5</v>
      </c>
      <c r="F12" s="69">
        <f>F8*E12</f>
        <v>9.8106359999999993E-3</v>
      </c>
      <c r="G12" s="70"/>
      <c r="H12" s="70"/>
      <c r="I12" s="70"/>
      <c r="J12" s="70"/>
      <c r="K12" s="70"/>
      <c r="L12" s="70"/>
      <c r="M12" s="70"/>
    </row>
    <row r="13" spans="1:13" s="9" customFormat="1" x14ac:dyDescent="0.2">
      <c r="A13" s="71">
        <v>2</v>
      </c>
      <c r="B13" s="72"/>
      <c r="C13" s="73" t="s">
        <v>51</v>
      </c>
      <c r="D13" s="73" t="s">
        <v>15</v>
      </c>
      <c r="E13" s="74"/>
      <c r="F13" s="75">
        <f>F8*1.75</f>
        <v>343.37225999999998</v>
      </c>
      <c r="G13" s="76"/>
      <c r="H13" s="77"/>
      <c r="I13" s="76"/>
      <c r="J13" s="78"/>
      <c r="K13" s="76"/>
      <c r="L13" s="78"/>
      <c r="M13" s="79"/>
    </row>
    <row r="14" spans="1:13" s="8" customFormat="1" x14ac:dyDescent="0.2">
      <c r="A14" s="81">
        <v>3</v>
      </c>
      <c r="B14" s="82" t="s">
        <v>24</v>
      </c>
      <c r="C14" s="83" t="s">
        <v>52</v>
      </c>
      <c r="D14" s="83" t="s">
        <v>134</v>
      </c>
      <c r="E14" s="84"/>
      <c r="F14" s="30">
        <f>30.95*15.95</f>
        <v>493.65249999999997</v>
      </c>
      <c r="G14" s="85"/>
      <c r="H14" s="85"/>
      <c r="I14" s="85"/>
      <c r="J14" s="85"/>
      <c r="K14" s="85"/>
      <c r="L14" s="85"/>
      <c r="M14" s="85"/>
    </row>
    <row r="15" spans="1:13" s="8" customFormat="1" x14ac:dyDescent="0.2">
      <c r="A15" s="66"/>
      <c r="B15" s="67"/>
      <c r="C15" s="68" t="s">
        <v>47</v>
      </c>
      <c r="D15" s="68" t="s">
        <v>131</v>
      </c>
      <c r="E15" s="31">
        <v>0.129</v>
      </c>
      <c r="F15" s="31">
        <f>F14*E15</f>
        <v>63.681172499999995</v>
      </c>
      <c r="G15" s="32"/>
      <c r="H15" s="32"/>
      <c r="I15" s="32"/>
      <c r="J15" s="32"/>
      <c r="K15" s="32"/>
      <c r="L15" s="32"/>
      <c r="M15" s="32"/>
    </row>
    <row r="16" spans="1:13" s="8" customFormat="1" ht="40.5" x14ac:dyDescent="0.2">
      <c r="A16" s="62">
        <v>4</v>
      </c>
      <c r="B16" s="63" t="s">
        <v>137</v>
      </c>
      <c r="C16" s="86" t="s">
        <v>142</v>
      </c>
      <c r="D16" s="86" t="s">
        <v>133</v>
      </c>
      <c r="E16" s="29"/>
      <c r="F16" s="30">
        <f>(31.15*2+16.15*2)*0.3*0.1</f>
        <v>2.8380000000000001</v>
      </c>
      <c r="G16" s="28"/>
      <c r="H16" s="28"/>
      <c r="I16" s="28"/>
      <c r="J16" s="28"/>
      <c r="K16" s="28"/>
      <c r="L16" s="28"/>
      <c r="M16" s="28"/>
    </row>
    <row r="17" spans="1:13" s="8" customFormat="1" x14ac:dyDescent="0.2">
      <c r="A17" s="62"/>
      <c r="B17" s="87"/>
      <c r="C17" s="23" t="s">
        <v>10</v>
      </c>
      <c r="D17" s="23" t="s">
        <v>131</v>
      </c>
      <c r="E17" s="29">
        <v>0.89</v>
      </c>
      <c r="F17" s="29">
        <f>F16*E17</f>
        <v>2.52582</v>
      </c>
      <c r="G17" s="28"/>
      <c r="H17" s="28"/>
      <c r="I17" s="28"/>
      <c r="J17" s="28"/>
      <c r="K17" s="28"/>
      <c r="L17" s="28"/>
      <c r="M17" s="28"/>
    </row>
    <row r="18" spans="1:13" s="8" customFormat="1" x14ac:dyDescent="0.2">
      <c r="A18" s="62"/>
      <c r="B18" s="87"/>
      <c r="C18" s="23" t="s">
        <v>49</v>
      </c>
      <c r="D18" s="23" t="s">
        <v>11</v>
      </c>
      <c r="E18" s="29">
        <v>0.37</v>
      </c>
      <c r="F18" s="29">
        <f>F16*E18</f>
        <v>1.05006</v>
      </c>
      <c r="G18" s="28"/>
      <c r="H18" s="28"/>
      <c r="I18" s="28"/>
      <c r="J18" s="28"/>
      <c r="K18" s="65"/>
      <c r="L18" s="65"/>
      <c r="M18" s="65"/>
    </row>
    <row r="19" spans="1:13" s="8" customFormat="1" x14ac:dyDescent="0.2">
      <c r="A19" s="62"/>
      <c r="B19" s="87"/>
      <c r="C19" s="23" t="s">
        <v>153</v>
      </c>
      <c r="D19" s="23" t="s">
        <v>133</v>
      </c>
      <c r="E19" s="29">
        <v>1.1499999999999999</v>
      </c>
      <c r="F19" s="29">
        <f>F16*E19</f>
        <v>3.2637</v>
      </c>
      <c r="G19" s="28"/>
      <c r="H19" s="28"/>
      <c r="I19" s="28"/>
      <c r="J19" s="28"/>
      <c r="K19" s="28"/>
      <c r="L19" s="28"/>
      <c r="M19" s="28"/>
    </row>
    <row r="20" spans="1:13" s="8" customFormat="1" x14ac:dyDescent="0.2">
      <c r="A20" s="66"/>
      <c r="B20" s="88"/>
      <c r="C20" s="23" t="s">
        <v>82</v>
      </c>
      <c r="D20" s="68" t="s">
        <v>11</v>
      </c>
      <c r="E20" s="31">
        <v>0.02</v>
      </c>
      <c r="F20" s="31">
        <f>F16*E20</f>
        <v>5.6760000000000005E-2</v>
      </c>
      <c r="G20" s="32"/>
      <c r="H20" s="32"/>
      <c r="I20" s="32"/>
      <c r="J20" s="32"/>
      <c r="K20" s="32"/>
      <c r="L20" s="32"/>
      <c r="M20" s="32"/>
    </row>
    <row r="21" spans="1:13" s="9" customFormat="1" ht="40.5" x14ac:dyDescent="0.2">
      <c r="A21" s="89">
        <v>5</v>
      </c>
      <c r="B21" s="90" t="s">
        <v>25</v>
      </c>
      <c r="C21" s="83" t="s">
        <v>62</v>
      </c>
      <c r="D21" s="83" t="s">
        <v>133</v>
      </c>
      <c r="E21" s="64"/>
      <c r="F21" s="30">
        <f>(31.4*2+16*2)*0.2*0.65</f>
        <v>12.324000000000002</v>
      </c>
      <c r="G21" s="91"/>
      <c r="H21" s="39"/>
      <c r="I21" s="91"/>
      <c r="J21" s="65"/>
      <c r="K21" s="91"/>
      <c r="L21" s="39"/>
      <c r="M21" s="65"/>
    </row>
    <row r="22" spans="1:13" s="9" customFormat="1" x14ac:dyDescent="0.2">
      <c r="A22" s="92"/>
      <c r="B22" s="80"/>
      <c r="C22" s="90" t="s">
        <v>63</v>
      </c>
      <c r="D22" s="90" t="s">
        <v>131</v>
      </c>
      <c r="E22" s="36">
        <v>3.78</v>
      </c>
      <c r="F22" s="93">
        <f>F21*E22</f>
        <v>46.584720000000004</v>
      </c>
      <c r="G22" s="38"/>
      <c r="H22" s="24"/>
      <c r="I22" s="38"/>
      <c r="J22" s="24"/>
      <c r="K22" s="38"/>
      <c r="L22" s="41"/>
      <c r="M22" s="24"/>
    </row>
    <row r="23" spans="1:13" s="9" customFormat="1" x14ac:dyDescent="0.2">
      <c r="A23" s="92"/>
      <c r="B23" s="94"/>
      <c r="C23" s="90" t="s">
        <v>64</v>
      </c>
      <c r="D23" s="90" t="s">
        <v>11</v>
      </c>
      <c r="E23" s="36">
        <v>0.92</v>
      </c>
      <c r="F23" s="37">
        <f>F21*E23</f>
        <v>11.338080000000001</v>
      </c>
      <c r="G23" s="38"/>
      <c r="H23" s="24"/>
      <c r="I23" s="38"/>
      <c r="J23" s="24"/>
      <c r="K23" s="38"/>
      <c r="L23" s="41"/>
      <c r="M23" s="24"/>
    </row>
    <row r="24" spans="1:13" s="9" customFormat="1" x14ac:dyDescent="0.2">
      <c r="A24" s="92"/>
      <c r="B24" s="94"/>
      <c r="C24" s="23" t="s">
        <v>65</v>
      </c>
      <c r="D24" s="23" t="s">
        <v>133</v>
      </c>
      <c r="E24" s="36">
        <v>1.0149999999999999</v>
      </c>
      <c r="F24" s="93">
        <f>F21*E24</f>
        <v>12.50886</v>
      </c>
      <c r="G24" s="38"/>
      <c r="H24" s="24"/>
      <c r="I24" s="38"/>
      <c r="J24" s="24"/>
      <c r="K24" s="38"/>
      <c r="L24" s="41"/>
      <c r="M24" s="24"/>
    </row>
    <row r="25" spans="1:13" s="9" customFormat="1" x14ac:dyDescent="0.2">
      <c r="A25" s="92"/>
      <c r="B25" s="94"/>
      <c r="C25" s="90" t="s">
        <v>66</v>
      </c>
      <c r="D25" s="90" t="s">
        <v>134</v>
      </c>
      <c r="E25" s="36">
        <v>0.70299999999999996</v>
      </c>
      <c r="F25" s="93">
        <f>F21*E25</f>
        <v>8.6637719999999998</v>
      </c>
      <c r="G25" s="38"/>
      <c r="H25" s="24"/>
      <c r="I25" s="38"/>
      <c r="J25" s="24"/>
      <c r="K25" s="38"/>
      <c r="L25" s="41"/>
      <c r="M25" s="24"/>
    </row>
    <row r="26" spans="1:13" s="9" customFormat="1" x14ac:dyDescent="0.2">
      <c r="A26" s="92"/>
      <c r="B26" s="94"/>
      <c r="C26" s="90" t="s">
        <v>67</v>
      </c>
      <c r="D26" s="90" t="s">
        <v>133</v>
      </c>
      <c r="E26" s="36">
        <v>1.14E-2</v>
      </c>
      <c r="F26" s="36">
        <f>F21*E26</f>
        <v>0.14049360000000002</v>
      </c>
      <c r="G26" s="38"/>
      <c r="H26" s="24"/>
      <c r="I26" s="38"/>
      <c r="J26" s="24"/>
      <c r="K26" s="38"/>
      <c r="L26" s="41"/>
      <c r="M26" s="24"/>
    </row>
    <row r="27" spans="1:13" s="9" customFormat="1" x14ac:dyDescent="0.2">
      <c r="A27" s="92"/>
      <c r="B27" s="94"/>
      <c r="C27" s="90" t="s">
        <v>68</v>
      </c>
      <c r="D27" s="90" t="s">
        <v>15</v>
      </c>
      <c r="E27" s="95" t="s">
        <v>141</v>
      </c>
      <c r="F27" s="21">
        <f>(31.2*2+16.2*2)/0.5*1.6*0.22/1000</f>
        <v>6.6739199999999999E-2</v>
      </c>
      <c r="G27" s="38"/>
      <c r="H27" s="24"/>
      <c r="I27" s="38"/>
      <c r="J27" s="24"/>
      <c r="K27" s="38"/>
      <c r="L27" s="41"/>
      <c r="M27" s="24"/>
    </row>
    <row r="28" spans="1:13" s="9" customFormat="1" x14ac:dyDescent="0.2">
      <c r="A28" s="92"/>
      <c r="B28" s="94"/>
      <c r="C28" s="90" t="s">
        <v>69</v>
      </c>
      <c r="D28" s="90" t="s">
        <v>15</v>
      </c>
      <c r="E28" s="95" t="s">
        <v>141</v>
      </c>
      <c r="F28" s="21">
        <f>(31.2*2+16.2*2)*4*0.62/1000</f>
        <v>0.23510399999999998</v>
      </c>
      <c r="G28" s="38"/>
      <c r="H28" s="24"/>
      <c r="I28" s="38"/>
      <c r="J28" s="24"/>
      <c r="K28" s="38"/>
      <c r="L28" s="41"/>
      <c r="M28" s="24"/>
    </row>
    <row r="29" spans="1:13" s="9" customFormat="1" x14ac:dyDescent="0.2">
      <c r="A29" s="71"/>
      <c r="B29" s="72"/>
      <c r="C29" s="96" t="s">
        <v>70</v>
      </c>
      <c r="D29" s="96" t="s">
        <v>11</v>
      </c>
      <c r="E29" s="74">
        <v>0.6</v>
      </c>
      <c r="F29" s="97">
        <f>F21*E29</f>
        <v>7.394400000000001</v>
      </c>
      <c r="G29" s="76"/>
      <c r="H29" s="76"/>
      <c r="I29" s="76"/>
      <c r="J29" s="79"/>
      <c r="K29" s="76"/>
      <c r="L29" s="78"/>
      <c r="M29" s="79"/>
    </row>
    <row r="30" spans="1:13" s="9" customFormat="1" x14ac:dyDescent="0.2">
      <c r="A30" s="89">
        <v>6</v>
      </c>
      <c r="B30" s="23" t="s">
        <v>26</v>
      </c>
      <c r="C30" s="86" t="s">
        <v>143</v>
      </c>
      <c r="D30" s="86" t="s">
        <v>133</v>
      </c>
      <c r="E30" s="64"/>
      <c r="F30" s="30">
        <f>31*16*0.25</f>
        <v>124</v>
      </c>
      <c r="G30" s="91"/>
      <c r="H30" s="39"/>
      <c r="I30" s="91"/>
      <c r="J30" s="39"/>
      <c r="K30" s="91"/>
      <c r="L30" s="39"/>
      <c r="M30" s="65"/>
    </row>
    <row r="31" spans="1:13" s="9" customFormat="1" x14ac:dyDescent="0.2">
      <c r="A31" s="92"/>
      <c r="B31" s="90"/>
      <c r="C31" s="90" t="s">
        <v>63</v>
      </c>
      <c r="D31" s="90" t="s">
        <v>131</v>
      </c>
      <c r="E31" s="36">
        <f>21.6/100</f>
        <v>0.21600000000000003</v>
      </c>
      <c r="F31" s="93">
        <f>F30*E31</f>
        <v>26.784000000000002</v>
      </c>
      <c r="G31" s="38"/>
      <c r="H31" s="39"/>
      <c r="I31" s="38"/>
      <c r="J31" s="40"/>
      <c r="K31" s="38"/>
      <c r="L31" s="41"/>
      <c r="M31" s="24"/>
    </row>
    <row r="32" spans="1:13" s="9" customFormat="1" x14ac:dyDescent="0.2">
      <c r="A32" s="92"/>
      <c r="B32" s="94"/>
      <c r="C32" s="90" t="s">
        <v>71</v>
      </c>
      <c r="D32" s="90" t="s">
        <v>132</v>
      </c>
      <c r="E32" s="36">
        <f>1.24/100</f>
        <v>1.24E-2</v>
      </c>
      <c r="F32" s="93">
        <f>F30*E32</f>
        <v>1.5375999999999999</v>
      </c>
      <c r="G32" s="38"/>
      <c r="H32" s="39"/>
      <c r="I32" s="38"/>
      <c r="J32" s="41"/>
      <c r="K32" s="28"/>
      <c r="L32" s="41"/>
      <c r="M32" s="24"/>
    </row>
    <row r="33" spans="1:13" s="9" customFormat="1" x14ac:dyDescent="0.2">
      <c r="A33" s="92"/>
      <c r="B33" s="98"/>
      <c r="C33" s="90" t="s">
        <v>72</v>
      </c>
      <c r="D33" s="90" t="s">
        <v>132</v>
      </c>
      <c r="E33" s="36">
        <f>2.58/100</f>
        <v>2.58E-2</v>
      </c>
      <c r="F33" s="93">
        <f>F30*E33</f>
        <v>3.1991999999999998</v>
      </c>
      <c r="G33" s="38"/>
      <c r="H33" s="39"/>
      <c r="I33" s="38"/>
      <c r="J33" s="41"/>
      <c r="K33" s="38"/>
      <c r="L33" s="41"/>
      <c r="M33" s="24"/>
    </row>
    <row r="34" spans="1:13" s="9" customFormat="1" x14ac:dyDescent="0.2">
      <c r="A34" s="92"/>
      <c r="B34" s="94"/>
      <c r="C34" s="90" t="s">
        <v>73</v>
      </c>
      <c r="D34" s="90" t="s">
        <v>132</v>
      </c>
      <c r="E34" s="36">
        <f>0.41/100</f>
        <v>4.0999999999999995E-3</v>
      </c>
      <c r="F34" s="93">
        <f>F30*E34</f>
        <v>0.50839999999999996</v>
      </c>
      <c r="G34" s="38"/>
      <c r="H34" s="39"/>
      <c r="I34" s="38"/>
      <c r="J34" s="41"/>
      <c r="K34" s="38"/>
      <c r="L34" s="41"/>
      <c r="M34" s="24"/>
    </row>
    <row r="35" spans="1:13" s="9" customFormat="1" x14ac:dyDescent="0.2">
      <c r="A35" s="92"/>
      <c r="B35" s="94"/>
      <c r="C35" s="90" t="s">
        <v>74</v>
      </c>
      <c r="D35" s="90" t="s">
        <v>132</v>
      </c>
      <c r="E35" s="36">
        <f>7.6/100</f>
        <v>7.5999999999999998E-2</v>
      </c>
      <c r="F35" s="93">
        <f>F30*E35</f>
        <v>9.4239999999999995</v>
      </c>
      <c r="G35" s="38"/>
      <c r="H35" s="39"/>
      <c r="I35" s="38"/>
      <c r="J35" s="41"/>
      <c r="K35" s="38"/>
      <c r="L35" s="41"/>
      <c r="M35" s="24"/>
    </row>
    <row r="36" spans="1:13" s="9" customFormat="1" x14ac:dyDescent="0.2">
      <c r="A36" s="92"/>
      <c r="B36" s="94"/>
      <c r="C36" s="90" t="s">
        <v>75</v>
      </c>
      <c r="D36" s="90" t="s">
        <v>132</v>
      </c>
      <c r="E36" s="36">
        <f>15.1/100</f>
        <v>0.151</v>
      </c>
      <c r="F36" s="93">
        <f>F30*E36</f>
        <v>18.724</v>
      </c>
      <c r="G36" s="38"/>
      <c r="H36" s="39"/>
      <c r="I36" s="38"/>
      <c r="J36" s="41"/>
      <c r="K36" s="38"/>
      <c r="L36" s="41"/>
      <c r="M36" s="24"/>
    </row>
    <row r="37" spans="1:13" s="9" customFormat="1" x14ac:dyDescent="0.2">
      <c r="A37" s="92"/>
      <c r="B37" s="94"/>
      <c r="C37" s="90" t="s">
        <v>76</v>
      </c>
      <c r="D37" s="90" t="s">
        <v>132</v>
      </c>
      <c r="E37" s="36">
        <f>0.97/100</f>
        <v>9.7000000000000003E-3</v>
      </c>
      <c r="F37" s="93">
        <f>F30*E37</f>
        <v>1.2028000000000001</v>
      </c>
      <c r="G37" s="38"/>
      <c r="H37" s="39"/>
      <c r="I37" s="38"/>
      <c r="J37" s="41"/>
      <c r="K37" s="38"/>
      <c r="L37" s="41"/>
      <c r="M37" s="24"/>
    </row>
    <row r="38" spans="1:13" s="9" customFormat="1" x14ac:dyDescent="0.2">
      <c r="A38" s="92"/>
      <c r="B38" s="99"/>
      <c r="C38" s="90" t="s">
        <v>77</v>
      </c>
      <c r="D38" s="90" t="s">
        <v>133</v>
      </c>
      <c r="E38" s="36">
        <v>1.26</v>
      </c>
      <c r="F38" s="93">
        <f>F30*E38</f>
        <v>156.24</v>
      </c>
      <c r="G38" s="38"/>
      <c r="H38" s="39"/>
      <c r="I38" s="38"/>
      <c r="J38" s="41"/>
      <c r="K38" s="38"/>
      <c r="L38" s="41"/>
      <c r="M38" s="24"/>
    </row>
    <row r="39" spans="1:13" s="9" customFormat="1" x14ac:dyDescent="0.2">
      <c r="A39" s="71"/>
      <c r="B39" s="72"/>
      <c r="C39" s="96" t="s">
        <v>61</v>
      </c>
      <c r="D39" s="96" t="s">
        <v>133</v>
      </c>
      <c r="E39" s="74">
        <f>7/100</f>
        <v>7.0000000000000007E-2</v>
      </c>
      <c r="F39" s="97">
        <f>F30*E39</f>
        <v>8.6800000000000015</v>
      </c>
      <c r="G39" s="76"/>
      <c r="H39" s="100"/>
      <c r="I39" s="76"/>
      <c r="J39" s="78"/>
      <c r="K39" s="76"/>
      <c r="L39" s="78"/>
      <c r="M39" s="79"/>
    </row>
    <row r="40" spans="1:13" s="8" customFormat="1" ht="30.75" customHeight="1" x14ac:dyDescent="0.2">
      <c r="A40" s="62">
        <v>7</v>
      </c>
      <c r="B40" s="63" t="s">
        <v>42</v>
      </c>
      <c r="C40" s="86" t="s">
        <v>78</v>
      </c>
      <c r="D40" s="86" t="s">
        <v>134</v>
      </c>
      <c r="E40" s="29"/>
      <c r="F40" s="30">
        <f>31*16</f>
        <v>496</v>
      </c>
      <c r="G40" s="28"/>
      <c r="H40" s="28"/>
      <c r="I40" s="28"/>
      <c r="J40" s="28"/>
      <c r="K40" s="28"/>
      <c r="L40" s="28"/>
      <c r="M40" s="28"/>
    </row>
    <row r="41" spans="1:13" s="8" customFormat="1" x14ac:dyDescent="0.2">
      <c r="A41" s="62"/>
      <c r="B41" s="87"/>
      <c r="C41" s="23" t="s">
        <v>10</v>
      </c>
      <c r="D41" s="23" t="s">
        <v>131</v>
      </c>
      <c r="E41" s="29">
        <v>3.3000000000000002E-2</v>
      </c>
      <c r="F41" s="29">
        <f>F40*E41</f>
        <v>16.368000000000002</v>
      </c>
      <c r="G41" s="28"/>
      <c r="H41" s="28"/>
      <c r="I41" s="28"/>
      <c r="J41" s="28"/>
      <c r="K41" s="28"/>
      <c r="L41" s="28"/>
      <c r="M41" s="28"/>
    </row>
    <row r="42" spans="1:13" s="8" customFormat="1" x14ac:dyDescent="0.2">
      <c r="A42" s="62"/>
      <c r="B42" s="87"/>
      <c r="C42" s="23" t="s">
        <v>53</v>
      </c>
      <c r="D42" s="23" t="s">
        <v>132</v>
      </c>
      <c r="E42" s="29">
        <v>4.2000000000000002E-4</v>
      </c>
      <c r="F42" s="29">
        <f>F40*E42</f>
        <v>0.20832000000000001</v>
      </c>
      <c r="G42" s="28"/>
      <c r="H42" s="28"/>
      <c r="I42" s="28"/>
      <c r="J42" s="28"/>
      <c r="K42" s="28"/>
      <c r="L42" s="28"/>
      <c r="M42" s="28"/>
    </row>
    <row r="43" spans="1:13" s="8" customFormat="1" x14ac:dyDescent="0.2">
      <c r="A43" s="62"/>
      <c r="B43" s="87"/>
      <c r="C43" s="23" t="s">
        <v>54</v>
      </c>
      <c r="D43" s="23" t="s">
        <v>132</v>
      </c>
      <c r="E43" s="29">
        <v>2.5799999999999998E-3</v>
      </c>
      <c r="F43" s="29">
        <f>F40*E43</f>
        <v>1.2796799999999999</v>
      </c>
      <c r="G43" s="28"/>
      <c r="H43" s="28"/>
      <c r="I43" s="28"/>
      <c r="J43" s="28"/>
      <c r="K43" s="65"/>
      <c r="L43" s="28"/>
      <c r="M43" s="28"/>
    </row>
    <row r="44" spans="1:13" s="8" customFormat="1" x14ac:dyDescent="0.2">
      <c r="A44" s="62"/>
      <c r="B44" s="87"/>
      <c r="C44" s="23" t="s">
        <v>55</v>
      </c>
      <c r="D44" s="23" t="s">
        <v>132</v>
      </c>
      <c r="E44" s="29">
        <v>1.12E-2</v>
      </c>
      <c r="F44" s="29">
        <f>F40*E44</f>
        <v>5.5552000000000001</v>
      </c>
      <c r="G44" s="28"/>
      <c r="H44" s="28"/>
      <c r="I44" s="28"/>
      <c r="J44" s="28"/>
      <c r="K44" s="28"/>
      <c r="L44" s="28"/>
      <c r="M44" s="28"/>
    </row>
    <row r="45" spans="1:13" s="8" customFormat="1" x14ac:dyDescent="0.2">
      <c r="A45" s="62"/>
      <c r="B45" s="87"/>
      <c r="C45" s="23" t="s">
        <v>56</v>
      </c>
      <c r="D45" s="23" t="s">
        <v>132</v>
      </c>
      <c r="E45" s="29">
        <v>2.4799999999999999E-2</v>
      </c>
      <c r="F45" s="29">
        <f>F40*E45</f>
        <v>12.300799999999999</v>
      </c>
      <c r="G45" s="28"/>
      <c r="H45" s="28"/>
      <c r="I45" s="28"/>
      <c r="J45" s="28"/>
      <c r="K45" s="28"/>
      <c r="L45" s="28"/>
      <c r="M45" s="28"/>
    </row>
    <row r="46" spans="1:13" s="8" customFormat="1" x14ac:dyDescent="0.2">
      <c r="A46" s="62"/>
      <c r="B46" s="87"/>
      <c r="C46" s="23" t="s">
        <v>57</v>
      </c>
      <c r="D46" s="23" t="s">
        <v>132</v>
      </c>
      <c r="E46" s="29">
        <v>4.1399999999999996E-3</v>
      </c>
      <c r="F46" s="29">
        <f>F40*E46</f>
        <v>2.0534399999999997</v>
      </c>
      <c r="G46" s="28"/>
      <c r="H46" s="28"/>
      <c r="I46" s="28"/>
      <c r="J46" s="28"/>
      <c r="K46" s="28"/>
      <c r="L46" s="28"/>
      <c r="M46" s="28"/>
    </row>
    <row r="47" spans="1:13" s="8" customFormat="1" x14ac:dyDescent="0.2">
      <c r="A47" s="62"/>
      <c r="B47" s="87"/>
      <c r="C47" s="23" t="s">
        <v>58</v>
      </c>
      <c r="D47" s="23" t="s">
        <v>132</v>
      </c>
      <c r="E47" s="29">
        <v>5.2999999999999998E-4</v>
      </c>
      <c r="F47" s="29">
        <f>F40*E47</f>
        <v>0.26288</v>
      </c>
      <c r="G47" s="28"/>
      <c r="H47" s="28"/>
      <c r="I47" s="28"/>
      <c r="J47" s="28"/>
      <c r="K47" s="28"/>
      <c r="L47" s="28"/>
      <c r="M47" s="28"/>
    </row>
    <row r="48" spans="1:13" s="8" customFormat="1" x14ac:dyDescent="0.2">
      <c r="A48" s="62"/>
      <c r="B48" s="87"/>
      <c r="C48" s="23" t="s">
        <v>59</v>
      </c>
      <c r="D48" s="23" t="s">
        <v>133</v>
      </c>
      <c r="E48" s="29">
        <f>0.189-(12.6*7/1000)</f>
        <v>0.1008</v>
      </c>
      <c r="F48" s="29">
        <f>F40*E48</f>
        <v>49.9968</v>
      </c>
      <c r="G48" s="28"/>
      <c r="H48" s="28"/>
      <c r="I48" s="28"/>
      <c r="J48" s="28"/>
      <c r="K48" s="28"/>
      <c r="L48" s="28"/>
      <c r="M48" s="28"/>
    </row>
    <row r="49" spans="1:13" s="8" customFormat="1" x14ac:dyDescent="0.2">
      <c r="A49" s="62"/>
      <c r="B49" s="87"/>
      <c r="C49" s="23" t="s">
        <v>60</v>
      </c>
      <c r="D49" s="23" t="s">
        <v>133</v>
      </c>
      <c r="E49" s="29">
        <v>1.4999999999999999E-2</v>
      </c>
      <c r="F49" s="29">
        <f>F40*E49</f>
        <v>7.4399999999999995</v>
      </c>
      <c r="G49" s="28"/>
      <c r="H49" s="28"/>
      <c r="I49" s="28"/>
      <c r="J49" s="28"/>
      <c r="K49" s="28"/>
      <c r="L49" s="28"/>
      <c r="M49" s="28"/>
    </row>
    <row r="50" spans="1:13" s="8" customFormat="1" x14ac:dyDescent="0.2">
      <c r="A50" s="66"/>
      <c r="B50" s="88"/>
      <c r="C50" s="68" t="s">
        <v>61</v>
      </c>
      <c r="D50" s="68" t="s">
        <v>133</v>
      </c>
      <c r="E50" s="31">
        <v>0.03</v>
      </c>
      <c r="F50" s="31">
        <f>F40*E50</f>
        <v>14.879999999999999</v>
      </c>
      <c r="G50" s="32"/>
      <c r="H50" s="32"/>
      <c r="I50" s="32"/>
      <c r="J50" s="32"/>
      <c r="K50" s="32"/>
      <c r="L50" s="32"/>
      <c r="M50" s="32"/>
    </row>
    <row r="51" spans="1:13" s="9" customFormat="1" ht="54" x14ac:dyDescent="0.2">
      <c r="A51" s="101">
        <v>8</v>
      </c>
      <c r="B51" s="102" t="s">
        <v>144</v>
      </c>
      <c r="C51" s="83" t="s">
        <v>140</v>
      </c>
      <c r="D51" s="83" t="s">
        <v>133</v>
      </c>
      <c r="E51" s="33"/>
      <c r="F51" s="30">
        <f>F40*0.1</f>
        <v>49.6</v>
      </c>
      <c r="G51" s="34"/>
      <c r="H51" s="35"/>
      <c r="I51" s="34"/>
      <c r="J51" s="35"/>
      <c r="K51" s="34"/>
      <c r="L51" s="35"/>
      <c r="M51" s="103"/>
    </row>
    <row r="52" spans="1:13" s="9" customFormat="1" x14ac:dyDescent="0.2">
      <c r="A52" s="92"/>
      <c r="B52" s="90"/>
      <c r="C52" s="90" t="s">
        <v>63</v>
      </c>
      <c r="D52" s="90" t="s">
        <v>131</v>
      </c>
      <c r="E52" s="36">
        <v>1.87</v>
      </c>
      <c r="F52" s="37">
        <f>F51*E52</f>
        <v>92.75200000000001</v>
      </c>
      <c r="G52" s="38"/>
      <c r="H52" s="39"/>
      <c r="I52" s="38"/>
      <c r="J52" s="40"/>
      <c r="K52" s="38"/>
      <c r="L52" s="41"/>
      <c r="M52" s="24"/>
    </row>
    <row r="53" spans="1:13" s="9" customFormat="1" x14ac:dyDescent="0.2">
      <c r="A53" s="92"/>
      <c r="B53" s="94"/>
      <c r="C53" s="90" t="s">
        <v>64</v>
      </c>
      <c r="D53" s="90" t="s">
        <v>11</v>
      </c>
      <c r="E53" s="36">
        <v>0.77</v>
      </c>
      <c r="F53" s="37">
        <f>F51*E53</f>
        <v>38.192</v>
      </c>
      <c r="G53" s="38"/>
      <c r="H53" s="39"/>
      <c r="I53" s="38"/>
      <c r="J53" s="41"/>
      <c r="K53" s="38"/>
      <c r="L53" s="41"/>
      <c r="M53" s="24"/>
    </row>
    <row r="54" spans="1:13" s="9" customFormat="1" x14ac:dyDescent="0.2">
      <c r="A54" s="92"/>
      <c r="B54" s="94"/>
      <c r="C54" s="104" t="s">
        <v>81</v>
      </c>
      <c r="D54" s="90" t="s">
        <v>15</v>
      </c>
      <c r="E54" s="36" t="s">
        <v>141</v>
      </c>
      <c r="F54" s="42">
        <f>(16/0.2+1)*31*0.22/1000+(31/0.2+1)*16*0.22/1000</f>
        <v>1.10154</v>
      </c>
      <c r="G54" s="38"/>
      <c r="H54" s="39"/>
      <c r="I54" s="38"/>
      <c r="J54" s="41"/>
      <c r="K54" s="38"/>
      <c r="L54" s="41"/>
      <c r="M54" s="24"/>
    </row>
    <row r="55" spans="1:13" s="9" customFormat="1" x14ac:dyDescent="0.2">
      <c r="A55" s="92"/>
      <c r="B55" s="94"/>
      <c r="C55" s="90" t="s">
        <v>80</v>
      </c>
      <c r="D55" s="90" t="s">
        <v>133</v>
      </c>
      <c r="E55" s="36">
        <v>1.0149999999999999</v>
      </c>
      <c r="F55" s="37">
        <f>F51*E55</f>
        <v>50.343999999999994</v>
      </c>
      <c r="G55" s="38"/>
      <c r="H55" s="39"/>
      <c r="I55" s="38"/>
      <c r="J55" s="41"/>
      <c r="K55" s="38"/>
      <c r="L55" s="41"/>
      <c r="M55" s="24"/>
    </row>
    <row r="56" spans="1:13" s="9" customFormat="1" x14ac:dyDescent="0.2">
      <c r="A56" s="92"/>
      <c r="B56" s="94"/>
      <c r="C56" s="90" t="s">
        <v>145</v>
      </c>
      <c r="D56" s="90" t="s">
        <v>134</v>
      </c>
      <c r="E56" s="36">
        <v>7.5399999999999995E-2</v>
      </c>
      <c r="F56" s="37">
        <f>F51*E56</f>
        <v>3.7398400000000001</v>
      </c>
      <c r="G56" s="38"/>
      <c r="H56" s="39"/>
      <c r="I56" s="38"/>
      <c r="J56" s="41"/>
      <c r="K56" s="38"/>
      <c r="L56" s="41"/>
      <c r="M56" s="24"/>
    </row>
    <row r="57" spans="1:13" s="9" customFormat="1" x14ac:dyDescent="0.2">
      <c r="A57" s="92"/>
      <c r="B57" s="94"/>
      <c r="C57" s="90" t="s">
        <v>146</v>
      </c>
      <c r="D57" s="90" t="s">
        <v>133</v>
      </c>
      <c r="E57" s="36">
        <v>8.0000000000000004E-4</v>
      </c>
      <c r="F57" s="37">
        <f>F51*E57</f>
        <v>3.968E-2</v>
      </c>
      <c r="G57" s="38"/>
      <c r="H57" s="39"/>
      <c r="I57" s="38"/>
      <c r="J57" s="41"/>
      <c r="K57" s="38"/>
      <c r="L57" s="41"/>
      <c r="M57" s="24"/>
    </row>
    <row r="58" spans="1:13" s="9" customFormat="1" x14ac:dyDescent="0.2">
      <c r="A58" s="105"/>
      <c r="B58" s="106"/>
      <c r="C58" s="106" t="s">
        <v>147</v>
      </c>
      <c r="D58" s="106" t="s">
        <v>11</v>
      </c>
      <c r="E58" s="43">
        <v>7.0000000000000007E-2</v>
      </c>
      <c r="F58" s="43">
        <f>F52*E58</f>
        <v>6.4926400000000015</v>
      </c>
      <c r="G58" s="44"/>
      <c r="H58" s="40"/>
      <c r="I58" s="45"/>
      <c r="J58" s="46"/>
      <c r="K58" s="44"/>
      <c r="L58" s="46"/>
      <c r="M58" s="24"/>
    </row>
    <row r="59" spans="1:13" s="10" customFormat="1" ht="40.5" x14ac:dyDescent="0.2">
      <c r="A59" s="107">
        <v>9</v>
      </c>
      <c r="B59" s="57" t="s">
        <v>148</v>
      </c>
      <c r="C59" s="108" t="s">
        <v>155</v>
      </c>
      <c r="D59" s="109" t="s">
        <v>134</v>
      </c>
      <c r="E59" s="110"/>
      <c r="F59" s="30">
        <f>31*16</f>
        <v>496</v>
      </c>
      <c r="G59" s="111"/>
      <c r="H59" s="111"/>
      <c r="I59" s="111"/>
      <c r="J59" s="111"/>
      <c r="K59" s="111"/>
      <c r="L59" s="111"/>
      <c r="M59" s="111"/>
    </row>
    <row r="60" spans="1:13" s="2" customFormat="1" x14ac:dyDescent="0.2">
      <c r="A60" s="56"/>
      <c r="B60" s="59"/>
      <c r="C60" s="112" t="s">
        <v>10</v>
      </c>
      <c r="D60" s="112" t="s">
        <v>134</v>
      </c>
      <c r="E60" s="95">
        <f>0.16*0.275*4*1.1</f>
        <v>0.19360000000000002</v>
      </c>
      <c r="F60" s="95">
        <f>E60*F59</f>
        <v>96.025600000000011</v>
      </c>
      <c r="G60" s="24"/>
      <c r="H60" s="24"/>
      <c r="I60" s="24"/>
      <c r="J60" s="113"/>
      <c r="K60" s="24"/>
      <c r="L60" s="24"/>
      <c r="M60" s="24"/>
    </row>
    <row r="61" spans="1:13" s="2" customFormat="1" x14ac:dyDescent="0.2">
      <c r="A61" s="56"/>
      <c r="B61" s="59"/>
      <c r="C61" s="112" t="s">
        <v>79</v>
      </c>
      <c r="D61" s="112" t="s">
        <v>11</v>
      </c>
      <c r="E61" s="95">
        <f>0.0001*0.275*4*1.1</f>
        <v>1.2100000000000003E-4</v>
      </c>
      <c r="F61" s="95">
        <f>E61*F59</f>
        <v>6.0016000000000014E-2</v>
      </c>
      <c r="G61" s="24"/>
      <c r="H61" s="24"/>
      <c r="I61" s="24"/>
      <c r="J61" s="113"/>
      <c r="K61" s="38"/>
      <c r="L61" s="41"/>
      <c r="M61" s="24"/>
    </row>
    <row r="62" spans="1:13" s="2" customFormat="1" x14ac:dyDescent="0.2">
      <c r="A62" s="114"/>
      <c r="B62" s="115"/>
      <c r="C62" s="68" t="s">
        <v>13</v>
      </c>
      <c r="D62" s="68" t="s">
        <v>134</v>
      </c>
      <c r="E62" s="116">
        <v>1.01</v>
      </c>
      <c r="F62" s="116">
        <f>E62*F59</f>
        <v>500.96</v>
      </c>
      <c r="G62" s="79"/>
      <c r="H62" s="79"/>
      <c r="I62" s="79"/>
      <c r="J62" s="79"/>
      <c r="K62" s="79"/>
      <c r="L62" s="79"/>
      <c r="M62" s="79"/>
    </row>
    <row r="63" spans="1:13" s="10" customFormat="1" ht="27" x14ac:dyDescent="0.2">
      <c r="A63" s="56">
        <v>10</v>
      </c>
      <c r="B63" s="117" t="s">
        <v>149</v>
      </c>
      <c r="C63" s="58" t="s">
        <v>83</v>
      </c>
      <c r="D63" s="59" t="s">
        <v>138</v>
      </c>
      <c r="E63" s="60"/>
      <c r="F63" s="61">
        <v>122</v>
      </c>
      <c r="G63" s="24"/>
      <c r="H63" s="24"/>
      <c r="I63" s="24"/>
      <c r="J63" s="24"/>
      <c r="K63" s="24"/>
      <c r="L63" s="24"/>
      <c r="M63" s="24"/>
    </row>
    <row r="64" spans="1:13" s="2" customFormat="1" x14ac:dyDescent="0.2">
      <c r="A64" s="56"/>
      <c r="B64" s="59"/>
      <c r="C64" s="112" t="s">
        <v>10</v>
      </c>
      <c r="D64" s="112" t="s">
        <v>131</v>
      </c>
      <c r="E64" s="95">
        <f>0.00325</f>
        <v>3.2499999999999999E-3</v>
      </c>
      <c r="F64" s="95">
        <f>E64*F63</f>
        <v>0.39649999999999996</v>
      </c>
      <c r="G64" s="24"/>
      <c r="H64" s="24"/>
      <c r="I64" s="24"/>
      <c r="J64" s="113"/>
      <c r="K64" s="24"/>
      <c r="L64" s="24"/>
      <c r="M64" s="24"/>
    </row>
    <row r="65" spans="1:13" s="2" customFormat="1" x14ac:dyDescent="0.2">
      <c r="A65" s="56"/>
      <c r="B65" s="59"/>
      <c r="C65" s="112" t="s">
        <v>79</v>
      </c>
      <c r="D65" s="112" t="s">
        <v>11</v>
      </c>
      <c r="E65" s="95">
        <f>0.0001*0.275*4*1.1</f>
        <v>1.2100000000000003E-4</v>
      </c>
      <c r="F65" s="95">
        <f>E65*F63</f>
        <v>1.4762000000000003E-2</v>
      </c>
      <c r="G65" s="24"/>
      <c r="H65" s="24"/>
      <c r="I65" s="24"/>
      <c r="J65" s="113"/>
      <c r="K65" s="38"/>
      <c r="L65" s="41"/>
      <c r="M65" s="24"/>
    </row>
    <row r="66" spans="1:13" s="2" customFormat="1" x14ac:dyDescent="0.2">
      <c r="A66" s="114"/>
      <c r="B66" s="115"/>
      <c r="C66" s="68" t="s">
        <v>84</v>
      </c>
      <c r="D66" s="68" t="s">
        <v>135</v>
      </c>
      <c r="E66" s="116">
        <v>4.2000000000000003E-2</v>
      </c>
      <c r="F66" s="116">
        <f>E66*F63</f>
        <v>5.1240000000000006</v>
      </c>
      <c r="G66" s="79"/>
      <c r="H66" s="79"/>
      <c r="I66" s="79"/>
      <c r="J66" s="79"/>
      <c r="K66" s="79"/>
      <c r="L66" s="79"/>
      <c r="M66" s="79"/>
    </row>
    <row r="67" spans="1:13" s="10" customFormat="1" ht="27" x14ac:dyDescent="0.2">
      <c r="A67" s="56">
        <v>11</v>
      </c>
      <c r="B67" s="57" t="s">
        <v>22</v>
      </c>
      <c r="C67" s="58" t="s">
        <v>85</v>
      </c>
      <c r="D67" s="59" t="s">
        <v>133</v>
      </c>
      <c r="E67" s="60"/>
      <c r="F67" s="61">
        <f>31*16*0.01</f>
        <v>4.96</v>
      </c>
      <c r="G67" s="24"/>
      <c r="H67" s="24"/>
      <c r="I67" s="24"/>
      <c r="J67" s="24"/>
      <c r="K67" s="24"/>
      <c r="L67" s="24"/>
      <c r="M67" s="24"/>
    </row>
    <row r="68" spans="1:13" s="9" customFormat="1" x14ac:dyDescent="0.2">
      <c r="A68" s="92"/>
      <c r="B68" s="80"/>
      <c r="C68" s="90" t="s">
        <v>63</v>
      </c>
      <c r="D68" s="90" t="s">
        <v>131</v>
      </c>
      <c r="E68" s="36">
        <v>3</v>
      </c>
      <c r="F68" s="93">
        <f>F67*E68</f>
        <v>14.879999999999999</v>
      </c>
      <c r="G68" s="38"/>
      <c r="H68" s="39"/>
      <c r="I68" s="38"/>
      <c r="J68" s="40"/>
      <c r="K68" s="38"/>
      <c r="L68" s="41"/>
      <c r="M68" s="24"/>
    </row>
    <row r="69" spans="1:13" s="9" customFormat="1" x14ac:dyDescent="0.2">
      <c r="A69" s="92"/>
      <c r="B69" s="90"/>
      <c r="C69" s="90" t="s">
        <v>86</v>
      </c>
      <c r="D69" s="90" t="s">
        <v>133</v>
      </c>
      <c r="E69" s="36">
        <v>1.1200000000000001</v>
      </c>
      <c r="F69" s="93">
        <f>F67*E69</f>
        <v>5.5552000000000001</v>
      </c>
      <c r="G69" s="38"/>
      <c r="H69" s="118"/>
      <c r="I69" s="40"/>
      <c r="J69" s="41"/>
      <c r="K69" s="38"/>
      <c r="L69" s="41"/>
      <c r="M69" s="24"/>
    </row>
    <row r="70" spans="1:13" s="9" customFormat="1" x14ac:dyDescent="0.2">
      <c r="A70" s="71"/>
      <c r="B70" s="72"/>
      <c r="C70" s="96" t="s">
        <v>147</v>
      </c>
      <c r="D70" s="96" t="s">
        <v>11</v>
      </c>
      <c r="E70" s="74">
        <v>0.01</v>
      </c>
      <c r="F70" s="97">
        <f>F67*E70</f>
        <v>4.9599999999999998E-2</v>
      </c>
      <c r="G70" s="76"/>
      <c r="H70" s="70"/>
      <c r="I70" s="100"/>
      <c r="J70" s="78"/>
      <c r="K70" s="76"/>
      <c r="L70" s="78"/>
      <c r="M70" s="79"/>
    </row>
    <row r="71" spans="1:13" s="10" customFormat="1" ht="27" x14ac:dyDescent="0.2">
      <c r="A71" s="56">
        <v>12</v>
      </c>
      <c r="B71" s="57" t="s">
        <v>33</v>
      </c>
      <c r="C71" s="58" t="s">
        <v>151</v>
      </c>
      <c r="D71" s="59" t="s">
        <v>15</v>
      </c>
      <c r="E71" s="60"/>
      <c r="F71" s="61">
        <f>SUM(F74:F77)</f>
        <v>4.8094180250000003</v>
      </c>
      <c r="G71" s="24"/>
      <c r="H71" s="24"/>
      <c r="I71" s="24"/>
      <c r="J71" s="24"/>
      <c r="K71" s="24"/>
      <c r="L71" s="24"/>
      <c r="M71" s="24"/>
    </row>
    <row r="72" spans="1:13" s="10" customFormat="1" x14ac:dyDescent="0.2">
      <c r="A72" s="56"/>
      <c r="B72" s="117"/>
      <c r="C72" s="59" t="s">
        <v>47</v>
      </c>
      <c r="D72" s="59" t="s">
        <v>131</v>
      </c>
      <c r="E72" s="60">
        <v>53.8</v>
      </c>
      <c r="F72" s="21">
        <f>F71*E72</f>
        <v>258.74668974500003</v>
      </c>
      <c r="G72" s="24"/>
      <c r="H72" s="24"/>
      <c r="I72" s="24"/>
      <c r="J72" s="24"/>
      <c r="K72" s="24"/>
      <c r="L72" s="24"/>
      <c r="M72" s="24"/>
    </row>
    <row r="73" spans="1:13" s="10" customFormat="1" x14ac:dyDescent="0.2">
      <c r="A73" s="56"/>
      <c r="B73" s="117"/>
      <c r="C73" s="59" t="s">
        <v>49</v>
      </c>
      <c r="D73" s="59" t="s">
        <v>11</v>
      </c>
      <c r="E73" s="60">
        <v>20</v>
      </c>
      <c r="F73" s="21">
        <f>F71*E73</f>
        <v>96.188360500000002</v>
      </c>
      <c r="G73" s="24"/>
      <c r="H73" s="24"/>
      <c r="I73" s="24"/>
      <c r="J73" s="24"/>
      <c r="K73" s="24"/>
      <c r="L73" s="24"/>
      <c r="M73" s="24"/>
    </row>
    <row r="74" spans="1:13" s="2" customFormat="1" x14ac:dyDescent="0.2">
      <c r="A74" s="56"/>
      <c r="B74" s="117"/>
      <c r="C74" s="23" t="s">
        <v>87</v>
      </c>
      <c r="D74" s="23" t="s">
        <v>15</v>
      </c>
      <c r="E74" s="95" t="s">
        <v>141</v>
      </c>
      <c r="F74" s="21">
        <f>5.2*36*12.56/1000</f>
        <v>2.3512320000000004</v>
      </c>
      <c r="G74" s="24"/>
      <c r="H74" s="24"/>
      <c r="I74" s="24"/>
      <c r="J74" s="24"/>
      <c r="K74" s="24"/>
      <c r="L74" s="24"/>
      <c r="M74" s="24"/>
    </row>
    <row r="75" spans="1:13" s="2" customFormat="1" x14ac:dyDescent="0.2">
      <c r="A75" s="56"/>
      <c r="B75" s="117"/>
      <c r="C75" s="23" t="s">
        <v>88</v>
      </c>
      <c r="D75" s="23" t="s">
        <v>15</v>
      </c>
      <c r="E75" s="95" t="s">
        <v>141</v>
      </c>
      <c r="F75" s="21">
        <f>(2.2*2+1*2)*2*7.54/1000</f>
        <v>9.6512000000000001E-2</v>
      </c>
      <c r="G75" s="24"/>
      <c r="H75" s="24"/>
      <c r="I75" s="24"/>
      <c r="J75" s="24"/>
      <c r="K75" s="24"/>
      <c r="L75" s="24"/>
      <c r="M75" s="24"/>
    </row>
    <row r="76" spans="1:13" s="2" customFormat="1" x14ac:dyDescent="0.2">
      <c r="A76" s="56"/>
      <c r="B76" s="117"/>
      <c r="C76" s="23" t="s">
        <v>156</v>
      </c>
      <c r="D76" s="23" t="s">
        <v>15</v>
      </c>
      <c r="E76" s="95" t="s">
        <v>141</v>
      </c>
      <c r="F76" s="21">
        <f>(3.11*2+1.4*2)*66*2.73/1000+(2.9*2+1.4*2)*30*2.73/1000</f>
        <v>2.3295635999999997</v>
      </c>
      <c r="G76" s="24"/>
      <c r="H76" s="24"/>
      <c r="I76" s="24"/>
      <c r="J76" s="24"/>
      <c r="K76" s="24"/>
      <c r="L76" s="24"/>
      <c r="M76" s="24"/>
    </row>
    <row r="77" spans="1:13" s="2" customFormat="1" x14ac:dyDescent="0.2">
      <c r="A77" s="56"/>
      <c r="B77" s="117"/>
      <c r="C77" s="23" t="s">
        <v>157</v>
      </c>
      <c r="D77" s="23" t="s">
        <v>15</v>
      </c>
      <c r="E77" s="95" t="s">
        <v>141</v>
      </c>
      <c r="F77" s="21">
        <f>0.15*0.15*0.005*7.85*36*1.01</f>
        <v>3.2110424999999998E-2</v>
      </c>
      <c r="G77" s="24"/>
      <c r="H77" s="24"/>
      <c r="I77" s="24"/>
      <c r="J77" s="24"/>
      <c r="K77" s="24"/>
      <c r="L77" s="24"/>
      <c r="M77" s="24"/>
    </row>
    <row r="78" spans="1:13" s="2" customFormat="1" x14ac:dyDescent="0.2">
      <c r="A78" s="56"/>
      <c r="B78" s="117"/>
      <c r="C78" s="23" t="s">
        <v>154</v>
      </c>
      <c r="D78" s="23" t="s">
        <v>15</v>
      </c>
      <c r="E78" s="95" t="s">
        <v>141</v>
      </c>
      <c r="F78" s="21">
        <f>3*2*3*34*0.05*0.004*7.85+0.05*0.05*0.004*4*3*36*7.85</f>
        <v>0.99475200000000008</v>
      </c>
      <c r="G78" s="119"/>
      <c r="H78" s="24"/>
      <c r="I78" s="24"/>
      <c r="J78" s="24"/>
      <c r="K78" s="24"/>
      <c r="L78" s="24"/>
      <c r="M78" s="24"/>
    </row>
    <row r="79" spans="1:13" s="2" customFormat="1" x14ac:dyDescent="0.2">
      <c r="A79" s="56"/>
      <c r="B79" s="117"/>
      <c r="C79" s="23" t="s">
        <v>89</v>
      </c>
      <c r="D79" s="23" t="s">
        <v>134</v>
      </c>
      <c r="E79" s="95" t="s">
        <v>141</v>
      </c>
      <c r="F79" s="21">
        <f>3.12*1.4*3*20+2.9*1.4*3*11</f>
        <v>396.05999999999995</v>
      </c>
      <c r="G79" s="24"/>
      <c r="H79" s="24"/>
      <c r="I79" s="24"/>
      <c r="J79" s="24"/>
      <c r="K79" s="24"/>
      <c r="L79" s="24"/>
      <c r="M79" s="24"/>
    </row>
    <row r="80" spans="1:13" s="10" customFormat="1" x14ac:dyDescent="0.2">
      <c r="A80" s="56"/>
      <c r="B80" s="117"/>
      <c r="C80" s="59" t="s">
        <v>90</v>
      </c>
      <c r="D80" s="59" t="s">
        <v>135</v>
      </c>
      <c r="E80" s="60">
        <v>24.4</v>
      </c>
      <c r="F80" s="21">
        <f>F71*E80</f>
        <v>117.34979980999999</v>
      </c>
      <c r="G80" s="24"/>
      <c r="H80" s="24"/>
      <c r="I80" s="24"/>
      <c r="J80" s="24"/>
      <c r="K80" s="24"/>
      <c r="L80" s="24"/>
      <c r="M80" s="24"/>
    </row>
    <row r="81" spans="1:13" s="10" customFormat="1" x14ac:dyDescent="0.2">
      <c r="A81" s="114"/>
      <c r="B81" s="120"/>
      <c r="C81" s="115" t="s">
        <v>82</v>
      </c>
      <c r="D81" s="115" t="s">
        <v>11</v>
      </c>
      <c r="E81" s="121">
        <v>2.78</v>
      </c>
      <c r="F81" s="122">
        <f>F71*E81</f>
        <v>13.3701821095</v>
      </c>
      <c r="G81" s="79"/>
      <c r="H81" s="79"/>
      <c r="I81" s="79"/>
      <c r="J81" s="79"/>
      <c r="K81" s="79"/>
      <c r="L81" s="79"/>
      <c r="M81" s="79"/>
    </row>
    <row r="82" spans="1:13" s="9" customFormat="1" ht="40.5" x14ac:dyDescent="0.2">
      <c r="A82" s="101">
        <v>13</v>
      </c>
      <c r="B82" s="123" t="s">
        <v>27</v>
      </c>
      <c r="C82" s="83" t="s">
        <v>12</v>
      </c>
      <c r="D82" s="83" t="s">
        <v>134</v>
      </c>
      <c r="E82" s="33"/>
      <c r="F82" s="30">
        <f>(31.2*2+16.2*2)*4.7</f>
        <v>445.56</v>
      </c>
      <c r="G82" s="34"/>
      <c r="H82" s="35"/>
      <c r="I82" s="34"/>
      <c r="J82" s="35"/>
      <c r="K82" s="34"/>
      <c r="L82" s="35"/>
      <c r="M82" s="103"/>
    </row>
    <row r="83" spans="1:13" s="9" customFormat="1" x14ac:dyDescent="0.2">
      <c r="A83" s="92"/>
      <c r="B83" s="124"/>
      <c r="C83" s="90" t="s">
        <v>91</v>
      </c>
      <c r="D83" s="90" t="s">
        <v>131</v>
      </c>
      <c r="E83" s="36">
        <f>68/100</f>
        <v>0.68</v>
      </c>
      <c r="F83" s="37">
        <f>F82*E83</f>
        <v>302.98080000000004</v>
      </c>
      <c r="G83" s="38"/>
      <c r="H83" s="39"/>
      <c r="I83" s="38"/>
      <c r="J83" s="40"/>
      <c r="K83" s="38"/>
      <c r="L83" s="41"/>
      <c r="M83" s="24"/>
    </row>
    <row r="84" spans="1:13" s="9" customFormat="1" x14ac:dyDescent="0.2">
      <c r="A84" s="92"/>
      <c r="B84" s="90"/>
      <c r="C84" s="90" t="s">
        <v>64</v>
      </c>
      <c r="D84" s="90" t="s">
        <v>11</v>
      </c>
      <c r="E84" s="36">
        <f>0.03/100</f>
        <v>2.9999999999999997E-4</v>
      </c>
      <c r="F84" s="37">
        <f>F82*E84</f>
        <v>0.13366799999999998</v>
      </c>
      <c r="G84" s="38"/>
      <c r="H84" s="39"/>
      <c r="I84" s="38"/>
      <c r="J84" s="40"/>
      <c r="K84" s="38"/>
      <c r="L84" s="41"/>
      <c r="M84" s="24"/>
    </row>
    <row r="85" spans="1:13" s="9" customFormat="1" x14ac:dyDescent="0.2">
      <c r="A85" s="92"/>
      <c r="B85" s="90"/>
      <c r="C85" s="90" t="s">
        <v>92</v>
      </c>
      <c r="D85" s="90" t="s">
        <v>135</v>
      </c>
      <c r="E85" s="36">
        <f>24.4/100</f>
        <v>0.24399999999999999</v>
      </c>
      <c r="F85" s="37">
        <f>F82*E85</f>
        <v>108.71664</v>
      </c>
      <c r="G85" s="38"/>
      <c r="H85" s="39"/>
      <c r="I85" s="38"/>
      <c r="J85" s="40"/>
      <c r="K85" s="38"/>
      <c r="L85" s="41"/>
      <c r="M85" s="24"/>
    </row>
    <row r="86" spans="1:13" s="9" customFormat="1" x14ac:dyDescent="0.2">
      <c r="A86" s="92"/>
      <c r="B86" s="90"/>
      <c r="C86" s="90" t="s">
        <v>93</v>
      </c>
      <c r="D86" s="90" t="s">
        <v>135</v>
      </c>
      <c r="E86" s="36">
        <f>2.7/100</f>
        <v>2.7000000000000003E-2</v>
      </c>
      <c r="F86" s="37">
        <f>F82*E86</f>
        <v>12.030120000000002</v>
      </c>
      <c r="G86" s="38"/>
      <c r="H86" s="39"/>
      <c r="I86" s="38"/>
      <c r="J86" s="40"/>
      <c r="K86" s="38"/>
      <c r="L86" s="41"/>
      <c r="M86" s="24"/>
    </row>
    <row r="87" spans="1:13" s="9" customFormat="1" x14ac:dyDescent="0.2">
      <c r="A87" s="71"/>
      <c r="B87" s="96"/>
      <c r="C87" s="96" t="s">
        <v>70</v>
      </c>
      <c r="D87" s="96" t="s">
        <v>11</v>
      </c>
      <c r="E87" s="74">
        <f>0.19/100</f>
        <v>1.9E-3</v>
      </c>
      <c r="F87" s="97">
        <f>F82*E87</f>
        <v>0.84656399999999998</v>
      </c>
      <c r="G87" s="76"/>
      <c r="H87" s="77"/>
      <c r="I87" s="76"/>
      <c r="J87" s="100"/>
      <c r="K87" s="76"/>
      <c r="L87" s="78"/>
      <c r="M87" s="79"/>
    </row>
    <row r="88" spans="1:13" s="10" customFormat="1" ht="27" x14ac:dyDescent="0.2">
      <c r="A88" s="107">
        <v>14</v>
      </c>
      <c r="B88" s="57"/>
      <c r="C88" s="108" t="s">
        <v>3</v>
      </c>
      <c r="D88" s="109" t="s">
        <v>2</v>
      </c>
      <c r="E88" s="110"/>
      <c r="F88" s="30">
        <v>2</v>
      </c>
      <c r="G88" s="111"/>
      <c r="H88" s="111"/>
      <c r="I88" s="111"/>
      <c r="J88" s="111"/>
      <c r="K88" s="111"/>
      <c r="L88" s="111"/>
      <c r="M88" s="111"/>
    </row>
    <row r="89" spans="1:13" s="9" customFormat="1" x14ac:dyDescent="0.2">
      <c r="A89" s="92"/>
      <c r="B89" s="90"/>
      <c r="C89" s="90" t="s">
        <v>47</v>
      </c>
      <c r="D89" s="90" t="s">
        <v>2</v>
      </c>
      <c r="E89" s="36">
        <v>1</v>
      </c>
      <c r="F89" s="37">
        <f>F88*E89</f>
        <v>2</v>
      </c>
      <c r="G89" s="38"/>
      <c r="H89" s="39"/>
      <c r="I89" s="38"/>
      <c r="J89" s="40"/>
      <c r="K89" s="38"/>
      <c r="L89" s="41"/>
      <c r="M89" s="24"/>
    </row>
    <row r="90" spans="1:13" s="9" customFormat="1" x14ac:dyDescent="0.2">
      <c r="A90" s="92"/>
      <c r="B90" s="90"/>
      <c r="C90" s="90" t="s">
        <v>14</v>
      </c>
      <c r="D90" s="90" t="s">
        <v>15</v>
      </c>
      <c r="E90" s="36" t="s">
        <v>141</v>
      </c>
      <c r="F90" s="37">
        <v>0.1</v>
      </c>
      <c r="G90" s="38"/>
      <c r="H90" s="39"/>
      <c r="I90" s="38"/>
      <c r="J90" s="40"/>
      <c r="K90" s="38"/>
      <c r="L90" s="41"/>
      <c r="M90" s="24"/>
    </row>
    <row r="91" spans="1:13" s="9" customFormat="1" x14ac:dyDescent="0.2">
      <c r="A91" s="92"/>
      <c r="B91" s="90"/>
      <c r="C91" s="90" t="s">
        <v>20</v>
      </c>
      <c r="D91" s="90" t="s">
        <v>2</v>
      </c>
      <c r="E91" s="36">
        <v>1</v>
      </c>
      <c r="F91" s="37">
        <f>E91*F88</f>
        <v>2</v>
      </c>
      <c r="G91" s="38"/>
      <c r="H91" s="39"/>
      <c r="I91" s="38"/>
      <c r="J91" s="40"/>
      <c r="K91" s="38"/>
      <c r="L91" s="41"/>
      <c r="M91" s="24"/>
    </row>
    <row r="92" spans="1:13" s="9" customFormat="1" x14ac:dyDescent="0.2">
      <c r="A92" s="92"/>
      <c r="B92" s="90"/>
      <c r="C92" s="90" t="s">
        <v>18</v>
      </c>
      <c r="D92" s="90" t="s">
        <v>2</v>
      </c>
      <c r="E92" s="36">
        <v>1</v>
      </c>
      <c r="F92" s="37">
        <f>F88*E92</f>
        <v>2</v>
      </c>
      <c r="G92" s="38"/>
      <c r="H92" s="39"/>
      <c r="I92" s="38"/>
      <c r="J92" s="40"/>
      <c r="K92" s="38"/>
      <c r="L92" s="41"/>
      <c r="M92" s="24"/>
    </row>
    <row r="93" spans="1:13" s="9" customFormat="1" x14ac:dyDescent="0.2">
      <c r="A93" s="92"/>
      <c r="B93" s="90"/>
      <c r="C93" s="90" t="s">
        <v>17</v>
      </c>
      <c r="D93" s="90" t="s">
        <v>2</v>
      </c>
      <c r="E93" s="36">
        <v>1</v>
      </c>
      <c r="F93" s="37">
        <f>E93*F88</f>
        <v>2</v>
      </c>
      <c r="G93" s="38"/>
      <c r="H93" s="39"/>
      <c r="I93" s="38"/>
      <c r="J93" s="40"/>
      <c r="K93" s="38"/>
      <c r="L93" s="41"/>
      <c r="M93" s="24"/>
    </row>
    <row r="94" spans="1:13" s="9" customFormat="1" x14ac:dyDescent="0.2">
      <c r="A94" s="92"/>
      <c r="B94" s="90"/>
      <c r="C94" s="90" t="s">
        <v>92</v>
      </c>
      <c r="D94" s="90" t="s">
        <v>135</v>
      </c>
      <c r="E94" s="36">
        <v>4.25</v>
      </c>
      <c r="F94" s="37">
        <f>E94*F90</f>
        <v>0.42500000000000004</v>
      </c>
      <c r="G94" s="38"/>
      <c r="H94" s="39"/>
      <c r="I94" s="38"/>
      <c r="J94" s="40"/>
      <c r="K94" s="38"/>
      <c r="L94" s="41"/>
      <c r="M94" s="24"/>
    </row>
    <row r="95" spans="1:13" s="9" customFormat="1" x14ac:dyDescent="0.2">
      <c r="A95" s="71"/>
      <c r="B95" s="96"/>
      <c r="C95" s="96" t="s">
        <v>82</v>
      </c>
      <c r="D95" s="96" t="s">
        <v>11</v>
      </c>
      <c r="E95" s="74">
        <v>1</v>
      </c>
      <c r="F95" s="97">
        <f>F88*E95</f>
        <v>2</v>
      </c>
      <c r="G95" s="76"/>
      <c r="H95" s="77"/>
      <c r="I95" s="76"/>
      <c r="J95" s="100"/>
      <c r="K95" s="76"/>
      <c r="L95" s="78"/>
      <c r="M95" s="79"/>
    </row>
    <row r="96" spans="1:13" s="10" customFormat="1" x14ac:dyDescent="0.2">
      <c r="A96" s="107">
        <v>15</v>
      </c>
      <c r="B96" s="57"/>
      <c r="C96" s="108" t="s">
        <v>21</v>
      </c>
      <c r="D96" s="109" t="s">
        <v>2</v>
      </c>
      <c r="E96" s="110"/>
      <c r="F96" s="30">
        <v>2</v>
      </c>
      <c r="G96" s="111"/>
      <c r="H96" s="111"/>
      <c r="I96" s="111"/>
      <c r="J96" s="111"/>
      <c r="K96" s="111"/>
      <c r="L96" s="111"/>
      <c r="M96" s="111"/>
    </row>
    <row r="97" spans="1:13" s="9" customFormat="1" x14ac:dyDescent="0.2">
      <c r="A97" s="92"/>
      <c r="B97" s="90"/>
      <c r="C97" s="90" t="s">
        <v>47</v>
      </c>
      <c r="D97" s="90" t="s">
        <v>2</v>
      </c>
      <c r="E97" s="36">
        <v>1</v>
      </c>
      <c r="F97" s="37">
        <f>F96*E97</f>
        <v>2</v>
      </c>
      <c r="G97" s="38"/>
      <c r="H97" s="39"/>
      <c r="I97" s="38"/>
      <c r="J97" s="40"/>
      <c r="K97" s="38"/>
      <c r="L97" s="41"/>
      <c r="M97" s="24"/>
    </row>
    <row r="98" spans="1:13" s="9" customFormat="1" x14ac:dyDescent="0.2">
      <c r="A98" s="92"/>
      <c r="B98" s="90"/>
      <c r="C98" s="90" t="s">
        <v>14</v>
      </c>
      <c r="D98" s="90" t="s">
        <v>15</v>
      </c>
      <c r="E98" s="36" t="s">
        <v>141</v>
      </c>
      <c r="F98" s="37">
        <v>5.5E-2</v>
      </c>
      <c r="G98" s="38"/>
      <c r="H98" s="39"/>
      <c r="I98" s="38"/>
      <c r="J98" s="40"/>
      <c r="K98" s="38"/>
      <c r="L98" s="41"/>
      <c r="M98" s="24"/>
    </row>
    <row r="99" spans="1:13" s="9" customFormat="1" x14ac:dyDescent="0.2">
      <c r="A99" s="92"/>
      <c r="B99" s="90"/>
      <c r="C99" s="90" t="s">
        <v>92</v>
      </c>
      <c r="D99" s="90" t="s">
        <v>135</v>
      </c>
      <c r="E99" s="36">
        <v>4.25</v>
      </c>
      <c r="F99" s="37">
        <f>E99*F98</f>
        <v>0.23375000000000001</v>
      </c>
      <c r="G99" s="38"/>
      <c r="H99" s="39"/>
      <c r="I99" s="38"/>
      <c r="J99" s="40"/>
      <c r="K99" s="38"/>
      <c r="L99" s="41"/>
      <c r="M99" s="24"/>
    </row>
    <row r="100" spans="1:13" s="9" customFormat="1" x14ac:dyDescent="0.2">
      <c r="A100" s="92"/>
      <c r="B100" s="90"/>
      <c r="C100" s="90" t="s">
        <v>94</v>
      </c>
      <c r="D100" s="90" t="s">
        <v>2</v>
      </c>
      <c r="E100" s="36">
        <v>1</v>
      </c>
      <c r="F100" s="37">
        <f>E100*F95</f>
        <v>2</v>
      </c>
      <c r="G100" s="38"/>
      <c r="H100" s="39"/>
      <c r="I100" s="38"/>
      <c r="J100" s="40"/>
      <c r="K100" s="38"/>
      <c r="L100" s="41"/>
      <c r="M100" s="24"/>
    </row>
    <row r="101" spans="1:13" s="9" customFormat="1" x14ac:dyDescent="0.2">
      <c r="A101" s="92"/>
      <c r="B101" s="90"/>
      <c r="C101" s="90" t="s">
        <v>82</v>
      </c>
      <c r="D101" s="90" t="s">
        <v>11</v>
      </c>
      <c r="E101" s="36">
        <v>1</v>
      </c>
      <c r="F101" s="37">
        <f>F96*E101</f>
        <v>2</v>
      </c>
      <c r="G101" s="38"/>
      <c r="H101" s="39"/>
      <c r="I101" s="38"/>
      <c r="J101" s="40"/>
      <c r="K101" s="38"/>
      <c r="L101" s="41"/>
      <c r="M101" s="24"/>
    </row>
    <row r="102" spans="1:13" s="10" customFormat="1" ht="27" x14ac:dyDescent="0.2">
      <c r="A102" s="107">
        <v>16</v>
      </c>
      <c r="B102" s="57" t="s">
        <v>152</v>
      </c>
      <c r="C102" s="108" t="s">
        <v>95</v>
      </c>
      <c r="D102" s="109" t="s">
        <v>15</v>
      </c>
      <c r="E102" s="110"/>
      <c r="F102" s="30">
        <v>3.5</v>
      </c>
      <c r="G102" s="111"/>
      <c r="H102" s="111"/>
      <c r="I102" s="111"/>
      <c r="J102" s="111"/>
      <c r="K102" s="111"/>
      <c r="L102" s="111"/>
      <c r="M102" s="111"/>
    </row>
    <row r="103" spans="1:13" s="2" customFormat="1" x14ac:dyDescent="0.2">
      <c r="A103" s="114"/>
      <c r="B103" s="115"/>
      <c r="C103" s="25" t="s">
        <v>96</v>
      </c>
      <c r="D103" s="25" t="s">
        <v>131</v>
      </c>
      <c r="E103" s="125">
        <v>0.53</v>
      </c>
      <c r="F103" s="122">
        <f>F102*E103</f>
        <v>1.855</v>
      </c>
      <c r="G103" s="79"/>
      <c r="H103" s="79"/>
      <c r="I103" s="79"/>
      <c r="J103" s="79"/>
      <c r="K103" s="79"/>
      <c r="L103" s="79"/>
      <c r="M103" s="79"/>
    </row>
    <row r="104" spans="1:13" s="2" customFormat="1" x14ac:dyDescent="0.2">
      <c r="A104" s="126">
        <v>17</v>
      </c>
      <c r="B104" s="127"/>
      <c r="C104" s="26" t="s">
        <v>97</v>
      </c>
      <c r="D104" s="26" t="s">
        <v>15</v>
      </c>
      <c r="E104" s="22"/>
      <c r="F104" s="22">
        <f>F102</f>
        <v>3.5</v>
      </c>
      <c r="G104" s="27"/>
      <c r="H104" s="27"/>
      <c r="I104" s="27"/>
      <c r="J104" s="27"/>
      <c r="K104" s="27"/>
      <c r="L104" s="27"/>
      <c r="M104" s="27"/>
    </row>
    <row r="105" spans="1:13" s="11" customFormat="1" x14ac:dyDescent="0.2">
      <c r="A105" s="128"/>
      <c r="B105" s="129"/>
      <c r="C105" s="130" t="s">
        <v>98</v>
      </c>
      <c r="D105" s="131"/>
      <c r="E105" s="22"/>
      <c r="F105" s="22"/>
      <c r="G105" s="132"/>
      <c r="H105" s="133"/>
      <c r="I105" s="133"/>
      <c r="J105" s="133"/>
      <c r="K105" s="133"/>
      <c r="L105" s="133"/>
      <c r="M105" s="133"/>
    </row>
    <row r="106" spans="1:13" s="2" customFormat="1" x14ac:dyDescent="0.2">
      <c r="A106" s="128"/>
      <c r="B106" s="131"/>
      <c r="C106" s="131" t="s">
        <v>129</v>
      </c>
      <c r="D106" s="134" t="s">
        <v>169</v>
      </c>
      <c r="E106" s="135"/>
      <c r="F106" s="22"/>
      <c r="G106" s="132"/>
      <c r="H106" s="132"/>
      <c r="I106" s="132"/>
      <c r="J106" s="132"/>
      <c r="K106" s="132"/>
      <c r="L106" s="132"/>
      <c r="M106" s="133"/>
    </row>
    <row r="107" spans="1:13" s="11" customFormat="1" x14ac:dyDescent="0.2">
      <c r="A107" s="128"/>
      <c r="B107" s="129"/>
      <c r="C107" s="130" t="s">
        <v>98</v>
      </c>
      <c r="D107" s="136"/>
      <c r="E107" s="22"/>
      <c r="F107" s="22"/>
      <c r="G107" s="132"/>
      <c r="H107" s="133"/>
      <c r="I107" s="133"/>
      <c r="J107" s="133"/>
      <c r="K107" s="133"/>
      <c r="L107" s="133"/>
      <c r="M107" s="133"/>
    </row>
    <row r="108" spans="1:13" s="11" customFormat="1" x14ac:dyDescent="0.2">
      <c r="A108" s="137"/>
      <c r="B108" s="138"/>
      <c r="C108" s="131" t="s">
        <v>99</v>
      </c>
      <c r="D108" s="134" t="s">
        <v>169</v>
      </c>
      <c r="E108" s="139"/>
      <c r="F108" s="135"/>
      <c r="G108" s="27"/>
      <c r="H108" s="133"/>
      <c r="I108" s="133"/>
      <c r="J108" s="133"/>
      <c r="K108" s="133"/>
      <c r="L108" s="133"/>
      <c r="M108" s="133"/>
    </row>
    <row r="109" spans="1:13" s="11" customFormat="1" x14ac:dyDescent="0.2">
      <c r="A109" s="137"/>
      <c r="B109" s="138"/>
      <c r="C109" s="130" t="s">
        <v>100</v>
      </c>
      <c r="D109" s="136"/>
      <c r="E109" s="140"/>
      <c r="F109" s="141"/>
      <c r="G109" s="142"/>
      <c r="H109" s="133"/>
      <c r="I109" s="133"/>
      <c r="J109" s="133"/>
      <c r="K109" s="133"/>
      <c r="L109" s="133"/>
      <c r="M109" s="133"/>
    </row>
    <row r="110" spans="1:13" s="12" customFormat="1" x14ac:dyDescent="0.2">
      <c r="A110" s="137"/>
      <c r="B110" s="138"/>
      <c r="C110" s="131" t="s">
        <v>163</v>
      </c>
      <c r="D110" s="134" t="s">
        <v>169</v>
      </c>
      <c r="E110" s="140"/>
      <c r="F110" s="141"/>
      <c r="G110" s="142"/>
      <c r="H110" s="133"/>
      <c r="I110" s="133"/>
      <c r="J110" s="133"/>
      <c r="K110" s="133"/>
      <c r="L110" s="133"/>
      <c r="M110" s="133"/>
    </row>
    <row r="111" spans="1:13" s="11" customFormat="1" x14ac:dyDescent="0.2">
      <c r="A111" s="137"/>
      <c r="B111" s="138"/>
      <c r="C111" s="130" t="s">
        <v>101</v>
      </c>
      <c r="D111" s="131"/>
      <c r="E111" s="143"/>
      <c r="F111" s="143"/>
      <c r="G111" s="144"/>
      <c r="H111" s="133"/>
      <c r="I111" s="133"/>
      <c r="J111" s="133"/>
      <c r="K111" s="133"/>
      <c r="L111" s="133"/>
      <c r="M111" s="133"/>
    </row>
    <row r="112" spans="1:13" s="9" customFormat="1" ht="21" x14ac:dyDescent="0.2">
      <c r="A112" s="92"/>
      <c r="B112" s="94"/>
      <c r="C112" s="145" t="s">
        <v>102</v>
      </c>
      <c r="D112" s="145"/>
      <c r="E112" s="74"/>
      <c r="F112" s="97"/>
      <c r="G112" s="100"/>
      <c r="H112" s="70"/>
      <c r="I112" s="100"/>
      <c r="J112" s="78"/>
      <c r="K112" s="76"/>
      <c r="L112" s="78"/>
      <c r="M112" s="146"/>
    </row>
    <row r="113" spans="1:13" s="9" customFormat="1" ht="15.75" x14ac:dyDescent="0.2">
      <c r="A113" s="92"/>
      <c r="B113" s="94"/>
      <c r="C113" s="147" t="s">
        <v>103</v>
      </c>
      <c r="D113" s="147"/>
      <c r="E113" s="36"/>
      <c r="F113" s="148"/>
      <c r="G113" s="40"/>
      <c r="H113" s="65"/>
      <c r="I113" s="40"/>
      <c r="J113" s="41"/>
      <c r="K113" s="38"/>
      <c r="L113" s="41"/>
      <c r="M113" s="149"/>
    </row>
    <row r="114" spans="1:13" s="13" customFormat="1" x14ac:dyDescent="0.2">
      <c r="A114" s="81">
        <v>1</v>
      </c>
      <c r="B114" s="150" t="s">
        <v>28</v>
      </c>
      <c r="C114" s="83" t="s">
        <v>104</v>
      </c>
      <c r="D114" s="83" t="s">
        <v>133</v>
      </c>
      <c r="E114" s="151"/>
      <c r="F114" s="152">
        <f>90*0.3*0.7</f>
        <v>18.899999999999999</v>
      </c>
      <c r="G114" s="153"/>
      <c r="H114" s="153"/>
      <c r="I114" s="153"/>
      <c r="J114" s="153"/>
      <c r="K114" s="153"/>
      <c r="L114" s="153"/>
      <c r="M114" s="153"/>
    </row>
    <row r="115" spans="1:13" s="14" customFormat="1" x14ac:dyDescent="0.2">
      <c r="A115" s="66"/>
      <c r="B115" s="154"/>
      <c r="C115" s="68" t="s">
        <v>105</v>
      </c>
      <c r="D115" s="68" t="s">
        <v>131</v>
      </c>
      <c r="E115" s="31">
        <v>1.54</v>
      </c>
      <c r="F115" s="31">
        <f>F114*E115</f>
        <v>29.105999999999998</v>
      </c>
      <c r="G115" s="32"/>
      <c r="H115" s="155"/>
      <c r="I115" s="32"/>
      <c r="J115" s="32"/>
      <c r="K115" s="32"/>
      <c r="L115" s="32"/>
      <c r="M115" s="32"/>
    </row>
    <row r="116" spans="1:13" s="13" customFormat="1" x14ac:dyDescent="0.2">
      <c r="A116" s="81">
        <v>2</v>
      </c>
      <c r="B116" s="150" t="s">
        <v>29</v>
      </c>
      <c r="C116" s="83" t="s">
        <v>106</v>
      </c>
      <c r="D116" s="83" t="s">
        <v>133</v>
      </c>
      <c r="E116" s="151"/>
      <c r="F116" s="153">
        <f>F114</f>
        <v>18.899999999999999</v>
      </c>
      <c r="G116" s="153"/>
      <c r="H116" s="153"/>
      <c r="I116" s="153"/>
      <c r="J116" s="153"/>
      <c r="K116" s="153"/>
      <c r="L116" s="153"/>
      <c r="M116" s="153"/>
    </row>
    <row r="117" spans="1:13" s="14" customFormat="1" x14ac:dyDescent="0.2">
      <c r="A117" s="66"/>
      <c r="B117" s="154"/>
      <c r="C117" s="68" t="s">
        <v>47</v>
      </c>
      <c r="D117" s="68" t="s">
        <v>131</v>
      </c>
      <c r="E117" s="31">
        <v>0.99299999999999999</v>
      </c>
      <c r="F117" s="31">
        <f>F116*E117</f>
        <v>18.767699999999998</v>
      </c>
      <c r="G117" s="32"/>
      <c r="H117" s="155"/>
      <c r="I117" s="32"/>
      <c r="J117" s="32"/>
      <c r="K117" s="32"/>
      <c r="L117" s="32"/>
      <c r="M117" s="32"/>
    </row>
    <row r="118" spans="1:13" s="15" customFormat="1" ht="27" x14ac:dyDescent="0.2">
      <c r="A118" s="62">
        <v>3</v>
      </c>
      <c r="B118" s="86" t="s">
        <v>30</v>
      </c>
      <c r="C118" s="86" t="s">
        <v>166</v>
      </c>
      <c r="D118" s="86" t="s">
        <v>133</v>
      </c>
      <c r="E118" s="156"/>
      <c r="F118" s="157">
        <v>1</v>
      </c>
      <c r="G118" s="157"/>
      <c r="H118" s="157"/>
      <c r="I118" s="157"/>
      <c r="J118" s="157"/>
      <c r="K118" s="157"/>
      <c r="L118" s="157"/>
      <c r="M118" s="157"/>
    </row>
    <row r="119" spans="1:13" s="16" customFormat="1" x14ac:dyDescent="0.2">
      <c r="A119" s="62"/>
      <c r="B119" s="63"/>
      <c r="C119" s="23" t="s">
        <v>47</v>
      </c>
      <c r="D119" s="23" t="s">
        <v>131</v>
      </c>
      <c r="E119" s="29">
        <v>1.96</v>
      </c>
      <c r="F119" s="29">
        <f>F118*E119</f>
        <v>1.96</v>
      </c>
      <c r="G119" s="28"/>
      <c r="H119" s="28"/>
      <c r="I119" s="28"/>
      <c r="J119" s="28"/>
      <c r="K119" s="28"/>
      <c r="L119" s="28"/>
      <c r="M119" s="28"/>
    </row>
    <row r="120" spans="1:13" s="16" customFormat="1" x14ac:dyDescent="0.2">
      <c r="A120" s="66"/>
      <c r="B120" s="67"/>
      <c r="C120" s="68" t="s">
        <v>107</v>
      </c>
      <c r="D120" s="68" t="s">
        <v>133</v>
      </c>
      <c r="E120" s="31">
        <v>1.0149999999999999</v>
      </c>
      <c r="F120" s="31">
        <f>F118*E120</f>
        <v>1.0149999999999999</v>
      </c>
      <c r="G120" s="32"/>
      <c r="H120" s="32"/>
      <c r="I120" s="32"/>
      <c r="J120" s="32"/>
      <c r="K120" s="32"/>
      <c r="L120" s="32"/>
      <c r="M120" s="32"/>
    </row>
    <row r="121" spans="1:13" s="17" customFormat="1" ht="54" x14ac:dyDescent="0.2">
      <c r="A121" s="81">
        <v>4</v>
      </c>
      <c r="B121" s="83" t="s">
        <v>31</v>
      </c>
      <c r="C121" s="83" t="s">
        <v>108</v>
      </c>
      <c r="D121" s="83" t="s">
        <v>136</v>
      </c>
      <c r="E121" s="158"/>
      <c r="F121" s="153">
        <v>4</v>
      </c>
      <c r="G121" s="153"/>
      <c r="H121" s="153"/>
      <c r="I121" s="153"/>
      <c r="J121" s="153"/>
      <c r="K121" s="153"/>
      <c r="L121" s="153"/>
      <c r="M121" s="153"/>
    </row>
    <row r="122" spans="1:13" s="18" customFormat="1" x14ac:dyDescent="0.2">
      <c r="A122" s="62"/>
      <c r="B122" s="90"/>
      <c r="C122" s="23" t="s">
        <v>47</v>
      </c>
      <c r="D122" s="23" t="s">
        <v>131</v>
      </c>
      <c r="E122" s="159">
        <v>2.52</v>
      </c>
      <c r="F122" s="29">
        <f>F121*E122</f>
        <v>10.08</v>
      </c>
      <c r="G122" s="28"/>
      <c r="H122" s="28"/>
      <c r="I122" s="28"/>
      <c r="J122" s="28"/>
      <c r="K122" s="28"/>
      <c r="L122" s="28"/>
      <c r="M122" s="28"/>
    </row>
    <row r="123" spans="1:13" s="16" customFormat="1" x14ac:dyDescent="0.2">
      <c r="A123" s="160"/>
      <c r="B123" s="63"/>
      <c r="C123" s="23" t="s">
        <v>109</v>
      </c>
      <c r="D123" s="23" t="s">
        <v>132</v>
      </c>
      <c r="E123" s="29">
        <v>1.2</v>
      </c>
      <c r="F123" s="29">
        <f>F121*E123</f>
        <v>4.8</v>
      </c>
      <c r="G123" s="28"/>
      <c r="H123" s="28"/>
      <c r="I123" s="28"/>
      <c r="J123" s="28"/>
      <c r="K123" s="28"/>
      <c r="L123" s="28"/>
      <c r="M123" s="28"/>
    </row>
    <row r="124" spans="1:13" s="16" customFormat="1" x14ac:dyDescent="0.2">
      <c r="A124" s="160"/>
      <c r="B124" s="63"/>
      <c r="C124" s="23" t="s">
        <v>110</v>
      </c>
      <c r="D124" s="23" t="s">
        <v>132</v>
      </c>
      <c r="E124" s="29">
        <v>1.25</v>
      </c>
      <c r="F124" s="29">
        <f>F121*E124</f>
        <v>5</v>
      </c>
      <c r="G124" s="28"/>
      <c r="H124" s="28"/>
      <c r="I124" s="28"/>
      <c r="J124" s="28"/>
      <c r="K124" s="28"/>
      <c r="L124" s="28"/>
      <c r="M124" s="28"/>
    </row>
    <row r="125" spans="1:13" s="16" customFormat="1" x14ac:dyDescent="0.2">
      <c r="A125" s="161"/>
      <c r="B125" s="67"/>
      <c r="C125" s="68" t="s">
        <v>111</v>
      </c>
      <c r="D125" s="68" t="s">
        <v>136</v>
      </c>
      <c r="E125" s="31">
        <v>1</v>
      </c>
      <c r="F125" s="31">
        <f>F121*E125</f>
        <v>4</v>
      </c>
      <c r="G125" s="32"/>
      <c r="H125" s="32"/>
      <c r="I125" s="32"/>
      <c r="J125" s="32"/>
      <c r="K125" s="32"/>
      <c r="L125" s="32"/>
      <c r="M125" s="32"/>
    </row>
    <row r="126" spans="1:13" s="15" customFormat="1" ht="27" x14ac:dyDescent="0.2">
      <c r="A126" s="81">
        <v>5</v>
      </c>
      <c r="B126" s="83" t="s">
        <v>34</v>
      </c>
      <c r="C126" s="83" t="s">
        <v>150</v>
      </c>
      <c r="D126" s="83" t="s">
        <v>138</v>
      </c>
      <c r="E126" s="151"/>
      <c r="F126" s="153">
        <v>90</v>
      </c>
      <c r="G126" s="153"/>
      <c r="H126" s="153"/>
      <c r="I126" s="153"/>
      <c r="J126" s="153"/>
      <c r="K126" s="153"/>
      <c r="L126" s="153"/>
      <c r="M126" s="153"/>
    </row>
    <row r="127" spans="1:13" s="16" customFormat="1" x14ac:dyDescent="0.2">
      <c r="A127" s="62"/>
      <c r="B127" s="162"/>
      <c r="C127" s="23" t="s">
        <v>10</v>
      </c>
      <c r="D127" s="23" t="s">
        <v>131</v>
      </c>
      <c r="E127" s="29">
        <v>0.13900000000000001</v>
      </c>
      <c r="F127" s="29">
        <f>F126*E127</f>
        <v>12.510000000000002</v>
      </c>
      <c r="G127" s="28"/>
      <c r="H127" s="28"/>
      <c r="I127" s="28"/>
      <c r="J127" s="28"/>
      <c r="K127" s="28"/>
      <c r="L127" s="28"/>
      <c r="M127" s="28"/>
    </row>
    <row r="128" spans="1:13" s="16" customFormat="1" x14ac:dyDescent="0.2">
      <c r="A128" s="62"/>
      <c r="B128" s="162"/>
      <c r="C128" s="23" t="s">
        <v>112</v>
      </c>
      <c r="D128" s="23" t="s">
        <v>138</v>
      </c>
      <c r="E128" s="29">
        <v>1</v>
      </c>
      <c r="F128" s="29">
        <f>F126*E128</f>
        <v>90</v>
      </c>
      <c r="G128" s="28"/>
      <c r="H128" s="28"/>
      <c r="I128" s="28"/>
      <c r="J128" s="28"/>
      <c r="K128" s="28"/>
      <c r="L128" s="28"/>
      <c r="M128" s="28"/>
    </row>
    <row r="129" spans="1:13" s="16" customFormat="1" x14ac:dyDescent="0.2">
      <c r="A129" s="62"/>
      <c r="B129" s="162"/>
      <c r="C129" s="23" t="s">
        <v>82</v>
      </c>
      <c r="D129" s="23" t="s">
        <v>11</v>
      </c>
      <c r="E129" s="29">
        <v>3.6499999999999998E-2</v>
      </c>
      <c r="F129" s="29">
        <f>F126*E129</f>
        <v>3.2849999999999997</v>
      </c>
      <c r="G129" s="28"/>
      <c r="H129" s="28"/>
      <c r="I129" s="28"/>
      <c r="J129" s="28"/>
      <c r="K129" s="28"/>
      <c r="L129" s="28"/>
      <c r="M129" s="28"/>
    </row>
    <row r="130" spans="1:13" s="11" customFormat="1" x14ac:dyDescent="0.2">
      <c r="A130" s="128"/>
      <c r="B130" s="129"/>
      <c r="C130" s="130" t="s">
        <v>98</v>
      </c>
      <c r="D130" s="131"/>
      <c r="E130" s="22"/>
      <c r="F130" s="22"/>
      <c r="G130" s="132"/>
      <c r="H130" s="133"/>
      <c r="I130" s="133"/>
      <c r="J130" s="133"/>
      <c r="K130" s="133"/>
      <c r="L130" s="133"/>
      <c r="M130" s="133"/>
    </row>
    <row r="131" spans="1:13" s="2" customFormat="1" x14ac:dyDescent="0.2">
      <c r="A131" s="128"/>
      <c r="B131" s="131"/>
      <c r="C131" s="131" t="s">
        <v>129</v>
      </c>
      <c r="D131" s="134" t="s">
        <v>169</v>
      </c>
      <c r="E131" s="135"/>
      <c r="F131" s="22"/>
      <c r="G131" s="132"/>
      <c r="H131" s="132"/>
      <c r="I131" s="132"/>
      <c r="J131" s="132"/>
      <c r="K131" s="132"/>
      <c r="L131" s="132"/>
      <c r="M131" s="133"/>
    </row>
    <row r="132" spans="1:13" s="11" customFormat="1" x14ac:dyDescent="0.2">
      <c r="A132" s="128"/>
      <c r="B132" s="129"/>
      <c r="C132" s="130" t="s">
        <v>98</v>
      </c>
      <c r="D132" s="136"/>
      <c r="E132" s="22"/>
      <c r="F132" s="22"/>
      <c r="G132" s="132"/>
      <c r="H132" s="133"/>
      <c r="I132" s="133"/>
      <c r="J132" s="133"/>
      <c r="K132" s="133"/>
      <c r="L132" s="133"/>
      <c r="M132" s="133"/>
    </row>
    <row r="133" spans="1:13" s="11" customFormat="1" x14ac:dyDescent="0.2">
      <c r="A133" s="137"/>
      <c r="B133" s="138"/>
      <c r="C133" s="131" t="s">
        <v>99</v>
      </c>
      <c r="D133" s="134" t="s">
        <v>169</v>
      </c>
      <c r="E133" s="139"/>
      <c r="F133" s="135"/>
      <c r="G133" s="27"/>
      <c r="H133" s="133"/>
      <c r="I133" s="133"/>
      <c r="J133" s="133"/>
      <c r="K133" s="133"/>
      <c r="L133" s="133"/>
      <c r="M133" s="133"/>
    </row>
    <row r="134" spans="1:13" s="11" customFormat="1" x14ac:dyDescent="0.2">
      <c r="A134" s="137"/>
      <c r="B134" s="138"/>
      <c r="C134" s="130" t="s">
        <v>100</v>
      </c>
      <c r="D134" s="136"/>
      <c r="E134" s="140"/>
      <c r="F134" s="141"/>
      <c r="G134" s="142"/>
      <c r="H134" s="133"/>
      <c r="I134" s="133"/>
      <c r="J134" s="133"/>
      <c r="K134" s="133"/>
      <c r="L134" s="133"/>
      <c r="M134" s="133"/>
    </row>
    <row r="135" spans="1:13" s="12" customFormat="1" x14ac:dyDescent="0.2">
      <c r="A135" s="137"/>
      <c r="B135" s="138"/>
      <c r="C135" s="131" t="s">
        <v>163</v>
      </c>
      <c r="D135" s="134" t="s">
        <v>169</v>
      </c>
      <c r="E135" s="140"/>
      <c r="F135" s="141"/>
      <c r="G135" s="142"/>
      <c r="H135" s="133"/>
      <c r="I135" s="133"/>
      <c r="J135" s="133"/>
      <c r="K135" s="133"/>
      <c r="L135" s="133"/>
      <c r="M135" s="133"/>
    </row>
    <row r="136" spans="1:13" s="11" customFormat="1" x14ac:dyDescent="0.2">
      <c r="A136" s="137"/>
      <c r="B136" s="138"/>
      <c r="C136" s="130" t="s">
        <v>139</v>
      </c>
      <c r="D136" s="131"/>
      <c r="E136" s="143"/>
      <c r="F136" s="143"/>
      <c r="G136" s="144"/>
      <c r="H136" s="133"/>
      <c r="I136" s="133"/>
      <c r="J136" s="133"/>
      <c r="K136" s="133"/>
      <c r="L136" s="133"/>
      <c r="M136" s="133"/>
    </row>
    <row r="137" spans="1:13" s="11" customFormat="1" ht="15.75" x14ac:dyDescent="0.2">
      <c r="A137" s="128"/>
      <c r="B137" s="129"/>
      <c r="C137" s="147" t="s">
        <v>113</v>
      </c>
      <c r="D137" s="147"/>
      <c r="E137" s="135"/>
      <c r="F137" s="135"/>
      <c r="G137" s="27"/>
      <c r="H137" s="27"/>
      <c r="I137" s="27"/>
      <c r="J137" s="27"/>
      <c r="K137" s="27"/>
      <c r="L137" s="27"/>
      <c r="M137" s="27"/>
    </row>
    <row r="138" spans="1:13" s="19" customFormat="1" ht="27" x14ac:dyDescent="0.2">
      <c r="A138" s="81">
        <v>1</v>
      </c>
      <c r="B138" s="163" t="s">
        <v>32</v>
      </c>
      <c r="C138" s="83" t="s">
        <v>114</v>
      </c>
      <c r="D138" s="83" t="s">
        <v>138</v>
      </c>
      <c r="E138" s="151"/>
      <c r="F138" s="151">
        <f>65+25</f>
        <v>90</v>
      </c>
      <c r="G138" s="153"/>
      <c r="H138" s="153"/>
      <c r="I138" s="153"/>
      <c r="J138" s="153"/>
      <c r="K138" s="153"/>
      <c r="L138" s="153"/>
      <c r="M138" s="153"/>
    </row>
    <row r="139" spans="1:13" s="11" customFormat="1" x14ac:dyDescent="0.2">
      <c r="A139" s="62"/>
      <c r="B139" s="63"/>
      <c r="C139" s="23" t="s">
        <v>47</v>
      </c>
      <c r="D139" s="23" t="s">
        <v>131</v>
      </c>
      <c r="E139" s="29">
        <v>0.05</v>
      </c>
      <c r="F139" s="29">
        <f>F138*E139</f>
        <v>4.5</v>
      </c>
      <c r="G139" s="28"/>
      <c r="H139" s="28"/>
      <c r="I139" s="28"/>
      <c r="J139" s="28"/>
      <c r="K139" s="28"/>
      <c r="L139" s="28"/>
      <c r="M139" s="28"/>
    </row>
    <row r="140" spans="1:13" s="12" customFormat="1" x14ac:dyDescent="0.2">
      <c r="A140" s="62"/>
      <c r="B140" s="164"/>
      <c r="C140" s="23" t="s">
        <v>115</v>
      </c>
      <c r="D140" s="23" t="s">
        <v>11</v>
      </c>
      <c r="E140" s="29">
        <v>6.9650000000000004E-2</v>
      </c>
      <c r="F140" s="29">
        <f>F138*E140</f>
        <v>6.2685000000000004</v>
      </c>
      <c r="G140" s="28"/>
      <c r="H140" s="28"/>
      <c r="I140" s="28"/>
      <c r="J140" s="28"/>
      <c r="K140" s="28"/>
      <c r="L140" s="28"/>
      <c r="M140" s="28"/>
    </row>
    <row r="141" spans="1:13" s="16" customFormat="1" x14ac:dyDescent="0.2">
      <c r="A141" s="62"/>
      <c r="B141" s="63"/>
      <c r="C141" s="23" t="s">
        <v>116</v>
      </c>
      <c r="D141" s="23" t="s">
        <v>133</v>
      </c>
      <c r="E141" s="29">
        <v>0.05</v>
      </c>
      <c r="F141" s="29">
        <f>F138*E141</f>
        <v>4.5</v>
      </c>
      <c r="G141" s="28"/>
      <c r="H141" s="28"/>
      <c r="I141" s="28"/>
      <c r="J141" s="28"/>
      <c r="K141" s="28"/>
      <c r="L141" s="28"/>
      <c r="M141" s="28"/>
    </row>
    <row r="142" spans="1:13" s="16" customFormat="1" x14ac:dyDescent="0.2">
      <c r="A142" s="66"/>
      <c r="B142" s="67"/>
      <c r="C142" s="68" t="s">
        <v>82</v>
      </c>
      <c r="D142" s="68" t="s">
        <v>11</v>
      </c>
      <c r="E142" s="31">
        <v>5.0000000000000001E-4</v>
      </c>
      <c r="F142" s="31">
        <f>F138*E142</f>
        <v>4.4999999999999998E-2</v>
      </c>
      <c r="G142" s="32"/>
      <c r="H142" s="32"/>
      <c r="I142" s="32"/>
      <c r="J142" s="32"/>
      <c r="K142" s="32"/>
      <c r="L142" s="32"/>
      <c r="M142" s="32"/>
    </row>
    <row r="143" spans="1:13" s="19" customFormat="1" x14ac:dyDescent="0.2">
      <c r="A143" s="81">
        <v>2</v>
      </c>
      <c r="B143" s="163" t="s">
        <v>40</v>
      </c>
      <c r="C143" s="83" t="s">
        <v>117</v>
      </c>
      <c r="D143" s="83" t="s">
        <v>136</v>
      </c>
      <c r="E143" s="151"/>
      <c r="F143" s="151">
        <v>4</v>
      </c>
      <c r="G143" s="153"/>
      <c r="H143" s="153"/>
      <c r="I143" s="153"/>
      <c r="J143" s="153"/>
      <c r="K143" s="153"/>
      <c r="L143" s="153"/>
      <c r="M143" s="153"/>
    </row>
    <row r="144" spans="1:13" s="12" customFormat="1" x14ac:dyDescent="0.2">
      <c r="A144" s="62"/>
      <c r="B144" s="162"/>
      <c r="C144" s="23" t="s">
        <v>47</v>
      </c>
      <c r="D144" s="23" t="s">
        <v>131</v>
      </c>
      <c r="E144" s="29">
        <v>3</v>
      </c>
      <c r="F144" s="29">
        <f>F143*E144</f>
        <v>12</v>
      </c>
      <c r="G144" s="28"/>
      <c r="H144" s="28"/>
      <c r="I144" s="28"/>
      <c r="J144" s="28"/>
      <c r="K144" s="28"/>
      <c r="L144" s="28"/>
      <c r="M144" s="28"/>
    </row>
    <row r="145" spans="1:13" s="12" customFormat="1" x14ac:dyDescent="0.2">
      <c r="A145" s="62"/>
      <c r="B145" s="162"/>
      <c r="C145" s="23" t="s">
        <v>118</v>
      </c>
      <c r="D145" s="23" t="s">
        <v>11</v>
      </c>
      <c r="E145" s="29">
        <v>3.33</v>
      </c>
      <c r="F145" s="29">
        <f>F143*E145</f>
        <v>13.32</v>
      </c>
      <c r="G145" s="28"/>
      <c r="H145" s="28"/>
      <c r="I145" s="28"/>
      <c r="J145" s="28"/>
      <c r="K145" s="28"/>
      <c r="L145" s="28"/>
      <c r="M145" s="28"/>
    </row>
    <row r="146" spans="1:13" s="16" customFormat="1" x14ac:dyDescent="0.2">
      <c r="A146" s="62"/>
      <c r="B146" s="162"/>
      <c r="C146" s="23" t="s">
        <v>117</v>
      </c>
      <c r="D146" s="23" t="s">
        <v>136</v>
      </c>
      <c r="E146" s="29">
        <v>1</v>
      </c>
      <c r="F146" s="29">
        <f>F143*E146</f>
        <v>4</v>
      </c>
      <c r="G146" s="28"/>
      <c r="H146" s="28"/>
      <c r="I146" s="28"/>
      <c r="J146" s="28"/>
      <c r="K146" s="28"/>
      <c r="L146" s="28"/>
      <c r="M146" s="28"/>
    </row>
    <row r="147" spans="1:13" s="12" customFormat="1" x14ac:dyDescent="0.2">
      <c r="A147" s="62"/>
      <c r="B147" s="162"/>
      <c r="C147" s="23" t="s">
        <v>82</v>
      </c>
      <c r="D147" s="23" t="s">
        <v>11</v>
      </c>
      <c r="E147" s="29">
        <v>0.48</v>
      </c>
      <c r="F147" s="29">
        <f>F143*E147</f>
        <v>1.92</v>
      </c>
      <c r="G147" s="28"/>
      <c r="H147" s="28"/>
      <c r="I147" s="28"/>
      <c r="J147" s="28"/>
      <c r="K147" s="28"/>
      <c r="L147" s="28"/>
      <c r="M147" s="28"/>
    </row>
    <row r="148" spans="1:13" s="19" customFormat="1" ht="26.25" x14ac:dyDescent="0.2">
      <c r="A148" s="81">
        <v>3</v>
      </c>
      <c r="B148" s="163" t="s">
        <v>41</v>
      </c>
      <c r="C148" s="83" t="s">
        <v>167</v>
      </c>
      <c r="D148" s="83" t="s">
        <v>136</v>
      </c>
      <c r="E148" s="151"/>
      <c r="F148" s="151">
        <v>4</v>
      </c>
      <c r="G148" s="153"/>
      <c r="H148" s="153"/>
      <c r="I148" s="153"/>
      <c r="J148" s="153"/>
      <c r="K148" s="153"/>
      <c r="L148" s="153"/>
      <c r="M148" s="153"/>
    </row>
    <row r="149" spans="1:13" s="12" customFormat="1" x14ac:dyDescent="0.2">
      <c r="A149" s="62"/>
      <c r="B149" s="63"/>
      <c r="C149" s="23" t="s">
        <v>47</v>
      </c>
      <c r="D149" s="23" t="s">
        <v>131</v>
      </c>
      <c r="E149" s="29">
        <v>2</v>
      </c>
      <c r="F149" s="29">
        <f>F148*E149</f>
        <v>8</v>
      </c>
      <c r="G149" s="28"/>
      <c r="H149" s="28"/>
      <c r="I149" s="28"/>
      <c r="J149" s="28"/>
      <c r="K149" s="28"/>
      <c r="L149" s="28"/>
      <c r="M149" s="28"/>
    </row>
    <row r="150" spans="1:13" s="12" customFormat="1" x14ac:dyDescent="0.2">
      <c r="A150" s="62"/>
      <c r="B150" s="63"/>
      <c r="C150" s="23" t="s">
        <v>115</v>
      </c>
      <c r="D150" s="23" t="s">
        <v>11</v>
      </c>
      <c r="E150" s="29">
        <v>2.2000000000000002</v>
      </c>
      <c r="F150" s="29">
        <f>F148*E150</f>
        <v>8.8000000000000007</v>
      </c>
      <c r="G150" s="28"/>
      <c r="H150" s="28"/>
      <c r="I150" s="28"/>
      <c r="J150" s="28"/>
      <c r="K150" s="28"/>
      <c r="L150" s="28"/>
      <c r="M150" s="28"/>
    </row>
    <row r="151" spans="1:13" s="12" customFormat="1" x14ac:dyDescent="0.2">
      <c r="A151" s="62"/>
      <c r="B151" s="63"/>
      <c r="C151" s="23" t="s">
        <v>119</v>
      </c>
      <c r="D151" s="23" t="s">
        <v>136</v>
      </c>
      <c r="E151" s="29">
        <v>1</v>
      </c>
      <c r="F151" s="29">
        <f>F148*E151</f>
        <v>4</v>
      </c>
      <c r="G151" s="28"/>
      <c r="H151" s="28"/>
      <c r="I151" s="28"/>
      <c r="J151" s="28"/>
      <c r="K151" s="28"/>
      <c r="L151" s="28"/>
      <c r="M151" s="28"/>
    </row>
    <row r="152" spans="1:13" s="12" customFormat="1" x14ac:dyDescent="0.2">
      <c r="A152" s="66"/>
      <c r="B152" s="67"/>
      <c r="C152" s="68" t="s">
        <v>82</v>
      </c>
      <c r="D152" s="68" t="s">
        <v>11</v>
      </c>
      <c r="E152" s="31">
        <v>0.05</v>
      </c>
      <c r="F152" s="31">
        <f>F148*E152</f>
        <v>0.2</v>
      </c>
      <c r="G152" s="32"/>
      <c r="H152" s="32"/>
      <c r="I152" s="32"/>
      <c r="J152" s="32"/>
      <c r="K152" s="32"/>
      <c r="L152" s="32"/>
      <c r="M152" s="32"/>
    </row>
    <row r="153" spans="1:13" s="19" customFormat="1" ht="27" x14ac:dyDescent="0.2">
      <c r="A153" s="81">
        <v>4</v>
      </c>
      <c r="B153" s="163" t="s">
        <v>35</v>
      </c>
      <c r="C153" s="83" t="s">
        <v>120</v>
      </c>
      <c r="D153" s="83" t="s">
        <v>138</v>
      </c>
      <c r="E153" s="151"/>
      <c r="F153" s="151">
        <f>6*4</f>
        <v>24</v>
      </c>
      <c r="G153" s="153"/>
      <c r="H153" s="153"/>
      <c r="I153" s="153"/>
      <c r="J153" s="153"/>
      <c r="K153" s="153"/>
      <c r="L153" s="153"/>
      <c r="M153" s="153"/>
    </row>
    <row r="154" spans="1:13" s="12" customFormat="1" x14ac:dyDescent="0.2">
      <c r="A154" s="62"/>
      <c r="B154" s="165"/>
      <c r="C154" s="23" t="s">
        <v>47</v>
      </c>
      <c r="D154" s="23" t="s">
        <v>131</v>
      </c>
      <c r="E154" s="29">
        <v>0.26</v>
      </c>
      <c r="F154" s="29">
        <f>F153*E154</f>
        <v>6.24</v>
      </c>
      <c r="G154" s="28"/>
      <c r="H154" s="28"/>
      <c r="I154" s="28"/>
      <c r="J154" s="28"/>
      <c r="K154" s="28"/>
      <c r="L154" s="28"/>
      <c r="M154" s="28"/>
    </row>
    <row r="155" spans="1:13" s="12" customFormat="1" x14ac:dyDescent="0.2">
      <c r="A155" s="62"/>
      <c r="B155" s="166"/>
      <c r="C155" s="23" t="s">
        <v>115</v>
      </c>
      <c r="D155" s="23" t="s">
        <v>11</v>
      </c>
      <c r="E155" s="29">
        <v>0.122</v>
      </c>
      <c r="F155" s="29">
        <f>F153*E155</f>
        <v>2.9279999999999999</v>
      </c>
      <c r="G155" s="28"/>
      <c r="H155" s="28"/>
      <c r="I155" s="28"/>
      <c r="J155" s="28"/>
      <c r="K155" s="28"/>
      <c r="L155" s="28"/>
      <c r="M155" s="28"/>
    </row>
    <row r="156" spans="1:13" s="16" customFormat="1" x14ac:dyDescent="0.2">
      <c r="A156" s="62"/>
      <c r="B156" s="165"/>
      <c r="C156" s="23" t="s">
        <v>158</v>
      </c>
      <c r="D156" s="23" t="s">
        <v>138</v>
      </c>
      <c r="E156" s="29">
        <v>1</v>
      </c>
      <c r="F156" s="29">
        <f>F153*E156</f>
        <v>24</v>
      </c>
      <c r="G156" s="28"/>
      <c r="H156" s="28"/>
      <c r="I156" s="28"/>
      <c r="J156" s="28"/>
      <c r="K156" s="28"/>
      <c r="L156" s="28"/>
      <c r="M156" s="28"/>
    </row>
    <row r="157" spans="1:13" s="16" customFormat="1" x14ac:dyDescent="0.2">
      <c r="A157" s="62"/>
      <c r="B157" s="165"/>
      <c r="C157" s="23" t="s">
        <v>82</v>
      </c>
      <c r="D157" s="23" t="s">
        <v>11</v>
      </c>
      <c r="E157" s="29">
        <v>8.2000000000000003E-2</v>
      </c>
      <c r="F157" s="29">
        <f>F153*E157</f>
        <v>1.968</v>
      </c>
      <c r="G157" s="28"/>
      <c r="H157" s="28"/>
      <c r="I157" s="28"/>
      <c r="J157" s="28"/>
      <c r="K157" s="28"/>
      <c r="L157" s="28"/>
      <c r="M157" s="28"/>
    </row>
    <row r="158" spans="1:13" s="19" customFormat="1" ht="27" x14ac:dyDescent="0.2">
      <c r="A158" s="81">
        <v>5</v>
      </c>
      <c r="B158" s="163" t="s">
        <v>36</v>
      </c>
      <c r="C158" s="83" t="s">
        <v>121</v>
      </c>
      <c r="D158" s="83" t="s">
        <v>138</v>
      </c>
      <c r="E158" s="151"/>
      <c r="F158" s="151">
        <f>F153+F126</f>
        <v>114</v>
      </c>
      <c r="G158" s="153"/>
      <c r="H158" s="153"/>
      <c r="I158" s="153"/>
      <c r="J158" s="153"/>
      <c r="K158" s="153"/>
      <c r="L158" s="153"/>
      <c r="M158" s="153"/>
    </row>
    <row r="159" spans="1:13" s="11" customFormat="1" x14ac:dyDescent="0.2">
      <c r="A159" s="62"/>
      <c r="B159" s="63"/>
      <c r="C159" s="23" t="s">
        <v>47</v>
      </c>
      <c r="D159" s="23" t="s">
        <v>131</v>
      </c>
      <c r="E159" s="29">
        <v>0.11</v>
      </c>
      <c r="F159" s="29">
        <f>F158*E159</f>
        <v>12.540000000000001</v>
      </c>
      <c r="G159" s="28"/>
      <c r="H159" s="28"/>
      <c r="I159" s="28"/>
      <c r="J159" s="28"/>
      <c r="K159" s="28"/>
      <c r="L159" s="28"/>
      <c r="M159" s="28"/>
    </row>
    <row r="160" spans="1:13" s="12" customFormat="1" x14ac:dyDescent="0.2">
      <c r="A160" s="62"/>
      <c r="B160" s="164"/>
      <c r="C160" s="23" t="s">
        <v>115</v>
      </c>
      <c r="D160" s="23" t="s">
        <v>11</v>
      </c>
      <c r="E160" s="29">
        <v>2.7000000000000001E-3</v>
      </c>
      <c r="F160" s="29">
        <f>F158*E160</f>
        <v>0.30780000000000002</v>
      </c>
      <c r="G160" s="28"/>
      <c r="H160" s="28"/>
      <c r="I160" s="28"/>
      <c r="J160" s="28"/>
      <c r="K160" s="28"/>
      <c r="L160" s="28"/>
      <c r="M160" s="28"/>
    </row>
    <row r="161" spans="1:13" s="16" customFormat="1" ht="27" x14ac:dyDescent="0.2">
      <c r="A161" s="62"/>
      <c r="B161" s="63"/>
      <c r="C161" s="23" t="s">
        <v>162</v>
      </c>
      <c r="D161" s="23" t="s">
        <v>138</v>
      </c>
      <c r="E161" s="29">
        <v>1</v>
      </c>
      <c r="F161" s="22">
        <f>F158*E161</f>
        <v>114</v>
      </c>
      <c r="G161" s="28"/>
      <c r="H161" s="28"/>
      <c r="I161" s="28"/>
      <c r="J161" s="28"/>
      <c r="K161" s="28"/>
      <c r="L161" s="28"/>
      <c r="M161" s="28"/>
    </row>
    <row r="162" spans="1:13" s="16" customFormat="1" x14ac:dyDescent="0.2">
      <c r="A162" s="66"/>
      <c r="B162" s="67"/>
      <c r="C162" s="68" t="s">
        <v>82</v>
      </c>
      <c r="D162" s="68" t="s">
        <v>11</v>
      </c>
      <c r="E162" s="31">
        <v>3.49E-2</v>
      </c>
      <c r="F162" s="31">
        <f>F158*E162</f>
        <v>3.9786000000000001</v>
      </c>
      <c r="G162" s="32"/>
      <c r="H162" s="32"/>
      <c r="I162" s="32"/>
      <c r="J162" s="32"/>
      <c r="K162" s="32"/>
      <c r="L162" s="32"/>
      <c r="M162" s="32"/>
    </row>
    <row r="163" spans="1:13" s="19" customFormat="1" ht="40.5" x14ac:dyDescent="0.2">
      <c r="A163" s="81">
        <v>6</v>
      </c>
      <c r="B163" s="163" t="s">
        <v>37</v>
      </c>
      <c r="C163" s="83" t="s">
        <v>122</v>
      </c>
      <c r="D163" s="83" t="s">
        <v>136</v>
      </c>
      <c r="E163" s="151"/>
      <c r="F163" s="151">
        <v>4</v>
      </c>
      <c r="G163" s="153"/>
      <c r="H163" s="153"/>
      <c r="I163" s="153"/>
      <c r="J163" s="153"/>
      <c r="K163" s="153"/>
      <c r="L163" s="153"/>
      <c r="M163" s="153"/>
    </row>
    <row r="164" spans="1:13" s="11" customFormat="1" x14ac:dyDescent="0.2">
      <c r="A164" s="62"/>
      <c r="B164" s="63"/>
      <c r="C164" s="23" t="s">
        <v>10</v>
      </c>
      <c r="D164" s="23" t="s">
        <v>131</v>
      </c>
      <c r="E164" s="29">
        <v>1</v>
      </c>
      <c r="F164" s="29">
        <f>F163*E164</f>
        <v>4</v>
      </c>
      <c r="G164" s="28"/>
      <c r="H164" s="28"/>
      <c r="I164" s="28"/>
      <c r="J164" s="28"/>
      <c r="K164" s="28"/>
      <c r="L164" s="28"/>
      <c r="M164" s="28"/>
    </row>
    <row r="165" spans="1:13" s="16" customFormat="1" x14ac:dyDescent="0.2">
      <c r="A165" s="62"/>
      <c r="B165" s="63"/>
      <c r="C165" s="23" t="s">
        <v>123</v>
      </c>
      <c r="D165" s="23" t="s">
        <v>136</v>
      </c>
      <c r="E165" s="29">
        <v>1</v>
      </c>
      <c r="F165" s="29">
        <f>F163*E165</f>
        <v>4</v>
      </c>
      <c r="G165" s="28"/>
      <c r="H165" s="28"/>
      <c r="I165" s="28"/>
      <c r="J165" s="28"/>
      <c r="K165" s="28"/>
      <c r="L165" s="28"/>
      <c r="M165" s="28"/>
    </row>
    <row r="166" spans="1:13" s="16" customFormat="1" x14ac:dyDescent="0.2">
      <c r="A166" s="66"/>
      <c r="B166" s="67"/>
      <c r="C166" s="68" t="s">
        <v>82</v>
      </c>
      <c r="D166" s="68" t="s">
        <v>11</v>
      </c>
      <c r="E166" s="31">
        <v>0.15</v>
      </c>
      <c r="F166" s="31">
        <f>F163*E166</f>
        <v>0.6</v>
      </c>
      <c r="G166" s="32"/>
      <c r="H166" s="32"/>
      <c r="I166" s="32"/>
      <c r="J166" s="32"/>
      <c r="K166" s="32"/>
      <c r="L166" s="32"/>
      <c r="M166" s="32"/>
    </row>
    <row r="167" spans="1:13" s="19" customFormat="1" x14ac:dyDescent="0.2">
      <c r="A167" s="81">
        <v>7</v>
      </c>
      <c r="B167" s="163" t="s">
        <v>38</v>
      </c>
      <c r="C167" s="83" t="s">
        <v>168</v>
      </c>
      <c r="D167" s="83" t="s">
        <v>136</v>
      </c>
      <c r="E167" s="151"/>
      <c r="F167" s="151">
        <v>5</v>
      </c>
      <c r="G167" s="153"/>
      <c r="H167" s="153"/>
      <c r="I167" s="153"/>
      <c r="J167" s="153"/>
      <c r="K167" s="153"/>
      <c r="L167" s="153"/>
      <c r="M167" s="153"/>
    </row>
    <row r="168" spans="1:13" s="11" customFormat="1" x14ac:dyDescent="0.2">
      <c r="A168" s="62"/>
      <c r="B168" s="63"/>
      <c r="C168" s="23" t="s">
        <v>47</v>
      </c>
      <c r="D168" s="23" t="s">
        <v>131</v>
      </c>
      <c r="E168" s="60">
        <v>0.9</v>
      </c>
      <c r="F168" s="29">
        <f>F167*E168</f>
        <v>4.5</v>
      </c>
      <c r="G168" s="28"/>
      <c r="H168" s="28"/>
      <c r="I168" s="28"/>
      <c r="J168" s="28"/>
      <c r="K168" s="28"/>
      <c r="L168" s="28"/>
      <c r="M168" s="28"/>
    </row>
    <row r="169" spans="1:13" s="11" customFormat="1" x14ac:dyDescent="0.2">
      <c r="A169" s="62"/>
      <c r="B169" s="167"/>
      <c r="C169" s="23" t="s">
        <v>115</v>
      </c>
      <c r="D169" s="23" t="s">
        <v>11</v>
      </c>
      <c r="E169" s="60">
        <v>7.0000000000000007E-2</v>
      </c>
      <c r="F169" s="29">
        <f>F167*E169</f>
        <v>0.35000000000000003</v>
      </c>
      <c r="G169" s="28"/>
      <c r="H169" s="28"/>
      <c r="I169" s="28"/>
      <c r="J169" s="28"/>
      <c r="K169" s="28"/>
      <c r="L169" s="28"/>
      <c r="M169" s="28"/>
    </row>
    <row r="170" spans="1:13" s="11" customFormat="1" x14ac:dyDescent="0.2">
      <c r="A170" s="62"/>
      <c r="B170" s="63"/>
      <c r="C170" s="23" t="s">
        <v>124</v>
      </c>
      <c r="D170" s="23" t="s">
        <v>138</v>
      </c>
      <c r="E170" s="29">
        <v>2.5</v>
      </c>
      <c r="F170" s="156">
        <f>F167*E170</f>
        <v>12.5</v>
      </c>
      <c r="G170" s="28"/>
      <c r="H170" s="28"/>
      <c r="I170" s="28"/>
      <c r="J170" s="28"/>
      <c r="K170" s="28"/>
      <c r="L170" s="28"/>
      <c r="M170" s="28"/>
    </row>
    <row r="171" spans="1:13" s="11" customFormat="1" x14ac:dyDescent="0.2">
      <c r="A171" s="62"/>
      <c r="B171" s="63"/>
      <c r="C171" s="23" t="s">
        <v>82</v>
      </c>
      <c r="D171" s="23" t="s">
        <v>11</v>
      </c>
      <c r="E171" s="29">
        <v>1.4</v>
      </c>
      <c r="F171" s="29">
        <f>F167*E171</f>
        <v>7</v>
      </c>
      <c r="G171" s="28"/>
      <c r="H171" s="28"/>
      <c r="I171" s="28"/>
      <c r="J171" s="28"/>
      <c r="K171" s="28"/>
      <c r="L171" s="28"/>
      <c r="M171" s="28"/>
    </row>
    <row r="172" spans="1:13" s="19" customFormat="1" x14ac:dyDescent="0.2">
      <c r="A172" s="81">
        <v>8</v>
      </c>
      <c r="B172" s="163" t="s">
        <v>39</v>
      </c>
      <c r="C172" s="83" t="s">
        <v>125</v>
      </c>
      <c r="D172" s="83" t="s">
        <v>138</v>
      </c>
      <c r="E172" s="151"/>
      <c r="F172" s="151">
        <v>22</v>
      </c>
      <c r="G172" s="153"/>
      <c r="H172" s="153"/>
      <c r="I172" s="153"/>
      <c r="J172" s="153"/>
      <c r="K172" s="153"/>
      <c r="L172" s="153"/>
      <c r="M172" s="153"/>
    </row>
    <row r="173" spans="1:13" s="11" customFormat="1" x14ac:dyDescent="0.2">
      <c r="A173" s="62"/>
      <c r="B173" s="63"/>
      <c r="C173" s="23" t="s">
        <v>47</v>
      </c>
      <c r="D173" s="23" t="s">
        <v>131</v>
      </c>
      <c r="E173" s="60">
        <v>0.12</v>
      </c>
      <c r="F173" s="29">
        <f>F172*E173</f>
        <v>2.6399999999999997</v>
      </c>
      <c r="G173" s="28"/>
      <c r="H173" s="28"/>
      <c r="I173" s="28"/>
      <c r="J173" s="28"/>
      <c r="K173" s="28"/>
      <c r="L173" s="28"/>
      <c r="M173" s="28"/>
    </row>
    <row r="174" spans="1:13" s="11" customFormat="1" x14ac:dyDescent="0.2">
      <c r="A174" s="62"/>
      <c r="B174" s="167"/>
      <c r="C174" s="23" t="s">
        <v>115</v>
      </c>
      <c r="D174" s="23" t="s">
        <v>11</v>
      </c>
      <c r="E174" s="60">
        <v>8.9999999999999993E-3</v>
      </c>
      <c r="F174" s="29">
        <f>F172*E174</f>
        <v>0.19799999999999998</v>
      </c>
      <c r="G174" s="28"/>
      <c r="H174" s="28"/>
      <c r="I174" s="28"/>
      <c r="J174" s="28"/>
      <c r="K174" s="28"/>
      <c r="L174" s="28"/>
      <c r="M174" s="28"/>
    </row>
    <row r="175" spans="1:13" s="11" customFormat="1" x14ac:dyDescent="0.2">
      <c r="A175" s="62"/>
      <c r="B175" s="63"/>
      <c r="C175" s="23" t="s">
        <v>126</v>
      </c>
      <c r="D175" s="23" t="s">
        <v>138</v>
      </c>
      <c r="E175" s="60">
        <v>1</v>
      </c>
      <c r="F175" s="29">
        <f>F172*E175</f>
        <v>22</v>
      </c>
      <c r="G175" s="28"/>
      <c r="H175" s="28"/>
      <c r="I175" s="28"/>
      <c r="J175" s="28"/>
      <c r="K175" s="28"/>
      <c r="L175" s="28"/>
      <c r="M175" s="28"/>
    </row>
    <row r="176" spans="1:13" s="11" customFormat="1" x14ac:dyDescent="0.2">
      <c r="A176" s="62"/>
      <c r="B176" s="63"/>
      <c r="C176" s="23" t="s">
        <v>82</v>
      </c>
      <c r="D176" s="23" t="s">
        <v>11</v>
      </c>
      <c r="E176" s="60">
        <v>0.193</v>
      </c>
      <c r="F176" s="29">
        <f>F172*E176</f>
        <v>4.2460000000000004</v>
      </c>
      <c r="G176" s="28"/>
      <c r="H176" s="28"/>
      <c r="I176" s="28"/>
      <c r="J176" s="28"/>
      <c r="K176" s="28"/>
      <c r="L176" s="28"/>
      <c r="M176" s="28"/>
    </row>
    <row r="177" spans="1:13" s="11" customFormat="1" x14ac:dyDescent="0.2">
      <c r="A177" s="128">
        <v>9</v>
      </c>
      <c r="B177" s="129"/>
      <c r="C177" s="168" t="s">
        <v>127</v>
      </c>
      <c r="D177" s="168" t="s">
        <v>138</v>
      </c>
      <c r="E177" s="49"/>
      <c r="F177" s="169">
        <v>95</v>
      </c>
      <c r="G177" s="50"/>
      <c r="H177" s="50"/>
      <c r="I177" s="50"/>
      <c r="J177" s="50"/>
      <c r="K177" s="50"/>
      <c r="L177" s="50"/>
      <c r="M177" s="50"/>
    </row>
    <row r="178" spans="1:13" s="11" customFormat="1" x14ac:dyDescent="0.2">
      <c r="A178" s="128"/>
      <c r="B178" s="129"/>
      <c r="C178" s="130" t="s">
        <v>98</v>
      </c>
      <c r="D178" s="131"/>
      <c r="E178" s="169"/>
      <c r="F178" s="169"/>
      <c r="G178" s="26"/>
      <c r="H178" s="133"/>
      <c r="I178" s="133"/>
      <c r="J178" s="133"/>
      <c r="K178" s="133"/>
      <c r="L178" s="133"/>
      <c r="M178" s="133"/>
    </row>
    <row r="179" spans="1:13" s="2" customFormat="1" x14ac:dyDescent="0.2">
      <c r="A179" s="128"/>
      <c r="B179" s="131"/>
      <c r="C179" s="131" t="s">
        <v>129</v>
      </c>
      <c r="D179" s="134" t="s">
        <v>169</v>
      </c>
      <c r="E179" s="49"/>
      <c r="F179" s="169"/>
      <c r="G179" s="26"/>
      <c r="H179" s="132"/>
      <c r="I179" s="132"/>
      <c r="J179" s="132"/>
      <c r="K179" s="132"/>
      <c r="L179" s="132"/>
      <c r="M179" s="133"/>
    </row>
    <row r="180" spans="1:13" s="11" customFormat="1" x14ac:dyDescent="0.2">
      <c r="A180" s="128"/>
      <c r="B180" s="129"/>
      <c r="C180" s="130" t="s">
        <v>98</v>
      </c>
      <c r="D180" s="136"/>
      <c r="E180" s="169"/>
      <c r="F180" s="169"/>
      <c r="G180" s="26"/>
      <c r="H180" s="132"/>
      <c r="I180" s="132"/>
      <c r="J180" s="132"/>
      <c r="K180" s="132"/>
      <c r="L180" s="132"/>
      <c r="M180" s="132"/>
    </row>
    <row r="181" spans="1:13" s="11" customFormat="1" ht="27" x14ac:dyDescent="0.2">
      <c r="A181" s="137"/>
      <c r="B181" s="138"/>
      <c r="C181" s="131" t="s">
        <v>128</v>
      </c>
      <c r="D181" s="134" t="s">
        <v>169</v>
      </c>
      <c r="E181" s="170"/>
      <c r="F181" s="49"/>
      <c r="G181" s="50"/>
      <c r="H181" s="132"/>
      <c r="I181" s="132"/>
      <c r="J181" s="132"/>
      <c r="K181" s="132"/>
      <c r="L181" s="132"/>
      <c r="M181" s="132"/>
    </row>
    <row r="182" spans="1:13" s="11" customFormat="1" x14ac:dyDescent="0.2">
      <c r="A182" s="137"/>
      <c r="B182" s="138"/>
      <c r="C182" s="130" t="s">
        <v>100</v>
      </c>
      <c r="D182" s="136"/>
      <c r="E182" s="171"/>
      <c r="F182" s="172"/>
      <c r="G182" s="173"/>
      <c r="H182" s="132"/>
      <c r="I182" s="132"/>
      <c r="J182" s="132"/>
      <c r="K182" s="132"/>
      <c r="L182" s="132"/>
      <c r="M182" s="132"/>
    </row>
    <row r="183" spans="1:13" s="12" customFormat="1" x14ac:dyDescent="0.2">
      <c r="A183" s="137"/>
      <c r="B183" s="138"/>
      <c r="C183" s="131" t="s">
        <v>163</v>
      </c>
      <c r="D183" s="134" t="s">
        <v>169</v>
      </c>
      <c r="E183" s="171"/>
      <c r="F183" s="172"/>
      <c r="G183" s="173"/>
      <c r="H183" s="132"/>
      <c r="I183" s="132"/>
      <c r="J183" s="132"/>
      <c r="K183" s="132"/>
      <c r="L183" s="132"/>
      <c r="M183" s="132"/>
    </row>
    <row r="184" spans="1:13" s="11" customFormat="1" x14ac:dyDescent="0.2">
      <c r="A184" s="137"/>
      <c r="B184" s="138"/>
      <c r="C184" s="130" t="s">
        <v>159</v>
      </c>
      <c r="D184" s="174"/>
      <c r="E184" s="175"/>
      <c r="F184" s="175"/>
      <c r="G184" s="176"/>
      <c r="H184" s="133"/>
      <c r="I184" s="133"/>
      <c r="J184" s="133"/>
      <c r="K184" s="133"/>
      <c r="L184" s="133"/>
      <c r="M184" s="133"/>
    </row>
    <row r="185" spans="1:13" s="11" customFormat="1" x14ac:dyDescent="0.2">
      <c r="A185" s="137"/>
      <c r="B185" s="138"/>
      <c r="C185" s="130" t="s">
        <v>160</v>
      </c>
      <c r="D185" s="174"/>
      <c r="E185" s="175"/>
      <c r="F185" s="175"/>
      <c r="G185" s="176"/>
      <c r="H185" s="133"/>
      <c r="I185" s="133"/>
      <c r="J185" s="133"/>
      <c r="K185" s="133"/>
      <c r="L185" s="133"/>
      <c r="M185" s="133"/>
    </row>
    <row r="186" spans="1:13" s="2" customFormat="1" x14ac:dyDescent="0.2">
      <c r="A186" s="128"/>
      <c r="B186" s="131"/>
      <c r="C186" s="130" t="s">
        <v>161</v>
      </c>
      <c r="D186" s="174"/>
      <c r="E186" s="177"/>
      <c r="F186" s="177"/>
      <c r="G186" s="178"/>
      <c r="H186" s="133"/>
      <c r="I186" s="133"/>
      <c r="J186" s="133"/>
      <c r="K186" s="133"/>
      <c r="L186" s="133"/>
      <c r="M186" s="133"/>
    </row>
    <row r="187" spans="1:13" s="2" customFormat="1" x14ac:dyDescent="0.2">
      <c r="A187" s="128"/>
      <c r="B187" s="131"/>
      <c r="C187" s="131" t="s">
        <v>130</v>
      </c>
      <c r="D187" s="134">
        <v>0.03</v>
      </c>
      <c r="E187" s="49"/>
      <c r="F187" s="169"/>
      <c r="G187" s="26"/>
      <c r="H187" s="132"/>
      <c r="I187" s="132"/>
      <c r="J187" s="132"/>
      <c r="K187" s="132"/>
      <c r="L187" s="132"/>
      <c r="M187" s="132"/>
    </row>
    <row r="188" spans="1:13" s="2" customFormat="1" x14ac:dyDescent="0.2">
      <c r="A188" s="128"/>
      <c r="B188" s="131"/>
      <c r="C188" s="130" t="s">
        <v>100</v>
      </c>
      <c r="D188" s="136"/>
      <c r="E188" s="49"/>
      <c r="F188" s="169"/>
      <c r="G188" s="26"/>
      <c r="H188" s="132"/>
      <c r="I188" s="132"/>
      <c r="J188" s="132"/>
      <c r="K188" s="132"/>
      <c r="L188" s="132"/>
      <c r="M188" s="132"/>
    </row>
    <row r="189" spans="1:13" s="2" customFormat="1" x14ac:dyDescent="0.2">
      <c r="A189" s="126"/>
      <c r="B189" s="127"/>
      <c r="C189" s="179" t="s">
        <v>19</v>
      </c>
      <c r="D189" s="180">
        <v>0.18</v>
      </c>
      <c r="E189" s="181"/>
      <c r="F189" s="182"/>
      <c r="G189" s="183"/>
      <c r="H189" s="132"/>
      <c r="I189" s="132"/>
      <c r="J189" s="132"/>
      <c r="K189" s="132"/>
      <c r="L189" s="132"/>
      <c r="M189" s="132"/>
    </row>
    <row r="190" spans="1:13" s="2" customFormat="1" x14ac:dyDescent="0.2">
      <c r="A190" s="126"/>
      <c r="B190" s="127"/>
      <c r="C190" s="130" t="s">
        <v>100</v>
      </c>
      <c r="D190" s="131"/>
      <c r="E190" s="181"/>
      <c r="F190" s="182"/>
      <c r="G190" s="183"/>
      <c r="H190" s="132"/>
      <c r="I190" s="132"/>
      <c r="J190" s="132"/>
      <c r="K190" s="132"/>
      <c r="L190" s="132"/>
      <c r="M190" s="132"/>
    </row>
    <row r="191" spans="1:13" x14ac:dyDescent="0.2">
      <c r="E191" s="4"/>
    </row>
    <row r="192" spans="1:13" x14ac:dyDescent="0.2">
      <c r="E192" s="4"/>
    </row>
    <row r="193" spans="2:5" x14ac:dyDescent="0.2">
      <c r="B193" s="3"/>
      <c r="E193" s="4"/>
    </row>
    <row r="194" spans="2:5" x14ac:dyDescent="0.2">
      <c r="B194" s="3"/>
      <c r="E194" s="4"/>
    </row>
    <row r="195" spans="2:5" x14ac:dyDescent="0.2">
      <c r="B195" s="3"/>
      <c r="E195" s="4"/>
    </row>
    <row r="196" spans="2:5" x14ac:dyDescent="0.2">
      <c r="B196" s="3"/>
      <c r="E196" s="4"/>
    </row>
    <row r="197" spans="2:5" x14ac:dyDescent="0.2">
      <c r="B197" s="3"/>
      <c r="E197" s="4"/>
    </row>
    <row r="198" spans="2:5" x14ac:dyDescent="0.2">
      <c r="B198" s="3"/>
      <c r="E198" s="4"/>
    </row>
    <row r="199" spans="2:5" x14ac:dyDescent="0.2">
      <c r="B199" s="3"/>
      <c r="E199" s="4"/>
    </row>
    <row r="200" spans="2:5" x14ac:dyDescent="0.2">
      <c r="B200" s="3"/>
      <c r="E200" s="4"/>
    </row>
  </sheetData>
  <mergeCells count="14">
    <mergeCell ref="L1:M1"/>
    <mergeCell ref="A1:J1"/>
    <mergeCell ref="A2:M2"/>
    <mergeCell ref="A4:A5"/>
    <mergeCell ref="C4:C5"/>
    <mergeCell ref="D4:D5"/>
    <mergeCell ref="E4:F4"/>
    <mergeCell ref="G4:H4"/>
    <mergeCell ref="I4:J4"/>
    <mergeCell ref="K4:L4"/>
    <mergeCell ref="M4:M5"/>
    <mergeCell ref="A3:J3"/>
    <mergeCell ref="B4:B5"/>
    <mergeCell ref="L3:M3"/>
  </mergeCells>
  <pageMargins left="0" right="0" top="0.5" bottom="0.5" header="0.3" footer="0.3"/>
  <pageSetup paperSize="9" orientation="landscape" horizontalDpi="4294967293" vertic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 Bochikashvili</cp:lastModifiedBy>
  <cp:lastPrinted>2019-07-09T13:03:24Z</cp:lastPrinted>
  <dcterms:created xsi:type="dcterms:W3CDTF">2008-04-01T13:51:48Z</dcterms:created>
  <dcterms:modified xsi:type="dcterms:W3CDTF">2019-07-17T12:53:06Z</dcterms:modified>
</cp:coreProperties>
</file>