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activeTab="1"/>
  </bookViews>
  <sheets>
    <sheet name="დანართი 1" sheetId="1" r:id="rId1"/>
    <sheet name="დანართი 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4" i="2" l="1"/>
  <c r="H104" i="2" s="1"/>
  <c r="M104" i="2" s="1"/>
  <c r="F103" i="2"/>
  <c r="H103" i="2" s="1"/>
  <c r="M103" i="2" s="1"/>
  <c r="F102" i="2"/>
  <c r="H102" i="2" s="1"/>
  <c r="M102" i="2" s="1"/>
  <c r="F101" i="2"/>
  <c r="L101" i="2" s="1"/>
  <c r="M101" i="2" s="1"/>
  <c r="F100" i="2"/>
  <c r="J100" i="2" s="1"/>
  <c r="M100" i="2" s="1"/>
  <c r="F155" i="2" l="1"/>
  <c r="F51" i="2" l="1"/>
  <c r="L51" i="2" s="1"/>
  <c r="M51" i="2" s="1"/>
  <c r="F53" i="2"/>
  <c r="H53" i="2" s="1"/>
  <c r="M53" i="2" s="1"/>
  <c r="F52" i="2"/>
  <c r="L52" i="2" s="1"/>
  <c r="M52" i="2" s="1"/>
  <c r="F50" i="2"/>
  <c r="J50" i="2" s="1"/>
  <c r="M50" i="2" s="1"/>
  <c r="F189" i="2" l="1"/>
  <c r="H331" i="2"/>
  <c r="M331" i="2" s="1"/>
  <c r="H330" i="2"/>
  <c r="M330" i="2" s="1"/>
  <c r="H329" i="2"/>
  <c r="M329" i="2" s="1"/>
  <c r="H328" i="2"/>
  <c r="M328" i="2" s="1"/>
  <c r="H327" i="2"/>
  <c r="M327" i="2" s="1"/>
  <c r="L326" i="2"/>
  <c r="M326" i="2" s="1"/>
  <c r="J325" i="2"/>
  <c r="M325" i="2" s="1"/>
  <c r="J323" i="2"/>
  <c r="M323" i="2" s="1"/>
  <c r="H321" i="2"/>
  <c r="M321" i="2" s="1"/>
  <c r="L320" i="2"/>
  <c r="M320" i="2" s="1"/>
  <c r="L319" i="2"/>
  <c r="M319" i="2" s="1"/>
  <c r="J318" i="2"/>
  <c r="M318" i="2" s="1"/>
  <c r="F209" i="2" l="1"/>
  <c r="H200" i="2"/>
  <c r="M200" i="2" s="1"/>
  <c r="F195" i="2"/>
  <c r="H201" i="2"/>
  <c r="M201" i="2" s="1"/>
  <c r="M291" i="2" l="1"/>
  <c r="M294" i="2"/>
  <c r="F79" i="2" l="1"/>
  <c r="H79" i="2" s="1"/>
  <c r="M79" i="2" s="1"/>
  <c r="F78" i="2"/>
  <c r="L78" i="2" s="1"/>
  <c r="M78" i="2" s="1"/>
  <c r="F77" i="2"/>
  <c r="J77" i="2" s="1"/>
  <c r="M77" i="2" s="1"/>
  <c r="F71" i="2"/>
  <c r="H71" i="2" s="1"/>
  <c r="M71" i="2" s="1"/>
  <c r="F70" i="2"/>
  <c r="H70" i="2" s="1"/>
  <c r="M70" i="2" s="1"/>
  <c r="F69" i="2"/>
  <c r="H69" i="2" s="1"/>
  <c r="M69" i="2" s="1"/>
  <c r="F68" i="2"/>
  <c r="L68" i="2" s="1"/>
  <c r="M68" i="2" s="1"/>
  <c r="F67" i="2"/>
  <c r="J67" i="2" s="1"/>
  <c r="M67" i="2" s="1"/>
  <c r="F25" i="2"/>
  <c r="L25" i="2" s="1"/>
  <c r="M25" i="2" s="1"/>
  <c r="F24" i="2"/>
  <c r="J24" i="2" s="1"/>
  <c r="M24" i="2" s="1"/>
  <c r="E316" i="2" l="1"/>
  <c r="F316" i="2" s="1"/>
  <c r="H316" i="2" s="1"/>
  <c r="M316" i="2" s="1"/>
  <c r="E315" i="2"/>
  <c r="F315" i="2" s="1"/>
  <c r="H315" i="2" s="1"/>
  <c r="M315" i="2" s="1"/>
  <c r="E314" i="2"/>
  <c r="F314" i="2" s="1"/>
  <c r="H314" i="2" s="1"/>
  <c r="M314" i="2" s="1"/>
  <c r="E313" i="2"/>
  <c r="F313" i="2" s="1"/>
  <c r="H313" i="2" s="1"/>
  <c r="M313" i="2" s="1"/>
  <c r="E312" i="2"/>
  <c r="F312" i="2" s="1"/>
  <c r="L312" i="2" s="1"/>
  <c r="M312" i="2" s="1"/>
  <c r="E311" i="2"/>
  <c r="F311" i="2" s="1"/>
  <c r="J311" i="2" s="1"/>
  <c r="M311" i="2" s="1"/>
  <c r="F309" i="2"/>
  <c r="H309" i="2" s="1"/>
  <c r="M309" i="2" s="1"/>
  <c r="F308" i="2"/>
  <c r="H308" i="2" s="1"/>
  <c r="F307" i="2"/>
  <c r="L307" i="2" s="1"/>
  <c r="F306" i="2"/>
  <c r="J306" i="2" s="1"/>
  <c r="M306" i="2" s="1"/>
  <c r="E304" i="2"/>
  <c r="E224" i="2"/>
  <c r="F224" i="2" s="1"/>
  <c r="H224" i="2" s="1"/>
  <c r="M224" i="2" s="1"/>
  <c r="F223" i="2"/>
  <c r="H223" i="2" s="1"/>
  <c r="M223" i="2" s="1"/>
  <c r="E222" i="2"/>
  <c r="F222" i="2" s="1"/>
  <c r="H222" i="2" s="1"/>
  <c r="M222" i="2" s="1"/>
  <c r="M221" i="2"/>
  <c r="E220" i="2"/>
  <c r="F220" i="2" s="1"/>
  <c r="L220" i="2" s="1"/>
  <c r="M220" i="2" s="1"/>
  <c r="E219" i="2"/>
  <c r="F219" i="2" s="1"/>
  <c r="J219" i="2" s="1"/>
  <c r="M219" i="2" s="1"/>
  <c r="E296" i="2"/>
  <c r="F296" i="2" s="1"/>
  <c r="H296" i="2" s="1"/>
  <c r="M296" i="2" s="1"/>
  <c r="E295" i="2"/>
  <c r="F295" i="2" s="1"/>
  <c r="E293" i="2"/>
  <c r="F293" i="2" s="1"/>
  <c r="L293" i="2" s="1"/>
  <c r="M293" i="2" s="1"/>
  <c r="E292" i="2"/>
  <c r="F292" i="2" s="1"/>
  <c r="J292" i="2" s="1"/>
  <c r="M292" i="2" s="1"/>
  <c r="E290" i="2"/>
  <c r="F290" i="2" s="1"/>
  <c r="H290" i="2" s="1"/>
  <c r="M290" i="2" s="1"/>
  <c r="E289" i="2"/>
  <c r="F289" i="2" s="1"/>
  <c r="H289" i="2" s="1"/>
  <c r="M289" i="2" s="1"/>
  <c r="H288" i="2"/>
  <c r="M288" i="2" s="1"/>
  <c r="L287" i="2"/>
  <c r="H287" i="2"/>
  <c r="E286" i="2"/>
  <c r="F286" i="2" s="1"/>
  <c r="L286" i="2" s="1"/>
  <c r="M286" i="2" s="1"/>
  <c r="E285" i="2"/>
  <c r="F285" i="2" s="1"/>
  <c r="J285" i="2" s="1"/>
  <c r="M285" i="2" s="1"/>
  <c r="F283" i="2"/>
  <c r="H283" i="2" s="1"/>
  <c r="M283" i="2" s="1"/>
  <c r="F282" i="2"/>
  <c r="L282" i="2" s="1"/>
  <c r="F281" i="2"/>
  <c r="L281" i="2" s="1"/>
  <c r="M281" i="2" s="1"/>
  <c r="F280" i="2"/>
  <c r="J280" i="2" s="1"/>
  <c r="M280" i="2" s="1"/>
  <c r="F278" i="2"/>
  <c r="L278" i="2" s="1"/>
  <c r="M278" i="2" s="1"/>
  <c r="F276" i="2"/>
  <c r="J276" i="2" s="1"/>
  <c r="M276" i="2" s="1"/>
  <c r="E274" i="2"/>
  <c r="F274" i="2" s="1"/>
  <c r="H274" i="2" s="1"/>
  <c r="M274" i="2" s="1"/>
  <c r="E273" i="2"/>
  <c r="F273" i="2" s="1"/>
  <c r="L273" i="2" s="1"/>
  <c r="M273" i="2" s="1"/>
  <c r="E272" i="2"/>
  <c r="F272" i="2" s="1"/>
  <c r="L272" i="2" s="1"/>
  <c r="M272" i="2" s="1"/>
  <c r="E271" i="2"/>
  <c r="F271" i="2" s="1"/>
  <c r="J271" i="2" s="1"/>
  <c r="M271" i="2" s="1"/>
  <c r="L268" i="2"/>
  <c r="J268" i="2"/>
  <c r="H268" i="2"/>
  <c r="H267" i="2"/>
  <c r="M267" i="2" s="1"/>
  <c r="H265" i="2"/>
  <c r="M265" i="2" s="1"/>
  <c r="H264" i="2"/>
  <c r="M264" i="2" s="1"/>
  <c r="H263" i="2"/>
  <c r="M263" i="2" s="1"/>
  <c r="H262" i="2"/>
  <c r="M262" i="2" s="1"/>
  <c r="H261" i="2"/>
  <c r="M261" i="2" s="1"/>
  <c r="H260" i="2"/>
  <c r="M260" i="2" s="1"/>
  <c r="H259" i="2"/>
  <c r="M259" i="2" s="1"/>
  <c r="H258" i="2"/>
  <c r="M258" i="2" s="1"/>
  <c r="H257" i="2"/>
  <c r="M257" i="2" s="1"/>
  <c r="H256" i="2"/>
  <c r="M256" i="2" s="1"/>
  <c r="H255" i="2"/>
  <c r="M255" i="2" s="1"/>
  <c r="H254" i="2"/>
  <c r="M254" i="2" s="1"/>
  <c r="H253" i="2"/>
  <c r="M253" i="2" s="1"/>
  <c r="H252" i="2"/>
  <c r="M252" i="2" s="1"/>
  <c r="H251" i="2"/>
  <c r="M251" i="2" s="1"/>
  <c r="F247" i="2"/>
  <c r="F248" i="2" s="1"/>
  <c r="J248" i="2" s="1"/>
  <c r="M248" i="2" s="1"/>
  <c r="E246" i="2"/>
  <c r="F246" i="2" s="1"/>
  <c r="H246" i="2" s="1"/>
  <c r="M246" i="2" s="1"/>
  <c r="E245" i="2"/>
  <c r="F245" i="2" s="1"/>
  <c r="H245" i="2" s="1"/>
  <c r="M245" i="2" s="1"/>
  <c r="E244" i="2"/>
  <c r="F244" i="2" s="1"/>
  <c r="H244" i="2" s="1"/>
  <c r="M244" i="2" s="1"/>
  <c r="E242" i="2"/>
  <c r="F242" i="2" s="1"/>
  <c r="L242" i="2" s="1"/>
  <c r="M242" i="2" s="1"/>
  <c r="E241" i="2"/>
  <c r="F241" i="2" s="1"/>
  <c r="J241" i="2" s="1"/>
  <c r="M241" i="2" s="1"/>
  <c r="F239" i="2"/>
  <c r="J239" i="2" s="1"/>
  <c r="E238" i="2"/>
  <c r="F238" i="2" s="1"/>
  <c r="H238" i="2" s="1"/>
  <c r="M238" i="2" s="1"/>
  <c r="E237" i="2"/>
  <c r="F237" i="2" s="1"/>
  <c r="H237" i="2" s="1"/>
  <c r="M237" i="2" s="1"/>
  <c r="F235" i="2"/>
  <c r="L235" i="2" s="1"/>
  <c r="M235" i="2" s="1"/>
  <c r="F234" i="2"/>
  <c r="J234" i="2" s="1"/>
  <c r="M234" i="2" s="1"/>
  <c r="F231" i="2"/>
  <c r="L231" i="2" s="1"/>
  <c r="M231" i="2" s="1"/>
  <c r="L230" i="2"/>
  <c r="J230" i="2"/>
  <c r="H230" i="2"/>
  <c r="L229" i="2"/>
  <c r="J229" i="2"/>
  <c r="H229" i="2"/>
  <c r="F225" i="2"/>
  <c r="F227" i="2" s="1"/>
  <c r="L227" i="2" s="1"/>
  <c r="M227" i="2" s="1"/>
  <c r="F217" i="2"/>
  <c r="H217" i="2" s="1"/>
  <c r="M217" i="2" s="1"/>
  <c r="L216" i="2"/>
  <c r="J216" i="2"/>
  <c r="H216" i="2"/>
  <c r="L215" i="2"/>
  <c r="J215" i="2"/>
  <c r="H215" i="2"/>
  <c r="L214" i="2"/>
  <c r="J214" i="2"/>
  <c r="H214" i="2"/>
  <c r="H213" i="2"/>
  <c r="M213" i="2" s="1"/>
  <c r="F211" i="2"/>
  <c r="L211" i="2" s="1"/>
  <c r="M211" i="2" s="1"/>
  <c r="F210" i="2"/>
  <c r="J210" i="2" s="1"/>
  <c r="M210" i="2" s="1"/>
  <c r="F208" i="2"/>
  <c r="F207" i="2"/>
  <c r="H207" i="2" s="1"/>
  <c r="M207" i="2" s="1"/>
  <c r="F205" i="2"/>
  <c r="L205" i="2" s="1"/>
  <c r="M205" i="2" s="1"/>
  <c r="F204" i="2"/>
  <c r="J204" i="2" s="1"/>
  <c r="M204" i="2" s="1"/>
  <c r="F202" i="2"/>
  <c r="H202" i="2" s="1"/>
  <c r="M202" i="2" s="1"/>
  <c r="H199" i="2"/>
  <c r="M199" i="2" s="1"/>
  <c r="F197" i="2"/>
  <c r="L197" i="2" s="1"/>
  <c r="M197" i="2" s="1"/>
  <c r="F196" i="2"/>
  <c r="J196" i="2" s="1"/>
  <c r="M196" i="2" s="1"/>
  <c r="F172" i="2"/>
  <c r="H176" i="2"/>
  <c r="M176" i="2" s="1"/>
  <c r="H177" i="2"/>
  <c r="M177" i="2" s="1"/>
  <c r="F136" i="2"/>
  <c r="J136" i="2" s="1"/>
  <c r="F135" i="2"/>
  <c r="H135" i="2" s="1"/>
  <c r="F134" i="2"/>
  <c r="L134" i="2" s="1"/>
  <c r="F133" i="2"/>
  <c r="L133" i="2" s="1"/>
  <c r="F132" i="2"/>
  <c r="J132" i="2" s="1"/>
  <c r="F131" i="2"/>
  <c r="H131" i="2" s="1"/>
  <c r="E118" i="2"/>
  <c r="F118" i="2" s="1"/>
  <c r="H118" i="2" s="1"/>
  <c r="M118" i="2" s="1"/>
  <c r="E117" i="2"/>
  <c r="F117" i="2" s="1"/>
  <c r="H117" i="2" s="1"/>
  <c r="M117" i="2" s="1"/>
  <c r="E116" i="2"/>
  <c r="F116" i="2" s="1"/>
  <c r="L116" i="2" s="1"/>
  <c r="M116" i="2" s="1"/>
  <c r="E115" i="2"/>
  <c r="F115" i="2" s="1"/>
  <c r="J115" i="2" s="1"/>
  <c r="M115" i="2" s="1"/>
  <c r="F65" i="2"/>
  <c r="H65" i="2" s="1"/>
  <c r="M65" i="2" s="1"/>
  <c r="F64" i="2"/>
  <c r="H64" i="2" s="1"/>
  <c r="M64" i="2" s="1"/>
  <c r="F63" i="2"/>
  <c r="H63" i="2" s="1"/>
  <c r="M63" i="2" s="1"/>
  <c r="F62" i="2"/>
  <c r="L62" i="2" s="1"/>
  <c r="M62" i="2" s="1"/>
  <c r="F61" i="2"/>
  <c r="J61" i="2" s="1"/>
  <c r="M61" i="2" s="1"/>
  <c r="E43" i="2"/>
  <c r="F43" i="2" s="1"/>
  <c r="H43" i="2" s="1"/>
  <c r="M43" i="2" s="1"/>
  <c r="F42" i="2"/>
  <c r="H42" i="2" s="1"/>
  <c r="M42" i="2" s="1"/>
  <c r="E41" i="2"/>
  <c r="F41" i="2" s="1"/>
  <c r="H41" i="2" s="1"/>
  <c r="M41" i="2" s="1"/>
  <c r="E40" i="2"/>
  <c r="F40" i="2" s="1"/>
  <c r="L40" i="2" s="1"/>
  <c r="M40" i="2" s="1"/>
  <c r="E39" i="2"/>
  <c r="F39" i="2" s="1"/>
  <c r="J39" i="2" s="1"/>
  <c r="M39" i="2" s="1"/>
  <c r="F37" i="2"/>
  <c r="H37" i="2" s="1"/>
  <c r="M37" i="2" s="1"/>
  <c r="F36" i="2"/>
  <c r="H36" i="2" s="1"/>
  <c r="M36" i="2" s="1"/>
  <c r="F35" i="2"/>
  <c r="H35" i="2" s="1"/>
  <c r="F34" i="2"/>
  <c r="L34" i="2" s="1"/>
  <c r="M34" i="2" s="1"/>
  <c r="E33" i="2"/>
  <c r="F33" i="2" s="1"/>
  <c r="J33" i="2" s="1"/>
  <c r="M33" i="2" s="1"/>
  <c r="M308" i="2" l="1"/>
  <c r="H332" i="2"/>
  <c r="M307" i="2"/>
  <c r="L332" i="2"/>
  <c r="L208" i="2"/>
  <c r="H208" i="2"/>
  <c r="M35" i="2"/>
  <c r="F304" i="2"/>
  <c r="J304" i="2" s="1"/>
  <c r="M287" i="2"/>
  <c r="M229" i="2"/>
  <c r="H295" i="2"/>
  <c r="M295" i="2" s="1"/>
  <c r="M230" i="2"/>
  <c r="M268" i="2"/>
  <c r="M214" i="2"/>
  <c r="H282" i="2"/>
  <c r="M282" i="2" s="1"/>
  <c r="M216" i="2"/>
  <c r="F226" i="2"/>
  <c r="J226" i="2" s="1"/>
  <c r="M226" i="2" s="1"/>
  <c r="M215" i="2"/>
  <c r="H239" i="2"/>
  <c r="M239" i="2" s="1"/>
  <c r="F266" i="2"/>
  <c r="H266" i="2" s="1"/>
  <c r="M266" i="2" s="1"/>
  <c r="F249" i="2"/>
  <c r="L249" i="2" s="1"/>
  <c r="M249" i="2" s="1"/>
  <c r="H134" i="2"/>
  <c r="L132" i="2"/>
  <c r="H132" i="2"/>
  <c r="J134" i="2"/>
  <c r="H136" i="2"/>
  <c r="J133" i="2"/>
  <c r="L136" i="2"/>
  <c r="J131" i="2"/>
  <c r="J135" i="2"/>
  <c r="L131" i="2"/>
  <c r="H133" i="2"/>
  <c r="L135" i="2"/>
  <c r="M304" i="2" l="1"/>
  <c r="M332" i="2" s="1"/>
  <c r="M334" i="2" s="1"/>
  <c r="M336" i="2" s="1"/>
  <c r="J332" i="2"/>
  <c r="M208" i="2"/>
  <c r="M133" i="2"/>
  <c r="M132" i="2"/>
  <c r="M134" i="2"/>
  <c r="M136" i="2"/>
  <c r="M131" i="2"/>
  <c r="M135" i="2"/>
  <c r="F158" i="2" l="1"/>
  <c r="L158" i="2" s="1"/>
  <c r="M158" i="2" s="1"/>
  <c r="F175" i="2"/>
  <c r="L175" i="2" s="1"/>
  <c r="M175" i="2" s="1"/>
  <c r="F174" i="2"/>
  <c r="H174" i="2" s="1"/>
  <c r="M174" i="2" s="1"/>
  <c r="H178" i="2"/>
  <c r="M178" i="2" s="1"/>
  <c r="F173" i="2"/>
  <c r="J173" i="2" s="1"/>
  <c r="M173" i="2" s="1"/>
  <c r="F170" i="2"/>
  <c r="L170" i="2" s="1"/>
  <c r="M170" i="2" s="1"/>
  <c r="F169" i="2"/>
  <c r="H169" i="2" s="1"/>
  <c r="M169" i="2" s="1"/>
  <c r="F171" i="2"/>
  <c r="H171" i="2" s="1"/>
  <c r="M171" i="2" s="1"/>
  <c r="F168" i="2"/>
  <c r="J168" i="2" s="1"/>
  <c r="M168" i="2" s="1"/>
  <c r="H160" i="2"/>
  <c r="M160" i="2" s="1"/>
  <c r="H159" i="2"/>
  <c r="M159" i="2" s="1"/>
  <c r="F152" i="2"/>
  <c r="L152" i="2" s="1"/>
  <c r="M152" i="2" s="1"/>
  <c r="F151" i="2"/>
  <c r="H151" i="2" s="1"/>
  <c r="M151" i="2" s="1"/>
  <c r="H154" i="2"/>
  <c r="M154" i="2" s="1"/>
  <c r="H153" i="2"/>
  <c r="M153" i="2" s="1"/>
  <c r="F150" i="2"/>
  <c r="J150" i="2" s="1"/>
  <c r="M150" i="2" s="1"/>
  <c r="F148" i="2"/>
  <c r="H148" i="2" s="1"/>
  <c r="M148" i="2" s="1"/>
  <c r="F147" i="2"/>
  <c r="H147" i="2" s="1"/>
  <c r="M147" i="2" s="1"/>
  <c r="F146" i="2"/>
  <c r="J146" i="2" s="1"/>
  <c r="M146" i="2" s="1"/>
  <c r="F156" i="2" l="1"/>
  <c r="J156" i="2" s="1"/>
  <c r="M156" i="2" s="1"/>
  <c r="F157" i="2"/>
  <c r="H157" i="2" s="1"/>
  <c r="M157" i="2" s="1"/>
  <c r="F129" i="2"/>
  <c r="H129" i="2" s="1"/>
  <c r="M129" i="2" s="1"/>
  <c r="F128" i="2" l="1"/>
  <c r="H128" i="2" s="1"/>
  <c r="M128" i="2" s="1"/>
  <c r="F125" i="2"/>
  <c r="J125" i="2" s="1"/>
  <c r="M125" i="2" s="1"/>
  <c r="F126" i="2"/>
  <c r="L126" i="2" s="1"/>
  <c r="M126" i="2" s="1"/>
  <c r="F127" i="2"/>
  <c r="H127" i="2" s="1"/>
  <c r="M127" i="2" s="1"/>
  <c r="F57" i="2" l="1"/>
  <c r="H57" i="2" s="1"/>
  <c r="M57" i="2" s="1"/>
  <c r="F59" i="2" l="1"/>
  <c r="H59" i="2" s="1"/>
  <c r="M59" i="2" s="1"/>
  <c r="F58" i="2"/>
  <c r="H58" i="2" s="1"/>
  <c r="F56" i="2"/>
  <c r="L56" i="2" s="1"/>
  <c r="M56" i="2" s="1"/>
  <c r="F55" i="2"/>
  <c r="J55" i="2" s="1"/>
  <c r="M55" i="2" s="1"/>
  <c r="M58" i="2" l="1"/>
  <c r="F19" i="2"/>
  <c r="L19" i="2" s="1"/>
  <c r="M19" i="2" s="1"/>
  <c r="F18" i="2"/>
  <c r="J18" i="2" s="1"/>
  <c r="M18" i="2" s="1"/>
  <c r="F16" i="2"/>
  <c r="L16" i="2" s="1"/>
  <c r="M16" i="2" s="1"/>
  <c r="F15" i="2"/>
  <c r="J15" i="2" s="1"/>
  <c r="M15" i="2" s="1"/>
  <c r="F22" i="2" l="1"/>
  <c r="L22" i="2" s="1"/>
  <c r="M22" i="2" s="1"/>
  <c r="F21" i="2"/>
  <c r="J21" i="2" s="1"/>
  <c r="M21" i="2" s="1"/>
  <c r="F13" i="2" l="1"/>
  <c r="L13" i="2" s="1"/>
  <c r="M13" i="2" s="1"/>
  <c r="F12" i="2"/>
  <c r="J12" i="2" s="1"/>
  <c r="M12" i="2" s="1"/>
  <c r="F123" i="2" l="1"/>
  <c r="H123" i="2" s="1"/>
  <c r="M123" i="2" s="1"/>
  <c r="F122" i="2"/>
  <c r="H122" i="2" s="1"/>
  <c r="M122" i="2" s="1"/>
  <c r="F121" i="2"/>
  <c r="L121" i="2" s="1"/>
  <c r="M121" i="2" s="1"/>
  <c r="F120" i="2"/>
  <c r="J120" i="2" s="1"/>
  <c r="M120" i="2" s="1"/>
  <c r="F98" i="2"/>
  <c r="H98" i="2" s="1"/>
  <c r="M98" i="2" s="1"/>
  <c r="F97" i="2"/>
  <c r="H97" i="2" s="1"/>
  <c r="M97" i="2" s="1"/>
  <c r="F96" i="2"/>
  <c r="H96" i="2" s="1"/>
  <c r="M96" i="2" s="1"/>
  <c r="F95" i="2"/>
  <c r="H95" i="2" s="1"/>
  <c r="M95" i="2" s="1"/>
  <c r="F94" i="2"/>
  <c r="H94" i="2" s="1"/>
  <c r="M94" i="2" s="1"/>
  <c r="F93" i="2"/>
  <c r="L93" i="2" s="1"/>
  <c r="M93" i="2" s="1"/>
  <c r="F92" i="2"/>
  <c r="J92" i="2" s="1"/>
  <c r="M92" i="2" s="1"/>
  <c r="F90" i="2"/>
  <c r="H90" i="2" s="1"/>
  <c r="M90" i="2" s="1"/>
  <c r="F48" i="2"/>
  <c r="H48" i="2" s="1"/>
  <c r="M48" i="2" s="1"/>
  <c r="F47" i="2"/>
  <c r="H47" i="2" s="1"/>
  <c r="F46" i="2"/>
  <c r="L46" i="2" s="1"/>
  <c r="M46" i="2" s="1"/>
  <c r="F45" i="2"/>
  <c r="J45" i="2" s="1"/>
  <c r="M45" i="2" s="1"/>
  <c r="F75" i="2"/>
  <c r="H75" i="2" s="1"/>
  <c r="M47" i="2" l="1"/>
  <c r="M75" i="2"/>
  <c r="F73" i="2"/>
  <c r="J73" i="2" s="1"/>
  <c r="M73" i="2" s="1"/>
  <c r="F81" i="2"/>
  <c r="J81" i="2" s="1"/>
  <c r="M81" i="2" s="1"/>
  <c r="F74" i="2"/>
  <c r="L74" i="2" s="1"/>
  <c r="M74" i="2" s="1"/>
  <c r="F83" i="2"/>
  <c r="H83" i="2" s="1"/>
  <c r="M83" i="2" s="1"/>
  <c r="F85" i="2"/>
  <c r="H85" i="2" s="1"/>
  <c r="M85" i="2" s="1"/>
  <c r="F87" i="2"/>
  <c r="H87" i="2" s="1"/>
  <c r="M87" i="2" s="1"/>
  <c r="F82" i="2"/>
  <c r="L82" i="2" s="1"/>
  <c r="M82" i="2" s="1"/>
  <c r="F88" i="2"/>
  <c r="H88" i="2" s="1"/>
  <c r="M88" i="2" s="1"/>
  <c r="F84" i="2"/>
  <c r="H84" i="2" s="1"/>
  <c r="F89" i="2"/>
  <c r="H89" i="2" s="1"/>
  <c r="M89" i="2" s="1"/>
  <c r="F86" i="2"/>
  <c r="H86" i="2" s="1"/>
  <c r="M86" i="2" s="1"/>
  <c r="M84" i="2" l="1"/>
  <c r="F28" i="2"/>
  <c r="F27" i="2"/>
  <c r="J27" i="2" s="1"/>
  <c r="F112" i="2"/>
  <c r="H112" i="2" s="1"/>
  <c r="M112" i="2" s="1"/>
  <c r="F108" i="2"/>
  <c r="H108" i="2" s="1"/>
  <c r="M108" i="2" s="1"/>
  <c r="F109" i="2"/>
  <c r="H109" i="2" s="1"/>
  <c r="M109" i="2" s="1"/>
  <c r="F113" i="2"/>
  <c r="H113" i="2" s="1"/>
  <c r="M113" i="2" s="1"/>
  <c r="F111" i="2"/>
  <c r="H111" i="2" s="1"/>
  <c r="M111" i="2" s="1"/>
  <c r="F110" i="2"/>
  <c r="H110" i="2" s="1"/>
  <c r="M110" i="2" s="1"/>
  <c r="F107" i="2"/>
  <c r="L107" i="2" s="1"/>
  <c r="M107" i="2" s="1"/>
  <c r="F106" i="2"/>
  <c r="J106" i="2" s="1"/>
  <c r="M106" i="2" s="1"/>
  <c r="H137" i="2" l="1"/>
  <c r="F29" i="2"/>
  <c r="J29" i="2" s="1"/>
  <c r="M29" i="2" s="1"/>
  <c r="F30" i="2"/>
  <c r="L30" i="2" s="1"/>
  <c r="M27" i="2"/>
  <c r="M30" i="2" l="1"/>
  <c r="M137" i="2" s="1"/>
  <c r="L137" i="2"/>
  <c r="J137" i="2"/>
  <c r="H165" i="2"/>
  <c r="M165" i="2" s="1"/>
  <c r="H166" i="2"/>
  <c r="M166" i="2" s="1"/>
  <c r="F161" i="2"/>
  <c r="F163" i="2" s="1"/>
  <c r="H163" i="2" s="1"/>
  <c r="F162" i="2" l="1"/>
  <c r="J162" i="2" s="1"/>
  <c r="M162" i="2" s="1"/>
  <c r="F164" i="2"/>
  <c r="L164" i="2" s="1"/>
  <c r="L179" i="2" s="1"/>
  <c r="H179" i="2"/>
  <c r="M163" i="2"/>
  <c r="J179" i="2" l="1"/>
  <c r="M164" i="2"/>
  <c r="M179" i="2" s="1"/>
  <c r="M181" i="2" l="1"/>
  <c r="M183" i="2" s="1"/>
  <c r="M185" i="2" l="1"/>
  <c r="H337" i="2" l="1"/>
  <c r="M139" i="2"/>
  <c r="M141" i="2" l="1"/>
  <c r="M143" i="2" l="1"/>
  <c r="L337" i="2"/>
  <c r="H193" i="2" l="1"/>
  <c r="M193" i="2" s="1"/>
  <c r="F191" i="2"/>
  <c r="L191" i="2" s="1"/>
  <c r="F190" i="2" l="1"/>
  <c r="J190" i="2" s="1"/>
  <c r="M190" i="2" s="1"/>
  <c r="M191" i="2"/>
  <c r="L297" i="2"/>
  <c r="F194" i="2"/>
  <c r="H194" i="2" s="1"/>
  <c r="M194" i="2" s="1"/>
  <c r="H297" i="2" l="1"/>
  <c r="J297" i="2"/>
  <c r="J337" i="2" s="1"/>
  <c r="E10" i="1" s="1"/>
  <c r="E11" i="1" s="1"/>
  <c r="E12" i="1" s="1"/>
  <c r="E13" i="1" s="1"/>
  <c r="E14" i="1" s="1"/>
  <c r="M297" i="2"/>
  <c r="M299" i="2" l="1"/>
  <c r="M301" i="2" l="1"/>
  <c r="M337" i="2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<sst xmlns="http://schemas.openxmlformats.org/spreadsheetml/2006/main" count="777" uniqueCount="331">
  <si>
    <t>nakrebi xarjTaRricxva</t>
  </si>
  <si>
    <t>#</t>
  </si>
  <si>
    <t>samuSaoebis dasaxeleba</t>
  </si>
  <si>
    <t>ganz. erTeuli</t>
  </si>
  <si>
    <t>Rirebuleba lari</t>
  </si>
  <si>
    <t>maT Soris xelfasi</t>
  </si>
  <si>
    <t>lari</t>
  </si>
  <si>
    <t>jami</t>
  </si>
  <si>
    <t>gauTvaliswinebeli xarjebi</t>
  </si>
  <si>
    <t>d.R.g.</t>
  </si>
  <si>
    <t>sul jami</t>
  </si>
  <si>
    <t>ობიექტის ლოკალური  ხარჯთაღრიცხვა</t>
  </si>
  <si>
    <t>სახარჯთაღრიცხვო ღირებულება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</si>
  <si>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</si>
  <si>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</si>
  <si>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</si>
  <si>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</si>
  <si>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</si>
  <si>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</si>
  <si>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</si>
  <si>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</si>
  <si>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</si>
  <si>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</si>
  <si>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</si>
  <si>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</si>
  <si>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 xml:space="preserve">I.  დემონტაჟის სამუშაოები </t>
  </si>
  <si>
    <t>შრომითი რესურსი</t>
  </si>
  <si>
    <t>კაც/სთ</t>
  </si>
  <si>
    <t>მანქანები</t>
  </si>
  <si>
    <t>ლარი</t>
  </si>
  <si>
    <t>რ 21-87</t>
  </si>
  <si>
    <t>ტერიტორიის გასუფთავება სამშენებლო ნაგვისგან</t>
  </si>
  <si>
    <t>ტონა</t>
  </si>
  <si>
    <t>რ 1-3 გამ.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</si>
  <si>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</si>
  <si>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სამშენებლო ნაგვის ტრანსპორტირება 10 კმ-ზე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</si>
  <si>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</si>
  <si>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კგ.</t>
  </si>
  <si>
    <t>სხვა ხარჯები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</si>
  <si>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</si>
  <si>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ცალი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</si>
  <si>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</si>
  <si>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სხვა მანქანები</t>
  </si>
  <si>
    <t xml:space="preserve">ს.ნ. და წ.                                                      9-14-5                                              </t>
  </si>
  <si>
    <t>მეტალოპლასტმასის ფანჯრის ბლოკის მოწყობა ორმაგი მინა პაკეტით</t>
  </si>
  <si>
    <t>კაც/სათ</t>
  </si>
  <si>
    <t>ს.ნ. და წ.                                    15-55-1</t>
  </si>
  <si>
    <t xml:space="preserve">ს.ნ. და წ.                                          34-58                             34-61-13 </t>
  </si>
  <si>
    <t>ჭერზე თაბაშირ მუყაოს ფილების მოწყობა</t>
  </si>
  <si>
    <t>თაბაშირ მუყაოს ფილა სისქით 12,5 მმ.</t>
  </si>
  <si>
    <r>
      <t xml:space="preserve">პროფილი </t>
    </r>
    <r>
      <rPr>
        <b/>
        <sz val="11"/>
        <color theme="1"/>
        <rFont val="Calibri"/>
        <family val="2"/>
        <charset val="204"/>
        <scheme val="minor"/>
      </rPr>
      <t>UD</t>
    </r>
    <r>
      <rPr>
        <sz val="11"/>
        <color theme="1"/>
        <rFont val="Calibri"/>
        <family val="2"/>
        <scheme val="minor"/>
      </rPr>
      <t xml:space="preserve"> 0,50*67,50*3000</t>
    </r>
  </si>
  <si>
    <r>
      <t xml:space="preserve">პროფილი </t>
    </r>
    <r>
      <rPr>
        <b/>
        <sz val="11"/>
        <color theme="1"/>
        <rFont val="Calibri"/>
        <family val="2"/>
        <charset val="204"/>
        <scheme val="minor"/>
      </rPr>
      <t xml:space="preserve">СD </t>
    </r>
    <r>
      <rPr>
        <sz val="11"/>
        <color theme="1"/>
        <rFont val="Calibri"/>
        <family val="2"/>
        <scheme val="minor"/>
      </rPr>
      <t>0,50*120*3000</t>
    </r>
  </si>
  <si>
    <t>საკიდი 20 სმ.</t>
  </si>
  <si>
    <t>კაუჭი ანკერის</t>
  </si>
  <si>
    <t>დუბელი პლასტმასის "K"6*40</t>
  </si>
  <si>
    <t>სჭვალი თვითმჭრელი TN25</t>
  </si>
  <si>
    <t>ს.ნ. და წ.                      15-168-9</t>
  </si>
  <si>
    <t>წყალემულსიური საღებავი (მაღალი ხარისხის)</t>
  </si>
  <si>
    <t>საფითხნი</t>
  </si>
  <si>
    <t>თვითწებადი ლენტი</t>
  </si>
  <si>
    <t>მეტრი</t>
  </si>
  <si>
    <t>საგრუნტი შიდა კედლებისათვის</t>
  </si>
  <si>
    <t>ზუმფარა</t>
  </si>
  <si>
    <t>ს.ნ. და წ.                                   15-168-10</t>
  </si>
  <si>
    <t>წყალემულსიური საღებავი</t>
  </si>
  <si>
    <t>ს.ნ. და წ.                                          11-8-1-2</t>
  </si>
  <si>
    <t>ხსნარი წყობის, სასაქონ. მძიმე, ცემენტის მ-100</t>
  </si>
  <si>
    <t xml:space="preserve">ზედნადები ხარჯები </t>
  </si>
  <si>
    <t>გეგმიური დაგროვება</t>
  </si>
  <si>
    <t>8-402-2</t>
  </si>
  <si>
    <t>ელ. სადენების მონტაჟი</t>
  </si>
  <si>
    <t>მატერიალური რესურსი</t>
  </si>
  <si>
    <t>ჩამრთველ-გამომრთველ 1 პოლუსიანი</t>
  </si>
  <si>
    <t>როზეტის მონტაჟი დამიწების კონტურით</t>
  </si>
  <si>
    <t>შეკიდული ჭერის ლედ ტიპის სანათი 18ვატ.</t>
  </si>
  <si>
    <t>ზედნადები ხარჯები მონტაჟზე ხელფასიდან</t>
  </si>
  <si>
    <r>
      <t>მ</t>
    </r>
    <r>
      <rPr>
        <b/>
        <vertAlign val="superscript"/>
        <sz val="11"/>
        <rFont val="AcadNusx"/>
      </rPr>
      <t>2</t>
    </r>
  </si>
  <si>
    <t>ს.ნ და წ.                                46-15-2</t>
  </si>
  <si>
    <t xml:space="preserve">ს.ნ. და წ.                        46-21-1                               </t>
  </si>
  <si>
    <t>მ.</t>
  </si>
  <si>
    <t>ს.ნ. და წ.                                 46-32-3</t>
  </si>
  <si>
    <t xml:space="preserve">ს.ნ. და წ.                              46-32-1                                  </t>
  </si>
  <si>
    <t xml:space="preserve">ს.ნ. და წ.                                        10-20-3                                                   </t>
  </si>
  <si>
    <t>ხე-მასალა 25-32 მმ.</t>
  </si>
  <si>
    <t>წებო-ცემენტი</t>
  </si>
  <si>
    <t>ს.ნ. და წ.                                 11-20-3</t>
  </si>
  <si>
    <t>კერამო-გრანიტის ფილა (ხაოიანი) (ტექსტურა დამკვეთთან შეთანხმებით)</t>
  </si>
  <si>
    <t>21-7</t>
  </si>
  <si>
    <t>8-526-2</t>
  </si>
  <si>
    <t>ავტომატური ამომრთველების მონტაჟი</t>
  </si>
  <si>
    <t>ავტომატური ამომრთველი 25 ამპ. 1 პოლუსიანი</t>
  </si>
  <si>
    <t>ავტომატური ამომრთველი 63 ამპ. 2 პოლუსიანი</t>
  </si>
  <si>
    <r>
      <t>ელ. სადენი 3*2.5 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</si>
  <si>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ელ. სადენი 3*1.5 მმ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</si>
  <si>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ელ. გამანაწილებელი დაფის მოწყობა და მისი მომზადება ჩართვისთვის</t>
  </si>
  <si>
    <t>1 კომპ.</t>
  </si>
  <si>
    <t>როზეტი დამიწების კონტური</t>
  </si>
  <si>
    <t>ჩაფლული ტიპის ჩამრთველის მონტაჟი</t>
  </si>
  <si>
    <t>8-591-2</t>
  </si>
  <si>
    <t>ც.</t>
  </si>
  <si>
    <t>8-591-7</t>
  </si>
  <si>
    <t>8-594-1</t>
  </si>
  <si>
    <t>5-98</t>
  </si>
  <si>
    <t>5-31</t>
  </si>
  <si>
    <t>10-2-3</t>
  </si>
  <si>
    <t>სილა-ცემენტის ხსნარი 1:3</t>
  </si>
  <si>
    <t>4-386</t>
  </si>
  <si>
    <t>10-1-1</t>
  </si>
  <si>
    <t>10-1-23</t>
  </si>
  <si>
    <t>10-1-20</t>
  </si>
  <si>
    <t>10-1-40</t>
  </si>
  <si>
    <t>10-1-38</t>
  </si>
  <si>
    <t>4-2-45</t>
  </si>
  <si>
    <t>4-2-84</t>
  </si>
  <si>
    <t>4-2-103</t>
  </si>
  <si>
    <t>4-3-38</t>
  </si>
  <si>
    <t>4-377</t>
  </si>
  <si>
    <t>4-336</t>
  </si>
  <si>
    <t>4-201</t>
  </si>
  <si>
    <t>8-14-14</t>
  </si>
  <si>
    <t>8-14-53</t>
  </si>
  <si>
    <t>8-14-55</t>
  </si>
  <si>
    <t>8-14-237</t>
  </si>
  <si>
    <t>საბაზრო</t>
  </si>
  <si>
    <t>გამანაწილებელი ელ. კარადა პლასტმასის F/M 12</t>
  </si>
  <si>
    <t>8-14-330</t>
  </si>
  <si>
    <t>1,10-10</t>
  </si>
  <si>
    <t>1,10-25</t>
  </si>
  <si>
    <t>8,3-21</t>
  </si>
  <si>
    <t>8,3-20</t>
  </si>
  <si>
    <t>4-2-44</t>
  </si>
  <si>
    <t>კედლების დამუშავება ფითხით და შეღებვა წყალემულსიური საღებავით ორჯერ</t>
  </si>
  <si>
    <t>ჭერის დამუშავება ფითხით და შეღებვა წყალემულსიური საღებავით ორჯერ</t>
  </si>
  <si>
    <t>მასალის ტრანსპორტირება (მასალების ღირებულებიდან)</t>
  </si>
  <si>
    <t>სამშენებლო ნაგვის დატვირთვა ავტოთვითმცლელზე ხელით და გატანა საამშენებლო ნაგავსაყრელზე</t>
  </si>
  <si>
    <t>ხვრელების გამოტეხვა კედლებში ელ. სადენებისა და სანტექნიკური გაყვანილობებისათვის</t>
  </si>
  <si>
    <t>კედლების მაღალხარისხოვანი შელესვა</t>
  </si>
  <si>
    <t>8-15-1</t>
  </si>
  <si>
    <t>srf.4.1.35</t>
  </si>
  <si>
    <t>ბლოკი 20X40X20</t>
  </si>
  <si>
    <t>srf.4.1.366</t>
  </si>
  <si>
    <t>8-17-3</t>
  </si>
  <si>
    <t>srf.4.1.39</t>
  </si>
  <si>
    <t>MDF-ის კარის (ყრუ კარი) მოწყობა (მოწყობილობების კომპლექტით)</t>
  </si>
  <si>
    <t>6-1-5</t>
  </si>
  <si>
    <t>srf.4.9</t>
  </si>
  <si>
    <t>srf.4.1.337</t>
  </si>
  <si>
    <t>იმავე იატაკებზე ქვიშა-ცემენტის ხსნარის მოჭიმვა გასაშუალებული სისქით 5 სმ.</t>
  </si>
  <si>
    <t xml:space="preserve">იატაკზე კერამო-გრანიტის ფილების მოწყობა </t>
  </si>
  <si>
    <t>11_27_6</t>
  </si>
  <si>
    <t>სრფ.5.115</t>
  </si>
  <si>
    <t>სრფ.5.122</t>
  </si>
  <si>
    <t>ჩამრთველ-გამომრთველ 2 პოლუსიანი</t>
  </si>
  <si>
    <t>კედელზე მისაყენებელი ბრა</t>
  </si>
  <si>
    <t>შეკიდული ჭერის ლედ ტიპის სანათი 32ვატ.</t>
  </si>
  <si>
    <t>შეკიდული ჭერის ლედ სანათების და გარე ბრის  მონტაჟი</t>
  </si>
  <si>
    <t>ქვიშა-ცემენტის ხსნარი</t>
  </si>
  <si>
    <t>მ3</t>
  </si>
  <si>
    <t>სატიხრე ბლოკი 10X40X20</t>
  </si>
  <si>
    <t>სხვა მასალები</t>
  </si>
  <si>
    <t>ტიხრების მოწყობა წვრილი სამშენებლო ბლოკით</t>
  </si>
  <si>
    <t>შრომის დანახარჯი</t>
  </si>
  <si>
    <t>კ/სთ</t>
  </si>
  <si>
    <t>ბეტონი (B15)</t>
  </si>
  <si>
    <r>
      <t xml:space="preserve">იატაკების გასწორება მოყვანა ერთდაიგივე ნიშნულებამდე საშუალოდ სისქით 10 სმ ბეტონით </t>
    </r>
    <r>
      <rPr>
        <b/>
        <sz val="9"/>
        <rFont val="Arial"/>
        <family val="2"/>
        <charset val="204"/>
      </rPr>
      <t>B</t>
    </r>
    <r>
      <rPr>
        <b/>
        <sz val="9"/>
        <rFont val="AcadNusx"/>
      </rPr>
      <t>15</t>
    </r>
  </si>
  <si>
    <t>ლამინატის ქვესადები</t>
  </si>
  <si>
    <t xml:space="preserve"> პლინტუსი</t>
  </si>
  <si>
    <t>გრძ.მ.</t>
  </si>
  <si>
    <t>შიდა საკანალიზაციო  სისტემის და ცივი წყლის მოწყობა</t>
  </si>
  <si>
    <t>17-4-1</t>
  </si>
  <si>
    <t>უნიტაზების მონტაჟი</t>
  </si>
  <si>
    <t>კომპ</t>
  </si>
  <si>
    <t>17-6-2</t>
  </si>
  <si>
    <t>17-1-9</t>
  </si>
  <si>
    <t>ტრაპის მონტაჟი</t>
  </si>
  <si>
    <t>17-3-3</t>
  </si>
  <si>
    <t>შემრევი</t>
  </si>
  <si>
    <t>არგო  ვენტილი</t>
  </si>
  <si>
    <t>სფერული  ვენტილი   d=25</t>
  </si>
  <si>
    <t>სფერული  ვენტილი   d=32</t>
  </si>
  <si>
    <t>მ</t>
  </si>
  <si>
    <t xml:space="preserve"> სხვა მანქანები</t>
  </si>
  <si>
    <t>მატერიალური რესურსები</t>
  </si>
  <si>
    <t>მილების პლასტმასის სამაგრი დეტალები</t>
  </si>
  <si>
    <t>ც</t>
  </si>
  <si>
    <t>16–14–1</t>
  </si>
  <si>
    <t>20 მმ ცხელი წყლისათვის  პლასტმასის მილების მოწყობა</t>
  </si>
  <si>
    <t>მილი  პლასტმასის            d=20</t>
  </si>
  <si>
    <t>16–12–1</t>
  </si>
  <si>
    <t>სხვადასხვა ფასონური ნაწილების მონტაჟი</t>
  </si>
  <si>
    <t>8ა</t>
  </si>
  <si>
    <t>8ბ</t>
  </si>
  <si>
    <t>საკანალიზაციო ქსელი</t>
  </si>
  <si>
    <t>16-6-1</t>
  </si>
  <si>
    <t>სამგრი დეტალები</t>
  </si>
  <si>
    <t>კგ</t>
  </si>
  <si>
    <t>16-12-2</t>
  </si>
  <si>
    <t>2-*616</t>
  </si>
  <si>
    <t>2-217</t>
  </si>
  <si>
    <t>2-215</t>
  </si>
  <si>
    <t>სხვადასხვა  საკანალიზაციო მილების  ფიტინგები</t>
  </si>
  <si>
    <t>1-22-15</t>
  </si>
  <si>
    <t>1-79-3</t>
  </si>
  <si>
    <t>s.r.f.</t>
  </si>
  <si>
    <t>23-15-1-2</t>
  </si>
  <si>
    <t>23-12-6</t>
  </si>
  <si>
    <t>22-8-5</t>
  </si>
  <si>
    <t xml:space="preserve">ზედნადები  ხარჯები   </t>
  </si>
  <si>
    <t>გეგმიური  მოგება</t>
  </si>
  <si>
    <t>შრომის დანახარჯები</t>
  </si>
  <si>
    <t xml:space="preserve">სხვა მანქანა  </t>
  </si>
  <si>
    <t>მან.</t>
  </si>
  <si>
    <t>მასალა:</t>
  </si>
  <si>
    <t>სხვა მასალა</t>
  </si>
  <si>
    <t>მან</t>
  </si>
  <si>
    <t>ცხელი-ცივი  წყლის  შემრევებისა და ვენტილების მონტაჟი</t>
  </si>
  <si>
    <t>უნიტაზი შ.შ.მ. პირთათვის</t>
  </si>
  <si>
    <t>ხელსაბანი ნიჟარების მონტაჟი</t>
  </si>
  <si>
    <t>ხელსაბანი ნიჟარა</t>
  </si>
  <si>
    <t>ქურო    d=20</t>
  </si>
  <si>
    <t>II. შიდა სარემონტო სამუშაოები</t>
  </si>
  <si>
    <t>III ელ. სამონტაჟო სამუშაოები</t>
  </si>
  <si>
    <t>IV სანტექნიკური სამუშაოები</t>
  </si>
  <si>
    <t>გარე საკანალიზაციო  სისტემა</t>
  </si>
  <si>
    <t>V გარე სამუშაოები</t>
  </si>
  <si>
    <t>8-3-2</t>
  </si>
  <si>
    <t>მანქნები</t>
  </si>
  <si>
    <t>სხვა და სხვა მასალები</t>
  </si>
  <si>
    <t>6-1-1</t>
  </si>
  <si>
    <t>სულ ჯამი (I+V)</t>
  </si>
  <si>
    <t>ბაღდათის  მუნიციპალიტეტის სოფელ ვარციხის საექიმო ამბულატორიის რეაბილიტაციის სამუშაოები</t>
  </si>
  <si>
    <t>ბაღდათის მუნიციპალიტეტის სოფელ ვარციხის საექიმო ამბულატორიის რეაბილიტაციის სამუშაოები</t>
  </si>
  <si>
    <t>ბაღდათის მუნიციპალიტეტის სოფელ ვარციხის საექიმო ამბულატორიის რეაბილიტაცია</t>
  </si>
  <si>
    <t>ჭერებისა და კედლების გასუფთავება ძველი ნალესისგან (ფასადის კედლების გათვალისწინებით)</t>
  </si>
  <si>
    <t xml:space="preserve">ძველი დაზიანებული კარის ბლოკის დემონტაჟი </t>
  </si>
  <si>
    <t>ფანჯრის ბლოკის დემონტაჟი</t>
  </si>
  <si>
    <t xml:space="preserve">ღიობების ნაწილების ამოშენება  სამშენებლო ბლოკით (სისქით 20 სმ სმ)
</t>
  </si>
  <si>
    <t xml:space="preserve">ს.ნ. და წ.                        46-16-3                               </t>
  </si>
  <si>
    <t>კედლების გამოტეხვა კარისათვის</t>
  </si>
  <si>
    <t>MDF-ის კარი ყრუ (1,10*2,10) 3 ც.</t>
  </si>
  <si>
    <t>სანკვანძებში მეტალოპლასტმასის კარის (ყრუ კარი) ბლოკის მოწყობა (მოწყობილობების კომპლექტით)</t>
  </si>
  <si>
    <t>მეტალო-პლასტმასის ყრუ კარი (1,0*2,2) 2 ც.</t>
  </si>
  <si>
    <t>მეტალო პლასტმასის ფანჯრის ბლოკი ორმაგი მინა პაკეტით</t>
  </si>
  <si>
    <t>1-9-67</t>
  </si>
  <si>
    <t>იატაკის მოწყობა ნესტგამძლე დეზინფიცირებადი ლამინატით (პლინტუსითა და ქვესადების ფენით)</t>
  </si>
  <si>
    <t>ნესტგამძლე დეზინფიცირებადი ლამინატი</t>
  </si>
  <si>
    <t>ალუმინის ვიტრაჟის მოწყობა ორმაგი მინა პაკეტით</t>
  </si>
  <si>
    <t>ალუმინის ვიტრაჟის ბლოკი იზოპროფილი ორმაგი მინა პაკეტით</t>
  </si>
  <si>
    <t>3-2</t>
  </si>
  <si>
    <t>რკ/ბეტონის ფილა 1.2X1.2მ(სისქით 0.15მ) თუჯის მრგვალი ხუფით</t>
  </si>
  <si>
    <t>6–811</t>
  </si>
  <si>
    <t>6–809</t>
  </si>
  <si>
    <t>6–523</t>
  </si>
  <si>
    <t>6–806</t>
  </si>
  <si>
    <t>6–798</t>
  </si>
  <si>
    <t>6–793</t>
  </si>
  <si>
    <t>6–411</t>
  </si>
  <si>
    <t>6–669</t>
  </si>
  <si>
    <t>6–659</t>
  </si>
  <si>
    <t>შ.შ.მ. ხელჩასავლები აქსესუარი</t>
  </si>
  <si>
    <t>დასაკიდი ხელსაბანი შ.შ.მ. პირთათვის</t>
  </si>
  <si>
    <t>კუთხე    d=20</t>
  </si>
  <si>
    <t>6–487</t>
  </si>
  <si>
    <t>1-79-3_x000D_
კ=0.8</t>
  </si>
  <si>
    <t xml:space="preserve">გრუნტის დამუშავება ხელით ბილიკებისათვის იქვე გადაშლით </t>
  </si>
  <si>
    <t>შრომითი რესურსები</t>
  </si>
  <si>
    <t>საფუძვლის მოწყობა ფრაქციული ღორღით 0-40 სისქით საშუალოდ სისქით 10 სმ დატკეპვნით (შემკვრივებული მოცულობით)</t>
  </si>
  <si>
    <t>სრფ.4.1.241-244</t>
  </si>
  <si>
    <t>ფრაქციული ღორღი 0-40 მმ.</t>
  </si>
  <si>
    <t>მონოლითური რკ/ბეტონის სარინელის მოწყობა ბეტონით B25</t>
  </si>
  <si>
    <t>სრფ.4.1.337</t>
  </si>
  <si>
    <t>ბეტონი (B25)</t>
  </si>
  <si>
    <t>სრფ.5.81</t>
  </si>
  <si>
    <t>ყალიბის ფარი</t>
  </si>
  <si>
    <t>სრფ.4.9</t>
  </si>
  <si>
    <t>ხე მასალა</t>
  </si>
  <si>
    <t>III კატ. გრუნტის გაჭრა საკანალიზაციო ჭებისათვის</t>
  </si>
  <si>
    <t>ექსკავატორი 0.5 მ3</t>
  </si>
  <si>
    <t>მ/სთ</t>
  </si>
  <si>
    <t>ქვიშა</t>
  </si>
  <si>
    <t>იგივეს დამუშავება ხელით</t>
  </si>
  <si>
    <t>ტნ.</t>
  </si>
  <si>
    <t>საკანალიზაციო ჭის ძირის მოწყობა ბეტონი მ-250 (1 ერთეული)</t>
  </si>
  <si>
    <t>ბეტონი მ-250 ტრანსპორტირებით 7 კმ.</t>
  </si>
  <si>
    <t>ბიტუმის ემულსია</t>
  </si>
  <si>
    <t>ზედმეტი გრუნტის გატანა 5 კმ.</t>
  </si>
  <si>
    <t>ტრანსპორტირება 5 კმ-ზე</t>
  </si>
  <si>
    <r>
      <t xml:space="preserve">ჭის რგოლები </t>
    </r>
    <r>
      <rPr>
        <sz val="10"/>
        <rFont val="Arial"/>
        <family val="2"/>
        <charset val="204"/>
      </rPr>
      <t>H</t>
    </r>
    <r>
      <rPr>
        <sz val="10"/>
        <rFont val="AcadNusx"/>
      </rPr>
      <t xml:space="preserve">=1000მმ, </t>
    </r>
    <r>
      <rPr>
        <sz val="10"/>
        <rFont val="Arial"/>
        <family val="2"/>
        <charset val="204"/>
      </rPr>
      <t>D</t>
    </r>
    <r>
      <rPr>
        <sz val="10"/>
        <rFont val="AcadNusx"/>
      </rPr>
      <t>=1000მმ</t>
    </r>
  </si>
  <si>
    <t>საკანალიზაციო პლასტმასის მილების დამონტაჟება 100 მმ</t>
  </si>
  <si>
    <t>პლასმასის მილი დ=100მმ</t>
  </si>
  <si>
    <t>საკანალიზაციო პლასტმასის მილების დამონტაჟება 50 მმ</t>
  </si>
  <si>
    <t>პლასმასის მილი დ=50მმ</t>
  </si>
  <si>
    <t xml:space="preserve">ფასონური ნაწილები </t>
  </si>
  <si>
    <t>პლასტმასის მუხლი დ=50 მმ</t>
  </si>
  <si>
    <t>პლასტმასის მუხლი დ=100 მმ</t>
  </si>
  <si>
    <t>პლასტმასის სამკაპი 900 100X100</t>
  </si>
  <si>
    <t>პლასტმასის სამკაპი 900 100X50</t>
  </si>
  <si>
    <t>პლასტმასის სამკაპი 900 50X50</t>
  </si>
  <si>
    <t>პლასტმასის სამკაპი 450 დ=100X100</t>
  </si>
  <si>
    <t>პლასტმასის სამკაპი 450 დ=50X50</t>
  </si>
  <si>
    <t>პლასმასის გადამყვანი დ=100/50</t>
  </si>
  <si>
    <t>რევიზია დ=100-50</t>
  </si>
  <si>
    <t>პლასმასის ქურო დ=100</t>
  </si>
  <si>
    <t>პლასმასის ქურო დ=50</t>
  </si>
  <si>
    <t>პლასმასის სამაგრი დ=100</t>
  </si>
  <si>
    <t>პლასმასის სამაგრი დ=50</t>
  </si>
  <si>
    <t>სიფონი</t>
  </si>
  <si>
    <t>მეტალიზირებული შემაერთებელი მილი 0.3-0.5 მ</t>
  </si>
  <si>
    <t>ჭანჭიკები ქანჩით</t>
  </si>
  <si>
    <t>ტრაპი ნიკელის დ=50მმ</t>
  </si>
  <si>
    <t>22-32-4</t>
  </si>
  <si>
    <t>srf.4.1.113</t>
  </si>
  <si>
    <t>srf.1,1,28</t>
  </si>
  <si>
    <t>srf.4.1.340</t>
  </si>
  <si>
    <t>III კატ. გრუნტის გაჭრა საკანალიზაციო ამოსაწმენდი ჭის მოსაწყობად იქვე გაშლით</t>
  </si>
  <si>
    <t>მონოლითური რკ/ბეტონის ამოსაწმენტი ჭის მოწყობა ბეტონით B25 (ძირი, კედლები და ანაკრები გადახურვის ფილით)</t>
  </si>
  <si>
    <t>რკ/ბეტონის გადახურვის ფილა 2,7X2,7 თუჯის მრგვალი ხუფით</t>
  </si>
  <si>
    <t>არმატურა A-III</t>
  </si>
  <si>
    <t>ტ.</t>
  </si>
  <si>
    <t>საკანალიზაციო პლასტმასის მილების მოწყობა დ=100 მმ</t>
  </si>
  <si>
    <t>ფასადზე ლითონის ორფრთიანი კარის ბლოკის მოწყობა (მოწყობილობების კომპლექტით)</t>
  </si>
  <si>
    <t>ფასადზე კედლების მაღალხარისხოვანი შელესვა</t>
  </si>
  <si>
    <t>ს.ნ. და წ.                                    15-52-1</t>
  </si>
  <si>
    <r>
      <t>ხსნარის ტუმბო 3 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/სთ</t>
    </r>
  </si>
  <si>
    <t>8-14-15</t>
  </si>
  <si>
    <t>საკანალიზაციო ჭის  ანაკრები რკ/ბეტონის რგოლების მოწყობა სიმაღლით  H=1.00 მ. ჰიდროიზოლაციით (გარე კედლების დამუშავება ბიტუმის მასტიკით)</t>
  </si>
  <si>
    <t>ლითონის ორფრთიანი კარი (1,5*2.1) 1ც.</t>
  </si>
  <si>
    <t xml:space="preserve">კედლებზე  კერამიკული ფილების მოწყობა </t>
  </si>
  <si>
    <t>ს.ნ. და წ.                                 15-15-1</t>
  </si>
  <si>
    <t>კედლის კერამიკული ფილა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</si>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</sst>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0"/>
    <numFmt numFmtId="166" formatCode="0.0"/>
    <numFmt numFmtId="167" formatCode="0.000"/>
    <numFmt numFmtId="168" formatCode="0.0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1"/>
      <color theme="1"/>
      <name val="AcadMtav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cadNusx"/>
    </font>
    <font>
      <b/>
      <sz val="11"/>
      <name val="AcadNusx"/>
    </font>
    <font>
      <b/>
      <vertAlign val="superscript"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cadNusx"/>
    </font>
    <font>
      <sz val="10"/>
      <name val="AcadNusx"/>
    </font>
    <font>
      <b/>
      <sz val="10"/>
      <name val="Arial"/>
      <family val="2"/>
      <charset val="204"/>
    </font>
    <font>
      <b/>
      <sz val="9"/>
      <name val="AcadNusx"/>
    </font>
    <font>
      <b/>
      <sz val="9"/>
      <name val="Arial"/>
      <family val="2"/>
      <charset val="204"/>
    </font>
    <font>
      <sz val="9"/>
      <name val="AcadNusx"/>
    </font>
    <font>
      <b/>
      <sz val="10"/>
      <name val="Calibri"/>
      <family val="2"/>
      <scheme val="minor"/>
    </font>
    <font>
      <b/>
      <i/>
      <sz val="12"/>
      <name val="AcadNusx"/>
    </font>
    <font>
      <i/>
      <sz val="12"/>
      <name val="AcadNusx"/>
    </font>
    <font>
      <sz val="10"/>
      <name val="Arial Cyr"/>
    </font>
    <font>
      <sz val="12"/>
      <name val="AcadNusx"/>
    </font>
    <font>
      <i/>
      <sz val="12"/>
      <name val="Sylfae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b/>
      <i/>
      <sz val="16"/>
      <name val="Sylfaen"/>
      <family val="1"/>
      <charset val="204"/>
    </font>
    <font>
      <sz val="12"/>
      <name val="Calibri Light"/>
      <family val="1"/>
      <charset val="204"/>
      <scheme val="major"/>
    </font>
    <font>
      <i/>
      <sz val="11"/>
      <name val="AcadNusx"/>
    </font>
    <font>
      <sz val="12"/>
      <color theme="0"/>
      <name val="Calibri Light"/>
      <family val="1"/>
      <charset val="204"/>
      <scheme val="major"/>
    </font>
    <font>
      <sz val="9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1"/>
      <name val="Sylfaen"/>
      <family val="1"/>
      <charset val="204"/>
    </font>
    <font>
      <b/>
      <i/>
      <sz val="12"/>
      <name val="Sylfaen"/>
      <family val="1"/>
      <charset val="204"/>
    </font>
    <font>
      <b/>
      <sz val="11"/>
      <color indexed="8"/>
      <name val="Calibri"/>
      <family val="2"/>
    </font>
    <font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/>
    <xf numFmtId="0" fontId="10" fillId="0" borderId="0"/>
    <xf numFmtId="164" fontId="17" fillId="0" borderId="0" applyFont="0" applyFill="0" applyBorder="0" applyAlignment="0" applyProtection="0"/>
    <xf numFmtId="0" fontId="24" fillId="0" borderId="0"/>
    <xf numFmtId="0" fontId="24" fillId="0" borderId="0"/>
    <xf numFmtId="0" fontId="34" fillId="0" borderId="0"/>
  </cellStyleXfs>
  <cellXfs count="237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6" fillId="0" borderId="3" xfId="4" applyNumberFormat="1" applyFont="1" applyFill="1" applyBorder="1" applyAlignment="1">
      <alignment vertical="center" wrapText="1"/>
    </xf>
    <xf numFmtId="0" fontId="22" fillId="0" borderId="2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49" fontId="26" fillId="0" borderId="8" xfId="4" applyNumberFormat="1" applyFont="1" applyFill="1" applyBorder="1" applyAlignment="1">
      <alignment vertical="center" wrapText="1"/>
    </xf>
    <xf numFmtId="0" fontId="26" fillId="0" borderId="2" xfId="4" applyFont="1" applyFill="1" applyBorder="1" applyAlignment="1">
      <alignment horizontal="left" vertical="center" wrapText="1"/>
    </xf>
    <xf numFmtId="2" fontId="24" fillId="0" borderId="2" xfId="4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6" fontId="24" fillId="0" borderId="2" xfId="4" applyNumberFormat="1" applyFont="1" applyFill="1" applyBorder="1" applyAlignment="1">
      <alignment horizontal="center" vertical="center" wrapText="1"/>
    </xf>
    <xf numFmtId="49" fontId="26" fillId="0" borderId="6" xfId="4" applyNumberFormat="1" applyFont="1" applyFill="1" applyBorder="1" applyAlignment="1">
      <alignment vertical="center" wrapText="1"/>
    </xf>
    <xf numFmtId="49" fontId="26" fillId="0" borderId="2" xfId="4" applyNumberFormat="1" applyFont="1" applyFill="1" applyBorder="1" applyAlignment="1">
      <alignment vertical="center" wrapText="1"/>
    </xf>
    <xf numFmtId="168" fontId="26" fillId="0" borderId="2" xfId="4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43" fillId="0" borderId="2" xfId="5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vertical="center" wrapText="1"/>
    </xf>
    <xf numFmtId="49" fontId="28" fillId="0" borderId="8" xfId="0" applyNumberFormat="1" applyFont="1" applyFill="1" applyBorder="1" applyAlignment="1">
      <alignment vertical="center" wrapText="1"/>
    </xf>
    <xf numFmtId="49" fontId="28" fillId="0" borderId="6" xfId="0" applyNumberFormat="1" applyFont="1" applyFill="1" applyBorder="1" applyAlignment="1">
      <alignment vertical="center" wrapText="1"/>
    </xf>
    <xf numFmtId="49" fontId="25" fillId="0" borderId="2" xfId="4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0" fontId="4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0" fillId="0" borderId="2" xfId="0" applyNumberFormat="1" applyFill="1" applyBorder="1"/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165" fontId="21" fillId="0" borderId="2" xfId="3" applyNumberFormat="1" applyFont="1" applyFill="1" applyBorder="1" applyAlignment="1">
      <alignment horizontal="right" vertical="center" wrapText="1"/>
    </xf>
    <xf numFmtId="2" fontId="21" fillId="0" borderId="2" xfId="3" applyNumberFormat="1" applyFont="1" applyFill="1" applyBorder="1" applyAlignment="1">
      <alignment horizontal="center" vertical="center" wrapText="1"/>
    </xf>
    <xf numFmtId="2" fontId="21" fillId="0" borderId="2" xfId="3" applyNumberFormat="1" applyFont="1" applyFill="1" applyBorder="1" applyAlignment="1" applyProtection="1">
      <alignment horizontal="right" vertical="center" wrapText="1"/>
      <protection locked="0"/>
    </xf>
    <xf numFmtId="2" fontId="21" fillId="0" borderId="2" xfId="3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165" fontId="23" fillId="0" borderId="2" xfId="3" applyNumberFormat="1" applyFont="1" applyFill="1" applyBorder="1" applyAlignment="1">
      <alignment horizontal="right" vertical="center" wrapText="1"/>
    </xf>
    <xf numFmtId="2" fontId="23" fillId="0" borderId="2" xfId="3" applyNumberFormat="1" applyFont="1" applyFill="1" applyBorder="1" applyAlignment="1" applyProtection="1">
      <alignment horizontal="right" vertical="center" wrapText="1"/>
      <protection locked="0"/>
    </xf>
    <xf numFmtId="2" fontId="23" fillId="0" borderId="2" xfId="3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165" fontId="11" fillId="0" borderId="2" xfId="0" applyNumberFormat="1" applyFont="1" applyFill="1" applyBorder="1" applyAlignment="1">
      <alignment horizontal="right" vertical="center"/>
    </xf>
    <xf numFmtId="2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right" vertical="center"/>
    </xf>
    <xf numFmtId="0" fontId="0" fillId="0" borderId="2" xfId="0" applyFill="1" applyBorder="1"/>
    <xf numFmtId="0" fontId="11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NumberFormat="1" applyFill="1" applyBorder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ill="1" applyBorder="1" applyAlignment="1">
      <alignment horizontal="right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6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49" fontId="7" fillId="0" borderId="8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/>
    <xf numFmtId="49" fontId="7" fillId="0" borderId="6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2" fillId="0" borderId="2" xfId="5" applyFont="1" applyFill="1" applyBorder="1" applyAlignment="1">
      <alignment horizontal="center" vertical="center" wrapText="1"/>
    </xf>
    <xf numFmtId="0" fontId="32" fillId="0" borderId="2" xfId="5" applyFont="1" applyFill="1" applyBorder="1" applyAlignment="1">
      <alignment horizontal="center" vertical="center" wrapText="1"/>
    </xf>
    <xf numFmtId="0" fontId="33" fillId="0" borderId="2" xfId="5" applyFont="1" applyFill="1" applyBorder="1" applyAlignment="1">
      <alignment horizontal="center" vertical="center" wrapText="1"/>
    </xf>
    <xf numFmtId="2" fontId="33" fillId="0" borderId="2" xfId="5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4" fontId="35" fillId="0" borderId="2" xfId="6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6" fillId="0" borderId="8" xfId="6" applyFont="1" applyFill="1" applyBorder="1" applyAlignment="1">
      <alignment vertical="center" wrapText="1"/>
    </xf>
    <xf numFmtId="0" fontId="26" fillId="0" borderId="6" xfId="6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9" fillId="0" borderId="2" xfId="5" applyFont="1" applyFill="1" applyBorder="1" applyAlignment="1">
      <alignment horizontal="center" vertical="center" wrapText="1"/>
    </xf>
    <xf numFmtId="0" fontId="40" fillId="0" borderId="2" xfId="5" applyFont="1" applyFill="1" applyBorder="1" applyAlignment="1">
      <alignment horizontal="center" vertical="center" wrapText="1"/>
    </xf>
    <xf numFmtId="0" fontId="36" fillId="0" borderId="2" xfId="5" applyFont="1" applyFill="1" applyBorder="1" applyAlignment="1">
      <alignment horizontal="center" vertical="center" wrapText="1"/>
    </xf>
    <xf numFmtId="166" fontId="36" fillId="0" borderId="2" xfId="5" applyNumberFormat="1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41" fillId="0" borderId="2" xfId="5" applyFont="1" applyFill="1" applyBorder="1" applyAlignment="1">
      <alignment horizontal="center" vertical="center" wrapText="1"/>
    </xf>
    <xf numFmtId="2" fontId="42" fillId="0" borderId="2" xfId="5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167" fontId="45" fillId="0" borderId="2" xfId="0" applyNumberFormat="1" applyFont="1" applyFill="1" applyBorder="1" applyAlignment="1">
      <alignment horizontal="center" vertical="center" wrapText="1"/>
    </xf>
    <xf numFmtId="2" fontId="46" fillId="0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Fill="1" applyBorder="1" applyAlignment="1">
      <alignment horizontal="center" vertical="center" wrapText="1"/>
    </xf>
    <xf numFmtId="0" fontId="47" fillId="0" borderId="2" xfId="5" applyFont="1" applyFill="1" applyBorder="1" applyAlignment="1">
      <alignment horizontal="center" vertical="center" wrapText="1"/>
    </xf>
    <xf numFmtId="0" fontId="48" fillId="0" borderId="2" xfId="5" applyFont="1" applyFill="1" applyBorder="1" applyAlignment="1">
      <alignment horizontal="center" vertical="center" wrapText="1"/>
    </xf>
    <xf numFmtId="9" fontId="36" fillId="0" borderId="2" xfId="5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right" vertical="center"/>
    </xf>
    <xf numFmtId="2" fontId="21" fillId="3" borderId="2" xfId="3" applyNumberFormat="1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3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3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9" fontId="25" fillId="0" borderId="3" xfId="4" applyNumberFormat="1" applyFont="1" applyFill="1" applyBorder="1" applyAlignment="1">
      <alignment horizontal="center" vertical="center" wrapText="1"/>
    </xf>
    <xf numFmtId="49" fontId="25" fillId="0" borderId="8" xfId="4" applyNumberFormat="1" applyFont="1" applyFill="1" applyBorder="1" applyAlignment="1">
      <alignment horizontal="center" vertical="center" wrapText="1"/>
    </xf>
    <xf numFmtId="49" fontId="25" fillId="0" borderId="6" xfId="4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3" xfId="6" applyFont="1" applyFill="1" applyBorder="1" applyAlignment="1">
      <alignment horizontal="center" vertical="center" wrapText="1"/>
    </xf>
    <xf numFmtId="0" fontId="26" fillId="0" borderId="8" xfId="6" applyFont="1" applyFill="1" applyBorder="1" applyAlignment="1">
      <alignment horizontal="center" vertical="center" wrapText="1"/>
    </xf>
    <xf numFmtId="0" fontId="26" fillId="0" borderId="6" xfId="6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horizontal="center" vertical="center" wrapText="1"/>
    </xf>
    <xf numFmtId="0" fontId="25" fillId="0" borderId="8" xfId="4" applyFont="1" applyFill="1" applyBorder="1" applyAlignment="1">
      <alignment horizontal="center" vertical="center" wrapText="1"/>
    </xf>
    <xf numFmtId="0" fontId="25" fillId="0" borderId="6" xfId="4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Comma" xfId="3" builtinId="3"/>
    <cellStyle name="Normal" xfId="0" builtinId="0"/>
    <cellStyle name="Normal 10" xfId="1"/>
    <cellStyle name="Normal 2" xfId="2"/>
    <cellStyle name="Normal 3" xfId="5"/>
    <cellStyle name="Normal_qavtarazis mravalfunqciuri kompleqsis xarjTaRricxva" xfId="6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6" sqref="B6"/>
    </sheetView>
  </sheetViews>
  <sheetFormatPr defaultRowHeight="14.25" x14ac:dyDescent="0.2"/>
  <cols>
    <col min="1" max="1" width="4.42578125" style="1" customWidth="1"/>
    <col min="2" max="2" width="65.140625" style="1" customWidth="1"/>
    <col min="3" max="3" width="13.42578125" style="1" customWidth="1"/>
    <col min="4" max="4" width="18.140625" style="1" customWidth="1"/>
    <col min="5" max="5" width="20.140625" style="1" customWidth="1"/>
    <col min="6" max="16384" width="9.140625" style="1"/>
  </cols>
  <sheetData>
    <row r="1" spans="1:6" x14ac:dyDescent="0.2">
      <c r="B1" s="152"/>
    </row>
    <row r="2" spans="1:6" ht="18" customHeight="1" x14ac:dyDescent="0.2">
      <c r="A2" s="167" t="s">
        <v>231</v>
      </c>
      <c r="B2" s="167"/>
      <c r="C2" s="167"/>
      <c r="D2" s="167"/>
      <c r="E2" s="167"/>
    </row>
    <row r="3" spans="1:6" x14ac:dyDescent="0.2">
      <c r="A3" s="168" t="s">
        <v>0</v>
      </c>
      <c r="B3" s="168"/>
      <c r="C3" s="168"/>
      <c r="D3" s="168"/>
      <c r="E3" s="168"/>
    </row>
    <row r="4" spans="1:6" x14ac:dyDescent="0.2">
      <c r="A4" s="3"/>
      <c r="B4" s="3"/>
      <c r="C4" s="3"/>
      <c r="D4" s="3"/>
      <c r="E4" s="3"/>
    </row>
    <row r="5" spans="1:6" x14ac:dyDescent="0.2">
      <c r="B5" s="4"/>
      <c r="C5" s="4"/>
      <c r="D5" s="4"/>
      <c r="E5" s="4"/>
      <c r="F5" s="4"/>
    </row>
    <row r="6" spans="1:6" x14ac:dyDescent="0.2">
      <c r="B6" s="5"/>
      <c r="C6" s="5"/>
      <c r="D6" s="5"/>
      <c r="E6" s="5"/>
      <c r="F6" s="5"/>
    </row>
    <row r="7" spans="1:6" x14ac:dyDescent="0.2">
      <c r="B7" s="6"/>
      <c r="C7" s="6"/>
      <c r="D7" s="6"/>
      <c r="E7" s="6"/>
      <c r="F7" s="5"/>
    </row>
    <row r="8" spans="1:6" ht="28.5" x14ac:dyDescent="0.2">
      <c r="A8" s="7" t="s">
        <v>1</v>
      </c>
      <c r="B8" s="7" t="s">
        <v>2</v>
      </c>
      <c r="C8" s="8" t="s">
        <v>3</v>
      </c>
      <c r="D8" s="8" t="s">
        <v>4</v>
      </c>
      <c r="E8" s="8" t="s">
        <v>5</v>
      </c>
    </row>
    <row r="9" spans="1:6" x14ac:dyDescent="0.2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6" ht="39" customHeight="1" x14ac:dyDescent="0.2">
      <c r="A10" s="10">
        <v>1</v>
      </c>
      <c r="B10" s="16" t="s">
        <v>232</v>
      </c>
      <c r="C10" s="10" t="s">
        <v>6</v>
      </c>
      <c r="D10" s="12">
        <f>'დანართი 2'!M337</f>
        <v>0</v>
      </c>
      <c r="E10" s="12">
        <f>'დანართი 2'!J337</f>
        <v>0</v>
      </c>
    </row>
    <row r="11" spans="1:6" x14ac:dyDescent="0.2">
      <c r="A11" s="11"/>
      <c r="B11" s="7" t="s">
        <v>8</v>
      </c>
      <c r="C11" s="14">
        <v>0.03</v>
      </c>
      <c r="D11" s="13">
        <f>D10*C11</f>
        <v>0</v>
      </c>
      <c r="E11" s="13">
        <f>E10*C11</f>
        <v>0</v>
      </c>
    </row>
    <row r="12" spans="1:6" x14ac:dyDescent="0.2">
      <c r="A12" s="11"/>
      <c r="B12" s="7" t="s">
        <v>7</v>
      </c>
      <c r="C12" s="7"/>
      <c r="D12" s="13">
        <f>SUM(D10:D11)</f>
        <v>0</v>
      </c>
      <c r="E12" s="13">
        <f>SUM(E10:E11)</f>
        <v>0</v>
      </c>
    </row>
    <row r="13" spans="1:6" x14ac:dyDescent="0.2">
      <c r="A13" s="11"/>
      <c r="B13" s="7" t="s">
        <v>9</v>
      </c>
      <c r="C13" s="14">
        <v>0.18</v>
      </c>
      <c r="D13" s="13">
        <f>D12*C13</f>
        <v>0</v>
      </c>
      <c r="E13" s="13">
        <f>E12*C13</f>
        <v>0</v>
      </c>
    </row>
    <row r="14" spans="1:6" x14ac:dyDescent="0.2">
      <c r="A14" s="11"/>
      <c r="B14" s="7" t="s">
        <v>10</v>
      </c>
      <c r="C14" s="7"/>
      <c r="D14" s="13">
        <f>SUM(D12:D13)</f>
        <v>0</v>
      </c>
      <c r="E14" s="13">
        <f>SUM(E12:E13)</f>
        <v>0</v>
      </c>
    </row>
    <row r="16" spans="1:6" x14ac:dyDescent="0.2">
      <c r="B16" s="15"/>
    </row>
    <row r="17" spans="2:5" x14ac:dyDescent="0.2">
      <c r="B17" s="166"/>
      <c r="C17" s="166"/>
      <c r="D17" s="166"/>
      <c r="E17" s="166"/>
    </row>
    <row r="18" spans="2:5" x14ac:dyDescent="0.2">
      <c r="B18" s="2"/>
    </row>
    <row r="20" spans="2:5" x14ac:dyDescent="0.2">
      <c r="E20" s="43"/>
    </row>
  </sheetData>
  <mergeCells count="3">
    <mergeCell ref="B17:E17"/>
    <mergeCell ref="A2:E2"/>
    <mergeCell ref="A3:E3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1"/>
  <sheetViews>
    <sheetView tabSelected="1" topLeftCell="A289" workbookViewId="0">
      <selection activeCell="P8" sqref="P8"/>
    </sheetView>
  </sheetViews>
  <sheetFormatPr defaultRowHeight="15" x14ac:dyDescent="0.25"/>
  <cols>
    <col min="1" max="1" width="3.85546875" style="48" customWidth="1"/>
    <col min="2" max="2" width="10.7109375" style="48" customWidth="1"/>
    <col min="3" max="3" width="51.7109375" style="48" customWidth="1"/>
    <col min="4" max="4" width="9.5703125" style="48" customWidth="1"/>
    <col min="5" max="5" width="9.7109375" style="48" customWidth="1"/>
    <col min="6" max="6" width="10.28515625" style="48" customWidth="1"/>
    <col min="7" max="8" width="9.140625" style="48"/>
    <col min="9" max="9" width="8.28515625" style="48" customWidth="1"/>
    <col min="10" max="16384" width="9.140625" style="48"/>
  </cols>
  <sheetData>
    <row r="1" spans="1:16" x14ac:dyDescent="0.25">
      <c r="B1" s="218"/>
      <c r="C1" s="218"/>
    </row>
    <row r="2" spans="1:16" x14ac:dyDescent="0.25">
      <c r="A2" s="233" t="s">
        <v>230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6" x14ac:dyDescent="0.25">
      <c r="A3" s="234" t="s">
        <v>11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6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</row>
    <row r="5" spans="1:16" x14ac:dyDescent="0.25">
      <c r="A5" s="235"/>
      <c r="B5" s="235"/>
      <c r="C5" s="235"/>
      <c r="D5" s="235"/>
      <c r="E5" s="153"/>
      <c r="F5" s="49"/>
      <c r="G5" s="49"/>
      <c r="H5" s="49"/>
      <c r="I5" s="49"/>
      <c r="J5" s="49"/>
      <c r="K5" s="49"/>
      <c r="L5" s="49"/>
      <c r="M5" s="49"/>
    </row>
    <row r="6" spans="1:16" x14ac:dyDescent="0.25">
      <c r="A6" s="236"/>
      <c r="B6" s="236"/>
      <c r="C6" s="236"/>
      <c r="D6" s="236"/>
      <c r="E6" s="236"/>
      <c r="F6" s="51"/>
      <c r="G6" s="236" t="s">
        <v>12</v>
      </c>
      <c r="H6" s="236"/>
      <c r="I6" s="236"/>
      <c r="J6" s="236"/>
      <c r="K6" s="236"/>
      <c r="L6" s="236"/>
      <c r="M6" s="52"/>
    </row>
    <row r="7" spans="1:16" ht="33.75" customHeight="1" x14ac:dyDescent="0.25">
      <c r="A7" s="194" t="s">
        <v>13</v>
      </c>
      <c r="B7" s="228" t="s">
        <v>14</v>
      </c>
      <c r="C7" s="194" t="s">
        <v>15</v>
      </c>
      <c r="D7" s="194" t="s">
        <v>16</v>
      </c>
      <c r="E7" s="223" t="s">
        <v>17</v>
      </c>
      <c r="F7" s="224"/>
      <c r="G7" s="221" t="s">
        <v>18</v>
      </c>
      <c r="H7" s="222"/>
      <c r="I7" s="221" t="s">
        <v>19</v>
      </c>
      <c r="J7" s="222"/>
      <c r="K7" s="223" t="s">
        <v>20</v>
      </c>
      <c r="L7" s="224"/>
      <c r="M7" s="194" t="s">
        <v>21</v>
      </c>
    </row>
    <row r="8" spans="1:16" ht="30" x14ac:dyDescent="0.25">
      <c r="A8" s="196"/>
      <c r="B8" s="229"/>
      <c r="C8" s="196"/>
      <c r="D8" s="196"/>
      <c r="E8" s="53" t="s">
        <v>22</v>
      </c>
      <c r="F8" s="54" t="s">
        <v>23</v>
      </c>
      <c r="G8" s="55" t="s">
        <v>24</v>
      </c>
      <c r="H8" s="54" t="s">
        <v>21</v>
      </c>
      <c r="I8" s="55" t="s">
        <v>24</v>
      </c>
      <c r="J8" s="54" t="s">
        <v>21</v>
      </c>
      <c r="K8" s="55" t="s">
        <v>24</v>
      </c>
      <c r="L8" s="54" t="s">
        <v>21</v>
      </c>
      <c r="M8" s="196"/>
    </row>
    <row r="9" spans="1:16" x14ac:dyDescent="0.2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P9" s="56"/>
    </row>
    <row r="10" spans="1:16" ht="16.5" x14ac:dyDescent="0.25">
      <c r="A10" s="54"/>
      <c r="B10" s="225" t="s">
        <v>25</v>
      </c>
      <c r="C10" s="226"/>
      <c r="D10" s="226"/>
      <c r="E10" s="226"/>
      <c r="F10" s="227"/>
      <c r="G10" s="57"/>
      <c r="H10" s="57"/>
      <c r="I10" s="57"/>
      <c r="J10" s="57"/>
      <c r="K10" s="57"/>
      <c r="L10" s="57"/>
      <c r="M10" s="57"/>
    </row>
    <row r="11" spans="1:16" ht="51" customHeight="1" x14ac:dyDescent="0.25">
      <c r="A11" s="194">
        <v>1</v>
      </c>
      <c r="B11" s="230" t="s">
        <v>77</v>
      </c>
      <c r="C11" s="58" t="s">
        <v>233</v>
      </c>
      <c r="D11" s="59" t="s">
        <v>76</v>
      </c>
      <c r="E11" s="60"/>
      <c r="F11" s="61">
        <v>382</v>
      </c>
      <c r="G11" s="62"/>
      <c r="H11" s="63"/>
      <c r="I11" s="62"/>
      <c r="J11" s="63"/>
      <c r="K11" s="62"/>
      <c r="L11" s="63"/>
      <c r="M11" s="63"/>
    </row>
    <row r="12" spans="1:16" ht="15.75" x14ac:dyDescent="0.25">
      <c r="A12" s="195"/>
      <c r="B12" s="231"/>
      <c r="C12" s="64" t="s">
        <v>26</v>
      </c>
      <c r="D12" s="65" t="s">
        <v>27</v>
      </c>
      <c r="E12" s="66">
        <v>0.186</v>
      </c>
      <c r="F12" s="66">
        <f>E12*F11</f>
        <v>71.051999999999992</v>
      </c>
      <c r="G12" s="67"/>
      <c r="H12" s="68"/>
      <c r="I12" s="67"/>
      <c r="J12" s="68">
        <f>F12*I12</f>
        <v>0</v>
      </c>
      <c r="K12" s="67"/>
      <c r="L12" s="68"/>
      <c r="M12" s="68">
        <f>J12</f>
        <v>0</v>
      </c>
    </row>
    <row r="13" spans="1:16" ht="15.75" x14ac:dyDescent="0.25">
      <c r="A13" s="196"/>
      <c r="B13" s="232"/>
      <c r="C13" s="64" t="s">
        <v>28</v>
      </c>
      <c r="D13" s="65" t="s">
        <v>29</v>
      </c>
      <c r="E13" s="66">
        <v>1.6000000000000001E-3</v>
      </c>
      <c r="F13" s="66">
        <f>E13*F11</f>
        <v>0.61120000000000008</v>
      </c>
      <c r="G13" s="67"/>
      <c r="H13" s="68"/>
      <c r="I13" s="67"/>
      <c r="J13" s="68"/>
      <c r="K13" s="67"/>
      <c r="L13" s="68">
        <f>K13*F13</f>
        <v>0</v>
      </c>
      <c r="M13" s="68">
        <f>L13</f>
        <v>0</v>
      </c>
    </row>
    <row r="14" spans="1:16" s="72" customFormat="1" ht="29.25" customHeight="1" x14ac:dyDescent="0.25">
      <c r="A14" s="194">
        <v>3</v>
      </c>
      <c r="B14" s="209" t="s">
        <v>80</v>
      </c>
      <c r="C14" s="69" t="s">
        <v>234</v>
      </c>
      <c r="D14" s="54" t="s">
        <v>36</v>
      </c>
      <c r="E14" s="70"/>
      <c r="F14" s="61">
        <v>1.89</v>
      </c>
      <c r="G14" s="71"/>
      <c r="H14" s="71"/>
      <c r="I14" s="71"/>
      <c r="J14" s="71"/>
      <c r="K14" s="71"/>
      <c r="L14" s="71"/>
      <c r="M14" s="71"/>
    </row>
    <row r="15" spans="1:16" s="75" customFormat="1" x14ac:dyDescent="0.25">
      <c r="A15" s="195"/>
      <c r="B15" s="210"/>
      <c r="C15" s="45" t="s">
        <v>26</v>
      </c>
      <c r="D15" s="36" t="s">
        <v>27</v>
      </c>
      <c r="E15" s="73">
        <v>0.88700000000000001</v>
      </c>
      <c r="F15" s="73">
        <f>E15*F14</f>
        <v>1.6764299999999999</v>
      </c>
      <c r="G15" s="74"/>
      <c r="H15" s="74"/>
      <c r="I15" s="74"/>
      <c r="J15" s="74">
        <f>I15*F15</f>
        <v>0</v>
      </c>
      <c r="K15" s="74"/>
      <c r="L15" s="74"/>
      <c r="M15" s="74">
        <f>J15</f>
        <v>0</v>
      </c>
    </row>
    <row r="16" spans="1:16" s="75" customFormat="1" x14ac:dyDescent="0.25">
      <c r="A16" s="196"/>
      <c r="B16" s="217"/>
      <c r="C16" s="45" t="s">
        <v>28</v>
      </c>
      <c r="D16" s="36" t="s">
        <v>29</v>
      </c>
      <c r="E16" s="73">
        <v>0.98399999999999999</v>
      </c>
      <c r="F16" s="73">
        <f>E16*F14</f>
        <v>1.8597599999999999</v>
      </c>
      <c r="G16" s="74"/>
      <c r="H16" s="74"/>
      <c r="I16" s="74"/>
      <c r="J16" s="74"/>
      <c r="K16" s="74"/>
      <c r="L16" s="74">
        <f>K16*F16</f>
        <v>0</v>
      </c>
      <c r="M16" s="74">
        <f>L16</f>
        <v>0</v>
      </c>
    </row>
    <row r="17" spans="1:15" s="72" customFormat="1" ht="17.25" x14ac:dyDescent="0.25">
      <c r="A17" s="194">
        <v>4</v>
      </c>
      <c r="B17" s="209" t="s">
        <v>81</v>
      </c>
      <c r="C17" s="69" t="s">
        <v>235</v>
      </c>
      <c r="D17" s="54" t="s">
        <v>36</v>
      </c>
      <c r="E17" s="70"/>
      <c r="F17" s="61">
        <v>3.25</v>
      </c>
      <c r="G17" s="71"/>
      <c r="H17" s="71"/>
      <c r="I17" s="71"/>
      <c r="J17" s="71"/>
      <c r="K17" s="71"/>
      <c r="L17" s="71"/>
      <c r="M17" s="71"/>
    </row>
    <row r="18" spans="1:15" s="75" customFormat="1" x14ac:dyDescent="0.25">
      <c r="A18" s="195"/>
      <c r="B18" s="210"/>
      <c r="C18" s="45" t="s">
        <v>26</v>
      </c>
      <c r="D18" s="36" t="s">
        <v>27</v>
      </c>
      <c r="E18" s="73">
        <v>1.7</v>
      </c>
      <c r="F18" s="73">
        <f>E18*F17</f>
        <v>5.5249999999999995</v>
      </c>
      <c r="G18" s="74"/>
      <c r="H18" s="74"/>
      <c r="I18" s="74"/>
      <c r="J18" s="74">
        <f>I18*F18</f>
        <v>0</v>
      </c>
      <c r="K18" s="74"/>
      <c r="L18" s="74"/>
      <c r="M18" s="74">
        <f>J18</f>
        <v>0</v>
      </c>
    </row>
    <row r="19" spans="1:15" s="75" customFormat="1" x14ac:dyDescent="0.25">
      <c r="A19" s="196"/>
      <c r="B19" s="217"/>
      <c r="C19" s="45" t="s">
        <v>28</v>
      </c>
      <c r="D19" s="36" t="s">
        <v>29</v>
      </c>
      <c r="E19" s="73">
        <v>0.98399999999999999</v>
      </c>
      <c r="F19" s="73">
        <f>E19*F17</f>
        <v>3.198</v>
      </c>
      <c r="G19" s="74"/>
      <c r="H19" s="74"/>
      <c r="I19" s="74"/>
      <c r="J19" s="74"/>
      <c r="K19" s="74"/>
      <c r="L19" s="74">
        <f>K19*F19</f>
        <v>0</v>
      </c>
      <c r="M19" s="74">
        <f>L19</f>
        <v>0</v>
      </c>
    </row>
    <row r="20" spans="1:15" ht="50.25" customHeight="1" x14ac:dyDescent="0.25">
      <c r="A20" s="194">
        <v>5</v>
      </c>
      <c r="B20" s="209" t="s">
        <v>78</v>
      </c>
      <c r="C20" s="69" t="s">
        <v>135</v>
      </c>
      <c r="D20" s="54" t="s">
        <v>79</v>
      </c>
      <c r="E20" s="70"/>
      <c r="F20" s="61">
        <v>125</v>
      </c>
      <c r="G20" s="74"/>
      <c r="H20" s="74"/>
      <c r="I20" s="74"/>
      <c r="J20" s="74"/>
      <c r="K20" s="74"/>
      <c r="L20" s="74"/>
      <c r="M20" s="74"/>
      <c r="O20" s="75"/>
    </row>
    <row r="21" spans="1:15" x14ac:dyDescent="0.25">
      <c r="A21" s="195"/>
      <c r="B21" s="210"/>
      <c r="C21" s="76" t="s">
        <v>26</v>
      </c>
      <c r="D21" s="77" t="s">
        <v>45</v>
      </c>
      <c r="E21" s="78">
        <v>0.246</v>
      </c>
      <c r="F21" s="78">
        <f>E21*F20</f>
        <v>30.75</v>
      </c>
      <c r="G21" s="74"/>
      <c r="H21" s="74"/>
      <c r="I21" s="74"/>
      <c r="J21" s="74">
        <f>I21*F21</f>
        <v>0</v>
      </c>
      <c r="K21" s="74"/>
      <c r="L21" s="74"/>
      <c r="M21" s="74">
        <f>J21</f>
        <v>0</v>
      </c>
      <c r="O21" s="75"/>
    </row>
    <row r="22" spans="1:15" x14ac:dyDescent="0.25">
      <c r="A22" s="196"/>
      <c r="B22" s="217"/>
      <c r="C22" s="76" t="s">
        <v>28</v>
      </c>
      <c r="D22" s="77" t="s">
        <v>29</v>
      </c>
      <c r="E22" s="78">
        <v>9.2999999999999999E-2</v>
      </c>
      <c r="F22" s="78">
        <f>E22*F20</f>
        <v>11.625</v>
      </c>
      <c r="G22" s="74"/>
      <c r="H22" s="74"/>
      <c r="I22" s="74"/>
      <c r="J22" s="74"/>
      <c r="K22" s="74"/>
      <c r="L22" s="74">
        <f>K22*F22</f>
        <v>0</v>
      </c>
      <c r="M22" s="74">
        <f>L22</f>
        <v>0</v>
      </c>
    </row>
    <row r="23" spans="1:15" ht="17.25" x14ac:dyDescent="0.25">
      <c r="A23" s="194">
        <v>6</v>
      </c>
      <c r="B23" s="209" t="s">
        <v>237</v>
      </c>
      <c r="C23" s="69" t="s">
        <v>238</v>
      </c>
      <c r="D23" s="54" t="s">
        <v>34</v>
      </c>
      <c r="E23" s="70"/>
      <c r="F23" s="61">
        <v>1.25</v>
      </c>
      <c r="G23" s="74"/>
      <c r="H23" s="74"/>
      <c r="I23" s="74"/>
      <c r="J23" s="74"/>
      <c r="K23" s="74"/>
      <c r="L23" s="74"/>
      <c r="M23" s="74"/>
    </row>
    <row r="24" spans="1:15" x14ac:dyDescent="0.25">
      <c r="A24" s="195"/>
      <c r="B24" s="210"/>
      <c r="C24" s="76" t="s">
        <v>26</v>
      </c>
      <c r="D24" s="77" t="s">
        <v>45</v>
      </c>
      <c r="E24" s="78">
        <v>8.89</v>
      </c>
      <c r="F24" s="78">
        <f>E24*F23</f>
        <v>11.112500000000001</v>
      </c>
      <c r="G24" s="74"/>
      <c r="H24" s="74"/>
      <c r="I24" s="74"/>
      <c r="J24" s="74">
        <f>I24*F24</f>
        <v>0</v>
      </c>
      <c r="K24" s="74"/>
      <c r="L24" s="74"/>
      <c r="M24" s="74">
        <f>J24</f>
        <v>0</v>
      </c>
    </row>
    <row r="25" spans="1:15" x14ac:dyDescent="0.25">
      <c r="A25" s="196"/>
      <c r="B25" s="217"/>
      <c r="C25" s="76" t="s">
        <v>28</v>
      </c>
      <c r="D25" s="77" t="s">
        <v>29</v>
      </c>
      <c r="E25" s="78">
        <v>3.35</v>
      </c>
      <c r="F25" s="78">
        <f>E25*F23</f>
        <v>4.1875</v>
      </c>
      <c r="G25" s="74"/>
      <c r="H25" s="74"/>
      <c r="I25" s="74"/>
      <c r="J25" s="74"/>
      <c r="K25" s="74"/>
      <c r="L25" s="74">
        <f>K25*F25</f>
        <v>0</v>
      </c>
      <c r="M25" s="74">
        <f>L25</f>
        <v>0</v>
      </c>
    </row>
    <row r="26" spans="1:15" ht="32.25" customHeight="1" x14ac:dyDescent="0.25">
      <c r="A26" s="194">
        <v>7</v>
      </c>
      <c r="B26" s="211" t="s">
        <v>30</v>
      </c>
      <c r="C26" s="69" t="s">
        <v>31</v>
      </c>
      <c r="D26" s="54" t="s">
        <v>32</v>
      </c>
      <c r="E26" s="70"/>
      <c r="F26" s="61">
        <v>4.2</v>
      </c>
      <c r="G26" s="74"/>
      <c r="H26" s="74"/>
      <c r="I26" s="74"/>
      <c r="J26" s="74"/>
      <c r="K26" s="74"/>
      <c r="L26" s="74"/>
      <c r="M26" s="74"/>
    </row>
    <row r="27" spans="1:15" x14ac:dyDescent="0.25">
      <c r="A27" s="196"/>
      <c r="B27" s="212"/>
      <c r="C27" s="76" t="s">
        <v>26</v>
      </c>
      <c r="D27" s="77" t="s">
        <v>27</v>
      </c>
      <c r="E27" s="78">
        <v>1.85</v>
      </c>
      <c r="F27" s="78">
        <f>E27*F26</f>
        <v>7.7700000000000005</v>
      </c>
      <c r="G27" s="74"/>
      <c r="H27" s="74"/>
      <c r="I27" s="74"/>
      <c r="J27" s="74">
        <f>I27*F27</f>
        <v>0</v>
      </c>
      <c r="K27" s="74"/>
      <c r="L27" s="74"/>
      <c r="M27" s="74">
        <f>J27</f>
        <v>0</v>
      </c>
    </row>
    <row r="28" spans="1:15" ht="51" customHeight="1" x14ac:dyDescent="0.25">
      <c r="A28" s="194">
        <v>8</v>
      </c>
      <c r="B28" s="211" t="s">
        <v>33</v>
      </c>
      <c r="C28" s="69" t="s">
        <v>134</v>
      </c>
      <c r="D28" s="54" t="s">
        <v>34</v>
      </c>
      <c r="E28" s="70"/>
      <c r="F28" s="61">
        <f>F26*1.4</f>
        <v>5.88</v>
      </c>
      <c r="G28" s="74"/>
      <c r="H28" s="74"/>
      <c r="I28" s="74"/>
      <c r="J28" s="74"/>
      <c r="K28" s="74"/>
      <c r="L28" s="74"/>
      <c r="M28" s="74"/>
    </row>
    <row r="29" spans="1:15" x14ac:dyDescent="0.25">
      <c r="A29" s="195"/>
      <c r="B29" s="213"/>
      <c r="C29" s="76" t="s">
        <v>26</v>
      </c>
      <c r="D29" s="77" t="s">
        <v>27</v>
      </c>
      <c r="E29" s="78">
        <v>0.87</v>
      </c>
      <c r="F29" s="78">
        <f>E29*F28</f>
        <v>5.1155999999999997</v>
      </c>
      <c r="G29" s="74"/>
      <c r="H29" s="74"/>
      <c r="I29" s="74"/>
      <c r="J29" s="74">
        <f>I29*F29</f>
        <v>0</v>
      </c>
      <c r="K29" s="74"/>
      <c r="L29" s="74"/>
      <c r="M29" s="74">
        <f>J29</f>
        <v>0</v>
      </c>
    </row>
    <row r="30" spans="1:15" x14ac:dyDescent="0.25">
      <c r="A30" s="196"/>
      <c r="B30" s="212"/>
      <c r="C30" s="76" t="s">
        <v>35</v>
      </c>
      <c r="D30" s="77" t="s">
        <v>32</v>
      </c>
      <c r="E30" s="78">
        <v>1.6</v>
      </c>
      <c r="F30" s="78">
        <f>F28*E30</f>
        <v>9.4079999999999995</v>
      </c>
      <c r="G30" s="74"/>
      <c r="H30" s="74"/>
      <c r="I30" s="74"/>
      <c r="J30" s="74"/>
      <c r="K30" s="74"/>
      <c r="L30" s="74">
        <f>K30*F30</f>
        <v>0</v>
      </c>
      <c r="M30" s="74">
        <f>L30</f>
        <v>0</v>
      </c>
    </row>
    <row r="31" spans="1:15" ht="15.75" x14ac:dyDescent="0.25">
      <c r="A31" s="79"/>
      <c r="B31" s="184" t="s">
        <v>220</v>
      </c>
      <c r="C31" s="185"/>
      <c r="D31" s="185"/>
      <c r="E31" s="185"/>
      <c r="F31" s="186"/>
      <c r="G31" s="74"/>
      <c r="H31" s="74"/>
      <c r="I31" s="74"/>
      <c r="J31" s="74"/>
      <c r="K31" s="74"/>
      <c r="L31" s="74"/>
      <c r="M31" s="74"/>
    </row>
    <row r="32" spans="1:15" ht="45" x14ac:dyDescent="0.25">
      <c r="A32" s="214">
        <v>1</v>
      </c>
      <c r="B32" s="17" t="s">
        <v>137</v>
      </c>
      <c r="C32" s="69" t="s">
        <v>236</v>
      </c>
      <c r="D32" s="54" t="s">
        <v>34</v>
      </c>
      <c r="E32" s="70"/>
      <c r="F32" s="61">
        <v>2.15</v>
      </c>
      <c r="G32" s="74"/>
      <c r="H32" s="74"/>
      <c r="I32" s="74"/>
      <c r="J32" s="74"/>
      <c r="K32" s="74"/>
      <c r="L32" s="74"/>
      <c r="M32" s="74"/>
    </row>
    <row r="33" spans="1:13" x14ac:dyDescent="0.25">
      <c r="A33" s="215"/>
      <c r="B33" s="21"/>
      <c r="C33" s="80" t="s">
        <v>26</v>
      </c>
      <c r="D33" s="36" t="s">
        <v>27</v>
      </c>
      <c r="E33" s="19">
        <f>3.36</f>
        <v>3.36</v>
      </c>
      <c r="F33" s="23">
        <f>E33*F32</f>
        <v>7.2239999999999993</v>
      </c>
      <c r="G33" s="23"/>
      <c r="H33" s="24"/>
      <c r="I33" s="23"/>
      <c r="J33" s="24">
        <f t="shared" ref="J33" si="0">I33*F33</f>
        <v>0</v>
      </c>
      <c r="K33" s="23"/>
      <c r="L33" s="24"/>
      <c r="M33" s="24">
        <f t="shared" ref="M33:M37" si="1">L33+J33+H33</f>
        <v>0</v>
      </c>
    </row>
    <row r="34" spans="1:13" x14ac:dyDescent="0.25">
      <c r="A34" s="215"/>
      <c r="B34" s="21"/>
      <c r="C34" s="80" t="s">
        <v>28</v>
      </c>
      <c r="D34" s="36" t="s">
        <v>29</v>
      </c>
      <c r="E34" s="19">
        <v>0.92</v>
      </c>
      <c r="F34" s="23">
        <f>E34*F32</f>
        <v>1.978</v>
      </c>
      <c r="G34" s="23"/>
      <c r="H34" s="24"/>
      <c r="I34" s="23"/>
      <c r="J34" s="24"/>
      <c r="K34" s="23"/>
      <c r="L34" s="24">
        <f t="shared" ref="L34" si="2">K34*F34</f>
        <v>0</v>
      </c>
      <c r="M34" s="24">
        <f t="shared" si="1"/>
        <v>0</v>
      </c>
    </row>
    <row r="35" spans="1:13" ht="15.75" x14ac:dyDescent="0.25">
      <c r="A35" s="215"/>
      <c r="B35" s="21" t="s">
        <v>138</v>
      </c>
      <c r="C35" s="22" t="s">
        <v>139</v>
      </c>
      <c r="D35" s="25" t="s">
        <v>99</v>
      </c>
      <c r="E35" s="19">
        <v>65</v>
      </c>
      <c r="F35" s="26">
        <f>E35*F32</f>
        <v>139.75</v>
      </c>
      <c r="G35" s="23"/>
      <c r="H35" s="24">
        <f t="shared" ref="H35:H37" si="3">G35*F35</f>
        <v>0</v>
      </c>
      <c r="I35" s="23"/>
      <c r="J35" s="24"/>
      <c r="K35" s="23"/>
      <c r="L35" s="24"/>
      <c r="M35" s="24">
        <f t="shared" si="1"/>
        <v>0</v>
      </c>
    </row>
    <row r="36" spans="1:13" ht="17.25" x14ac:dyDescent="0.25">
      <c r="A36" s="215"/>
      <c r="B36" s="21" t="s">
        <v>140</v>
      </c>
      <c r="C36" s="22" t="s">
        <v>156</v>
      </c>
      <c r="D36" s="36" t="s">
        <v>39</v>
      </c>
      <c r="E36" s="19">
        <v>0.11</v>
      </c>
      <c r="F36" s="23">
        <f>E36*F32</f>
        <v>0.23649999999999999</v>
      </c>
      <c r="G36" s="23"/>
      <c r="H36" s="24">
        <f t="shared" si="3"/>
        <v>0</v>
      </c>
      <c r="I36" s="23"/>
      <c r="J36" s="24"/>
      <c r="K36" s="23"/>
      <c r="L36" s="24"/>
      <c r="M36" s="24">
        <f t="shared" si="1"/>
        <v>0</v>
      </c>
    </row>
    <row r="37" spans="1:13" x14ac:dyDescent="0.25">
      <c r="A37" s="216"/>
      <c r="B37" s="27"/>
      <c r="C37" s="22" t="s">
        <v>159</v>
      </c>
      <c r="D37" s="19" t="s">
        <v>29</v>
      </c>
      <c r="E37" s="19">
        <v>0.16</v>
      </c>
      <c r="F37" s="23">
        <f>E37*F32</f>
        <v>0.34399999999999997</v>
      </c>
      <c r="G37" s="23"/>
      <c r="H37" s="24">
        <f t="shared" si="3"/>
        <v>0</v>
      </c>
      <c r="I37" s="23"/>
      <c r="J37" s="24"/>
      <c r="K37" s="23"/>
      <c r="L37" s="24"/>
      <c r="M37" s="24">
        <f t="shared" si="1"/>
        <v>0</v>
      </c>
    </row>
    <row r="38" spans="1:13" ht="33.75" customHeight="1" x14ac:dyDescent="0.25">
      <c r="A38" s="214">
        <v>2</v>
      </c>
      <c r="B38" s="17" t="s">
        <v>141</v>
      </c>
      <c r="C38" s="69" t="s">
        <v>160</v>
      </c>
      <c r="D38" s="54" t="s">
        <v>36</v>
      </c>
      <c r="E38" s="70"/>
      <c r="F38" s="61">
        <v>54</v>
      </c>
      <c r="G38" s="74"/>
      <c r="H38" s="74"/>
      <c r="I38" s="74"/>
      <c r="J38" s="74"/>
      <c r="K38" s="74"/>
      <c r="L38" s="74"/>
      <c r="M38" s="74"/>
    </row>
    <row r="39" spans="1:13" x14ac:dyDescent="0.25">
      <c r="A39" s="215"/>
      <c r="B39" s="21"/>
      <c r="C39" s="80" t="s">
        <v>26</v>
      </c>
      <c r="D39" s="36" t="s">
        <v>27</v>
      </c>
      <c r="E39" s="19">
        <f>100*0.01</f>
        <v>1</v>
      </c>
      <c r="F39" s="23">
        <f>E39*F38</f>
        <v>54</v>
      </c>
      <c r="G39" s="23"/>
      <c r="H39" s="24"/>
      <c r="I39" s="23"/>
      <c r="J39" s="24">
        <f t="shared" ref="J39" si="4">I39*F39</f>
        <v>0</v>
      </c>
      <c r="K39" s="23"/>
      <c r="L39" s="24"/>
      <c r="M39" s="24">
        <f t="shared" ref="M39:M40" si="5">L39+J39+H39</f>
        <v>0</v>
      </c>
    </row>
    <row r="40" spans="1:13" x14ac:dyDescent="0.25">
      <c r="A40" s="215"/>
      <c r="B40" s="21"/>
      <c r="C40" s="80" t="s">
        <v>28</v>
      </c>
      <c r="D40" s="36" t="s">
        <v>29</v>
      </c>
      <c r="E40" s="19">
        <f>6.44*0.01</f>
        <v>6.4399999999999999E-2</v>
      </c>
      <c r="F40" s="23">
        <f>E40*F38</f>
        <v>3.4775999999999998</v>
      </c>
      <c r="G40" s="23"/>
      <c r="H40" s="24"/>
      <c r="I40" s="23"/>
      <c r="J40" s="24"/>
      <c r="K40" s="23"/>
      <c r="L40" s="24">
        <f t="shared" ref="L40" si="6">K40*F40</f>
        <v>0</v>
      </c>
      <c r="M40" s="24">
        <f t="shared" si="5"/>
        <v>0</v>
      </c>
    </row>
    <row r="41" spans="1:13" ht="33" customHeight="1" x14ac:dyDescent="0.25">
      <c r="A41" s="215"/>
      <c r="B41" s="21" t="s">
        <v>140</v>
      </c>
      <c r="C41" s="22" t="s">
        <v>156</v>
      </c>
      <c r="D41" s="36" t="s">
        <v>39</v>
      </c>
      <c r="E41" s="19">
        <f>0.5*0.01</f>
        <v>5.0000000000000001E-3</v>
      </c>
      <c r="F41" s="23">
        <f>E41*F38</f>
        <v>0.27</v>
      </c>
      <c r="G41" s="23"/>
      <c r="H41" s="24">
        <f>G41*F41</f>
        <v>0</v>
      </c>
      <c r="I41" s="23"/>
      <c r="J41" s="24"/>
      <c r="K41" s="23"/>
      <c r="L41" s="24"/>
      <c r="M41" s="24">
        <f>L41+J41+H41</f>
        <v>0</v>
      </c>
    </row>
    <row r="42" spans="1:13" ht="15.75" x14ac:dyDescent="0.25">
      <c r="A42" s="215"/>
      <c r="B42" s="21" t="s">
        <v>142</v>
      </c>
      <c r="C42" s="22" t="s">
        <v>158</v>
      </c>
      <c r="D42" s="18" t="s">
        <v>99</v>
      </c>
      <c r="E42" s="19">
        <v>12.5</v>
      </c>
      <c r="F42" s="23">
        <f>E42*F38</f>
        <v>675</v>
      </c>
      <c r="G42" s="23"/>
      <c r="H42" s="24">
        <f t="shared" ref="H42:H43" si="7">G42*F42</f>
        <v>0</v>
      </c>
      <c r="I42" s="23"/>
      <c r="J42" s="24"/>
      <c r="K42" s="23"/>
      <c r="L42" s="24"/>
      <c r="M42" s="24">
        <f t="shared" ref="M42:M43" si="8">L42+J42+H42</f>
        <v>0</v>
      </c>
    </row>
    <row r="43" spans="1:13" x14ac:dyDescent="0.25">
      <c r="A43" s="216"/>
      <c r="B43" s="27"/>
      <c r="C43" s="22" t="s">
        <v>159</v>
      </c>
      <c r="D43" s="19" t="s">
        <v>29</v>
      </c>
      <c r="E43" s="19">
        <f>0.12*0.01</f>
        <v>1.1999999999999999E-3</v>
      </c>
      <c r="F43" s="23">
        <f>E43*F38</f>
        <v>6.4799999999999996E-2</v>
      </c>
      <c r="G43" s="23"/>
      <c r="H43" s="24">
        <f t="shared" si="7"/>
        <v>0</v>
      </c>
      <c r="I43" s="23"/>
      <c r="J43" s="24"/>
      <c r="K43" s="23"/>
      <c r="L43" s="24"/>
      <c r="M43" s="24">
        <f t="shared" si="8"/>
        <v>0</v>
      </c>
    </row>
    <row r="44" spans="1:13" ht="22.5" x14ac:dyDescent="0.25">
      <c r="A44" s="194">
        <v>3</v>
      </c>
      <c r="B44" s="81" t="s">
        <v>46</v>
      </c>
      <c r="C44" s="69" t="s">
        <v>136</v>
      </c>
      <c r="D44" s="54" t="s">
        <v>36</v>
      </c>
      <c r="E44" s="70"/>
      <c r="F44" s="61">
        <v>230</v>
      </c>
      <c r="G44" s="74"/>
      <c r="H44" s="74"/>
      <c r="I44" s="74"/>
      <c r="J44" s="74"/>
      <c r="K44" s="74"/>
      <c r="L44" s="74"/>
      <c r="M44" s="74"/>
    </row>
    <row r="45" spans="1:13" ht="24" customHeight="1" x14ac:dyDescent="0.25">
      <c r="A45" s="195"/>
      <c r="B45" s="82"/>
      <c r="C45" s="80" t="s">
        <v>26</v>
      </c>
      <c r="D45" s="36" t="s">
        <v>27</v>
      </c>
      <c r="E45" s="73">
        <v>0.56000000000000005</v>
      </c>
      <c r="F45" s="83">
        <f>E45*F44</f>
        <v>128.80000000000001</v>
      </c>
      <c r="G45" s="74"/>
      <c r="H45" s="74"/>
      <c r="I45" s="74"/>
      <c r="J45" s="74">
        <f>I45*F45</f>
        <v>0</v>
      </c>
      <c r="K45" s="74"/>
      <c r="L45" s="74"/>
      <c r="M45" s="74">
        <f>J45</f>
        <v>0</v>
      </c>
    </row>
    <row r="46" spans="1:13" x14ac:dyDescent="0.25">
      <c r="A46" s="195"/>
      <c r="B46" s="82"/>
      <c r="C46" s="80" t="s">
        <v>28</v>
      </c>
      <c r="D46" s="36" t="s">
        <v>29</v>
      </c>
      <c r="E46" s="73">
        <v>1.4999999999999999E-2</v>
      </c>
      <c r="F46" s="83">
        <f>E46*F44</f>
        <v>3.4499999999999997</v>
      </c>
      <c r="G46" s="74"/>
      <c r="H46" s="74"/>
      <c r="I46" s="74"/>
      <c r="J46" s="74"/>
      <c r="K46" s="74"/>
      <c r="L46" s="74">
        <f>K46*F46</f>
        <v>0</v>
      </c>
      <c r="M46" s="74">
        <f>L46</f>
        <v>0</v>
      </c>
    </row>
    <row r="47" spans="1:13" ht="17.25" x14ac:dyDescent="0.25">
      <c r="A47" s="195"/>
      <c r="B47" s="84" t="s">
        <v>106</v>
      </c>
      <c r="C47" s="45" t="s">
        <v>105</v>
      </c>
      <c r="D47" s="36" t="s">
        <v>39</v>
      </c>
      <c r="E47" s="73">
        <v>2.6800000000000001E-2</v>
      </c>
      <c r="F47" s="83">
        <f>E47*F44</f>
        <v>6.1640000000000006</v>
      </c>
      <c r="G47" s="74"/>
      <c r="H47" s="74">
        <f>G47*F47</f>
        <v>0</v>
      </c>
      <c r="I47" s="74"/>
      <c r="J47" s="74"/>
      <c r="K47" s="74"/>
      <c r="L47" s="74"/>
      <c r="M47" s="74">
        <f>H47</f>
        <v>0</v>
      </c>
    </row>
    <row r="48" spans="1:13" x14ac:dyDescent="0.25">
      <c r="A48" s="196"/>
      <c r="B48" s="85"/>
      <c r="C48" s="86" t="s">
        <v>38</v>
      </c>
      <c r="D48" s="77" t="s">
        <v>29</v>
      </c>
      <c r="E48" s="87">
        <v>1E-3</v>
      </c>
      <c r="F48" s="87">
        <f>E48*F44</f>
        <v>0.23</v>
      </c>
      <c r="G48" s="57"/>
      <c r="H48" s="57">
        <f t="shared" ref="H48" si="9">G48*F48</f>
        <v>0</v>
      </c>
      <c r="I48" s="57"/>
      <c r="J48" s="57"/>
      <c r="K48" s="57"/>
      <c r="L48" s="57"/>
      <c r="M48" s="57">
        <f t="shared" ref="M48" si="10">H48</f>
        <v>0</v>
      </c>
    </row>
    <row r="49" spans="1:13" ht="36" customHeight="1" x14ac:dyDescent="0.25">
      <c r="A49" s="194">
        <v>3</v>
      </c>
      <c r="B49" s="81" t="s">
        <v>322</v>
      </c>
      <c r="C49" s="69" t="s">
        <v>321</v>
      </c>
      <c r="D49" s="54" t="s">
        <v>36</v>
      </c>
      <c r="E49" s="70"/>
      <c r="F49" s="61">
        <v>50</v>
      </c>
      <c r="G49" s="74"/>
      <c r="H49" s="74"/>
      <c r="I49" s="74"/>
      <c r="J49" s="74"/>
      <c r="K49" s="74"/>
      <c r="L49" s="74"/>
      <c r="M49" s="74"/>
    </row>
    <row r="50" spans="1:13" x14ac:dyDescent="0.25">
      <c r="A50" s="195"/>
      <c r="B50" s="82"/>
      <c r="C50" s="80" t="s">
        <v>26</v>
      </c>
      <c r="D50" s="36" t="s">
        <v>27</v>
      </c>
      <c r="E50" s="73">
        <v>0.93</v>
      </c>
      <c r="F50" s="83">
        <f>E50*F49</f>
        <v>46.5</v>
      </c>
      <c r="G50" s="74"/>
      <c r="H50" s="74"/>
      <c r="I50" s="74"/>
      <c r="J50" s="74">
        <f>I50*F50</f>
        <v>0</v>
      </c>
      <c r="K50" s="74"/>
      <c r="L50" s="74"/>
      <c r="M50" s="74">
        <f>L50+J50+H50</f>
        <v>0</v>
      </c>
    </row>
    <row r="51" spans="1:13" ht="17.25" x14ac:dyDescent="0.25">
      <c r="A51" s="195"/>
      <c r="B51" s="82"/>
      <c r="C51" s="88" t="s">
        <v>323</v>
      </c>
      <c r="D51" s="89" t="s">
        <v>278</v>
      </c>
      <c r="E51" s="73">
        <v>2.4E-2</v>
      </c>
      <c r="F51" s="83">
        <f>E51*F49</f>
        <v>1.2</v>
      </c>
      <c r="G51" s="74"/>
      <c r="H51" s="74"/>
      <c r="I51" s="74"/>
      <c r="J51" s="74"/>
      <c r="K51" s="74"/>
      <c r="L51" s="74">
        <f>K51*F51</f>
        <v>0</v>
      </c>
      <c r="M51" s="74">
        <f>L51+J51+H51</f>
        <v>0</v>
      </c>
    </row>
    <row r="52" spans="1:13" x14ac:dyDescent="0.25">
      <c r="A52" s="195"/>
      <c r="B52" s="82"/>
      <c r="C52" s="80" t="s">
        <v>28</v>
      </c>
      <c r="D52" s="36" t="s">
        <v>29</v>
      </c>
      <c r="E52" s="73">
        <v>2.5999999999999999E-2</v>
      </c>
      <c r="F52" s="83">
        <f>E52*F49</f>
        <v>1.3</v>
      </c>
      <c r="G52" s="74"/>
      <c r="H52" s="74"/>
      <c r="I52" s="74"/>
      <c r="J52" s="74"/>
      <c r="K52" s="74"/>
      <c r="L52" s="74">
        <f>K52*F52</f>
        <v>0</v>
      </c>
      <c r="M52" s="74">
        <f>L52</f>
        <v>0</v>
      </c>
    </row>
    <row r="53" spans="1:13" ht="17.25" x14ac:dyDescent="0.25">
      <c r="A53" s="195"/>
      <c r="B53" s="84" t="s">
        <v>106</v>
      </c>
      <c r="C53" s="45" t="s">
        <v>105</v>
      </c>
      <c r="D53" s="36" t="s">
        <v>39</v>
      </c>
      <c r="E53" s="73">
        <v>1.44E-2</v>
      </c>
      <c r="F53" s="83">
        <f>E53*F49</f>
        <v>0.72</v>
      </c>
      <c r="G53" s="74"/>
      <c r="H53" s="74">
        <f>G53*F53</f>
        <v>0</v>
      </c>
      <c r="I53" s="74"/>
      <c r="J53" s="74"/>
      <c r="K53" s="74"/>
      <c r="L53" s="74"/>
      <c r="M53" s="74">
        <f>H53</f>
        <v>0</v>
      </c>
    </row>
    <row r="54" spans="1:13" ht="30" x14ac:dyDescent="0.25">
      <c r="A54" s="194">
        <v>4</v>
      </c>
      <c r="B54" s="209" t="s">
        <v>82</v>
      </c>
      <c r="C54" s="69" t="s">
        <v>143</v>
      </c>
      <c r="D54" s="54" t="s">
        <v>41</v>
      </c>
      <c r="E54" s="90"/>
      <c r="F54" s="61">
        <v>6.93</v>
      </c>
      <c r="G54" s="47"/>
      <c r="H54" s="47"/>
      <c r="I54" s="47"/>
      <c r="J54" s="47"/>
      <c r="K54" s="47"/>
      <c r="L54" s="47"/>
      <c r="M54" s="47"/>
    </row>
    <row r="55" spans="1:13" x14ac:dyDescent="0.25">
      <c r="A55" s="195"/>
      <c r="B55" s="210"/>
      <c r="C55" s="86" t="s">
        <v>26</v>
      </c>
      <c r="D55" s="77" t="s">
        <v>27</v>
      </c>
      <c r="E55" s="91">
        <v>1.1599999999999999</v>
      </c>
      <c r="F55" s="91">
        <f>E55*F54</f>
        <v>8.0387999999999984</v>
      </c>
      <c r="G55" s="47"/>
      <c r="H55" s="47"/>
      <c r="I55" s="47"/>
      <c r="J55" s="47">
        <f>I55*F55</f>
        <v>0</v>
      </c>
      <c r="K55" s="47"/>
      <c r="L55" s="47"/>
      <c r="M55" s="47">
        <f>J55</f>
        <v>0</v>
      </c>
    </row>
    <row r="56" spans="1:13" x14ac:dyDescent="0.25">
      <c r="A56" s="195"/>
      <c r="B56" s="210"/>
      <c r="C56" s="86" t="s">
        <v>42</v>
      </c>
      <c r="D56" s="77" t="s">
        <v>29</v>
      </c>
      <c r="E56" s="91">
        <v>0.13</v>
      </c>
      <c r="F56" s="91">
        <f>E56*F54</f>
        <v>0.90090000000000003</v>
      </c>
      <c r="G56" s="47"/>
      <c r="H56" s="47"/>
      <c r="I56" s="47"/>
      <c r="J56" s="47"/>
      <c r="K56" s="47"/>
      <c r="L56" s="47">
        <f>K56*F56</f>
        <v>0</v>
      </c>
      <c r="M56" s="47">
        <f>L56</f>
        <v>0</v>
      </c>
    </row>
    <row r="57" spans="1:13" ht="17.25" x14ac:dyDescent="0.25">
      <c r="A57" s="195"/>
      <c r="B57" s="92" t="s">
        <v>102</v>
      </c>
      <c r="C57" s="93" t="s">
        <v>239</v>
      </c>
      <c r="D57" s="77" t="s">
        <v>36</v>
      </c>
      <c r="E57" s="91">
        <v>1</v>
      </c>
      <c r="F57" s="91">
        <f>E57*F54</f>
        <v>6.93</v>
      </c>
      <c r="G57" s="47"/>
      <c r="H57" s="47">
        <f>G57*F57</f>
        <v>0</v>
      </c>
      <c r="I57" s="47"/>
      <c r="J57" s="47"/>
      <c r="K57" s="47"/>
      <c r="L57" s="47"/>
      <c r="M57" s="47">
        <f>H57</f>
        <v>0</v>
      </c>
    </row>
    <row r="58" spans="1:13" ht="17.25" x14ac:dyDescent="0.25">
      <c r="A58" s="195"/>
      <c r="B58" s="92" t="s">
        <v>103</v>
      </c>
      <c r="C58" s="93" t="s">
        <v>83</v>
      </c>
      <c r="D58" s="77" t="s">
        <v>39</v>
      </c>
      <c r="E58" s="91">
        <v>8.0000000000000004E-4</v>
      </c>
      <c r="F58" s="91">
        <f>E58*F54</f>
        <v>5.5440000000000003E-3</v>
      </c>
      <c r="G58" s="47"/>
      <c r="H58" s="47">
        <f t="shared" ref="H58:H59" si="11">G58*F58</f>
        <v>0</v>
      </c>
      <c r="I58" s="47"/>
      <c r="J58" s="47"/>
      <c r="K58" s="47"/>
      <c r="L58" s="47"/>
      <c r="M58" s="47">
        <f t="shared" ref="M58:M59" si="12">H58</f>
        <v>0</v>
      </c>
    </row>
    <row r="59" spans="1:13" x14ac:dyDescent="0.25">
      <c r="A59" s="196"/>
      <c r="B59" s="84"/>
      <c r="C59" s="86" t="s">
        <v>38</v>
      </c>
      <c r="D59" s="77" t="s">
        <v>29</v>
      </c>
      <c r="E59" s="91">
        <v>2.06E-2</v>
      </c>
      <c r="F59" s="91">
        <f>E59*F54</f>
        <v>0.142758</v>
      </c>
      <c r="G59" s="47"/>
      <c r="H59" s="47">
        <f t="shared" si="11"/>
        <v>0</v>
      </c>
      <c r="I59" s="47"/>
      <c r="J59" s="47"/>
      <c r="K59" s="47"/>
      <c r="L59" s="47"/>
      <c r="M59" s="47">
        <f t="shared" si="12"/>
        <v>0</v>
      </c>
    </row>
    <row r="60" spans="1:13" ht="51" customHeight="1" x14ac:dyDescent="0.25">
      <c r="A60" s="194">
        <v>5</v>
      </c>
      <c r="B60" s="209" t="s">
        <v>82</v>
      </c>
      <c r="C60" s="69" t="s">
        <v>240</v>
      </c>
      <c r="D60" s="54" t="s">
        <v>41</v>
      </c>
      <c r="E60" s="90"/>
      <c r="F60" s="61">
        <v>4.4000000000000004</v>
      </c>
      <c r="G60" s="47"/>
      <c r="H60" s="47"/>
      <c r="I60" s="47"/>
      <c r="J60" s="47"/>
      <c r="K60" s="47"/>
      <c r="L60" s="47"/>
      <c r="M60" s="47"/>
    </row>
    <row r="61" spans="1:13" x14ac:dyDescent="0.25">
      <c r="A61" s="195"/>
      <c r="B61" s="210"/>
      <c r="C61" s="86" t="s">
        <v>26</v>
      </c>
      <c r="D61" s="77" t="s">
        <v>27</v>
      </c>
      <c r="E61" s="91">
        <v>1.1599999999999999</v>
      </c>
      <c r="F61" s="91">
        <f>E61*F60</f>
        <v>5.1040000000000001</v>
      </c>
      <c r="G61" s="47"/>
      <c r="H61" s="47"/>
      <c r="I61" s="47"/>
      <c r="J61" s="47">
        <f>I61*F61</f>
        <v>0</v>
      </c>
      <c r="K61" s="47"/>
      <c r="L61" s="47"/>
      <c r="M61" s="47">
        <f>J61</f>
        <v>0</v>
      </c>
    </row>
    <row r="62" spans="1:13" x14ac:dyDescent="0.25">
      <c r="A62" s="195"/>
      <c r="B62" s="210"/>
      <c r="C62" s="86" t="s">
        <v>42</v>
      </c>
      <c r="D62" s="77" t="s">
        <v>29</v>
      </c>
      <c r="E62" s="91">
        <v>0.13</v>
      </c>
      <c r="F62" s="91">
        <f>E62*F60</f>
        <v>0.57200000000000006</v>
      </c>
      <c r="G62" s="47"/>
      <c r="H62" s="47"/>
      <c r="I62" s="47"/>
      <c r="J62" s="47"/>
      <c r="K62" s="47"/>
      <c r="L62" s="47">
        <f>K62*F62</f>
        <v>0</v>
      </c>
      <c r="M62" s="47">
        <f>L62</f>
        <v>0</v>
      </c>
    </row>
    <row r="63" spans="1:13" ht="17.25" x14ac:dyDescent="0.25">
      <c r="A63" s="195"/>
      <c r="B63" s="92" t="s">
        <v>102</v>
      </c>
      <c r="C63" s="93" t="s">
        <v>241</v>
      </c>
      <c r="D63" s="77" t="s">
        <v>36</v>
      </c>
      <c r="E63" s="91">
        <v>1</v>
      </c>
      <c r="F63" s="91">
        <f>E63*F60</f>
        <v>4.4000000000000004</v>
      </c>
      <c r="G63" s="47"/>
      <c r="H63" s="47">
        <f>G63*F63</f>
        <v>0</v>
      </c>
      <c r="I63" s="47"/>
      <c r="J63" s="47"/>
      <c r="K63" s="47"/>
      <c r="L63" s="47"/>
      <c r="M63" s="47">
        <f>H63</f>
        <v>0</v>
      </c>
    </row>
    <row r="64" spans="1:13" ht="17.25" x14ac:dyDescent="0.25">
      <c r="A64" s="195"/>
      <c r="B64" s="92" t="s">
        <v>103</v>
      </c>
      <c r="C64" s="93" t="s">
        <v>83</v>
      </c>
      <c r="D64" s="77" t="s">
        <v>39</v>
      </c>
      <c r="E64" s="91">
        <v>8.0000000000000004E-4</v>
      </c>
      <c r="F64" s="91">
        <f>E64*F60</f>
        <v>3.5200000000000006E-3</v>
      </c>
      <c r="G64" s="47"/>
      <c r="H64" s="47">
        <f t="shared" ref="H64:H65" si="13">G64*F64</f>
        <v>0</v>
      </c>
      <c r="I64" s="47"/>
      <c r="J64" s="47"/>
      <c r="K64" s="47"/>
      <c r="L64" s="47"/>
      <c r="M64" s="47">
        <f t="shared" ref="M64:M65" si="14">H64</f>
        <v>0</v>
      </c>
    </row>
    <row r="65" spans="1:15" x14ac:dyDescent="0.25">
      <c r="A65" s="196"/>
      <c r="B65" s="84"/>
      <c r="C65" s="86" t="s">
        <v>38</v>
      </c>
      <c r="D65" s="77" t="s">
        <v>29</v>
      </c>
      <c r="E65" s="91">
        <v>2.06E-2</v>
      </c>
      <c r="F65" s="91">
        <f>E65*F60</f>
        <v>9.0640000000000012E-2</v>
      </c>
      <c r="G65" s="47"/>
      <c r="H65" s="47">
        <f t="shared" si="13"/>
        <v>0</v>
      </c>
      <c r="I65" s="47"/>
      <c r="J65" s="47"/>
      <c r="K65" s="47"/>
      <c r="L65" s="47"/>
      <c r="M65" s="47">
        <f t="shared" si="14"/>
        <v>0</v>
      </c>
    </row>
    <row r="66" spans="1:15" ht="51.75" customHeight="1" x14ac:dyDescent="0.25">
      <c r="A66" s="194">
        <v>6</v>
      </c>
      <c r="B66" s="209" t="s">
        <v>82</v>
      </c>
      <c r="C66" s="69" t="s">
        <v>320</v>
      </c>
      <c r="D66" s="54" t="s">
        <v>41</v>
      </c>
      <c r="E66" s="90"/>
      <c r="F66" s="61">
        <v>3.15</v>
      </c>
      <c r="G66" s="47"/>
      <c r="H66" s="47"/>
      <c r="I66" s="47"/>
      <c r="J66" s="47"/>
      <c r="K66" s="47"/>
      <c r="L66" s="47"/>
      <c r="M66" s="47"/>
    </row>
    <row r="67" spans="1:15" x14ac:dyDescent="0.25">
      <c r="A67" s="195"/>
      <c r="B67" s="210"/>
      <c r="C67" s="86" t="s">
        <v>26</v>
      </c>
      <c r="D67" s="77" t="s">
        <v>27</v>
      </c>
      <c r="E67" s="91">
        <v>1.1599999999999999</v>
      </c>
      <c r="F67" s="91">
        <f>E67*F66</f>
        <v>3.6539999999999995</v>
      </c>
      <c r="G67" s="47"/>
      <c r="H67" s="47"/>
      <c r="I67" s="47"/>
      <c r="J67" s="47">
        <f>I67*F67</f>
        <v>0</v>
      </c>
      <c r="K67" s="47"/>
      <c r="L67" s="47"/>
      <c r="M67" s="47">
        <f>J67</f>
        <v>0</v>
      </c>
      <c r="O67" s="94"/>
    </row>
    <row r="68" spans="1:15" x14ac:dyDescent="0.25">
      <c r="A68" s="195"/>
      <c r="B68" s="210"/>
      <c r="C68" s="86" t="s">
        <v>42</v>
      </c>
      <c r="D68" s="77" t="s">
        <v>29</v>
      </c>
      <c r="E68" s="91">
        <v>0.13</v>
      </c>
      <c r="F68" s="91">
        <f>E68*F66</f>
        <v>0.40949999999999998</v>
      </c>
      <c r="G68" s="47"/>
      <c r="H68" s="47"/>
      <c r="I68" s="47"/>
      <c r="J68" s="47"/>
      <c r="K68" s="47"/>
      <c r="L68" s="47">
        <f>K68*F68</f>
        <v>0</v>
      </c>
      <c r="M68" s="47">
        <f>L68</f>
        <v>0</v>
      </c>
    </row>
    <row r="69" spans="1:15" ht="17.25" x14ac:dyDescent="0.25">
      <c r="A69" s="195"/>
      <c r="B69" s="92" t="s">
        <v>243</v>
      </c>
      <c r="C69" s="154" t="s">
        <v>326</v>
      </c>
      <c r="D69" s="77" t="s">
        <v>36</v>
      </c>
      <c r="E69" s="91">
        <v>1</v>
      </c>
      <c r="F69" s="91">
        <f>E69*F66</f>
        <v>3.15</v>
      </c>
      <c r="G69" s="47"/>
      <c r="H69" s="47">
        <f>G69*F69</f>
        <v>0</v>
      </c>
      <c r="I69" s="47"/>
      <c r="J69" s="47"/>
      <c r="K69" s="47"/>
      <c r="L69" s="47"/>
      <c r="M69" s="47">
        <f>H69</f>
        <v>0</v>
      </c>
    </row>
    <row r="70" spans="1:15" ht="17.25" x14ac:dyDescent="0.25">
      <c r="A70" s="195"/>
      <c r="B70" s="92" t="s">
        <v>103</v>
      </c>
      <c r="C70" s="93" t="s">
        <v>83</v>
      </c>
      <c r="D70" s="77" t="s">
        <v>39</v>
      </c>
      <c r="E70" s="91">
        <v>8.0000000000000004E-4</v>
      </c>
      <c r="F70" s="91">
        <f>E70*F66</f>
        <v>2.5200000000000001E-3</v>
      </c>
      <c r="G70" s="47"/>
      <c r="H70" s="47">
        <f t="shared" ref="H70:H71" si="15">G70*F70</f>
        <v>0</v>
      </c>
      <c r="I70" s="47"/>
      <c r="J70" s="47"/>
      <c r="K70" s="47"/>
      <c r="L70" s="47"/>
      <c r="M70" s="47">
        <f t="shared" ref="M70:M71" si="16">H70</f>
        <v>0</v>
      </c>
    </row>
    <row r="71" spans="1:15" x14ac:dyDescent="0.25">
      <c r="A71" s="196"/>
      <c r="B71" s="84"/>
      <c r="C71" s="86" t="s">
        <v>38</v>
      </c>
      <c r="D71" s="77" t="s">
        <v>29</v>
      </c>
      <c r="E71" s="91">
        <v>2.06E-2</v>
      </c>
      <c r="F71" s="91">
        <f>E71*F66</f>
        <v>6.4890000000000003E-2</v>
      </c>
      <c r="G71" s="47"/>
      <c r="H71" s="47">
        <f t="shared" si="15"/>
        <v>0</v>
      </c>
      <c r="I71" s="47"/>
      <c r="J71" s="47"/>
      <c r="K71" s="47"/>
      <c r="L71" s="47"/>
      <c r="M71" s="47">
        <f t="shared" si="16"/>
        <v>0</v>
      </c>
    </row>
    <row r="72" spans="1:15" ht="30" x14ac:dyDescent="0.25">
      <c r="A72" s="194">
        <v>7</v>
      </c>
      <c r="B72" s="81" t="s">
        <v>43</v>
      </c>
      <c r="C72" s="95" t="s">
        <v>44</v>
      </c>
      <c r="D72" s="54" t="s">
        <v>41</v>
      </c>
      <c r="E72" s="90"/>
      <c r="F72" s="61">
        <v>4.32</v>
      </c>
      <c r="G72" s="74"/>
      <c r="H72" s="74"/>
      <c r="I72" s="74"/>
      <c r="J72" s="74"/>
      <c r="K72" s="74"/>
      <c r="L72" s="74"/>
      <c r="M72" s="74"/>
    </row>
    <row r="73" spans="1:15" x14ac:dyDescent="0.25">
      <c r="A73" s="195"/>
      <c r="B73" s="82"/>
      <c r="C73" s="96" t="s">
        <v>26</v>
      </c>
      <c r="D73" s="77" t="s">
        <v>27</v>
      </c>
      <c r="E73" s="91">
        <v>2.72</v>
      </c>
      <c r="F73" s="91">
        <f>E73*F72</f>
        <v>11.750400000000001</v>
      </c>
      <c r="G73" s="74"/>
      <c r="H73" s="74"/>
      <c r="I73" s="74"/>
      <c r="J73" s="74">
        <f>I73*F73</f>
        <v>0</v>
      </c>
      <c r="K73" s="74"/>
      <c r="L73" s="74"/>
      <c r="M73" s="74">
        <f>J73</f>
        <v>0</v>
      </c>
    </row>
    <row r="74" spans="1:15" x14ac:dyDescent="0.25">
      <c r="A74" s="195"/>
      <c r="B74" s="97"/>
      <c r="C74" s="86" t="s">
        <v>42</v>
      </c>
      <c r="D74" s="77" t="s">
        <v>29</v>
      </c>
      <c r="E74" s="91">
        <v>0.628</v>
      </c>
      <c r="F74" s="91">
        <f>E74*F72</f>
        <v>2.7129600000000003</v>
      </c>
      <c r="G74" s="74"/>
      <c r="H74" s="74"/>
      <c r="I74" s="74"/>
      <c r="J74" s="74"/>
      <c r="K74" s="74"/>
      <c r="L74" s="74">
        <f>K74*F74</f>
        <v>0</v>
      </c>
      <c r="M74" s="74">
        <f>L74</f>
        <v>0</v>
      </c>
    </row>
    <row r="75" spans="1:15" ht="33" customHeight="1" x14ac:dyDescent="0.25">
      <c r="A75" s="196"/>
      <c r="B75" s="92" t="s">
        <v>104</v>
      </c>
      <c r="C75" s="98" t="s">
        <v>242</v>
      </c>
      <c r="D75" s="77" t="s">
        <v>36</v>
      </c>
      <c r="E75" s="91">
        <v>1</v>
      </c>
      <c r="F75" s="91">
        <f>E75*F72</f>
        <v>4.32</v>
      </c>
      <c r="G75" s="74"/>
      <c r="H75" s="74">
        <f>G75*F75</f>
        <v>0</v>
      </c>
      <c r="I75" s="74"/>
      <c r="J75" s="74"/>
      <c r="K75" s="74"/>
      <c r="L75" s="74"/>
      <c r="M75" s="74">
        <f>H75</f>
        <v>0</v>
      </c>
    </row>
    <row r="76" spans="1:15" ht="35.25" customHeight="1" x14ac:dyDescent="0.25">
      <c r="A76" s="194">
        <v>8</v>
      </c>
      <c r="B76" s="81" t="s">
        <v>43</v>
      </c>
      <c r="C76" s="95" t="s">
        <v>246</v>
      </c>
      <c r="D76" s="54" t="s">
        <v>41</v>
      </c>
      <c r="E76" s="90"/>
      <c r="F76" s="61">
        <v>18.75</v>
      </c>
      <c r="G76" s="74"/>
      <c r="H76" s="74"/>
      <c r="I76" s="74"/>
      <c r="J76" s="74"/>
      <c r="K76" s="74"/>
      <c r="L76" s="74"/>
      <c r="M76" s="74"/>
    </row>
    <row r="77" spans="1:15" x14ac:dyDescent="0.25">
      <c r="A77" s="195"/>
      <c r="B77" s="82"/>
      <c r="C77" s="96" t="s">
        <v>26</v>
      </c>
      <c r="D77" s="77" t="s">
        <v>27</v>
      </c>
      <c r="E77" s="91">
        <v>2.72</v>
      </c>
      <c r="F77" s="91">
        <f>E77*F76</f>
        <v>51.000000000000007</v>
      </c>
      <c r="G77" s="74"/>
      <c r="H77" s="74"/>
      <c r="I77" s="74"/>
      <c r="J77" s="74">
        <f>I77*F77</f>
        <v>0</v>
      </c>
      <c r="K77" s="74"/>
      <c r="L77" s="74"/>
      <c r="M77" s="74">
        <f>J77</f>
        <v>0</v>
      </c>
    </row>
    <row r="78" spans="1:15" x14ac:dyDescent="0.25">
      <c r="A78" s="195"/>
      <c r="B78" s="97"/>
      <c r="C78" s="86" t="s">
        <v>42</v>
      </c>
      <c r="D78" s="77" t="s">
        <v>29</v>
      </c>
      <c r="E78" s="91">
        <v>0.628</v>
      </c>
      <c r="F78" s="91">
        <f>E78*F76</f>
        <v>11.775</v>
      </c>
      <c r="G78" s="74"/>
      <c r="H78" s="74"/>
      <c r="I78" s="74"/>
      <c r="J78" s="74"/>
      <c r="K78" s="74"/>
      <c r="L78" s="74">
        <f>K78*F78</f>
        <v>0</v>
      </c>
      <c r="M78" s="74">
        <f>L78</f>
        <v>0</v>
      </c>
    </row>
    <row r="79" spans="1:15" ht="36" customHeight="1" x14ac:dyDescent="0.25">
      <c r="A79" s="196"/>
      <c r="B79" s="92" t="s">
        <v>248</v>
      </c>
      <c r="C79" s="98" t="s">
        <v>247</v>
      </c>
      <c r="D79" s="77" t="s">
        <v>36</v>
      </c>
      <c r="E79" s="91">
        <v>1</v>
      </c>
      <c r="F79" s="91">
        <f>E79*F76</f>
        <v>18.75</v>
      </c>
      <c r="G79" s="74"/>
      <c r="H79" s="74">
        <f>G79*F79</f>
        <v>0</v>
      </c>
      <c r="I79" s="74"/>
      <c r="J79" s="74"/>
      <c r="K79" s="74"/>
      <c r="L79" s="74"/>
      <c r="M79" s="74">
        <f>H79</f>
        <v>0</v>
      </c>
    </row>
    <row r="80" spans="1:15" ht="33.75" x14ac:dyDescent="0.25">
      <c r="A80" s="194">
        <v>9</v>
      </c>
      <c r="B80" s="99" t="s">
        <v>47</v>
      </c>
      <c r="C80" s="100" t="s">
        <v>48</v>
      </c>
      <c r="D80" s="54" t="s">
        <v>41</v>
      </c>
      <c r="E80" s="91"/>
      <c r="F80" s="61">
        <v>79</v>
      </c>
      <c r="G80" s="74"/>
      <c r="H80" s="74"/>
      <c r="I80" s="74"/>
      <c r="J80" s="74"/>
      <c r="K80" s="74"/>
      <c r="L80" s="74"/>
      <c r="M80" s="74"/>
    </row>
    <row r="81" spans="1:21" x14ac:dyDescent="0.25">
      <c r="A81" s="195"/>
      <c r="B81" s="101"/>
      <c r="C81" s="86" t="s">
        <v>26</v>
      </c>
      <c r="D81" s="77" t="s">
        <v>45</v>
      </c>
      <c r="E81" s="91">
        <v>0.98499999999999999</v>
      </c>
      <c r="F81" s="91">
        <f>E81*F80</f>
        <v>77.814999999999998</v>
      </c>
      <c r="G81" s="74"/>
      <c r="H81" s="74"/>
      <c r="I81" s="74"/>
      <c r="J81" s="74">
        <f>I81*F81</f>
        <v>0</v>
      </c>
      <c r="K81" s="74"/>
      <c r="L81" s="74"/>
      <c r="M81" s="74">
        <f>J81</f>
        <v>0</v>
      </c>
    </row>
    <row r="82" spans="1:21" ht="24" customHeight="1" x14ac:dyDescent="0.25">
      <c r="A82" s="195"/>
      <c r="B82" s="101"/>
      <c r="C82" s="86" t="s">
        <v>28</v>
      </c>
      <c r="D82" s="77" t="s">
        <v>29</v>
      </c>
      <c r="E82" s="91">
        <v>4.6899999999999997E-2</v>
      </c>
      <c r="F82" s="91">
        <f>E82*F80</f>
        <v>3.7050999999999998</v>
      </c>
      <c r="G82" s="74"/>
      <c r="H82" s="74"/>
      <c r="I82" s="74"/>
      <c r="J82" s="74"/>
      <c r="K82" s="74"/>
      <c r="L82" s="74">
        <f>K82*F82</f>
        <v>0</v>
      </c>
      <c r="M82" s="74">
        <f>L82</f>
        <v>0</v>
      </c>
    </row>
    <row r="83" spans="1:21" ht="17.25" x14ac:dyDescent="0.25">
      <c r="A83" s="195"/>
      <c r="B83" s="92" t="s">
        <v>107</v>
      </c>
      <c r="C83" s="102" t="s">
        <v>49</v>
      </c>
      <c r="D83" s="77" t="s">
        <v>36</v>
      </c>
      <c r="E83" s="91">
        <v>1.03</v>
      </c>
      <c r="F83" s="91">
        <f>E83*F80</f>
        <v>81.37</v>
      </c>
      <c r="G83" s="74"/>
      <c r="H83" s="74">
        <f>G83*F83</f>
        <v>0</v>
      </c>
      <c r="I83" s="74"/>
      <c r="J83" s="74"/>
      <c r="K83" s="74"/>
      <c r="L83" s="74"/>
      <c r="M83" s="74">
        <f>H83</f>
        <v>0</v>
      </c>
    </row>
    <row r="84" spans="1:21" x14ac:dyDescent="0.25">
      <c r="A84" s="195"/>
      <c r="B84" s="92" t="s">
        <v>108</v>
      </c>
      <c r="C84" s="86" t="s">
        <v>50</v>
      </c>
      <c r="D84" s="77" t="s">
        <v>40</v>
      </c>
      <c r="E84" s="91">
        <v>1.07</v>
      </c>
      <c r="F84" s="91">
        <f>E84*F80</f>
        <v>84.53</v>
      </c>
      <c r="G84" s="74"/>
      <c r="H84" s="74">
        <f t="shared" ref="H84:H89" si="17">G84*F84</f>
        <v>0</v>
      </c>
      <c r="I84" s="74"/>
      <c r="J84" s="74"/>
      <c r="K84" s="74"/>
      <c r="L84" s="74"/>
      <c r="M84" s="74">
        <f t="shared" ref="M84:M89" si="18">H84</f>
        <v>0</v>
      </c>
    </row>
    <row r="85" spans="1:21" x14ac:dyDescent="0.25">
      <c r="A85" s="195"/>
      <c r="B85" s="92" t="s">
        <v>109</v>
      </c>
      <c r="C85" s="86" t="s">
        <v>51</v>
      </c>
      <c r="D85" s="77" t="s">
        <v>40</v>
      </c>
      <c r="E85" s="91">
        <v>2.9</v>
      </c>
      <c r="F85" s="91">
        <f>E85*F80</f>
        <v>229.1</v>
      </c>
      <c r="G85" s="74"/>
      <c r="H85" s="74">
        <f t="shared" si="17"/>
        <v>0</v>
      </c>
      <c r="I85" s="74"/>
      <c r="J85" s="74"/>
      <c r="K85" s="74"/>
      <c r="L85" s="74"/>
      <c r="M85" s="74">
        <f t="shared" si="18"/>
        <v>0</v>
      </c>
    </row>
    <row r="86" spans="1:21" x14ac:dyDescent="0.25">
      <c r="A86" s="195"/>
      <c r="B86" s="92" t="s">
        <v>110</v>
      </c>
      <c r="C86" s="86" t="s">
        <v>52</v>
      </c>
      <c r="D86" s="77" t="s">
        <v>40</v>
      </c>
      <c r="E86" s="91">
        <v>0.7</v>
      </c>
      <c r="F86" s="91">
        <f>E86*F80</f>
        <v>55.3</v>
      </c>
      <c r="G86" s="74"/>
      <c r="H86" s="74">
        <f t="shared" si="17"/>
        <v>0</v>
      </c>
      <c r="I86" s="74"/>
      <c r="J86" s="74"/>
      <c r="K86" s="74"/>
      <c r="L86" s="74"/>
      <c r="M86" s="74">
        <f>H86</f>
        <v>0</v>
      </c>
    </row>
    <row r="87" spans="1:21" ht="22.5" customHeight="1" x14ac:dyDescent="0.25">
      <c r="A87" s="195"/>
      <c r="B87" s="92" t="s">
        <v>111</v>
      </c>
      <c r="C87" s="86" t="s">
        <v>53</v>
      </c>
      <c r="D87" s="77" t="s">
        <v>40</v>
      </c>
      <c r="E87" s="91">
        <v>0.7</v>
      </c>
      <c r="F87" s="91">
        <f>E87*F80</f>
        <v>55.3</v>
      </c>
      <c r="G87" s="74"/>
      <c r="H87" s="74">
        <f t="shared" si="17"/>
        <v>0</v>
      </c>
      <c r="I87" s="74"/>
      <c r="J87" s="74"/>
      <c r="K87" s="74"/>
      <c r="L87" s="74"/>
      <c r="M87" s="74">
        <f t="shared" si="18"/>
        <v>0</v>
      </c>
    </row>
    <row r="88" spans="1:21" x14ac:dyDescent="0.25">
      <c r="A88" s="195"/>
      <c r="B88" s="92" t="s">
        <v>126</v>
      </c>
      <c r="C88" s="86" t="s">
        <v>54</v>
      </c>
      <c r="D88" s="77" t="s">
        <v>40</v>
      </c>
      <c r="E88" s="91">
        <v>2.14</v>
      </c>
      <c r="F88" s="91">
        <f>E88*F80</f>
        <v>169.06</v>
      </c>
      <c r="G88" s="74"/>
      <c r="H88" s="74">
        <f t="shared" si="17"/>
        <v>0</v>
      </c>
      <c r="I88" s="74"/>
      <c r="J88" s="74"/>
      <c r="K88" s="74"/>
      <c r="L88" s="74"/>
      <c r="M88" s="74">
        <f t="shared" si="18"/>
        <v>0</v>
      </c>
    </row>
    <row r="89" spans="1:21" x14ac:dyDescent="0.25">
      <c r="A89" s="195"/>
      <c r="B89" s="92" t="s">
        <v>127</v>
      </c>
      <c r="C89" s="86" t="s">
        <v>55</v>
      </c>
      <c r="D89" s="77" t="s">
        <v>40</v>
      </c>
      <c r="E89" s="91">
        <v>23</v>
      </c>
      <c r="F89" s="91">
        <f>E89*F80</f>
        <v>1817</v>
      </c>
      <c r="G89" s="74"/>
      <c r="H89" s="74">
        <f t="shared" si="17"/>
        <v>0</v>
      </c>
      <c r="I89" s="74"/>
      <c r="J89" s="74"/>
      <c r="K89" s="74"/>
      <c r="L89" s="74"/>
      <c r="M89" s="74">
        <f t="shared" si="18"/>
        <v>0</v>
      </c>
    </row>
    <row r="90" spans="1:21" ht="20.25" customHeight="1" x14ac:dyDescent="0.25">
      <c r="A90" s="196"/>
      <c r="B90" s="103"/>
      <c r="C90" s="86" t="s">
        <v>38</v>
      </c>
      <c r="D90" s="77" t="s">
        <v>29</v>
      </c>
      <c r="E90" s="91">
        <v>2.69</v>
      </c>
      <c r="F90" s="91">
        <f>E90*F80</f>
        <v>212.51</v>
      </c>
      <c r="G90" s="74"/>
      <c r="H90" s="74">
        <f>G90*F90</f>
        <v>0</v>
      </c>
      <c r="I90" s="74"/>
      <c r="J90" s="74"/>
      <c r="K90" s="74"/>
      <c r="L90" s="74"/>
      <c r="M90" s="74">
        <f>H90</f>
        <v>0</v>
      </c>
    </row>
    <row r="91" spans="1:21" ht="30" x14ac:dyDescent="0.25">
      <c r="A91" s="194">
        <v>10</v>
      </c>
      <c r="B91" s="81" t="s">
        <v>56</v>
      </c>
      <c r="C91" s="104" t="s">
        <v>131</v>
      </c>
      <c r="D91" s="54" t="s">
        <v>41</v>
      </c>
      <c r="E91" s="91"/>
      <c r="F91" s="61">
        <v>230</v>
      </c>
      <c r="G91" s="74"/>
      <c r="H91" s="74"/>
      <c r="I91" s="74"/>
      <c r="J91" s="74"/>
      <c r="K91" s="74"/>
      <c r="L91" s="74"/>
      <c r="M91" s="74"/>
    </row>
    <row r="92" spans="1:21" x14ac:dyDescent="0.25">
      <c r="A92" s="195"/>
      <c r="B92" s="85"/>
      <c r="C92" s="86" t="s">
        <v>26</v>
      </c>
      <c r="D92" s="77" t="s">
        <v>45</v>
      </c>
      <c r="E92" s="91">
        <v>0.44400000000000001</v>
      </c>
      <c r="F92" s="91">
        <f>E92*F91</f>
        <v>102.12</v>
      </c>
      <c r="G92" s="74"/>
      <c r="H92" s="74"/>
      <c r="I92" s="74"/>
      <c r="J92" s="74">
        <f>I92*F92</f>
        <v>0</v>
      </c>
      <c r="K92" s="74"/>
      <c r="L92" s="74"/>
      <c r="M92" s="74">
        <f>J92</f>
        <v>0</v>
      </c>
    </row>
    <row r="93" spans="1:21" x14ac:dyDescent="0.25">
      <c r="A93" s="195"/>
      <c r="B93" s="85"/>
      <c r="C93" s="86" t="s">
        <v>28</v>
      </c>
      <c r="D93" s="77" t="s">
        <v>29</v>
      </c>
      <c r="E93" s="91">
        <v>8.9999999999999993E-3</v>
      </c>
      <c r="F93" s="91">
        <f>E93*F91</f>
        <v>2.0699999999999998</v>
      </c>
      <c r="G93" s="74"/>
      <c r="H93" s="74"/>
      <c r="I93" s="74"/>
      <c r="J93" s="74"/>
      <c r="K93" s="74"/>
      <c r="L93" s="74">
        <f>K93*F93</f>
        <v>0</v>
      </c>
      <c r="M93" s="74">
        <f>L93</f>
        <v>0</v>
      </c>
    </row>
    <row r="94" spans="1:21" x14ac:dyDescent="0.25">
      <c r="A94" s="195"/>
      <c r="B94" s="92" t="s">
        <v>112</v>
      </c>
      <c r="C94" s="86" t="s">
        <v>57</v>
      </c>
      <c r="D94" s="77" t="s">
        <v>37</v>
      </c>
      <c r="E94" s="91">
        <v>0.63</v>
      </c>
      <c r="F94" s="91">
        <f>E94*F91</f>
        <v>144.9</v>
      </c>
      <c r="G94" s="74"/>
      <c r="H94" s="74">
        <f t="shared" ref="H94:H98" si="19">G94*F94</f>
        <v>0</v>
      </c>
      <c r="I94" s="74"/>
      <c r="J94" s="74"/>
      <c r="K94" s="74"/>
      <c r="L94" s="74"/>
      <c r="M94" s="74">
        <f t="shared" ref="M94:M98" si="20">H94</f>
        <v>0</v>
      </c>
    </row>
    <row r="95" spans="1:21" x14ac:dyDescent="0.25">
      <c r="A95" s="195"/>
      <c r="B95" s="92" t="s">
        <v>113</v>
      </c>
      <c r="C95" s="86" t="s">
        <v>58</v>
      </c>
      <c r="D95" s="77" t="s">
        <v>37</v>
      </c>
      <c r="E95" s="91">
        <v>0.34</v>
      </c>
      <c r="F95" s="91">
        <f>E95*F91</f>
        <v>78.2</v>
      </c>
      <c r="G95" s="74"/>
      <c r="H95" s="74">
        <f t="shared" si="19"/>
        <v>0</v>
      </c>
      <c r="I95" s="74"/>
      <c r="J95" s="74"/>
      <c r="K95" s="74"/>
      <c r="L95" s="74"/>
      <c r="M95" s="74">
        <f t="shared" si="20"/>
        <v>0</v>
      </c>
    </row>
    <row r="96" spans="1:21" x14ac:dyDescent="0.25">
      <c r="A96" s="195"/>
      <c r="B96" s="92" t="s">
        <v>114</v>
      </c>
      <c r="C96" s="86" t="s">
        <v>61</v>
      </c>
      <c r="D96" s="77" t="s">
        <v>37</v>
      </c>
      <c r="E96" s="91">
        <v>3.5000000000000003E-2</v>
      </c>
      <c r="F96" s="91">
        <f>E96*F91</f>
        <v>8.0500000000000007</v>
      </c>
      <c r="G96" s="74"/>
      <c r="H96" s="74">
        <f>G96*F96</f>
        <v>0</v>
      </c>
      <c r="I96" s="74"/>
      <c r="J96" s="74"/>
      <c r="K96" s="74"/>
      <c r="L96" s="74"/>
      <c r="M96" s="74">
        <f>H96</f>
        <v>0</v>
      </c>
      <c r="U96" s="94"/>
    </row>
    <row r="97" spans="1:13" ht="17.25" x14ac:dyDescent="0.25">
      <c r="A97" s="195"/>
      <c r="B97" s="92" t="s">
        <v>115</v>
      </c>
      <c r="C97" s="86" t="s">
        <v>62</v>
      </c>
      <c r="D97" s="77" t="s">
        <v>36</v>
      </c>
      <c r="E97" s="91">
        <v>8.9999999999999993E-3</v>
      </c>
      <c r="F97" s="91">
        <f>E97*F91</f>
        <v>2.0699999999999998</v>
      </c>
      <c r="G97" s="74"/>
      <c r="H97" s="74">
        <f t="shared" si="19"/>
        <v>0</v>
      </c>
      <c r="I97" s="74"/>
      <c r="J97" s="74"/>
      <c r="K97" s="74"/>
      <c r="L97" s="74"/>
      <c r="M97" s="74">
        <f t="shared" si="20"/>
        <v>0</v>
      </c>
    </row>
    <row r="98" spans="1:13" x14ac:dyDescent="0.25">
      <c r="A98" s="196"/>
      <c r="B98" s="105"/>
      <c r="C98" s="86" t="s">
        <v>38</v>
      </c>
      <c r="D98" s="77" t="s">
        <v>29</v>
      </c>
      <c r="E98" s="91">
        <v>1.4E-2</v>
      </c>
      <c r="F98" s="91">
        <f>E98*F91</f>
        <v>3.22</v>
      </c>
      <c r="G98" s="74"/>
      <c r="H98" s="74">
        <f t="shared" si="19"/>
        <v>0</v>
      </c>
      <c r="I98" s="74"/>
      <c r="J98" s="74"/>
      <c r="K98" s="74"/>
      <c r="L98" s="74"/>
      <c r="M98" s="74">
        <f t="shared" si="20"/>
        <v>0</v>
      </c>
    </row>
    <row r="99" spans="1:13" ht="22.5" x14ac:dyDescent="0.25">
      <c r="A99" s="197">
        <v>11</v>
      </c>
      <c r="B99" s="155" t="s">
        <v>328</v>
      </c>
      <c r="C99" s="156" t="s">
        <v>327</v>
      </c>
      <c r="D99" s="157" t="s">
        <v>41</v>
      </c>
      <c r="E99" s="158"/>
      <c r="F99" s="159">
        <v>42</v>
      </c>
      <c r="G99" s="160"/>
      <c r="H99" s="160"/>
      <c r="I99" s="160"/>
      <c r="J99" s="160"/>
      <c r="K99" s="160"/>
      <c r="L99" s="160"/>
      <c r="M99" s="160"/>
    </row>
    <row r="100" spans="1:13" x14ac:dyDescent="0.25">
      <c r="A100" s="198"/>
      <c r="B100" s="161"/>
      <c r="C100" s="162" t="s">
        <v>26</v>
      </c>
      <c r="D100" s="163" t="s">
        <v>45</v>
      </c>
      <c r="E100" s="158">
        <v>2.09</v>
      </c>
      <c r="F100" s="158">
        <f>E100*F99</f>
        <v>87.78</v>
      </c>
      <c r="G100" s="160"/>
      <c r="H100" s="160"/>
      <c r="I100" s="160"/>
      <c r="J100" s="160">
        <f>I100*F100</f>
        <v>0</v>
      </c>
      <c r="K100" s="160"/>
      <c r="L100" s="160"/>
      <c r="M100" s="160">
        <f>J100</f>
        <v>0</v>
      </c>
    </row>
    <row r="101" spans="1:13" x14ac:dyDescent="0.25">
      <c r="A101" s="198"/>
      <c r="B101" s="161"/>
      <c r="C101" s="162" t="s">
        <v>28</v>
      </c>
      <c r="D101" s="163" t="s">
        <v>29</v>
      </c>
      <c r="E101" s="158">
        <v>0.02</v>
      </c>
      <c r="F101" s="158">
        <f>E101*F99</f>
        <v>0.84</v>
      </c>
      <c r="G101" s="160"/>
      <c r="H101" s="160"/>
      <c r="I101" s="160"/>
      <c r="J101" s="160"/>
      <c r="K101" s="160"/>
      <c r="L101" s="160">
        <f>K101*F101</f>
        <v>0</v>
      </c>
      <c r="M101" s="160">
        <f>L101</f>
        <v>0</v>
      </c>
    </row>
    <row r="102" spans="1:13" ht="17.25" x14ac:dyDescent="0.25">
      <c r="A102" s="198"/>
      <c r="B102" s="161" t="s">
        <v>117</v>
      </c>
      <c r="C102" s="164" t="s">
        <v>329</v>
      </c>
      <c r="D102" s="163" t="s">
        <v>36</v>
      </c>
      <c r="E102" s="158">
        <v>1.02</v>
      </c>
      <c r="F102" s="158">
        <f>E102*F99</f>
        <v>42.84</v>
      </c>
      <c r="G102" s="160"/>
      <c r="H102" s="160">
        <f>G102*F102</f>
        <v>0</v>
      </c>
      <c r="I102" s="160"/>
      <c r="J102" s="160"/>
      <c r="K102" s="160"/>
      <c r="L102" s="160"/>
      <c r="M102" s="160">
        <f>H102</f>
        <v>0</v>
      </c>
    </row>
    <row r="103" spans="1:13" x14ac:dyDescent="0.25">
      <c r="A103" s="198"/>
      <c r="B103" s="161" t="s">
        <v>118</v>
      </c>
      <c r="C103" s="162" t="s">
        <v>84</v>
      </c>
      <c r="D103" s="163" t="s">
        <v>37</v>
      </c>
      <c r="E103" s="158">
        <v>4.2</v>
      </c>
      <c r="F103" s="158">
        <f>E103*F99</f>
        <v>176.4</v>
      </c>
      <c r="G103" s="160"/>
      <c r="H103" s="160">
        <f t="shared" ref="H103:H104" si="21">G103*F103</f>
        <v>0</v>
      </c>
      <c r="I103" s="160"/>
      <c r="J103" s="160"/>
      <c r="K103" s="160"/>
      <c r="L103" s="160"/>
      <c r="M103" s="160">
        <f t="shared" ref="M103:M104" si="22">H103</f>
        <v>0</v>
      </c>
    </row>
    <row r="104" spans="1:13" x14ac:dyDescent="0.25">
      <c r="A104" s="199"/>
      <c r="B104" s="165"/>
      <c r="C104" s="162" t="s">
        <v>38</v>
      </c>
      <c r="D104" s="163" t="s">
        <v>29</v>
      </c>
      <c r="E104" s="158">
        <v>7.0000000000000001E-3</v>
      </c>
      <c r="F104" s="158">
        <f>E104*F99</f>
        <v>0.29399999999999998</v>
      </c>
      <c r="G104" s="160"/>
      <c r="H104" s="160">
        <f t="shared" si="21"/>
        <v>0</v>
      </c>
      <c r="I104" s="160"/>
      <c r="J104" s="160"/>
      <c r="K104" s="160"/>
      <c r="L104" s="160"/>
      <c r="M104" s="160">
        <f t="shared" si="22"/>
        <v>0</v>
      </c>
    </row>
    <row r="105" spans="1:13" ht="30" x14ac:dyDescent="0.25">
      <c r="A105" s="194">
        <v>12</v>
      </c>
      <c r="B105" s="81" t="s">
        <v>63</v>
      </c>
      <c r="C105" s="104" t="s">
        <v>132</v>
      </c>
      <c r="D105" s="54" t="s">
        <v>41</v>
      </c>
      <c r="E105" s="90"/>
      <c r="F105" s="61">
        <v>79</v>
      </c>
      <c r="G105" s="74"/>
      <c r="H105" s="74"/>
      <c r="I105" s="74"/>
      <c r="J105" s="74"/>
      <c r="K105" s="74"/>
      <c r="L105" s="74"/>
      <c r="M105" s="74"/>
    </row>
    <row r="106" spans="1:13" x14ac:dyDescent="0.25">
      <c r="A106" s="195"/>
      <c r="B106" s="85"/>
      <c r="C106" s="86" t="s">
        <v>26</v>
      </c>
      <c r="D106" s="77" t="s">
        <v>45</v>
      </c>
      <c r="E106" s="91">
        <v>0.53500000000000003</v>
      </c>
      <c r="F106" s="91">
        <f>E106*F105</f>
        <v>42.265000000000001</v>
      </c>
      <c r="G106" s="74"/>
      <c r="H106" s="74"/>
      <c r="I106" s="74"/>
      <c r="J106" s="74">
        <f>I106*F106</f>
        <v>0</v>
      </c>
      <c r="K106" s="74"/>
      <c r="L106" s="74"/>
      <c r="M106" s="74">
        <f>J106</f>
        <v>0</v>
      </c>
    </row>
    <row r="107" spans="1:13" x14ac:dyDescent="0.25">
      <c r="A107" s="195"/>
      <c r="B107" s="85"/>
      <c r="C107" s="86" t="s">
        <v>28</v>
      </c>
      <c r="D107" s="77" t="s">
        <v>29</v>
      </c>
      <c r="E107" s="91">
        <v>1.2E-2</v>
      </c>
      <c r="F107" s="91">
        <f>E107*F105</f>
        <v>0.94800000000000006</v>
      </c>
      <c r="G107" s="74"/>
      <c r="H107" s="74"/>
      <c r="I107" s="74"/>
      <c r="J107" s="74"/>
      <c r="K107" s="74"/>
      <c r="L107" s="74">
        <f>K107*F107</f>
        <v>0</v>
      </c>
      <c r="M107" s="74">
        <f>L107</f>
        <v>0</v>
      </c>
    </row>
    <row r="108" spans="1:13" x14ac:dyDescent="0.25">
      <c r="A108" s="195"/>
      <c r="B108" s="92" t="s">
        <v>130</v>
      </c>
      <c r="C108" s="86" t="s">
        <v>64</v>
      </c>
      <c r="D108" s="77" t="s">
        <v>37</v>
      </c>
      <c r="E108" s="91">
        <v>0.63</v>
      </c>
      <c r="F108" s="91">
        <f>E108*F105</f>
        <v>49.77</v>
      </c>
      <c r="G108" s="74"/>
      <c r="H108" s="74">
        <f t="shared" ref="H108:H113" si="23">G108*F108</f>
        <v>0</v>
      </c>
      <c r="I108" s="74"/>
      <c r="J108" s="74"/>
      <c r="K108" s="74"/>
      <c r="L108" s="74"/>
      <c r="M108" s="74">
        <f t="shared" ref="M108:M113" si="24">H108</f>
        <v>0</v>
      </c>
    </row>
    <row r="109" spans="1:13" x14ac:dyDescent="0.25">
      <c r="A109" s="195"/>
      <c r="B109" s="92" t="s">
        <v>113</v>
      </c>
      <c r="C109" s="86" t="s">
        <v>58</v>
      </c>
      <c r="D109" s="77" t="s">
        <v>37</v>
      </c>
      <c r="E109" s="91">
        <v>0.37</v>
      </c>
      <c r="F109" s="91">
        <f>E109*F105</f>
        <v>29.23</v>
      </c>
      <c r="G109" s="74"/>
      <c r="H109" s="74">
        <f t="shared" si="23"/>
        <v>0</v>
      </c>
      <c r="I109" s="74"/>
      <c r="J109" s="74"/>
      <c r="K109" s="74"/>
      <c r="L109" s="74"/>
      <c r="M109" s="74">
        <f t="shared" si="24"/>
        <v>0</v>
      </c>
    </row>
    <row r="110" spans="1:13" x14ac:dyDescent="0.25">
      <c r="A110" s="195"/>
      <c r="B110" s="92"/>
      <c r="C110" s="86" t="s">
        <v>59</v>
      </c>
      <c r="D110" s="77" t="s">
        <v>60</v>
      </c>
      <c r="E110" s="91">
        <v>1</v>
      </c>
      <c r="F110" s="91">
        <f>E110*F105</f>
        <v>79</v>
      </c>
      <c r="G110" s="74"/>
      <c r="H110" s="74">
        <f t="shared" si="23"/>
        <v>0</v>
      </c>
      <c r="I110" s="74"/>
      <c r="J110" s="74"/>
      <c r="K110" s="74"/>
      <c r="L110" s="74"/>
      <c r="M110" s="74">
        <f t="shared" si="24"/>
        <v>0</v>
      </c>
    </row>
    <row r="111" spans="1:13" x14ac:dyDescent="0.25">
      <c r="A111" s="195"/>
      <c r="B111" s="92" t="s">
        <v>114</v>
      </c>
      <c r="C111" s="86" t="s">
        <v>61</v>
      </c>
      <c r="D111" s="77" t="s">
        <v>37</v>
      </c>
      <c r="E111" s="91">
        <v>3.5000000000000003E-2</v>
      </c>
      <c r="F111" s="91">
        <f>E111*F105</f>
        <v>2.7650000000000001</v>
      </c>
      <c r="G111" s="74"/>
      <c r="H111" s="74">
        <f>G111*F111</f>
        <v>0</v>
      </c>
      <c r="I111" s="74"/>
      <c r="J111" s="74"/>
      <c r="K111" s="74"/>
      <c r="L111" s="74"/>
      <c r="M111" s="74">
        <f>H111</f>
        <v>0</v>
      </c>
    </row>
    <row r="112" spans="1:13" ht="17.25" x14ac:dyDescent="0.25">
      <c r="A112" s="195"/>
      <c r="B112" s="92" t="s">
        <v>115</v>
      </c>
      <c r="C112" s="86" t="s">
        <v>62</v>
      </c>
      <c r="D112" s="77" t="s">
        <v>36</v>
      </c>
      <c r="E112" s="91">
        <v>8.9999999999999993E-3</v>
      </c>
      <c r="F112" s="91">
        <f>E112*F105</f>
        <v>0.71099999999999997</v>
      </c>
      <c r="G112" s="74"/>
      <c r="H112" s="74">
        <f t="shared" si="23"/>
        <v>0</v>
      </c>
      <c r="I112" s="74"/>
      <c r="J112" s="74"/>
      <c r="K112" s="74"/>
      <c r="L112" s="74"/>
      <c r="M112" s="74">
        <f t="shared" si="24"/>
        <v>0</v>
      </c>
    </row>
    <row r="113" spans="1:13" x14ac:dyDescent="0.25">
      <c r="A113" s="196"/>
      <c r="B113" s="105"/>
      <c r="C113" s="86" t="s">
        <v>38</v>
      </c>
      <c r="D113" s="77" t="s">
        <v>29</v>
      </c>
      <c r="E113" s="91">
        <v>1.6E-2</v>
      </c>
      <c r="F113" s="91">
        <f>E113*F105</f>
        <v>1.264</v>
      </c>
      <c r="G113" s="74"/>
      <c r="H113" s="74">
        <f t="shared" si="23"/>
        <v>0</v>
      </c>
      <c r="I113" s="74"/>
      <c r="J113" s="74"/>
      <c r="K113" s="74"/>
      <c r="L113" s="74"/>
      <c r="M113" s="74">
        <f t="shared" si="24"/>
        <v>0</v>
      </c>
    </row>
    <row r="114" spans="1:13" ht="45" x14ac:dyDescent="0.25">
      <c r="A114" s="175">
        <v>13</v>
      </c>
      <c r="B114" s="28" t="s">
        <v>144</v>
      </c>
      <c r="C114" s="104" t="s">
        <v>164</v>
      </c>
      <c r="D114" s="54" t="s">
        <v>34</v>
      </c>
      <c r="E114" s="90"/>
      <c r="F114" s="61">
        <v>7.9</v>
      </c>
      <c r="G114" s="74"/>
      <c r="H114" s="74"/>
      <c r="I114" s="74"/>
      <c r="J114" s="74"/>
      <c r="K114" s="74"/>
      <c r="L114" s="74"/>
      <c r="M114" s="74"/>
    </row>
    <row r="115" spans="1:13" ht="17.25" customHeight="1" x14ac:dyDescent="0.25">
      <c r="A115" s="175"/>
      <c r="B115" s="28"/>
      <c r="C115" s="86" t="s">
        <v>161</v>
      </c>
      <c r="D115" s="18" t="s">
        <v>162</v>
      </c>
      <c r="E115" s="19">
        <f>666*0.01</f>
        <v>6.66</v>
      </c>
      <c r="F115" s="23">
        <f>E115*F114</f>
        <v>52.614000000000004</v>
      </c>
      <c r="G115" s="23"/>
      <c r="H115" s="24"/>
      <c r="I115" s="23"/>
      <c r="J115" s="24">
        <f>I115*F115</f>
        <v>0</v>
      </c>
      <c r="K115" s="23"/>
      <c r="L115" s="24"/>
      <c r="M115" s="24">
        <f t="shared" ref="M115:M118" si="25">L115+J115+H115</f>
        <v>0</v>
      </c>
    </row>
    <row r="116" spans="1:13" x14ac:dyDescent="0.25">
      <c r="A116" s="175"/>
      <c r="B116" s="28"/>
      <c r="C116" s="86" t="s">
        <v>28</v>
      </c>
      <c r="D116" s="19" t="s">
        <v>29</v>
      </c>
      <c r="E116" s="19">
        <f>59*0.01</f>
        <v>0.59</v>
      </c>
      <c r="F116" s="23">
        <f>E116*F114</f>
        <v>4.6609999999999996</v>
      </c>
      <c r="G116" s="23"/>
      <c r="H116" s="24"/>
      <c r="I116" s="23"/>
      <c r="J116" s="24"/>
      <c r="K116" s="23"/>
      <c r="L116" s="24">
        <f t="shared" ref="L116" si="26">K116*F116</f>
        <v>0</v>
      </c>
      <c r="M116" s="24">
        <f t="shared" si="25"/>
        <v>0</v>
      </c>
    </row>
    <row r="117" spans="1:13" ht="15.75" x14ac:dyDescent="0.25">
      <c r="A117" s="175"/>
      <c r="B117" s="28" t="s">
        <v>146</v>
      </c>
      <c r="C117" s="86" t="s">
        <v>163</v>
      </c>
      <c r="D117" s="18" t="s">
        <v>157</v>
      </c>
      <c r="E117" s="29">
        <f>101.5*0.01</f>
        <v>1.0150000000000001</v>
      </c>
      <c r="F117" s="23">
        <f>E117*F114</f>
        <v>8.0185000000000013</v>
      </c>
      <c r="G117" s="23"/>
      <c r="H117" s="24">
        <f>G117*F117</f>
        <v>0</v>
      </c>
      <c r="I117" s="23"/>
      <c r="J117" s="24"/>
      <c r="K117" s="23"/>
      <c r="L117" s="24"/>
      <c r="M117" s="24">
        <f t="shared" si="25"/>
        <v>0</v>
      </c>
    </row>
    <row r="118" spans="1:13" ht="33.75" customHeight="1" x14ac:dyDescent="0.25">
      <c r="A118" s="175"/>
      <c r="B118" s="28"/>
      <c r="C118" s="86" t="s">
        <v>159</v>
      </c>
      <c r="D118" s="19" t="s">
        <v>29</v>
      </c>
      <c r="E118" s="19">
        <f>40*0.01</f>
        <v>0.4</v>
      </c>
      <c r="F118" s="23">
        <f>E118*F114</f>
        <v>3.16</v>
      </c>
      <c r="G118" s="23"/>
      <c r="H118" s="24">
        <f>G118*F118</f>
        <v>0</v>
      </c>
      <c r="I118" s="23"/>
      <c r="J118" s="24"/>
      <c r="K118" s="23"/>
      <c r="L118" s="24"/>
      <c r="M118" s="24">
        <f t="shared" si="25"/>
        <v>0</v>
      </c>
    </row>
    <row r="119" spans="1:13" ht="30" x14ac:dyDescent="0.25">
      <c r="A119" s="194">
        <v>14</v>
      </c>
      <c r="B119" s="106" t="s">
        <v>65</v>
      </c>
      <c r="C119" s="104" t="s">
        <v>147</v>
      </c>
      <c r="D119" s="54" t="s">
        <v>41</v>
      </c>
      <c r="E119" s="90"/>
      <c r="F119" s="61">
        <v>79</v>
      </c>
      <c r="G119" s="74"/>
      <c r="H119" s="74"/>
      <c r="I119" s="74"/>
      <c r="J119" s="74"/>
      <c r="K119" s="74"/>
      <c r="L119" s="74"/>
      <c r="M119" s="74"/>
    </row>
    <row r="120" spans="1:13" x14ac:dyDescent="0.25">
      <c r="A120" s="195"/>
      <c r="B120" s="106"/>
      <c r="C120" s="86" t="s">
        <v>26</v>
      </c>
      <c r="D120" s="77" t="s">
        <v>45</v>
      </c>
      <c r="E120" s="78">
        <v>0.2084</v>
      </c>
      <c r="F120" s="78">
        <f>E120*F119</f>
        <v>16.4636</v>
      </c>
      <c r="G120" s="74"/>
      <c r="H120" s="74"/>
      <c r="I120" s="74"/>
      <c r="J120" s="74">
        <f>I120*F120</f>
        <v>0</v>
      </c>
      <c r="K120" s="74"/>
      <c r="L120" s="74"/>
      <c r="M120" s="74">
        <f>J120</f>
        <v>0</v>
      </c>
    </row>
    <row r="121" spans="1:13" x14ac:dyDescent="0.25">
      <c r="A121" s="195"/>
      <c r="B121" s="106"/>
      <c r="C121" s="86" t="s">
        <v>28</v>
      </c>
      <c r="D121" s="77" t="s">
        <v>29</v>
      </c>
      <c r="E121" s="78">
        <v>2.3300000000000001E-2</v>
      </c>
      <c r="F121" s="78">
        <f>E121*F119</f>
        <v>1.8407</v>
      </c>
      <c r="G121" s="74"/>
      <c r="H121" s="74"/>
      <c r="I121" s="74"/>
      <c r="J121" s="74"/>
      <c r="K121" s="74"/>
      <c r="L121" s="74">
        <f>K121*F121</f>
        <v>0</v>
      </c>
      <c r="M121" s="74">
        <f>L121</f>
        <v>0</v>
      </c>
    </row>
    <row r="122" spans="1:13" ht="17.25" x14ac:dyDescent="0.25">
      <c r="A122" s="195"/>
      <c r="B122" s="107" t="s">
        <v>116</v>
      </c>
      <c r="C122" s="86" t="s">
        <v>66</v>
      </c>
      <c r="D122" s="77" t="s">
        <v>39</v>
      </c>
      <c r="E122" s="78">
        <v>5.0999999999999997E-2</v>
      </c>
      <c r="F122" s="78">
        <f>E122*F119</f>
        <v>4.0289999999999999</v>
      </c>
      <c r="G122" s="74"/>
      <c r="H122" s="74">
        <f>G122*F122</f>
        <v>0</v>
      </c>
      <c r="I122" s="74"/>
      <c r="J122" s="74"/>
      <c r="K122" s="74"/>
      <c r="L122" s="74"/>
      <c r="M122" s="74">
        <f>H122</f>
        <v>0</v>
      </c>
    </row>
    <row r="123" spans="1:13" x14ac:dyDescent="0.25">
      <c r="A123" s="196"/>
      <c r="B123" s="106"/>
      <c r="C123" s="86" t="s">
        <v>38</v>
      </c>
      <c r="D123" s="77" t="s">
        <v>29</v>
      </c>
      <c r="E123" s="78">
        <v>6.3600000000000004E-2</v>
      </c>
      <c r="F123" s="78">
        <f>E123*F119</f>
        <v>5.0244</v>
      </c>
      <c r="G123" s="74"/>
      <c r="H123" s="74">
        <f>G123*F123</f>
        <v>0</v>
      </c>
      <c r="I123" s="74"/>
      <c r="J123" s="74"/>
      <c r="K123" s="74"/>
      <c r="L123" s="74"/>
      <c r="M123" s="74">
        <f>H123</f>
        <v>0</v>
      </c>
    </row>
    <row r="124" spans="1:13" ht="22.5" x14ac:dyDescent="0.25">
      <c r="A124" s="194">
        <v>15</v>
      </c>
      <c r="B124" s="81" t="s">
        <v>85</v>
      </c>
      <c r="C124" s="104" t="s">
        <v>148</v>
      </c>
      <c r="D124" s="54" t="s">
        <v>41</v>
      </c>
      <c r="E124" s="91"/>
      <c r="F124" s="61">
        <v>38</v>
      </c>
      <c r="G124" s="74"/>
      <c r="H124" s="74"/>
      <c r="I124" s="74"/>
      <c r="J124" s="74"/>
      <c r="K124" s="74"/>
      <c r="L124" s="74"/>
      <c r="M124" s="74"/>
    </row>
    <row r="125" spans="1:13" x14ac:dyDescent="0.25">
      <c r="A125" s="195"/>
      <c r="B125" s="85"/>
      <c r="C125" s="86" t="s">
        <v>26</v>
      </c>
      <c r="D125" s="77" t="s">
        <v>45</v>
      </c>
      <c r="E125" s="91">
        <v>1.08</v>
      </c>
      <c r="F125" s="91">
        <f>E125*F124</f>
        <v>41.040000000000006</v>
      </c>
      <c r="G125" s="74"/>
      <c r="H125" s="74"/>
      <c r="I125" s="74"/>
      <c r="J125" s="74">
        <f>I125*F125</f>
        <v>0</v>
      </c>
      <c r="K125" s="74"/>
      <c r="L125" s="74"/>
      <c r="M125" s="74">
        <f>J125</f>
        <v>0</v>
      </c>
    </row>
    <row r="126" spans="1:13" x14ac:dyDescent="0.25">
      <c r="A126" s="195"/>
      <c r="B126" s="85"/>
      <c r="C126" s="86" t="s">
        <v>28</v>
      </c>
      <c r="D126" s="77" t="s">
        <v>29</v>
      </c>
      <c r="E126" s="91">
        <v>4.5199999999999997E-2</v>
      </c>
      <c r="F126" s="91">
        <f>E126*F124</f>
        <v>1.7175999999999998</v>
      </c>
      <c r="G126" s="74"/>
      <c r="H126" s="74"/>
      <c r="I126" s="74"/>
      <c r="J126" s="74"/>
      <c r="K126" s="74"/>
      <c r="L126" s="74">
        <f>K126*F126</f>
        <v>0</v>
      </c>
      <c r="M126" s="74">
        <f>L126</f>
        <v>0</v>
      </c>
    </row>
    <row r="127" spans="1:13" ht="30" x14ac:dyDescent="0.25">
      <c r="A127" s="195"/>
      <c r="B127" s="85" t="s">
        <v>117</v>
      </c>
      <c r="C127" s="108" t="s">
        <v>86</v>
      </c>
      <c r="D127" s="77" t="s">
        <v>36</v>
      </c>
      <c r="E127" s="91">
        <v>1.02</v>
      </c>
      <c r="F127" s="91">
        <f>E127*F124</f>
        <v>38.76</v>
      </c>
      <c r="G127" s="74"/>
      <c r="H127" s="74">
        <f>G127*F127</f>
        <v>0</v>
      </c>
      <c r="I127" s="74"/>
      <c r="J127" s="74"/>
      <c r="K127" s="74"/>
      <c r="L127" s="74"/>
      <c r="M127" s="74">
        <f>H127</f>
        <v>0</v>
      </c>
    </row>
    <row r="128" spans="1:13" x14ac:dyDescent="0.25">
      <c r="A128" s="195"/>
      <c r="B128" s="85" t="s">
        <v>118</v>
      </c>
      <c r="C128" s="86" t="s">
        <v>84</v>
      </c>
      <c r="D128" s="77" t="s">
        <v>37</v>
      </c>
      <c r="E128" s="91">
        <v>4.2</v>
      </c>
      <c r="F128" s="91">
        <f>E128*F124</f>
        <v>159.6</v>
      </c>
      <c r="G128" s="74"/>
      <c r="H128" s="74">
        <f t="shared" ref="H128:H129" si="27">G128*F128</f>
        <v>0</v>
      </c>
      <c r="I128" s="74"/>
      <c r="J128" s="74"/>
      <c r="K128" s="74"/>
      <c r="L128" s="74"/>
      <c r="M128" s="74">
        <f t="shared" ref="M128:M129" si="28">H128</f>
        <v>0</v>
      </c>
    </row>
    <row r="129" spans="1:13" x14ac:dyDescent="0.25">
      <c r="A129" s="196"/>
      <c r="B129" s="109"/>
      <c r="C129" s="86" t="s">
        <v>38</v>
      </c>
      <c r="D129" s="77" t="s">
        <v>29</v>
      </c>
      <c r="E129" s="91">
        <v>4.6600000000000003E-2</v>
      </c>
      <c r="F129" s="91">
        <f>E129*F124</f>
        <v>1.7708000000000002</v>
      </c>
      <c r="G129" s="74"/>
      <c r="H129" s="74">
        <f t="shared" si="27"/>
        <v>0</v>
      </c>
      <c r="I129" s="74"/>
      <c r="J129" s="74"/>
      <c r="K129" s="74"/>
      <c r="L129" s="74"/>
      <c r="M129" s="74">
        <f t="shared" si="28"/>
        <v>0</v>
      </c>
    </row>
    <row r="130" spans="1:13" ht="45" x14ac:dyDescent="0.25">
      <c r="A130" s="208">
        <v>16</v>
      </c>
      <c r="B130" s="30" t="s">
        <v>149</v>
      </c>
      <c r="C130" s="104" t="s">
        <v>244</v>
      </c>
      <c r="D130" s="54" t="s">
        <v>41</v>
      </c>
      <c r="E130" s="91"/>
      <c r="F130" s="61">
        <v>41</v>
      </c>
      <c r="G130" s="74"/>
      <c r="H130" s="74"/>
      <c r="I130" s="74"/>
      <c r="J130" s="74"/>
      <c r="K130" s="74"/>
      <c r="L130" s="74"/>
      <c r="M130" s="74"/>
    </row>
    <row r="131" spans="1:13" ht="15.75" x14ac:dyDescent="0.25">
      <c r="A131" s="208"/>
      <c r="B131" s="31"/>
      <c r="C131" s="32" t="s">
        <v>161</v>
      </c>
      <c r="D131" s="33" t="s">
        <v>162</v>
      </c>
      <c r="E131" s="46">
        <v>0.99439999999999995</v>
      </c>
      <c r="F131" s="24">
        <f>E131*F130</f>
        <v>40.770399999999995</v>
      </c>
      <c r="G131" s="24"/>
      <c r="H131" s="24">
        <f t="shared" ref="H131:H136" si="29">G131*F131</f>
        <v>0</v>
      </c>
      <c r="I131" s="24"/>
      <c r="J131" s="24">
        <f t="shared" ref="J131:J136" si="30">I131*F131</f>
        <v>0</v>
      </c>
      <c r="K131" s="24"/>
      <c r="L131" s="24">
        <f t="shared" ref="L131:L136" si="31">K131*F131</f>
        <v>0</v>
      </c>
      <c r="M131" s="24">
        <f t="shared" ref="M131:M136" si="32">L131+J131+H131</f>
        <v>0</v>
      </c>
    </row>
    <row r="132" spans="1:13" ht="15.75" x14ac:dyDescent="0.25">
      <c r="A132" s="208"/>
      <c r="B132" s="31"/>
      <c r="C132" s="32" t="s">
        <v>28</v>
      </c>
      <c r="D132" s="33" t="s">
        <v>29</v>
      </c>
      <c r="E132" s="46">
        <v>2.5100000000000001E-2</v>
      </c>
      <c r="F132" s="24">
        <f>E132*F130</f>
        <v>1.0291000000000001</v>
      </c>
      <c r="G132" s="24"/>
      <c r="H132" s="24">
        <f t="shared" si="29"/>
        <v>0</v>
      </c>
      <c r="I132" s="24"/>
      <c r="J132" s="24">
        <f t="shared" si="30"/>
        <v>0</v>
      </c>
      <c r="K132" s="24"/>
      <c r="L132" s="24">
        <f t="shared" si="31"/>
        <v>0</v>
      </c>
      <c r="M132" s="24">
        <f t="shared" si="32"/>
        <v>0</v>
      </c>
    </row>
    <row r="133" spans="1:13" ht="17.25" x14ac:dyDescent="0.25">
      <c r="A133" s="208"/>
      <c r="B133" s="31" t="s">
        <v>123</v>
      </c>
      <c r="C133" s="108" t="s">
        <v>245</v>
      </c>
      <c r="D133" s="77" t="s">
        <v>36</v>
      </c>
      <c r="E133" s="46">
        <v>1.02</v>
      </c>
      <c r="F133" s="24">
        <f>E133*F130</f>
        <v>41.82</v>
      </c>
      <c r="G133" s="24"/>
      <c r="H133" s="24">
        <f t="shared" si="29"/>
        <v>0</v>
      </c>
      <c r="I133" s="24"/>
      <c r="J133" s="24">
        <f t="shared" si="30"/>
        <v>0</v>
      </c>
      <c r="K133" s="24"/>
      <c r="L133" s="24">
        <f t="shared" si="31"/>
        <v>0</v>
      </c>
      <c r="M133" s="24">
        <f t="shared" si="32"/>
        <v>0</v>
      </c>
    </row>
    <row r="134" spans="1:13" ht="17.25" x14ac:dyDescent="0.25">
      <c r="A134" s="208"/>
      <c r="B134" s="34" t="s">
        <v>150</v>
      </c>
      <c r="C134" s="32" t="s">
        <v>165</v>
      </c>
      <c r="D134" s="77" t="s">
        <v>36</v>
      </c>
      <c r="E134" s="46">
        <v>1.02</v>
      </c>
      <c r="F134" s="24">
        <f>E134*F130</f>
        <v>41.82</v>
      </c>
      <c r="G134" s="24"/>
      <c r="H134" s="24">
        <f t="shared" si="29"/>
        <v>0</v>
      </c>
      <c r="I134" s="24"/>
      <c r="J134" s="24">
        <f t="shared" si="30"/>
        <v>0</v>
      </c>
      <c r="K134" s="24"/>
      <c r="L134" s="24">
        <f t="shared" si="31"/>
        <v>0</v>
      </c>
      <c r="M134" s="24">
        <f t="shared" si="32"/>
        <v>0</v>
      </c>
    </row>
    <row r="135" spans="1:13" ht="15.75" x14ac:dyDescent="0.25">
      <c r="A135" s="208"/>
      <c r="B135" s="34" t="s">
        <v>151</v>
      </c>
      <c r="C135" s="32" t="s">
        <v>166</v>
      </c>
      <c r="D135" s="33" t="s">
        <v>167</v>
      </c>
      <c r="E135" s="46">
        <v>1.07</v>
      </c>
      <c r="F135" s="24">
        <f>E135*F130</f>
        <v>43.870000000000005</v>
      </c>
      <c r="G135" s="24"/>
      <c r="H135" s="24">
        <f t="shared" si="29"/>
        <v>0</v>
      </c>
      <c r="I135" s="24"/>
      <c r="J135" s="24">
        <f t="shared" si="30"/>
        <v>0</v>
      </c>
      <c r="K135" s="24"/>
      <c r="L135" s="24">
        <f t="shared" si="31"/>
        <v>0</v>
      </c>
      <c r="M135" s="24">
        <f t="shared" si="32"/>
        <v>0</v>
      </c>
    </row>
    <row r="136" spans="1:13" ht="15.75" x14ac:dyDescent="0.25">
      <c r="A136" s="208"/>
      <c r="B136" s="35"/>
      <c r="C136" s="32" t="s">
        <v>159</v>
      </c>
      <c r="D136" s="33" t="s">
        <v>29</v>
      </c>
      <c r="E136" s="46">
        <v>0.182</v>
      </c>
      <c r="F136" s="24">
        <f>E136*F130</f>
        <v>7.4619999999999997</v>
      </c>
      <c r="G136" s="24"/>
      <c r="H136" s="24">
        <f t="shared" si="29"/>
        <v>0</v>
      </c>
      <c r="I136" s="24"/>
      <c r="J136" s="24">
        <f t="shared" si="30"/>
        <v>0</v>
      </c>
      <c r="K136" s="24"/>
      <c r="L136" s="24">
        <f t="shared" si="31"/>
        <v>0</v>
      </c>
      <c r="M136" s="24">
        <f t="shared" si="32"/>
        <v>0</v>
      </c>
    </row>
    <row r="137" spans="1:13" x14ac:dyDescent="0.25">
      <c r="A137" s="54"/>
      <c r="B137" s="110"/>
      <c r="C137" s="54" t="s">
        <v>21</v>
      </c>
      <c r="D137" s="54"/>
      <c r="E137" s="111"/>
      <c r="F137" s="111"/>
      <c r="G137" s="112"/>
      <c r="H137" s="71">
        <f>SUM(H11:H136)</f>
        <v>0</v>
      </c>
      <c r="I137" s="71"/>
      <c r="J137" s="71">
        <f>SUM(J11:J136)</f>
        <v>0</v>
      </c>
      <c r="K137" s="71"/>
      <c r="L137" s="71">
        <f>SUM(L11:L136)</f>
        <v>0</v>
      </c>
      <c r="M137" s="71">
        <f>SUM(M11:M136)</f>
        <v>0</v>
      </c>
    </row>
    <row r="138" spans="1:13" ht="30" x14ac:dyDescent="0.25">
      <c r="A138" s="113"/>
      <c r="B138" s="114"/>
      <c r="C138" s="55" t="s">
        <v>133</v>
      </c>
      <c r="D138" s="115" t="s">
        <v>330</v>
      </c>
      <c r="E138" s="111"/>
      <c r="F138" s="111"/>
      <c r="G138" s="112"/>
      <c r="H138" s="71"/>
      <c r="I138" s="71"/>
      <c r="J138" s="71"/>
      <c r="K138" s="71"/>
      <c r="L138" s="71"/>
      <c r="M138" s="71">
        <v>0</v>
      </c>
    </row>
    <row r="139" spans="1:13" x14ac:dyDescent="0.25">
      <c r="A139" s="79"/>
      <c r="B139" s="79"/>
      <c r="C139" s="54" t="s">
        <v>21</v>
      </c>
      <c r="D139" s="100"/>
      <c r="E139" s="79"/>
      <c r="F139" s="57"/>
      <c r="G139" s="57"/>
      <c r="H139" s="116"/>
      <c r="I139" s="116"/>
      <c r="J139" s="116"/>
      <c r="K139" s="116"/>
      <c r="L139" s="116"/>
      <c r="M139" s="116">
        <f>SUM(M137:M138)</f>
        <v>0</v>
      </c>
    </row>
    <row r="140" spans="1:13" x14ac:dyDescent="0.25">
      <c r="A140" s="79"/>
      <c r="B140" s="79"/>
      <c r="C140" s="54" t="s">
        <v>67</v>
      </c>
      <c r="D140" s="115" t="s">
        <v>330</v>
      </c>
      <c r="E140" s="79"/>
      <c r="F140" s="57"/>
      <c r="G140" s="57"/>
      <c r="H140" s="116"/>
      <c r="I140" s="116"/>
      <c r="J140" s="116"/>
      <c r="K140" s="116"/>
      <c r="L140" s="116"/>
      <c r="M140" s="116">
        <v>0</v>
      </c>
    </row>
    <row r="141" spans="1:13" x14ac:dyDescent="0.25">
      <c r="A141" s="79"/>
      <c r="B141" s="79"/>
      <c r="C141" s="54" t="s">
        <v>21</v>
      </c>
      <c r="D141" s="54"/>
      <c r="E141" s="79"/>
      <c r="F141" s="57"/>
      <c r="G141" s="57"/>
      <c r="H141" s="116"/>
      <c r="I141" s="116"/>
      <c r="J141" s="116"/>
      <c r="K141" s="116"/>
      <c r="L141" s="116"/>
      <c r="M141" s="116">
        <f>SUM(M139:M140)</f>
        <v>0</v>
      </c>
    </row>
    <row r="142" spans="1:13" x14ac:dyDescent="0.25">
      <c r="A142" s="79"/>
      <c r="B142" s="79"/>
      <c r="C142" s="54" t="s">
        <v>68</v>
      </c>
      <c r="D142" s="115" t="s">
        <v>330</v>
      </c>
      <c r="E142" s="79"/>
      <c r="F142" s="57"/>
      <c r="G142" s="57"/>
      <c r="H142" s="116"/>
      <c r="I142" s="116"/>
      <c r="J142" s="116"/>
      <c r="K142" s="116"/>
      <c r="L142" s="116"/>
      <c r="M142" s="116">
        <v>0</v>
      </c>
    </row>
    <row r="143" spans="1:13" x14ac:dyDescent="0.25">
      <c r="A143" s="79"/>
      <c r="B143" s="79"/>
      <c r="C143" s="54" t="s">
        <v>21</v>
      </c>
      <c r="D143" s="100"/>
      <c r="E143" s="79"/>
      <c r="F143" s="57"/>
      <c r="G143" s="57"/>
      <c r="H143" s="116"/>
      <c r="I143" s="116"/>
      <c r="J143" s="116"/>
      <c r="K143" s="116"/>
      <c r="L143" s="116"/>
      <c r="M143" s="116">
        <f>SUM(M141:M142)</f>
        <v>0</v>
      </c>
    </row>
    <row r="144" spans="1:13" ht="15.75" x14ac:dyDescent="0.25">
      <c r="A144" s="54"/>
      <c r="B144" s="184" t="s">
        <v>221</v>
      </c>
      <c r="C144" s="185"/>
      <c r="D144" s="185"/>
      <c r="E144" s="185"/>
      <c r="F144" s="186"/>
      <c r="G144" s="79"/>
      <c r="H144" s="79"/>
      <c r="I144" s="79"/>
      <c r="J144" s="79"/>
      <c r="K144" s="79"/>
      <c r="L144" s="79"/>
      <c r="M144" s="79"/>
    </row>
    <row r="145" spans="1:13" ht="30" x14ac:dyDescent="0.25">
      <c r="A145" s="194">
        <v>1</v>
      </c>
      <c r="B145" s="117" t="s">
        <v>87</v>
      </c>
      <c r="C145" s="104" t="s">
        <v>94</v>
      </c>
      <c r="D145" s="54" t="s">
        <v>95</v>
      </c>
      <c r="E145" s="118"/>
      <c r="F145" s="118">
        <v>1</v>
      </c>
      <c r="G145" s="47"/>
      <c r="H145" s="47"/>
      <c r="I145" s="47"/>
      <c r="J145" s="47"/>
      <c r="K145" s="47"/>
      <c r="L145" s="47"/>
      <c r="M145" s="47"/>
    </row>
    <row r="146" spans="1:13" x14ac:dyDescent="0.25">
      <c r="A146" s="195"/>
      <c r="B146" s="119"/>
      <c r="C146" s="86" t="s">
        <v>26</v>
      </c>
      <c r="D146" s="77" t="s">
        <v>45</v>
      </c>
      <c r="E146" s="120">
        <v>7.24</v>
      </c>
      <c r="F146" s="120">
        <f>E146*F145</f>
        <v>7.24</v>
      </c>
      <c r="G146" s="47"/>
      <c r="H146" s="47"/>
      <c r="I146" s="47"/>
      <c r="J146" s="47">
        <f>I146*F146</f>
        <v>0</v>
      </c>
      <c r="K146" s="47"/>
      <c r="L146" s="47"/>
      <c r="M146" s="47">
        <f>J146</f>
        <v>0</v>
      </c>
    </row>
    <row r="147" spans="1:13" x14ac:dyDescent="0.25">
      <c r="A147" s="195"/>
      <c r="B147" s="119" t="s">
        <v>125</v>
      </c>
      <c r="C147" s="86" t="s">
        <v>124</v>
      </c>
      <c r="D147" s="77" t="s">
        <v>29</v>
      </c>
      <c r="E147" s="120">
        <v>1</v>
      </c>
      <c r="F147" s="120">
        <f>E147*F145</f>
        <v>1</v>
      </c>
      <c r="G147" s="47"/>
      <c r="H147" s="47">
        <f>G147*F147</f>
        <v>0</v>
      </c>
      <c r="I147" s="47"/>
      <c r="J147" s="47"/>
      <c r="K147" s="47"/>
      <c r="L147" s="47"/>
      <c r="M147" s="47">
        <f>H147</f>
        <v>0</v>
      </c>
    </row>
    <row r="148" spans="1:13" x14ac:dyDescent="0.25">
      <c r="A148" s="196"/>
      <c r="B148" s="121"/>
      <c r="C148" s="86" t="s">
        <v>38</v>
      </c>
      <c r="D148" s="77" t="s">
        <v>29</v>
      </c>
      <c r="E148" s="120">
        <v>0.38400000000000001</v>
      </c>
      <c r="F148" s="120">
        <f>E148*F145</f>
        <v>0.38400000000000001</v>
      </c>
      <c r="G148" s="47"/>
      <c r="H148" s="47">
        <f>G148*F148</f>
        <v>0</v>
      </c>
      <c r="I148" s="47"/>
      <c r="J148" s="47"/>
      <c r="K148" s="47"/>
      <c r="L148" s="47"/>
      <c r="M148" s="47">
        <f>H148</f>
        <v>0</v>
      </c>
    </row>
    <row r="149" spans="1:13" x14ac:dyDescent="0.25">
      <c r="A149" s="194">
        <v>2</v>
      </c>
      <c r="B149" s="122" t="s">
        <v>88</v>
      </c>
      <c r="C149" s="100" t="s">
        <v>89</v>
      </c>
      <c r="D149" s="54" t="s">
        <v>40</v>
      </c>
      <c r="E149" s="118"/>
      <c r="F149" s="118">
        <v>8</v>
      </c>
      <c r="G149" s="47"/>
      <c r="H149" s="47"/>
      <c r="I149" s="47"/>
      <c r="J149" s="47"/>
      <c r="K149" s="47"/>
      <c r="L149" s="47"/>
      <c r="M149" s="47"/>
    </row>
    <row r="150" spans="1:13" x14ac:dyDescent="0.25">
      <c r="A150" s="195"/>
      <c r="B150" s="97"/>
      <c r="C150" s="86" t="s">
        <v>26</v>
      </c>
      <c r="D150" s="77" t="s">
        <v>45</v>
      </c>
      <c r="E150" s="120">
        <v>2</v>
      </c>
      <c r="F150" s="120">
        <f>E150*F149</f>
        <v>16</v>
      </c>
      <c r="G150" s="47"/>
      <c r="H150" s="47"/>
      <c r="I150" s="47"/>
      <c r="J150" s="47">
        <f>I150*F150</f>
        <v>0</v>
      </c>
      <c r="K150" s="47"/>
      <c r="L150" s="47"/>
      <c r="M150" s="47">
        <f>J150</f>
        <v>0</v>
      </c>
    </row>
    <row r="151" spans="1:13" x14ac:dyDescent="0.25">
      <c r="A151" s="195"/>
      <c r="B151" s="97"/>
      <c r="C151" s="86" t="s">
        <v>71</v>
      </c>
      <c r="D151" s="77" t="s">
        <v>29</v>
      </c>
      <c r="E151" s="120">
        <v>4.18</v>
      </c>
      <c r="F151" s="120">
        <f>E151*F149</f>
        <v>33.44</v>
      </c>
      <c r="G151" s="47"/>
      <c r="H151" s="47">
        <f>G151*F151</f>
        <v>0</v>
      </c>
      <c r="I151" s="47"/>
      <c r="J151" s="47"/>
      <c r="K151" s="47"/>
      <c r="L151" s="47"/>
      <c r="M151" s="47">
        <f>H151</f>
        <v>0</v>
      </c>
    </row>
    <row r="152" spans="1:13" x14ac:dyDescent="0.25">
      <c r="A152" s="195"/>
      <c r="B152" s="97"/>
      <c r="C152" s="86" t="s">
        <v>42</v>
      </c>
      <c r="D152" s="77" t="s">
        <v>29</v>
      </c>
      <c r="E152" s="120">
        <v>0.17</v>
      </c>
      <c r="F152" s="120">
        <f>E152*F149</f>
        <v>1.36</v>
      </c>
      <c r="G152" s="47"/>
      <c r="H152" s="47"/>
      <c r="I152" s="47"/>
      <c r="J152" s="47"/>
      <c r="K152" s="47"/>
      <c r="L152" s="47">
        <f>K152*F152</f>
        <v>0</v>
      </c>
      <c r="M152" s="47">
        <f>L152</f>
        <v>0</v>
      </c>
    </row>
    <row r="153" spans="1:13" x14ac:dyDescent="0.25">
      <c r="A153" s="195"/>
      <c r="B153" s="97" t="s">
        <v>120</v>
      </c>
      <c r="C153" s="86" t="s">
        <v>90</v>
      </c>
      <c r="D153" s="77" t="s">
        <v>40</v>
      </c>
      <c r="E153" s="120"/>
      <c r="F153" s="120">
        <v>6</v>
      </c>
      <c r="G153" s="47"/>
      <c r="H153" s="47">
        <f>G153*F153</f>
        <v>0</v>
      </c>
      <c r="I153" s="47"/>
      <c r="J153" s="47"/>
      <c r="K153" s="47"/>
      <c r="L153" s="47"/>
      <c r="M153" s="47">
        <f>H153</f>
        <v>0</v>
      </c>
    </row>
    <row r="154" spans="1:13" x14ac:dyDescent="0.25">
      <c r="A154" s="196"/>
      <c r="B154" s="97" t="s">
        <v>121</v>
      </c>
      <c r="C154" s="86" t="s">
        <v>91</v>
      </c>
      <c r="D154" s="77" t="s">
        <v>40</v>
      </c>
      <c r="E154" s="120"/>
      <c r="F154" s="120">
        <v>1</v>
      </c>
      <c r="G154" s="47"/>
      <c r="H154" s="47">
        <f>G154*F154</f>
        <v>0</v>
      </c>
      <c r="I154" s="47"/>
      <c r="J154" s="47"/>
      <c r="K154" s="47"/>
      <c r="L154" s="47"/>
      <c r="M154" s="47">
        <f>H154</f>
        <v>0</v>
      </c>
    </row>
    <row r="155" spans="1:13" x14ac:dyDescent="0.25">
      <c r="A155" s="194">
        <v>3</v>
      </c>
      <c r="B155" s="123" t="s">
        <v>69</v>
      </c>
      <c r="C155" s="100" t="s">
        <v>70</v>
      </c>
      <c r="D155" s="54" t="s">
        <v>79</v>
      </c>
      <c r="E155" s="118"/>
      <c r="F155" s="118">
        <f>(F159+F160)</f>
        <v>120</v>
      </c>
      <c r="G155" s="47"/>
      <c r="H155" s="47"/>
      <c r="I155" s="47"/>
      <c r="J155" s="47"/>
      <c r="K155" s="47"/>
      <c r="L155" s="47"/>
      <c r="M155" s="47"/>
    </row>
    <row r="156" spans="1:13" x14ac:dyDescent="0.25">
      <c r="A156" s="195"/>
      <c r="B156" s="97"/>
      <c r="C156" s="86" t="s">
        <v>26</v>
      </c>
      <c r="D156" s="77" t="s">
        <v>45</v>
      </c>
      <c r="E156" s="120">
        <v>0.12</v>
      </c>
      <c r="F156" s="120">
        <f>E156*F155</f>
        <v>14.399999999999999</v>
      </c>
      <c r="G156" s="47"/>
      <c r="H156" s="47"/>
      <c r="I156" s="47"/>
      <c r="J156" s="47">
        <f>I156*F156</f>
        <v>0</v>
      </c>
      <c r="K156" s="47"/>
      <c r="L156" s="47"/>
      <c r="M156" s="47">
        <f>J156</f>
        <v>0</v>
      </c>
    </row>
    <row r="157" spans="1:13" x14ac:dyDescent="0.25">
      <c r="A157" s="195"/>
      <c r="B157" s="97"/>
      <c r="C157" s="86" t="s">
        <v>71</v>
      </c>
      <c r="D157" s="77" t="s">
        <v>29</v>
      </c>
      <c r="E157" s="120">
        <v>4.48E-2</v>
      </c>
      <c r="F157" s="120">
        <f>E157*F155</f>
        <v>5.3760000000000003</v>
      </c>
      <c r="G157" s="47"/>
      <c r="H157" s="47">
        <f>G157*F157</f>
        <v>0</v>
      </c>
      <c r="I157" s="47"/>
      <c r="J157" s="47"/>
      <c r="K157" s="47"/>
      <c r="L157" s="47"/>
      <c r="M157" s="47">
        <f>H157</f>
        <v>0</v>
      </c>
    </row>
    <row r="158" spans="1:13" x14ac:dyDescent="0.25">
      <c r="A158" s="195"/>
      <c r="B158" s="97"/>
      <c r="C158" s="86" t="s">
        <v>42</v>
      </c>
      <c r="D158" s="77" t="s">
        <v>29</v>
      </c>
      <c r="E158" s="120">
        <v>0.122</v>
      </c>
      <c r="F158" s="120">
        <f>E158*F155</f>
        <v>14.64</v>
      </c>
      <c r="G158" s="47"/>
      <c r="H158" s="47"/>
      <c r="I158" s="47"/>
      <c r="J158" s="47"/>
      <c r="K158" s="47"/>
      <c r="L158" s="47">
        <f>K158*F158</f>
        <v>0</v>
      </c>
      <c r="M158" s="47">
        <f>L158</f>
        <v>0</v>
      </c>
    </row>
    <row r="159" spans="1:13" ht="17.25" x14ac:dyDescent="0.25">
      <c r="A159" s="195"/>
      <c r="B159" s="97" t="s">
        <v>128</v>
      </c>
      <c r="C159" s="86" t="s">
        <v>92</v>
      </c>
      <c r="D159" s="77" t="s">
        <v>60</v>
      </c>
      <c r="E159" s="120"/>
      <c r="F159" s="120">
        <v>82</v>
      </c>
      <c r="G159" s="47"/>
      <c r="H159" s="47">
        <f>G159*F159</f>
        <v>0</v>
      </c>
      <c r="I159" s="47"/>
      <c r="J159" s="47"/>
      <c r="K159" s="47"/>
      <c r="L159" s="47"/>
      <c r="M159" s="47">
        <f>H159</f>
        <v>0</v>
      </c>
    </row>
    <row r="160" spans="1:13" ht="17.25" x14ac:dyDescent="0.25">
      <c r="A160" s="195"/>
      <c r="B160" s="97" t="s">
        <v>129</v>
      </c>
      <c r="C160" s="86" t="s">
        <v>93</v>
      </c>
      <c r="D160" s="77" t="s">
        <v>60</v>
      </c>
      <c r="E160" s="120"/>
      <c r="F160" s="120">
        <v>38</v>
      </c>
      <c r="G160" s="47"/>
      <c r="H160" s="47">
        <f>G160*F160</f>
        <v>0</v>
      </c>
      <c r="I160" s="47"/>
      <c r="J160" s="47"/>
      <c r="K160" s="47"/>
      <c r="L160" s="47"/>
      <c r="M160" s="47">
        <f>H160</f>
        <v>0</v>
      </c>
    </row>
    <row r="161" spans="1:13" x14ac:dyDescent="0.25">
      <c r="A161" s="194">
        <v>4</v>
      </c>
      <c r="B161" s="123" t="s">
        <v>98</v>
      </c>
      <c r="C161" s="100" t="s">
        <v>97</v>
      </c>
      <c r="D161" s="54" t="s">
        <v>99</v>
      </c>
      <c r="E161" s="120"/>
      <c r="F161" s="118">
        <f>F165+F166</f>
        <v>7</v>
      </c>
      <c r="G161" s="47"/>
      <c r="H161" s="47"/>
      <c r="I161" s="47"/>
      <c r="J161" s="47"/>
      <c r="K161" s="47"/>
      <c r="L161" s="47"/>
      <c r="M161" s="47"/>
    </row>
    <row r="162" spans="1:13" x14ac:dyDescent="0.25">
      <c r="A162" s="195"/>
      <c r="B162" s="97"/>
      <c r="C162" s="86" t="s">
        <v>26</v>
      </c>
      <c r="D162" s="77" t="s">
        <v>45</v>
      </c>
      <c r="E162" s="120">
        <v>0.28999999999999998</v>
      </c>
      <c r="F162" s="120">
        <f>E162*F161</f>
        <v>2.0299999999999998</v>
      </c>
      <c r="G162" s="47"/>
      <c r="H162" s="47"/>
      <c r="I162" s="47"/>
      <c r="J162" s="47">
        <f>I162*F162</f>
        <v>0</v>
      </c>
      <c r="K162" s="47"/>
      <c r="L162" s="47"/>
      <c r="M162" s="47">
        <f>J162</f>
        <v>0</v>
      </c>
    </row>
    <row r="163" spans="1:13" x14ac:dyDescent="0.25">
      <c r="A163" s="195"/>
      <c r="B163" s="97"/>
      <c r="C163" s="86" t="s">
        <v>71</v>
      </c>
      <c r="D163" s="77" t="s">
        <v>29</v>
      </c>
      <c r="E163" s="120">
        <v>1.0800000000000001E-2</v>
      </c>
      <c r="F163" s="120">
        <f>E163*F161</f>
        <v>7.5600000000000001E-2</v>
      </c>
      <c r="G163" s="47"/>
      <c r="H163" s="47">
        <f>G163*F163</f>
        <v>0</v>
      </c>
      <c r="I163" s="47"/>
      <c r="J163" s="47"/>
      <c r="K163" s="47"/>
      <c r="L163" s="47"/>
      <c r="M163" s="47">
        <f>H163</f>
        <v>0</v>
      </c>
    </row>
    <row r="164" spans="1:13" x14ac:dyDescent="0.25">
      <c r="A164" s="195"/>
      <c r="B164" s="97"/>
      <c r="C164" s="86" t="s">
        <v>42</v>
      </c>
      <c r="D164" s="77" t="s">
        <v>29</v>
      </c>
      <c r="E164" s="120">
        <v>1.1999999999999999E-3</v>
      </c>
      <c r="F164" s="120">
        <f>E164*F161</f>
        <v>8.3999999999999995E-3</v>
      </c>
      <c r="G164" s="47"/>
      <c r="H164" s="47"/>
      <c r="I164" s="47"/>
      <c r="J164" s="47"/>
      <c r="K164" s="47"/>
      <c r="L164" s="47">
        <f>K164*F164</f>
        <v>0</v>
      </c>
      <c r="M164" s="47">
        <f>L164</f>
        <v>0</v>
      </c>
    </row>
    <row r="165" spans="1:13" x14ac:dyDescent="0.25">
      <c r="A165" s="195"/>
      <c r="B165" s="97" t="s">
        <v>119</v>
      </c>
      <c r="C165" s="86" t="s">
        <v>72</v>
      </c>
      <c r="D165" s="77" t="s">
        <v>40</v>
      </c>
      <c r="E165" s="120"/>
      <c r="F165" s="120">
        <v>6</v>
      </c>
      <c r="G165" s="47"/>
      <c r="H165" s="47">
        <f>G165*F165</f>
        <v>0</v>
      </c>
      <c r="I165" s="47"/>
      <c r="J165" s="47"/>
      <c r="K165" s="47"/>
      <c r="L165" s="47"/>
      <c r="M165" s="47">
        <f>H165</f>
        <v>0</v>
      </c>
    </row>
    <row r="166" spans="1:13" x14ac:dyDescent="0.25">
      <c r="A166" s="196"/>
      <c r="B166" s="97" t="s">
        <v>324</v>
      </c>
      <c r="C166" s="86" t="s">
        <v>152</v>
      </c>
      <c r="D166" s="77" t="s">
        <v>40</v>
      </c>
      <c r="E166" s="120"/>
      <c r="F166" s="120">
        <v>1</v>
      </c>
      <c r="G166" s="47"/>
      <c r="H166" s="47">
        <f>G166*F166</f>
        <v>0</v>
      </c>
      <c r="I166" s="47"/>
      <c r="J166" s="47"/>
      <c r="K166" s="47"/>
      <c r="L166" s="47"/>
      <c r="M166" s="47">
        <f>H166</f>
        <v>0</v>
      </c>
    </row>
    <row r="167" spans="1:13" x14ac:dyDescent="0.25">
      <c r="A167" s="194">
        <v>5</v>
      </c>
      <c r="B167" s="123" t="s">
        <v>100</v>
      </c>
      <c r="C167" s="100" t="s">
        <v>73</v>
      </c>
      <c r="D167" s="54" t="s">
        <v>99</v>
      </c>
      <c r="E167" s="118"/>
      <c r="F167" s="118">
        <v>6</v>
      </c>
      <c r="G167" s="47"/>
      <c r="H167" s="47"/>
      <c r="I167" s="47"/>
      <c r="J167" s="47"/>
      <c r="K167" s="47"/>
      <c r="L167" s="47"/>
      <c r="M167" s="47"/>
    </row>
    <row r="168" spans="1:13" x14ac:dyDescent="0.25">
      <c r="A168" s="195"/>
      <c r="B168" s="97"/>
      <c r="C168" s="86" t="s">
        <v>26</v>
      </c>
      <c r="D168" s="77" t="s">
        <v>45</v>
      </c>
      <c r="E168" s="120">
        <v>0.28999999999999998</v>
      </c>
      <c r="F168" s="120">
        <f>E168*F167</f>
        <v>1.7399999999999998</v>
      </c>
      <c r="G168" s="47"/>
      <c r="H168" s="47"/>
      <c r="I168" s="47"/>
      <c r="J168" s="47">
        <f>I168*F168</f>
        <v>0</v>
      </c>
      <c r="K168" s="47"/>
      <c r="L168" s="47"/>
      <c r="M168" s="47">
        <f>J168</f>
        <v>0</v>
      </c>
    </row>
    <row r="169" spans="1:13" x14ac:dyDescent="0.25">
      <c r="A169" s="195"/>
      <c r="B169" s="97"/>
      <c r="C169" s="86" t="s">
        <v>71</v>
      </c>
      <c r="D169" s="77" t="s">
        <v>29</v>
      </c>
      <c r="E169" s="120">
        <v>1.0800000000000001E-2</v>
      </c>
      <c r="F169" s="120">
        <f>E169*F167</f>
        <v>6.4799999999999996E-2</v>
      </c>
      <c r="G169" s="47"/>
      <c r="H169" s="47">
        <f>G169*F169</f>
        <v>0</v>
      </c>
      <c r="I169" s="47"/>
      <c r="J169" s="47"/>
      <c r="K169" s="47"/>
      <c r="L169" s="47"/>
      <c r="M169" s="47">
        <f>H169</f>
        <v>0</v>
      </c>
    </row>
    <row r="170" spans="1:13" x14ac:dyDescent="0.25">
      <c r="A170" s="195"/>
      <c r="B170" s="97"/>
      <c r="C170" s="86" t="s">
        <v>42</v>
      </c>
      <c r="D170" s="77" t="s">
        <v>29</v>
      </c>
      <c r="E170" s="120">
        <v>1.1999999999999999E-3</v>
      </c>
      <c r="F170" s="120">
        <f>E170*F167</f>
        <v>7.1999999999999998E-3</v>
      </c>
      <c r="G170" s="47"/>
      <c r="H170" s="47"/>
      <c r="I170" s="47"/>
      <c r="J170" s="47"/>
      <c r="K170" s="47"/>
      <c r="L170" s="47">
        <f>K170*F170</f>
        <v>0</v>
      </c>
      <c r="M170" s="47">
        <f>L170</f>
        <v>0</v>
      </c>
    </row>
    <row r="171" spans="1:13" x14ac:dyDescent="0.25">
      <c r="A171" s="196"/>
      <c r="B171" s="124" t="s">
        <v>122</v>
      </c>
      <c r="C171" s="86" t="s">
        <v>96</v>
      </c>
      <c r="D171" s="77" t="s">
        <v>40</v>
      </c>
      <c r="E171" s="120">
        <v>1</v>
      </c>
      <c r="F171" s="120">
        <f>E171*F167</f>
        <v>6</v>
      </c>
      <c r="G171" s="47"/>
      <c r="H171" s="47">
        <f>G171*F171</f>
        <v>0</v>
      </c>
      <c r="I171" s="47"/>
      <c r="J171" s="47"/>
      <c r="K171" s="47"/>
      <c r="L171" s="47"/>
      <c r="M171" s="47">
        <f>H171</f>
        <v>0</v>
      </c>
    </row>
    <row r="172" spans="1:13" ht="30" x14ac:dyDescent="0.25">
      <c r="A172" s="194">
        <v>6</v>
      </c>
      <c r="B172" s="123" t="s">
        <v>101</v>
      </c>
      <c r="C172" s="104" t="s">
        <v>155</v>
      </c>
      <c r="D172" s="54" t="s">
        <v>40</v>
      </c>
      <c r="E172" s="118"/>
      <c r="F172" s="118">
        <f>F176+F177+F178</f>
        <v>14</v>
      </c>
      <c r="G172" s="47"/>
      <c r="H172" s="47"/>
      <c r="I172" s="47"/>
      <c r="J172" s="47"/>
      <c r="K172" s="47"/>
      <c r="L172" s="47"/>
      <c r="M172" s="47"/>
    </row>
    <row r="173" spans="1:13" x14ac:dyDescent="0.25">
      <c r="A173" s="195"/>
      <c r="B173" s="97"/>
      <c r="C173" s="86" t="s">
        <v>26</v>
      </c>
      <c r="D173" s="77" t="s">
        <v>45</v>
      </c>
      <c r="E173" s="120">
        <v>0.76</v>
      </c>
      <c r="F173" s="120">
        <f>E173*F172</f>
        <v>10.64</v>
      </c>
      <c r="G173" s="47"/>
      <c r="H173" s="47"/>
      <c r="I173" s="47"/>
      <c r="J173" s="47">
        <f>I173*F173</f>
        <v>0</v>
      </c>
      <c r="K173" s="47"/>
      <c r="L173" s="47"/>
      <c r="M173" s="47">
        <f>J173</f>
        <v>0</v>
      </c>
    </row>
    <row r="174" spans="1:13" x14ac:dyDescent="0.25">
      <c r="A174" s="195"/>
      <c r="B174" s="97"/>
      <c r="C174" s="86" t="s">
        <v>71</v>
      </c>
      <c r="D174" s="77" t="s">
        <v>29</v>
      </c>
      <c r="E174" s="120">
        <v>0.42199999999999999</v>
      </c>
      <c r="F174" s="120">
        <f>E174*F172</f>
        <v>5.9079999999999995</v>
      </c>
      <c r="G174" s="47"/>
      <c r="H174" s="47">
        <f>G174*F174</f>
        <v>0</v>
      </c>
      <c r="I174" s="47"/>
      <c r="J174" s="47"/>
      <c r="K174" s="47"/>
      <c r="L174" s="47"/>
      <c r="M174" s="47">
        <f>H174</f>
        <v>0</v>
      </c>
    </row>
    <row r="175" spans="1:13" x14ac:dyDescent="0.25">
      <c r="A175" s="195"/>
      <c r="B175" s="125"/>
      <c r="C175" s="86" t="s">
        <v>42</v>
      </c>
      <c r="D175" s="77" t="s">
        <v>29</v>
      </c>
      <c r="E175" s="120">
        <v>0.55800000000000005</v>
      </c>
      <c r="F175" s="120">
        <f>E175*F172</f>
        <v>7.8120000000000012</v>
      </c>
      <c r="G175" s="47"/>
      <c r="H175" s="47"/>
      <c r="I175" s="47"/>
      <c r="J175" s="47"/>
      <c r="K175" s="47"/>
      <c r="L175" s="47">
        <f>K175*F175</f>
        <v>0</v>
      </c>
      <c r="M175" s="47">
        <f>L175</f>
        <v>0</v>
      </c>
    </row>
    <row r="176" spans="1:13" x14ac:dyDescent="0.25">
      <c r="A176" s="195"/>
      <c r="B176" s="97" t="s">
        <v>123</v>
      </c>
      <c r="C176" s="86" t="s">
        <v>153</v>
      </c>
      <c r="D176" s="77" t="s">
        <v>40</v>
      </c>
      <c r="E176" s="120"/>
      <c r="F176" s="120">
        <v>1</v>
      </c>
      <c r="G176" s="47"/>
      <c r="H176" s="47">
        <f>G176*F176</f>
        <v>0</v>
      </c>
      <c r="I176" s="47"/>
      <c r="J176" s="47"/>
      <c r="K176" s="47"/>
      <c r="L176" s="47"/>
      <c r="M176" s="47">
        <f>H176</f>
        <v>0</v>
      </c>
    </row>
    <row r="177" spans="1:13" x14ac:dyDescent="0.25">
      <c r="A177" s="195"/>
      <c r="B177" s="97" t="s">
        <v>123</v>
      </c>
      <c r="C177" s="86" t="s">
        <v>154</v>
      </c>
      <c r="D177" s="77" t="s">
        <v>40</v>
      </c>
      <c r="E177" s="120"/>
      <c r="F177" s="120">
        <v>11</v>
      </c>
      <c r="G177" s="47"/>
      <c r="H177" s="47">
        <f>G177*F177</f>
        <v>0</v>
      </c>
      <c r="I177" s="47"/>
      <c r="J177" s="47"/>
      <c r="K177" s="47"/>
      <c r="L177" s="47"/>
      <c r="M177" s="47">
        <f>H177</f>
        <v>0</v>
      </c>
    </row>
    <row r="178" spans="1:13" x14ac:dyDescent="0.25">
      <c r="A178" s="195"/>
      <c r="B178" s="97" t="s">
        <v>123</v>
      </c>
      <c r="C178" s="86" t="s">
        <v>74</v>
      </c>
      <c r="D178" s="77" t="s">
        <v>40</v>
      </c>
      <c r="E178" s="120"/>
      <c r="F178" s="120">
        <v>2</v>
      </c>
      <c r="G178" s="47"/>
      <c r="H178" s="47">
        <f>G178*F178</f>
        <v>0</v>
      </c>
      <c r="I178" s="47"/>
      <c r="J178" s="47"/>
      <c r="K178" s="47"/>
      <c r="L178" s="47"/>
      <c r="M178" s="47">
        <f>H178</f>
        <v>0</v>
      </c>
    </row>
    <row r="179" spans="1:13" x14ac:dyDescent="0.25">
      <c r="A179" s="113"/>
      <c r="B179" s="114"/>
      <c r="C179" s="54" t="s">
        <v>21</v>
      </c>
      <c r="D179" s="54"/>
      <c r="E179" s="111"/>
      <c r="F179" s="111"/>
      <c r="G179" s="112"/>
      <c r="H179" s="71">
        <f>SUM(H145:H178)</f>
        <v>0</v>
      </c>
      <c r="I179" s="71"/>
      <c r="J179" s="71">
        <f>SUM(J145:J178)</f>
        <v>0</v>
      </c>
      <c r="K179" s="71"/>
      <c r="L179" s="71">
        <f>SUM(L145:L178)</f>
        <v>0</v>
      </c>
      <c r="M179" s="71">
        <f>SUM(M145:M178)</f>
        <v>0</v>
      </c>
    </row>
    <row r="180" spans="1:13" ht="30" x14ac:dyDescent="0.25">
      <c r="A180" s="113"/>
      <c r="B180" s="114"/>
      <c r="C180" s="55" t="s">
        <v>133</v>
      </c>
      <c r="D180" s="115" t="s">
        <v>330</v>
      </c>
      <c r="E180" s="111"/>
      <c r="F180" s="111"/>
      <c r="G180" s="112"/>
      <c r="H180" s="71"/>
      <c r="I180" s="71"/>
      <c r="J180" s="71"/>
      <c r="K180" s="71"/>
      <c r="L180" s="71"/>
      <c r="M180" s="71">
        <v>0</v>
      </c>
    </row>
    <row r="181" spans="1:13" x14ac:dyDescent="0.25">
      <c r="A181" s="54"/>
      <c r="B181" s="79"/>
      <c r="C181" s="54" t="s">
        <v>21</v>
      </c>
      <c r="D181" s="100"/>
      <c r="E181" s="79"/>
      <c r="F181" s="79"/>
      <c r="G181" s="47"/>
      <c r="H181" s="71"/>
      <c r="I181" s="71"/>
      <c r="J181" s="71"/>
      <c r="K181" s="71"/>
      <c r="L181" s="71"/>
      <c r="M181" s="71">
        <f>SUM(M179:M180)</f>
        <v>0</v>
      </c>
    </row>
    <row r="182" spans="1:13" x14ac:dyDescent="0.25">
      <c r="A182" s="54"/>
      <c r="B182" s="79"/>
      <c r="C182" s="54" t="s">
        <v>75</v>
      </c>
      <c r="D182" s="115" t="s">
        <v>330</v>
      </c>
      <c r="E182" s="79"/>
      <c r="F182" s="79"/>
      <c r="G182" s="47"/>
      <c r="H182" s="71"/>
      <c r="I182" s="71"/>
      <c r="J182" s="71"/>
      <c r="K182" s="71"/>
      <c r="L182" s="71"/>
      <c r="M182" s="71">
        <v>0</v>
      </c>
    </row>
    <row r="183" spans="1:13" x14ac:dyDescent="0.25">
      <c r="A183" s="54"/>
      <c r="B183" s="79"/>
      <c r="C183" s="54" t="s">
        <v>21</v>
      </c>
      <c r="D183" s="54"/>
      <c r="E183" s="79"/>
      <c r="F183" s="79"/>
      <c r="G183" s="47"/>
      <c r="H183" s="71"/>
      <c r="I183" s="71"/>
      <c r="J183" s="71"/>
      <c r="K183" s="71"/>
      <c r="L183" s="71"/>
      <c r="M183" s="71">
        <f>SUM(M181:M182)</f>
        <v>0</v>
      </c>
    </row>
    <row r="184" spans="1:13" x14ac:dyDescent="0.25">
      <c r="A184" s="54"/>
      <c r="B184" s="79"/>
      <c r="C184" s="54" t="s">
        <v>68</v>
      </c>
      <c r="D184" s="115" t="s">
        <v>330</v>
      </c>
      <c r="E184" s="79"/>
      <c r="F184" s="79"/>
      <c r="G184" s="47"/>
      <c r="H184" s="71"/>
      <c r="I184" s="71"/>
      <c r="J184" s="71"/>
      <c r="K184" s="71"/>
      <c r="L184" s="71"/>
      <c r="M184" s="71">
        <v>0</v>
      </c>
    </row>
    <row r="185" spans="1:13" x14ac:dyDescent="0.25">
      <c r="A185" s="54"/>
      <c r="B185" s="79"/>
      <c r="C185" s="54" t="s">
        <v>21</v>
      </c>
      <c r="D185" s="115"/>
      <c r="E185" s="79"/>
      <c r="F185" s="79"/>
      <c r="G185" s="47"/>
      <c r="H185" s="71"/>
      <c r="I185" s="71"/>
      <c r="J185" s="71"/>
      <c r="K185" s="71"/>
      <c r="L185" s="71"/>
      <c r="M185" s="71">
        <f>SUM(M183:M184)</f>
        <v>0</v>
      </c>
    </row>
    <row r="186" spans="1:13" x14ac:dyDescent="0.25">
      <c r="A186" s="54"/>
      <c r="B186" s="79"/>
      <c r="C186" s="54"/>
      <c r="D186" s="115"/>
      <c r="E186" s="79"/>
      <c r="F186" s="79"/>
      <c r="G186" s="47"/>
      <c r="H186" s="71"/>
      <c r="I186" s="71"/>
      <c r="J186" s="71"/>
      <c r="K186" s="71"/>
      <c r="L186" s="71"/>
      <c r="M186" s="71"/>
    </row>
    <row r="187" spans="1:13" ht="15.75" x14ac:dyDescent="0.25">
      <c r="A187" s="54"/>
      <c r="B187" s="79"/>
      <c r="C187" s="184" t="s">
        <v>222</v>
      </c>
      <c r="D187" s="185"/>
      <c r="E187" s="185"/>
      <c r="F187" s="185"/>
      <c r="G187" s="186"/>
      <c r="H187" s="71"/>
      <c r="I187" s="71"/>
      <c r="J187" s="71"/>
      <c r="K187" s="71"/>
      <c r="L187" s="71"/>
      <c r="M187" s="71"/>
    </row>
    <row r="188" spans="1:13" ht="33" x14ac:dyDescent="0.25">
      <c r="A188" s="126"/>
      <c r="B188" s="126"/>
      <c r="C188" s="127" t="s">
        <v>168</v>
      </c>
      <c r="D188" s="128"/>
      <c r="E188" s="128"/>
      <c r="F188" s="128"/>
      <c r="G188" s="128"/>
      <c r="H188" s="128"/>
      <c r="I188" s="128"/>
      <c r="J188" s="128"/>
      <c r="K188" s="129"/>
      <c r="L188" s="130"/>
      <c r="M188" s="131"/>
    </row>
    <row r="189" spans="1:13" x14ac:dyDescent="0.25">
      <c r="A189" s="191">
        <v>1</v>
      </c>
      <c r="B189" s="191" t="s">
        <v>169</v>
      </c>
      <c r="C189" s="100" t="s">
        <v>170</v>
      </c>
      <c r="D189" s="54" t="s">
        <v>40</v>
      </c>
      <c r="E189" s="118"/>
      <c r="F189" s="118">
        <f>F193</f>
        <v>1</v>
      </c>
      <c r="G189" s="47"/>
      <c r="H189" s="47"/>
      <c r="I189" s="47"/>
      <c r="J189" s="47"/>
      <c r="K189" s="47"/>
      <c r="L189" s="47"/>
      <c r="M189" s="47"/>
    </row>
    <row r="190" spans="1:13" x14ac:dyDescent="0.25">
      <c r="A190" s="192"/>
      <c r="B190" s="192"/>
      <c r="C190" s="86" t="s">
        <v>209</v>
      </c>
      <c r="D190" s="77" t="s">
        <v>27</v>
      </c>
      <c r="E190" s="120">
        <v>2.44</v>
      </c>
      <c r="F190" s="120">
        <f>F189*E190</f>
        <v>2.44</v>
      </c>
      <c r="G190" s="47"/>
      <c r="H190" s="47"/>
      <c r="I190" s="47"/>
      <c r="J190" s="47">
        <f t="shared" ref="J190" si="33">F190*I190</f>
        <v>0</v>
      </c>
      <c r="K190" s="47"/>
      <c r="L190" s="47"/>
      <c r="M190" s="47">
        <f t="shared" ref="M190:M191" si="34">H190+J190+L190</f>
        <v>0</v>
      </c>
    </row>
    <row r="191" spans="1:13" x14ac:dyDescent="0.25">
      <c r="A191" s="192"/>
      <c r="B191" s="192"/>
      <c r="C191" s="86" t="s">
        <v>210</v>
      </c>
      <c r="D191" s="77" t="s">
        <v>211</v>
      </c>
      <c r="E191" s="120">
        <v>0.13</v>
      </c>
      <c r="F191" s="120">
        <f>F189*E191</f>
        <v>0.13</v>
      </c>
      <c r="G191" s="47"/>
      <c r="H191" s="47"/>
      <c r="I191" s="47"/>
      <c r="J191" s="47"/>
      <c r="K191" s="47"/>
      <c r="L191" s="47">
        <f t="shared" ref="L191" si="35">F191*K191</f>
        <v>0</v>
      </c>
      <c r="M191" s="47">
        <f t="shared" si="34"/>
        <v>0</v>
      </c>
    </row>
    <row r="192" spans="1:13" x14ac:dyDescent="0.25">
      <c r="A192" s="192"/>
      <c r="B192" s="192"/>
      <c r="C192" s="86" t="s">
        <v>212</v>
      </c>
      <c r="D192" s="77"/>
      <c r="E192" s="120"/>
      <c r="F192" s="120"/>
      <c r="G192" s="47"/>
      <c r="H192" s="47"/>
      <c r="I192" s="47"/>
      <c r="J192" s="47"/>
      <c r="K192" s="47"/>
      <c r="L192" s="47"/>
      <c r="M192" s="47"/>
    </row>
    <row r="193" spans="1:13" x14ac:dyDescent="0.25">
      <c r="A193" s="192"/>
      <c r="B193" s="192"/>
      <c r="C193" s="86" t="s">
        <v>216</v>
      </c>
      <c r="D193" s="77" t="s">
        <v>171</v>
      </c>
      <c r="E193" s="120"/>
      <c r="F193" s="120">
        <v>1</v>
      </c>
      <c r="G193" s="47"/>
      <c r="H193" s="47">
        <f t="shared" ref="H193" si="36">F193*G193</f>
        <v>0</v>
      </c>
      <c r="I193" s="47"/>
      <c r="J193" s="47"/>
      <c r="K193" s="47"/>
      <c r="L193" s="47"/>
      <c r="M193" s="47">
        <f t="shared" ref="M193" si="37">H193+J193+L193</f>
        <v>0</v>
      </c>
    </row>
    <row r="194" spans="1:13" x14ac:dyDescent="0.25">
      <c r="A194" s="193"/>
      <c r="B194" s="193"/>
      <c r="C194" s="86" t="s">
        <v>213</v>
      </c>
      <c r="D194" s="77" t="s">
        <v>211</v>
      </c>
      <c r="E194" s="120">
        <v>0.94</v>
      </c>
      <c r="F194" s="120">
        <f>F189*E194</f>
        <v>0.94</v>
      </c>
      <c r="G194" s="47"/>
      <c r="H194" s="47">
        <f t="shared" ref="H194" si="38">F194*G194</f>
        <v>0</v>
      </c>
      <c r="I194" s="47"/>
      <c r="J194" s="47"/>
      <c r="K194" s="47"/>
      <c r="L194" s="47"/>
      <c r="M194" s="47">
        <f t="shared" ref="M194" si="39">H194+J194+L194</f>
        <v>0</v>
      </c>
    </row>
    <row r="195" spans="1:13" x14ac:dyDescent="0.25">
      <c r="A195" s="191">
        <v>2</v>
      </c>
      <c r="B195" s="191" t="s">
        <v>172</v>
      </c>
      <c r="C195" s="100" t="s">
        <v>217</v>
      </c>
      <c r="D195" s="54" t="s">
        <v>40</v>
      </c>
      <c r="E195" s="118"/>
      <c r="F195" s="118">
        <f>F199</f>
        <v>2</v>
      </c>
      <c r="G195" s="47"/>
      <c r="H195" s="47"/>
      <c r="I195" s="47"/>
      <c r="J195" s="47"/>
      <c r="K195" s="47"/>
      <c r="L195" s="47"/>
      <c r="M195" s="47"/>
    </row>
    <row r="196" spans="1:13" x14ac:dyDescent="0.25">
      <c r="A196" s="192"/>
      <c r="B196" s="192"/>
      <c r="C196" s="86" t="s">
        <v>209</v>
      </c>
      <c r="D196" s="77" t="s">
        <v>27</v>
      </c>
      <c r="E196" s="120">
        <v>2.71</v>
      </c>
      <c r="F196" s="120">
        <f>F195*E196</f>
        <v>5.42</v>
      </c>
      <c r="G196" s="47"/>
      <c r="H196" s="47"/>
      <c r="I196" s="47"/>
      <c r="J196" s="47">
        <f t="shared" ref="J196" si="40">F196*I196</f>
        <v>0</v>
      </c>
      <c r="K196" s="47"/>
      <c r="L196" s="47"/>
      <c r="M196" s="47">
        <f t="shared" ref="M196:M197" si="41">H196+J196+L196</f>
        <v>0</v>
      </c>
    </row>
    <row r="197" spans="1:13" x14ac:dyDescent="0.25">
      <c r="A197" s="192"/>
      <c r="B197" s="192"/>
      <c r="C197" s="86" t="s">
        <v>210</v>
      </c>
      <c r="D197" s="77" t="s">
        <v>211</v>
      </c>
      <c r="E197" s="120">
        <v>0.2</v>
      </c>
      <c r="F197" s="120">
        <f>F195*E197</f>
        <v>0.4</v>
      </c>
      <c r="G197" s="47"/>
      <c r="H197" s="47"/>
      <c r="I197" s="47"/>
      <c r="J197" s="47"/>
      <c r="K197" s="47"/>
      <c r="L197" s="47">
        <f t="shared" ref="L197" si="42">F197*K197</f>
        <v>0</v>
      </c>
      <c r="M197" s="47">
        <f t="shared" si="41"/>
        <v>0</v>
      </c>
    </row>
    <row r="198" spans="1:13" x14ac:dyDescent="0.25">
      <c r="A198" s="192"/>
      <c r="B198" s="192"/>
      <c r="C198" s="86" t="s">
        <v>212</v>
      </c>
      <c r="D198" s="77"/>
      <c r="E198" s="120"/>
      <c r="F198" s="120"/>
      <c r="G198" s="47"/>
      <c r="H198" s="47"/>
      <c r="I198" s="47"/>
      <c r="J198" s="47"/>
      <c r="K198" s="47"/>
      <c r="L198" s="47"/>
      <c r="M198" s="47"/>
    </row>
    <row r="199" spans="1:13" x14ac:dyDescent="0.25">
      <c r="A199" s="192"/>
      <c r="B199" s="192"/>
      <c r="C199" s="86" t="s">
        <v>218</v>
      </c>
      <c r="D199" s="77" t="s">
        <v>171</v>
      </c>
      <c r="E199" s="120"/>
      <c r="F199" s="120">
        <v>2</v>
      </c>
      <c r="G199" s="47"/>
      <c r="H199" s="47">
        <f t="shared" ref="H199:H202" si="43">F199*G199</f>
        <v>0</v>
      </c>
      <c r="I199" s="47"/>
      <c r="J199" s="47"/>
      <c r="K199" s="47"/>
      <c r="L199" s="47"/>
      <c r="M199" s="47">
        <f t="shared" ref="M199:M202" si="44">H199+J199+L199</f>
        <v>0</v>
      </c>
    </row>
    <row r="200" spans="1:13" x14ac:dyDescent="0.25">
      <c r="A200" s="192"/>
      <c r="B200" s="192"/>
      <c r="C200" s="86" t="s">
        <v>260</v>
      </c>
      <c r="D200" s="77" t="s">
        <v>184</v>
      </c>
      <c r="E200" s="120"/>
      <c r="F200" s="120">
        <v>1</v>
      </c>
      <c r="G200" s="47"/>
      <c r="H200" s="47">
        <f t="shared" si="43"/>
        <v>0</v>
      </c>
      <c r="I200" s="47"/>
      <c r="J200" s="47"/>
      <c r="K200" s="47"/>
      <c r="L200" s="47"/>
      <c r="M200" s="47">
        <f t="shared" si="44"/>
        <v>0</v>
      </c>
    </row>
    <row r="201" spans="1:13" x14ac:dyDescent="0.25">
      <c r="A201" s="192"/>
      <c r="B201" s="192"/>
      <c r="C201" s="86" t="s">
        <v>259</v>
      </c>
      <c r="D201" s="77" t="s">
        <v>171</v>
      </c>
      <c r="E201" s="120"/>
      <c r="F201" s="120">
        <v>1</v>
      </c>
      <c r="G201" s="47"/>
      <c r="H201" s="47">
        <f t="shared" si="43"/>
        <v>0</v>
      </c>
      <c r="I201" s="47"/>
      <c r="J201" s="47"/>
      <c r="K201" s="47"/>
      <c r="L201" s="47"/>
      <c r="M201" s="47">
        <f t="shared" si="44"/>
        <v>0</v>
      </c>
    </row>
    <row r="202" spans="1:13" x14ac:dyDescent="0.25">
      <c r="A202" s="193"/>
      <c r="B202" s="193"/>
      <c r="C202" s="86" t="s">
        <v>213</v>
      </c>
      <c r="D202" s="77" t="s">
        <v>214</v>
      </c>
      <c r="E202" s="120">
        <v>0.65</v>
      </c>
      <c r="F202" s="120">
        <f>F195*E202</f>
        <v>1.3</v>
      </c>
      <c r="G202" s="47"/>
      <c r="H202" s="47">
        <f t="shared" si="43"/>
        <v>0</v>
      </c>
      <c r="I202" s="47"/>
      <c r="J202" s="47"/>
      <c r="K202" s="47"/>
      <c r="L202" s="47"/>
      <c r="M202" s="47">
        <f t="shared" si="44"/>
        <v>0</v>
      </c>
    </row>
    <row r="203" spans="1:13" x14ac:dyDescent="0.25">
      <c r="A203" s="191">
        <v>3</v>
      </c>
      <c r="B203" s="191" t="s">
        <v>173</v>
      </c>
      <c r="C203" s="100" t="s">
        <v>174</v>
      </c>
      <c r="D203" s="54" t="s">
        <v>40</v>
      </c>
      <c r="E203" s="118"/>
      <c r="F203" s="118">
        <v>1</v>
      </c>
      <c r="G203" s="47"/>
      <c r="H203" s="47"/>
      <c r="I203" s="47"/>
      <c r="J203" s="47"/>
      <c r="K203" s="47"/>
      <c r="L203" s="47"/>
      <c r="M203" s="47"/>
    </row>
    <row r="204" spans="1:13" x14ac:dyDescent="0.25">
      <c r="A204" s="192"/>
      <c r="B204" s="192"/>
      <c r="C204" s="86" t="s">
        <v>209</v>
      </c>
      <c r="D204" s="77" t="s">
        <v>27</v>
      </c>
      <c r="E204" s="120">
        <v>0.46</v>
      </c>
      <c r="F204" s="120">
        <f>F203*E204</f>
        <v>0.46</v>
      </c>
      <c r="G204" s="47"/>
      <c r="H204" s="47"/>
      <c r="I204" s="47"/>
      <c r="J204" s="47">
        <f t="shared" ref="J204" si="45">F204*I204</f>
        <v>0</v>
      </c>
      <c r="K204" s="47"/>
      <c r="L204" s="47"/>
      <c r="M204" s="47">
        <f t="shared" ref="M204:M208" si="46">H204+J204+L204</f>
        <v>0</v>
      </c>
    </row>
    <row r="205" spans="1:13" x14ac:dyDescent="0.25">
      <c r="A205" s="192"/>
      <c r="B205" s="192"/>
      <c r="C205" s="86" t="s">
        <v>210</v>
      </c>
      <c r="D205" s="77" t="s">
        <v>211</v>
      </c>
      <c r="E205" s="120">
        <v>0.02</v>
      </c>
      <c r="F205" s="120">
        <f>F203*E205</f>
        <v>0.02</v>
      </c>
      <c r="G205" s="47"/>
      <c r="H205" s="47"/>
      <c r="I205" s="47"/>
      <c r="J205" s="47"/>
      <c r="K205" s="47"/>
      <c r="L205" s="47">
        <f t="shared" ref="L205:L208" si="47">F205*K205</f>
        <v>0</v>
      </c>
      <c r="M205" s="47">
        <f t="shared" si="46"/>
        <v>0</v>
      </c>
    </row>
    <row r="206" spans="1:13" x14ac:dyDescent="0.25">
      <c r="A206" s="192"/>
      <c r="B206" s="192"/>
      <c r="C206" s="86" t="s">
        <v>212</v>
      </c>
      <c r="D206" s="77"/>
      <c r="E206" s="120"/>
      <c r="F206" s="120"/>
      <c r="G206" s="47"/>
      <c r="H206" s="47"/>
      <c r="I206" s="47"/>
      <c r="J206" s="47"/>
      <c r="K206" s="47"/>
      <c r="L206" s="47"/>
      <c r="M206" s="47"/>
    </row>
    <row r="207" spans="1:13" x14ac:dyDescent="0.25">
      <c r="A207" s="192"/>
      <c r="B207" s="192"/>
      <c r="C207" s="86" t="s">
        <v>309</v>
      </c>
      <c r="D207" s="77" t="s">
        <v>40</v>
      </c>
      <c r="E207" s="120">
        <v>1</v>
      </c>
      <c r="F207" s="120">
        <f>E207*F203</f>
        <v>1</v>
      </c>
      <c r="G207" s="47"/>
      <c r="H207" s="47">
        <f t="shared" ref="H207:H208" si="48">F207*G207</f>
        <v>0</v>
      </c>
      <c r="I207" s="47"/>
      <c r="J207" s="47"/>
      <c r="K207" s="47"/>
      <c r="L207" s="47"/>
      <c r="M207" s="47">
        <f t="shared" si="46"/>
        <v>0</v>
      </c>
    </row>
    <row r="208" spans="1:13" x14ac:dyDescent="0.25">
      <c r="A208" s="193"/>
      <c r="B208" s="193"/>
      <c r="C208" s="86" t="s">
        <v>213</v>
      </c>
      <c r="D208" s="77" t="s">
        <v>211</v>
      </c>
      <c r="E208" s="120">
        <v>0.11</v>
      </c>
      <c r="F208" s="120">
        <f>F203*E208</f>
        <v>0.11</v>
      </c>
      <c r="G208" s="47"/>
      <c r="H208" s="47">
        <f t="shared" si="48"/>
        <v>0</v>
      </c>
      <c r="I208" s="47"/>
      <c r="J208" s="47"/>
      <c r="K208" s="47"/>
      <c r="L208" s="47">
        <f t="shared" si="47"/>
        <v>0</v>
      </c>
      <c r="M208" s="47">
        <f t="shared" si="46"/>
        <v>0</v>
      </c>
    </row>
    <row r="209" spans="1:13" ht="30" x14ac:dyDescent="0.25">
      <c r="A209" s="191">
        <v>4</v>
      </c>
      <c r="B209" s="191" t="s">
        <v>175</v>
      </c>
      <c r="C209" s="104" t="s">
        <v>215</v>
      </c>
      <c r="D209" s="54" t="s">
        <v>40</v>
      </c>
      <c r="E209" s="118"/>
      <c r="F209" s="118">
        <f>F213+F214+F215+F216</f>
        <v>22</v>
      </c>
      <c r="G209" s="47"/>
      <c r="H209" s="47"/>
      <c r="I209" s="47"/>
      <c r="J209" s="47"/>
      <c r="K209" s="47"/>
      <c r="L209" s="47"/>
      <c r="M209" s="47"/>
    </row>
    <row r="210" spans="1:13" ht="15.75" x14ac:dyDescent="0.25">
      <c r="A210" s="192"/>
      <c r="B210" s="192"/>
      <c r="C210" s="86" t="s">
        <v>209</v>
      </c>
      <c r="D210" s="77" t="s">
        <v>27</v>
      </c>
      <c r="E210" s="33">
        <v>0.82</v>
      </c>
      <c r="F210" s="132">
        <f>F209*E210</f>
        <v>18.04</v>
      </c>
      <c r="G210" s="24"/>
      <c r="H210" s="24"/>
      <c r="I210" s="24"/>
      <c r="J210" s="24">
        <f t="shared" ref="J210" si="49">F210*I210</f>
        <v>0</v>
      </c>
      <c r="K210" s="24"/>
      <c r="L210" s="24"/>
      <c r="M210" s="24">
        <f t="shared" ref="M210:M211" si="50">H210+J210+L210</f>
        <v>0</v>
      </c>
    </row>
    <row r="211" spans="1:13" ht="15.75" x14ac:dyDescent="0.25">
      <c r="A211" s="192"/>
      <c r="B211" s="192"/>
      <c r="C211" s="86" t="s">
        <v>210</v>
      </c>
      <c r="D211" s="77" t="s">
        <v>211</v>
      </c>
      <c r="E211" s="33">
        <v>0.01</v>
      </c>
      <c r="F211" s="132">
        <f>F209*E211</f>
        <v>0.22</v>
      </c>
      <c r="G211" s="24"/>
      <c r="H211" s="24"/>
      <c r="I211" s="24"/>
      <c r="J211" s="24"/>
      <c r="K211" s="24"/>
      <c r="L211" s="24">
        <f t="shared" ref="L211" si="51">F211*K211</f>
        <v>0</v>
      </c>
      <c r="M211" s="24">
        <f t="shared" si="50"/>
        <v>0</v>
      </c>
    </row>
    <row r="212" spans="1:13" ht="15.75" x14ac:dyDescent="0.25">
      <c r="A212" s="192"/>
      <c r="B212" s="192"/>
      <c r="C212" s="86" t="s">
        <v>212</v>
      </c>
      <c r="D212" s="77"/>
      <c r="E212" s="33"/>
      <c r="F212" s="132"/>
      <c r="G212" s="24"/>
      <c r="H212" s="24"/>
      <c r="I212" s="24"/>
      <c r="J212" s="24"/>
      <c r="K212" s="24"/>
      <c r="L212" s="24"/>
      <c r="M212" s="24"/>
    </row>
    <row r="213" spans="1:13" ht="15.75" x14ac:dyDescent="0.25">
      <c r="A213" s="192"/>
      <c r="B213" s="192"/>
      <c r="C213" s="86" t="s">
        <v>176</v>
      </c>
      <c r="D213" s="77" t="s">
        <v>171</v>
      </c>
      <c r="E213" s="33">
        <v>1</v>
      </c>
      <c r="F213" s="132">
        <v>3</v>
      </c>
      <c r="G213" s="24"/>
      <c r="H213" s="24">
        <f t="shared" ref="H213:H217" si="52">F213*G213</f>
        <v>0</v>
      </c>
      <c r="I213" s="24"/>
      <c r="J213" s="24"/>
      <c r="K213" s="24"/>
      <c r="L213" s="24"/>
      <c r="M213" s="24">
        <f t="shared" ref="M213:M217" si="53">H213+J213+L213</f>
        <v>0</v>
      </c>
    </row>
    <row r="214" spans="1:13" ht="15.75" x14ac:dyDescent="0.25">
      <c r="A214" s="192"/>
      <c r="B214" s="133"/>
      <c r="C214" s="86" t="s">
        <v>177</v>
      </c>
      <c r="D214" s="77" t="s">
        <v>40</v>
      </c>
      <c r="E214" s="33"/>
      <c r="F214" s="132">
        <v>11</v>
      </c>
      <c r="G214" s="24"/>
      <c r="H214" s="24">
        <f t="shared" ref="H214:H216" si="54">G214*F214</f>
        <v>0</v>
      </c>
      <c r="I214" s="24"/>
      <c r="J214" s="24">
        <f t="shared" ref="J214:J216" si="55">I214*F214</f>
        <v>0</v>
      </c>
      <c r="K214" s="24"/>
      <c r="L214" s="24">
        <f t="shared" ref="L214:L216" si="56">K214*F214</f>
        <v>0</v>
      </c>
      <c r="M214" s="24">
        <f t="shared" si="53"/>
        <v>0</v>
      </c>
    </row>
    <row r="215" spans="1:13" ht="15.75" x14ac:dyDescent="0.25">
      <c r="A215" s="192"/>
      <c r="B215" s="133">
        <v>6.58</v>
      </c>
      <c r="C215" s="86" t="s">
        <v>178</v>
      </c>
      <c r="D215" s="77" t="s">
        <v>40</v>
      </c>
      <c r="E215" s="33"/>
      <c r="F215" s="132">
        <v>4</v>
      </c>
      <c r="G215" s="24"/>
      <c r="H215" s="24">
        <f t="shared" si="54"/>
        <v>0</v>
      </c>
      <c r="I215" s="24"/>
      <c r="J215" s="24">
        <f t="shared" si="55"/>
        <v>0</v>
      </c>
      <c r="K215" s="24"/>
      <c r="L215" s="24">
        <f t="shared" si="56"/>
        <v>0</v>
      </c>
      <c r="M215" s="24">
        <f t="shared" si="53"/>
        <v>0</v>
      </c>
    </row>
    <row r="216" spans="1:13" ht="15.75" x14ac:dyDescent="0.25">
      <c r="A216" s="192"/>
      <c r="B216" s="133">
        <v>6.58</v>
      </c>
      <c r="C216" s="86" t="s">
        <v>179</v>
      </c>
      <c r="D216" s="77" t="s">
        <v>40</v>
      </c>
      <c r="E216" s="33"/>
      <c r="F216" s="132">
        <v>4</v>
      </c>
      <c r="G216" s="24"/>
      <c r="H216" s="24">
        <f t="shared" si="54"/>
        <v>0</v>
      </c>
      <c r="I216" s="24"/>
      <c r="J216" s="24">
        <f t="shared" si="55"/>
        <v>0</v>
      </c>
      <c r="K216" s="24"/>
      <c r="L216" s="24">
        <f t="shared" si="56"/>
        <v>0</v>
      </c>
      <c r="M216" s="24">
        <f t="shared" si="53"/>
        <v>0</v>
      </c>
    </row>
    <row r="217" spans="1:13" ht="15.75" x14ac:dyDescent="0.25">
      <c r="A217" s="193"/>
      <c r="B217" s="134"/>
      <c r="C217" s="86" t="s">
        <v>159</v>
      </c>
      <c r="D217" s="77" t="s">
        <v>29</v>
      </c>
      <c r="E217" s="33">
        <v>7.0000000000000007E-2</v>
      </c>
      <c r="F217" s="132">
        <f>F209*E217</f>
        <v>1.54</v>
      </c>
      <c r="G217" s="24"/>
      <c r="H217" s="24">
        <f t="shared" si="52"/>
        <v>0</v>
      </c>
      <c r="I217" s="24"/>
      <c r="J217" s="24"/>
      <c r="K217" s="24"/>
      <c r="L217" s="24"/>
      <c r="M217" s="24">
        <f t="shared" si="53"/>
        <v>0</v>
      </c>
    </row>
    <row r="218" spans="1:13" ht="30" x14ac:dyDescent="0.25">
      <c r="A218" s="205">
        <v>7</v>
      </c>
      <c r="B218" s="202" t="s">
        <v>185</v>
      </c>
      <c r="C218" s="104" t="s">
        <v>186</v>
      </c>
      <c r="D218" s="54" t="s">
        <v>180</v>
      </c>
      <c r="E218" s="118"/>
      <c r="F218" s="151">
        <v>70</v>
      </c>
      <c r="G218" s="47"/>
      <c r="H218" s="47"/>
      <c r="I218" s="47"/>
      <c r="J218" s="47"/>
      <c r="K218" s="47"/>
      <c r="L218" s="47"/>
      <c r="M218" s="47"/>
    </row>
    <row r="219" spans="1:13" ht="15.75" x14ac:dyDescent="0.25">
      <c r="A219" s="206"/>
      <c r="B219" s="203"/>
      <c r="C219" s="86" t="s">
        <v>161</v>
      </c>
      <c r="D219" s="77" t="s">
        <v>27</v>
      </c>
      <c r="E219" s="33">
        <f>143*0.01</f>
        <v>1.43</v>
      </c>
      <c r="F219" s="132">
        <f>E219*F218</f>
        <v>100.1</v>
      </c>
      <c r="G219" s="24"/>
      <c r="H219" s="24"/>
      <c r="I219" s="24"/>
      <c r="J219" s="24">
        <f t="shared" ref="J219" si="57">I219*F219</f>
        <v>0</v>
      </c>
      <c r="K219" s="24"/>
      <c r="L219" s="24"/>
      <c r="M219" s="24">
        <f t="shared" ref="M219:M224" si="58">L219+J219+H219</f>
        <v>0</v>
      </c>
    </row>
    <row r="220" spans="1:13" ht="15.75" x14ac:dyDescent="0.25">
      <c r="A220" s="206"/>
      <c r="B220" s="203"/>
      <c r="C220" s="86" t="s">
        <v>181</v>
      </c>
      <c r="D220" s="77" t="s">
        <v>29</v>
      </c>
      <c r="E220" s="33">
        <f>2.57*0.01</f>
        <v>2.5700000000000001E-2</v>
      </c>
      <c r="F220" s="132">
        <f>E220*F218</f>
        <v>1.7989999999999999</v>
      </c>
      <c r="G220" s="24"/>
      <c r="H220" s="24"/>
      <c r="I220" s="24"/>
      <c r="J220" s="24"/>
      <c r="K220" s="24"/>
      <c r="L220" s="24">
        <f t="shared" ref="L220" si="59">K220*F220</f>
        <v>0</v>
      </c>
      <c r="M220" s="24">
        <f t="shared" si="58"/>
        <v>0</v>
      </c>
    </row>
    <row r="221" spans="1:13" ht="15.75" x14ac:dyDescent="0.25">
      <c r="A221" s="206"/>
      <c r="B221" s="203"/>
      <c r="C221" s="86" t="s">
        <v>182</v>
      </c>
      <c r="D221" s="77"/>
      <c r="E221" s="33"/>
      <c r="F221" s="132"/>
      <c r="G221" s="24"/>
      <c r="H221" s="24"/>
      <c r="I221" s="24"/>
      <c r="J221" s="24"/>
      <c r="K221" s="24"/>
      <c r="L221" s="24"/>
      <c r="M221" s="24">
        <f t="shared" si="58"/>
        <v>0</v>
      </c>
    </row>
    <row r="222" spans="1:13" ht="15.75" x14ac:dyDescent="0.25">
      <c r="A222" s="206"/>
      <c r="B222" s="203"/>
      <c r="C222" s="86" t="s">
        <v>187</v>
      </c>
      <c r="D222" s="77" t="s">
        <v>180</v>
      </c>
      <c r="E222" s="33">
        <f>92.9*0.01</f>
        <v>0.92900000000000005</v>
      </c>
      <c r="F222" s="132">
        <f>E222*F218</f>
        <v>65.03</v>
      </c>
      <c r="G222" s="24"/>
      <c r="H222" s="24">
        <f t="shared" ref="H222:H224" si="60">G222*F222</f>
        <v>0</v>
      </c>
      <c r="I222" s="24"/>
      <c r="J222" s="24"/>
      <c r="K222" s="24"/>
      <c r="L222" s="24"/>
      <c r="M222" s="24">
        <f t="shared" si="58"/>
        <v>0</v>
      </c>
    </row>
    <row r="223" spans="1:13" ht="15.75" x14ac:dyDescent="0.25">
      <c r="A223" s="206"/>
      <c r="B223" s="203"/>
      <c r="C223" s="86" t="s">
        <v>183</v>
      </c>
      <c r="D223" s="77" t="s">
        <v>184</v>
      </c>
      <c r="E223" s="33">
        <v>0.152</v>
      </c>
      <c r="F223" s="132">
        <f>E223*F218</f>
        <v>10.64</v>
      </c>
      <c r="G223" s="24"/>
      <c r="H223" s="24">
        <f t="shared" si="60"/>
        <v>0</v>
      </c>
      <c r="I223" s="24"/>
      <c r="J223" s="24"/>
      <c r="K223" s="24"/>
      <c r="L223" s="24"/>
      <c r="M223" s="24">
        <f t="shared" si="58"/>
        <v>0</v>
      </c>
    </row>
    <row r="224" spans="1:13" ht="15.75" x14ac:dyDescent="0.25">
      <c r="A224" s="207"/>
      <c r="B224" s="204"/>
      <c r="C224" s="86" t="s">
        <v>159</v>
      </c>
      <c r="D224" s="77" t="s">
        <v>29</v>
      </c>
      <c r="E224" s="33">
        <f>7.08*0.01</f>
        <v>7.0800000000000002E-2</v>
      </c>
      <c r="F224" s="132">
        <f>E224*F218</f>
        <v>4.9560000000000004</v>
      </c>
      <c r="G224" s="24"/>
      <c r="H224" s="24">
        <f t="shared" si="60"/>
        <v>0</v>
      </c>
      <c r="I224" s="24"/>
      <c r="J224" s="24"/>
      <c r="K224" s="24"/>
      <c r="L224" s="24"/>
      <c r="M224" s="24">
        <f t="shared" si="58"/>
        <v>0</v>
      </c>
    </row>
    <row r="225" spans="1:13" x14ac:dyDescent="0.25">
      <c r="A225" s="200">
        <v>8</v>
      </c>
      <c r="B225" s="201" t="s">
        <v>188</v>
      </c>
      <c r="C225" s="100" t="s">
        <v>189</v>
      </c>
      <c r="D225" s="54" t="s">
        <v>184</v>
      </c>
      <c r="E225" s="118"/>
      <c r="F225" s="151">
        <f>F229+F230</f>
        <v>50</v>
      </c>
      <c r="G225" s="47"/>
      <c r="H225" s="47"/>
      <c r="I225" s="47"/>
      <c r="J225" s="47"/>
      <c r="K225" s="47"/>
      <c r="L225" s="47"/>
      <c r="M225" s="47"/>
    </row>
    <row r="226" spans="1:13" ht="15.75" x14ac:dyDescent="0.25">
      <c r="A226" s="200"/>
      <c r="B226" s="201"/>
      <c r="C226" s="86" t="s">
        <v>161</v>
      </c>
      <c r="D226" s="77" t="s">
        <v>27</v>
      </c>
      <c r="E226" s="33">
        <v>1.51</v>
      </c>
      <c r="F226" s="132">
        <f>E226*F225</f>
        <v>75.5</v>
      </c>
      <c r="G226" s="24"/>
      <c r="H226" s="24"/>
      <c r="I226" s="24"/>
      <c r="J226" s="24">
        <f t="shared" ref="J226" si="61">I226*F226</f>
        <v>0</v>
      </c>
      <c r="K226" s="24"/>
      <c r="L226" s="24"/>
      <c r="M226" s="24">
        <f t="shared" ref="M226:M227" si="62">L226+J226+H226</f>
        <v>0</v>
      </c>
    </row>
    <row r="227" spans="1:13" ht="15.75" x14ac:dyDescent="0.25">
      <c r="A227" s="200"/>
      <c r="B227" s="201"/>
      <c r="C227" s="86" t="s">
        <v>181</v>
      </c>
      <c r="D227" s="77" t="s">
        <v>29</v>
      </c>
      <c r="E227" s="33">
        <v>0.13</v>
      </c>
      <c r="F227" s="132">
        <f>E227*F225</f>
        <v>6.5</v>
      </c>
      <c r="G227" s="24"/>
      <c r="H227" s="24"/>
      <c r="I227" s="24"/>
      <c r="J227" s="24"/>
      <c r="K227" s="24"/>
      <c r="L227" s="24">
        <f t="shared" ref="L227" si="63">K227*F227</f>
        <v>0</v>
      </c>
      <c r="M227" s="24">
        <f t="shared" si="62"/>
        <v>0</v>
      </c>
    </row>
    <row r="228" spans="1:13" ht="15.75" x14ac:dyDescent="0.25">
      <c r="A228" s="200"/>
      <c r="B228" s="201"/>
      <c r="C228" s="86" t="s">
        <v>182</v>
      </c>
      <c r="D228" s="77"/>
      <c r="E228" s="33"/>
      <c r="F228" s="132"/>
      <c r="G228" s="24"/>
      <c r="H228" s="24"/>
      <c r="I228" s="24"/>
      <c r="J228" s="24"/>
      <c r="K228" s="24"/>
      <c r="L228" s="24"/>
      <c r="M228" s="24"/>
    </row>
    <row r="229" spans="1:13" ht="15.75" x14ac:dyDescent="0.25">
      <c r="A229" s="135" t="s">
        <v>190</v>
      </c>
      <c r="B229" s="202"/>
      <c r="C229" s="86" t="s">
        <v>219</v>
      </c>
      <c r="D229" s="77" t="s">
        <v>40</v>
      </c>
      <c r="E229" s="33"/>
      <c r="F229" s="132">
        <v>15</v>
      </c>
      <c r="G229" s="24"/>
      <c r="H229" s="24">
        <f t="shared" ref="H229:H230" si="64">G229*F229</f>
        <v>0</v>
      </c>
      <c r="I229" s="24"/>
      <c r="J229" s="24">
        <f t="shared" ref="J229:J230" si="65">I229*F229</f>
        <v>0</v>
      </c>
      <c r="K229" s="24"/>
      <c r="L229" s="24">
        <f t="shared" ref="L229:L231" si="66">K229*F229</f>
        <v>0</v>
      </c>
      <c r="M229" s="24">
        <f t="shared" ref="M229:M231" si="67">H229+J229+L229</f>
        <v>0</v>
      </c>
    </row>
    <row r="230" spans="1:13" ht="15.75" x14ac:dyDescent="0.25">
      <c r="A230" s="135" t="s">
        <v>191</v>
      </c>
      <c r="B230" s="203"/>
      <c r="C230" s="86" t="s">
        <v>261</v>
      </c>
      <c r="D230" s="77" t="s">
        <v>40</v>
      </c>
      <c r="E230" s="33"/>
      <c r="F230" s="132">
        <v>35</v>
      </c>
      <c r="G230" s="24"/>
      <c r="H230" s="24">
        <f t="shared" si="64"/>
        <v>0</v>
      </c>
      <c r="I230" s="24"/>
      <c r="J230" s="24">
        <f t="shared" si="65"/>
        <v>0</v>
      </c>
      <c r="K230" s="24"/>
      <c r="L230" s="24">
        <f t="shared" si="66"/>
        <v>0</v>
      </c>
      <c r="M230" s="24">
        <f t="shared" si="67"/>
        <v>0</v>
      </c>
    </row>
    <row r="231" spans="1:13" ht="15.75" x14ac:dyDescent="0.25">
      <c r="A231" s="135"/>
      <c r="B231" s="204"/>
      <c r="C231" s="86" t="s">
        <v>159</v>
      </c>
      <c r="D231" s="77" t="s">
        <v>29</v>
      </c>
      <c r="E231" s="33">
        <v>7.0000000000000007E-2</v>
      </c>
      <c r="F231" s="132">
        <f>E231*F229</f>
        <v>1.05</v>
      </c>
      <c r="G231" s="24"/>
      <c r="H231" s="24"/>
      <c r="I231" s="24"/>
      <c r="J231" s="24"/>
      <c r="K231" s="24"/>
      <c r="L231" s="24">
        <f t="shared" si="66"/>
        <v>0</v>
      </c>
      <c r="M231" s="24">
        <f t="shared" si="67"/>
        <v>0</v>
      </c>
    </row>
    <row r="232" spans="1:13" ht="21" x14ac:dyDescent="0.25">
      <c r="A232" s="136"/>
      <c r="B232" s="136"/>
      <c r="C232" s="137" t="s">
        <v>192</v>
      </c>
      <c r="D232" s="138"/>
      <c r="E232" s="138"/>
      <c r="F232" s="138"/>
      <c r="G232" s="138"/>
      <c r="H232" s="139"/>
      <c r="I232" s="138"/>
      <c r="J232" s="139"/>
      <c r="K232" s="138"/>
      <c r="L232" s="139"/>
      <c r="M232" s="129"/>
    </row>
    <row r="233" spans="1:13" ht="30" x14ac:dyDescent="0.25">
      <c r="A233" s="171">
        <v>1</v>
      </c>
      <c r="B233" s="191" t="s">
        <v>193</v>
      </c>
      <c r="C233" s="104" t="s">
        <v>288</v>
      </c>
      <c r="D233" s="54" t="s">
        <v>167</v>
      </c>
      <c r="E233" s="118"/>
      <c r="F233" s="118">
        <v>30</v>
      </c>
      <c r="G233" s="47"/>
      <c r="H233" s="47"/>
      <c r="I233" s="47"/>
      <c r="J233" s="47"/>
      <c r="K233" s="47"/>
      <c r="L233" s="47"/>
      <c r="M233" s="47"/>
    </row>
    <row r="234" spans="1:13" ht="15.75" x14ac:dyDescent="0.25">
      <c r="A234" s="190"/>
      <c r="B234" s="192"/>
      <c r="C234" s="86" t="s">
        <v>209</v>
      </c>
      <c r="D234" s="77" t="s">
        <v>162</v>
      </c>
      <c r="E234" s="33">
        <v>0.60899999999999999</v>
      </c>
      <c r="F234" s="132">
        <f>F233*E234</f>
        <v>18.27</v>
      </c>
      <c r="G234" s="24"/>
      <c r="H234" s="24"/>
      <c r="I234" s="24"/>
      <c r="J234" s="24">
        <f t="shared" ref="J234:J248" si="68">F234*I234</f>
        <v>0</v>
      </c>
      <c r="K234" s="24"/>
      <c r="L234" s="24"/>
      <c r="M234" s="24">
        <f t="shared" ref="M234:M267" si="69">H234+J234+L234</f>
        <v>0</v>
      </c>
    </row>
    <row r="235" spans="1:13" ht="15.75" x14ac:dyDescent="0.25">
      <c r="A235" s="190"/>
      <c r="B235" s="192"/>
      <c r="C235" s="86" t="s">
        <v>210</v>
      </c>
      <c r="D235" s="77" t="s">
        <v>211</v>
      </c>
      <c r="E235" s="33">
        <v>2.0999999999999999E-3</v>
      </c>
      <c r="F235" s="132">
        <f>F233*E235</f>
        <v>6.3E-2</v>
      </c>
      <c r="G235" s="24"/>
      <c r="H235" s="24"/>
      <c r="I235" s="24"/>
      <c r="J235" s="24"/>
      <c r="K235" s="24"/>
      <c r="L235" s="24">
        <f t="shared" ref="L235:L249" si="70">F235*K235</f>
        <v>0</v>
      </c>
      <c r="M235" s="24">
        <f t="shared" si="69"/>
        <v>0</v>
      </c>
    </row>
    <row r="236" spans="1:13" ht="15.75" x14ac:dyDescent="0.25">
      <c r="A236" s="190"/>
      <c r="B236" s="192"/>
      <c r="C236" s="86" t="s">
        <v>212</v>
      </c>
      <c r="D236" s="77"/>
      <c r="E236" s="33"/>
      <c r="F236" s="132"/>
      <c r="G236" s="24"/>
      <c r="H236" s="24"/>
      <c r="I236" s="24"/>
      <c r="J236" s="24"/>
      <c r="K236" s="24"/>
      <c r="L236" s="24"/>
      <c r="M236" s="24"/>
    </row>
    <row r="237" spans="1:13" ht="15.75" x14ac:dyDescent="0.25">
      <c r="A237" s="190"/>
      <c r="B237" s="192"/>
      <c r="C237" s="86" t="s">
        <v>289</v>
      </c>
      <c r="D237" s="77" t="s">
        <v>180</v>
      </c>
      <c r="E237" s="33">
        <f>99.8*0.01</f>
        <v>0.998</v>
      </c>
      <c r="F237" s="132">
        <f>F233*E237</f>
        <v>29.94</v>
      </c>
      <c r="G237" s="24"/>
      <c r="H237" s="24">
        <f t="shared" ref="H237:H267" si="71">F237*G237</f>
        <v>0</v>
      </c>
      <c r="I237" s="24"/>
      <c r="J237" s="24"/>
      <c r="K237" s="24"/>
      <c r="L237" s="24"/>
      <c r="M237" s="24">
        <f t="shared" si="69"/>
        <v>0</v>
      </c>
    </row>
    <row r="238" spans="1:13" ht="15.75" x14ac:dyDescent="0.25">
      <c r="A238" s="190"/>
      <c r="B238" s="192"/>
      <c r="C238" s="86" t="s">
        <v>194</v>
      </c>
      <c r="D238" s="77" t="s">
        <v>195</v>
      </c>
      <c r="E238" s="33">
        <f>14*0.01</f>
        <v>0.14000000000000001</v>
      </c>
      <c r="F238" s="132">
        <f>E238*F233</f>
        <v>4.2</v>
      </c>
      <c r="G238" s="24"/>
      <c r="H238" s="24">
        <f t="shared" ref="H238" si="72">G238*F238</f>
        <v>0</v>
      </c>
      <c r="I238" s="24"/>
      <c r="J238" s="24"/>
      <c r="K238" s="24"/>
      <c r="L238" s="24"/>
      <c r="M238" s="24">
        <f t="shared" ref="M238" si="73">L238+J238+H238</f>
        <v>0</v>
      </c>
    </row>
    <row r="239" spans="1:13" ht="15.75" x14ac:dyDescent="0.25">
      <c r="A239" s="172"/>
      <c r="B239" s="193"/>
      <c r="C239" s="86" t="s">
        <v>213</v>
      </c>
      <c r="D239" s="77" t="s">
        <v>211</v>
      </c>
      <c r="E239" s="33">
        <v>0.156</v>
      </c>
      <c r="F239" s="132">
        <f>F233*E239</f>
        <v>4.68</v>
      </c>
      <c r="G239" s="24"/>
      <c r="H239" s="24">
        <f t="shared" si="71"/>
        <v>0</v>
      </c>
      <c r="I239" s="24"/>
      <c r="J239" s="24">
        <f t="shared" si="68"/>
        <v>0</v>
      </c>
      <c r="K239" s="24"/>
      <c r="L239" s="24"/>
      <c r="M239" s="24">
        <f t="shared" si="69"/>
        <v>0</v>
      </c>
    </row>
    <row r="240" spans="1:13" ht="30" x14ac:dyDescent="0.25">
      <c r="A240" s="171">
        <v>2</v>
      </c>
      <c r="B240" s="191" t="s">
        <v>193</v>
      </c>
      <c r="C240" s="104" t="s">
        <v>290</v>
      </c>
      <c r="D240" s="54" t="s">
        <v>167</v>
      </c>
      <c r="E240" s="118"/>
      <c r="F240" s="118">
        <v>10</v>
      </c>
      <c r="G240" s="47"/>
      <c r="H240" s="47"/>
      <c r="I240" s="47"/>
      <c r="J240" s="47"/>
      <c r="K240" s="47"/>
      <c r="L240" s="47"/>
      <c r="M240" s="47"/>
    </row>
    <row r="241" spans="1:13" ht="15.75" x14ac:dyDescent="0.25">
      <c r="A241" s="190"/>
      <c r="B241" s="192"/>
      <c r="C241" s="86" t="s">
        <v>209</v>
      </c>
      <c r="D241" s="77" t="s">
        <v>162</v>
      </c>
      <c r="E241" s="33">
        <f>58.3*0.01</f>
        <v>0.58299999999999996</v>
      </c>
      <c r="F241" s="132">
        <f>F240*E241</f>
        <v>5.83</v>
      </c>
      <c r="G241" s="24"/>
      <c r="H241" s="24"/>
      <c r="I241" s="24"/>
      <c r="J241" s="24">
        <f t="shared" ref="J241" si="74">F241*I241</f>
        <v>0</v>
      </c>
      <c r="K241" s="24"/>
      <c r="L241" s="24"/>
      <c r="M241" s="24">
        <f t="shared" ref="M241:M244" si="75">H241+J241+L241</f>
        <v>0</v>
      </c>
    </row>
    <row r="242" spans="1:13" ht="15.75" x14ac:dyDescent="0.25">
      <c r="A242" s="190"/>
      <c r="B242" s="192"/>
      <c r="C242" s="86" t="s">
        <v>210</v>
      </c>
      <c r="D242" s="77" t="s">
        <v>211</v>
      </c>
      <c r="E242" s="33">
        <f>0.46*0.01</f>
        <v>4.5999999999999999E-3</v>
      </c>
      <c r="F242" s="132">
        <f>F240*E242</f>
        <v>4.5999999999999999E-2</v>
      </c>
      <c r="G242" s="24"/>
      <c r="H242" s="24"/>
      <c r="I242" s="24"/>
      <c r="J242" s="24"/>
      <c r="K242" s="24"/>
      <c r="L242" s="24">
        <f t="shared" ref="L242" si="76">F242*K242</f>
        <v>0</v>
      </c>
      <c r="M242" s="24">
        <f t="shared" si="75"/>
        <v>0</v>
      </c>
    </row>
    <row r="243" spans="1:13" ht="15.75" x14ac:dyDescent="0.25">
      <c r="A243" s="190"/>
      <c r="B243" s="192"/>
      <c r="C243" s="86" t="s">
        <v>212</v>
      </c>
      <c r="D243" s="77"/>
      <c r="E243" s="33"/>
      <c r="F243" s="132"/>
      <c r="G243" s="24"/>
      <c r="H243" s="24"/>
      <c r="I243" s="24"/>
      <c r="J243" s="24"/>
      <c r="K243" s="24"/>
      <c r="L243" s="24"/>
      <c r="M243" s="24"/>
    </row>
    <row r="244" spans="1:13" ht="15.75" x14ac:dyDescent="0.25">
      <c r="A244" s="190"/>
      <c r="B244" s="192"/>
      <c r="C244" s="86" t="s">
        <v>291</v>
      </c>
      <c r="D244" s="77" t="s">
        <v>180</v>
      </c>
      <c r="E244" s="33">
        <f>99.8*0.01</f>
        <v>0.998</v>
      </c>
      <c r="F244" s="132">
        <f>F240*E244</f>
        <v>9.98</v>
      </c>
      <c r="G244" s="24"/>
      <c r="H244" s="24">
        <f t="shared" ref="H244" si="77">F244*G244</f>
        <v>0</v>
      </c>
      <c r="I244" s="24"/>
      <c r="J244" s="24"/>
      <c r="K244" s="24"/>
      <c r="L244" s="24"/>
      <c r="M244" s="24">
        <f t="shared" si="75"/>
        <v>0</v>
      </c>
    </row>
    <row r="245" spans="1:13" ht="15.75" x14ac:dyDescent="0.25">
      <c r="A245" s="190"/>
      <c r="B245" s="192"/>
      <c r="C245" s="86" t="s">
        <v>194</v>
      </c>
      <c r="D245" s="77" t="s">
        <v>195</v>
      </c>
      <c r="E245" s="33">
        <f>23*0.01</f>
        <v>0.23</v>
      </c>
      <c r="F245" s="132">
        <f>E245*F240</f>
        <v>2.3000000000000003</v>
      </c>
      <c r="G245" s="24"/>
      <c r="H245" s="24">
        <f t="shared" ref="H245" si="78">G245*F245</f>
        <v>0</v>
      </c>
      <c r="I245" s="24"/>
      <c r="J245" s="24"/>
      <c r="K245" s="24"/>
      <c r="L245" s="24"/>
      <c r="M245" s="24">
        <f t="shared" ref="M245" si="79">L245+J245+H245</f>
        <v>0</v>
      </c>
    </row>
    <row r="246" spans="1:13" ht="15.75" x14ac:dyDescent="0.25">
      <c r="A246" s="172"/>
      <c r="B246" s="193"/>
      <c r="C246" s="86" t="s">
        <v>213</v>
      </c>
      <c r="D246" s="77" t="s">
        <v>211</v>
      </c>
      <c r="E246" s="33">
        <f>20.8*0.01</f>
        <v>0.20800000000000002</v>
      </c>
      <c r="F246" s="132">
        <f>F240*E246</f>
        <v>2.08</v>
      </c>
      <c r="G246" s="24"/>
      <c r="H246" s="24">
        <f t="shared" ref="H246" si="80">F246*G246</f>
        <v>0</v>
      </c>
      <c r="I246" s="24"/>
      <c r="J246" s="24"/>
      <c r="K246" s="24"/>
      <c r="L246" s="24"/>
      <c r="M246" s="24">
        <f t="shared" ref="M246" si="81">H246+J246+L246</f>
        <v>0</v>
      </c>
    </row>
    <row r="247" spans="1:13" x14ac:dyDescent="0.25">
      <c r="A247" s="191">
        <v>3</v>
      </c>
      <c r="B247" s="191" t="s">
        <v>196</v>
      </c>
      <c r="C247" s="104" t="s">
        <v>292</v>
      </c>
      <c r="D247" s="54" t="s">
        <v>40</v>
      </c>
      <c r="E247" s="118"/>
      <c r="F247" s="118">
        <f>F251+F252+F253+F254+F255+F256+F257+F258+F259+F260+F261+F262+F263+F264+F265</f>
        <v>162</v>
      </c>
      <c r="G247" s="47"/>
      <c r="H247" s="47"/>
      <c r="I247" s="47"/>
      <c r="J247" s="47"/>
      <c r="K247" s="47"/>
      <c r="L247" s="47"/>
      <c r="M247" s="47"/>
    </row>
    <row r="248" spans="1:13" ht="15.75" x14ac:dyDescent="0.25">
      <c r="A248" s="192"/>
      <c r="B248" s="192"/>
      <c r="C248" s="86" t="s">
        <v>209</v>
      </c>
      <c r="D248" s="77" t="s">
        <v>162</v>
      </c>
      <c r="E248" s="33">
        <v>2.67</v>
      </c>
      <c r="F248" s="132">
        <f>F247*E248</f>
        <v>432.53999999999996</v>
      </c>
      <c r="G248" s="24"/>
      <c r="H248" s="24"/>
      <c r="I248" s="24"/>
      <c r="J248" s="24">
        <f t="shared" si="68"/>
        <v>0</v>
      </c>
      <c r="K248" s="24"/>
      <c r="L248" s="24"/>
      <c r="M248" s="24">
        <f t="shared" si="69"/>
        <v>0</v>
      </c>
    </row>
    <row r="249" spans="1:13" ht="15.75" x14ac:dyDescent="0.25">
      <c r="A249" s="192"/>
      <c r="B249" s="192"/>
      <c r="C249" s="86" t="s">
        <v>210</v>
      </c>
      <c r="D249" s="77" t="s">
        <v>211</v>
      </c>
      <c r="E249" s="33">
        <v>0.28999999999999998</v>
      </c>
      <c r="F249" s="132">
        <f>F247*E249</f>
        <v>46.98</v>
      </c>
      <c r="G249" s="24"/>
      <c r="H249" s="24"/>
      <c r="I249" s="24"/>
      <c r="J249" s="24"/>
      <c r="K249" s="24"/>
      <c r="L249" s="24">
        <f t="shared" si="70"/>
        <v>0</v>
      </c>
      <c r="M249" s="24">
        <f t="shared" si="69"/>
        <v>0</v>
      </c>
    </row>
    <row r="250" spans="1:13" ht="15.75" x14ac:dyDescent="0.25">
      <c r="A250" s="192"/>
      <c r="B250" s="192"/>
      <c r="C250" s="86" t="s">
        <v>212</v>
      </c>
      <c r="D250" s="77"/>
      <c r="E250" s="33"/>
      <c r="F250" s="132"/>
      <c r="G250" s="24"/>
      <c r="H250" s="24"/>
      <c r="I250" s="24"/>
      <c r="J250" s="24"/>
      <c r="K250" s="24"/>
      <c r="L250" s="24"/>
      <c r="M250" s="24"/>
    </row>
    <row r="251" spans="1:13" ht="15.75" x14ac:dyDescent="0.25">
      <c r="A251" s="192"/>
      <c r="B251" s="140" t="s">
        <v>262</v>
      </c>
      <c r="C251" s="86" t="s">
        <v>293</v>
      </c>
      <c r="D251" s="77" t="s">
        <v>40</v>
      </c>
      <c r="E251" s="33"/>
      <c r="F251" s="132">
        <v>4</v>
      </c>
      <c r="G251" s="24"/>
      <c r="H251" s="24">
        <f t="shared" si="71"/>
        <v>0</v>
      </c>
      <c r="I251" s="24"/>
      <c r="J251" s="24"/>
      <c r="K251" s="24"/>
      <c r="L251" s="24"/>
      <c r="M251" s="24">
        <f t="shared" si="69"/>
        <v>0</v>
      </c>
    </row>
    <row r="252" spans="1:13" ht="15.75" x14ac:dyDescent="0.25">
      <c r="A252" s="192"/>
      <c r="B252" s="140" t="s">
        <v>252</v>
      </c>
      <c r="C252" s="86" t="s">
        <v>294</v>
      </c>
      <c r="D252" s="77" t="s">
        <v>40</v>
      </c>
      <c r="E252" s="33"/>
      <c r="F252" s="132">
        <v>2</v>
      </c>
      <c r="G252" s="24"/>
      <c r="H252" s="24">
        <f t="shared" si="71"/>
        <v>0</v>
      </c>
      <c r="I252" s="24"/>
      <c r="J252" s="24"/>
      <c r="K252" s="24"/>
      <c r="L252" s="24"/>
      <c r="M252" s="24">
        <f t="shared" si="69"/>
        <v>0</v>
      </c>
    </row>
    <row r="253" spans="1:13" ht="15.75" x14ac:dyDescent="0.25">
      <c r="A253" s="192"/>
      <c r="B253" s="140" t="s">
        <v>250</v>
      </c>
      <c r="C253" s="86" t="s">
        <v>295</v>
      </c>
      <c r="D253" s="77" t="s">
        <v>40</v>
      </c>
      <c r="E253" s="33"/>
      <c r="F253" s="132">
        <v>3</v>
      </c>
      <c r="G253" s="24"/>
      <c r="H253" s="24">
        <f t="shared" si="71"/>
        <v>0</v>
      </c>
      <c r="I253" s="24"/>
      <c r="J253" s="24"/>
      <c r="K253" s="24"/>
      <c r="L253" s="24"/>
      <c r="M253" s="24">
        <f t="shared" si="69"/>
        <v>0</v>
      </c>
    </row>
    <row r="254" spans="1:13" ht="15.75" x14ac:dyDescent="0.25">
      <c r="A254" s="192"/>
      <c r="B254" s="140" t="s">
        <v>251</v>
      </c>
      <c r="C254" s="86" t="s">
        <v>296</v>
      </c>
      <c r="D254" s="77" t="s">
        <v>40</v>
      </c>
      <c r="E254" s="33"/>
      <c r="F254" s="132">
        <v>3</v>
      </c>
      <c r="G254" s="24"/>
      <c r="H254" s="24">
        <f t="shared" si="71"/>
        <v>0</v>
      </c>
      <c r="I254" s="24"/>
      <c r="J254" s="24"/>
      <c r="K254" s="24"/>
      <c r="L254" s="24"/>
      <c r="M254" s="24">
        <f t="shared" si="69"/>
        <v>0</v>
      </c>
    </row>
    <row r="255" spans="1:13" ht="15.75" x14ac:dyDescent="0.25">
      <c r="A255" s="192"/>
      <c r="B255" s="140" t="s">
        <v>253</v>
      </c>
      <c r="C255" s="86" t="s">
        <v>297</v>
      </c>
      <c r="D255" s="77" t="s">
        <v>40</v>
      </c>
      <c r="E255" s="33"/>
      <c r="F255" s="132">
        <v>4</v>
      </c>
      <c r="G255" s="24"/>
      <c r="H255" s="24">
        <f t="shared" si="71"/>
        <v>0</v>
      </c>
      <c r="I255" s="24"/>
      <c r="J255" s="24"/>
      <c r="K255" s="24"/>
      <c r="L255" s="24"/>
      <c r="M255" s="24">
        <f t="shared" si="69"/>
        <v>0</v>
      </c>
    </row>
    <row r="256" spans="1:13" ht="15.75" x14ac:dyDescent="0.25">
      <c r="A256" s="192"/>
      <c r="B256" s="140" t="s">
        <v>254</v>
      </c>
      <c r="C256" s="86" t="s">
        <v>298</v>
      </c>
      <c r="D256" s="77" t="s">
        <v>40</v>
      </c>
      <c r="E256" s="33"/>
      <c r="F256" s="132">
        <v>1</v>
      </c>
      <c r="G256" s="24"/>
      <c r="H256" s="24">
        <f t="shared" si="71"/>
        <v>0</v>
      </c>
      <c r="I256" s="24"/>
      <c r="J256" s="24"/>
      <c r="K256" s="24"/>
      <c r="L256" s="24"/>
      <c r="M256" s="24">
        <f t="shared" si="69"/>
        <v>0</v>
      </c>
    </row>
    <row r="257" spans="1:13" ht="15.75" x14ac:dyDescent="0.25">
      <c r="A257" s="192"/>
      <c r="B257" s="140" t="s">
        <v>255</v>
      </c>
      <c r="C257" s="86" t="s">
        <v>299</v>
      </c>
      <c r="D257" s="77" t="s">
        <v>40</v>
      </c>
      <c r="E257" s="33"/>
      <c r="F257" s="132">
        <v>2</v>
      </c>
      <c r="G257" s="24"/>
      <c r="H257" s="24">
        <f t="shared" si="71"/>
        <v>0</v>
      </c>
      <c r="I257" s="24"/>
      <c r="J257" s="24"/>
      <c r="K257" s="24"/>
      <c r="L257" s="24"/>
      <c r="M257" s="24">
        <f t="shared" si="69"/>
        <v>0</v>
      </c>
    </row>
    <row r="258" spans="1:13" ht="15.75" x14ac:dyDescent="0.25">
      <c r="A258" s="192"/>
      <c r="B258" s="140" t="s">
        <v>256</v>
      </c>
      <c r="C258" s="86" t="s">
        <v>300</v>
      </c>
      <c r="D258" s="77" t="s">
        <v>40</v>
      </c>
      <c r="E258" s="33"/>
      <c r="F258" s="132">
        <v>3</v>
      </c>
      <c r="G258" s="24"/>
      <c r="H258" s="24">
        <f t="shared" si="71"/>
        <v>0</v>
      </c>
      <c r="I258" s="24"/>
      <c r="J258" s="24"/>
      <c r="K258" s="24"/>
      <c r="L258" s="24"/>
      <c r="M258" s="24">
        <f t="shared" si="69"/>
        <v>0</v>
      </c>
    </row>
    <row r="259" spans="1:13" ht="15.75" x14ac:dyDescent="0.25">
      <c r="A259" s="192"/>
      <c r="B259" s="140" t="s">
        <v>197</v>
      </c>
      <c r="C259" s="86" t="s">
        <v>301</v>
      </c>
      <c r="D259" s="77" t="s">
        <v>40</v>
      </c>
      <c r="E259" s="33"/>
      <c r="F259" s="132">
        <v>2</v>
      </c>
      <c r="G259" s="24"/>
      <c r="H259" s="24">
        <f t="shared" si="71"/>
        <v>0</v>
      </c>
      <c r="I259" s="24"/>
      <c r="J259" s="24"/>
      <c r="K259" s="24"/>
      <c r="L259" s="24"/>
      <c r="M259" s="24">
        <f t="shared" si="69"/>
        <v>0</v>
      </c>
    </row>
    <row r="260" spans="1:13" ht="15.75" x14ac:dyDescent="0.25">
      <c r="A260" s="192"/>
      <c r="B260" s="140" t="s">
        <v>257</v>
      </c>
      <c r="C260" s="86" t="s">
        <v>302</v>
      </c>
      <c r="D260" s="77" t="s">
        <v>40</v>
      </c>
      <c r="E260" s="33"/>
      <c r="F260" s="132">
        <v>5</v>
      </c>
      <c r="G260" s="24"/>
      <c r="H260" s="24">
        <f t="shared" si="71"/>
        <v>0</v>
      </c>
      <c r="I260" s="24"/>
      <c r="J260" s="24"/>
      <c r="K260" s="24"/>
      <c r="L260" s="24"/>
      <c r="M260" s="24">
        <f t="shared" si="69"/>
        <v>0</v>
      </c>
    </row>
    <row r="261" spans="1:13" ht="15.75" x14ac:dyDescent="0.25">
      <c r="A261" s="192"/>
      <c r="B261" s="140" t="s">
        <v>258</v>
      </c>
      <c r="C261" s="86" t="s">
        <v>303</v>
      </c>
      <c r="D261" s="77" t="s">
        <v>40</v>
      </c>
      <c r="E261" s="33"/>
      <c r="F261" s="132">
        <v>8</v>
      </c>
      <c r="G261" s="24"/>
      <c r="H261" s="24">
        <f t="shared" si="71"/>
        <v>0</v>
      </c>
      <c r="I261" s="24"/>
      <c r="J261" s="24"/>
      <c r="K261" s="24"/>
      <c r="L261" s="24"/>
      <c r="M261" s="24">
        <f t="shared" si="69"/>
        <v>0</v>
      </c>
    </row>
    <row r="262" spans="1:13" ht="15.75" x14ac:dyDescent="0.25">
      <c r="A262" s="192"/>
      <c r="B262" s="140" t="s">
        <v>198</v>
      </c>
      <c r="C262" s="86" t="s">
        <v>304</v>
      </c>
      <c r="D262" s="77" t="s">
        <v>40</v>
      </c>
      <c r="E262" s="33"/>
      <c r="F262" s="132">
        <v>59</v>
      </c>
      <c r="G262" s="24"/>
      <c r="H262" s="24">
        <f t="shared" si="71"/>
        <v>0</v>
      </c>
      <c r="I262" s="24"/>
      <c r="J262" s="24"/>
      <c r="K262" s="24"/>
      <c r="L262" s="24"/>
      <c r="M262" s="24">
        <f t="shared" si="69"/>
        <v>0</v>
      </c>
    </row>
    <row r="263" spans="1:13" ht="30" customHeight="1" x14ac:dyDescent="0.25">
      <c r="A263" s="192"/>
      <c r="B263" s="140" t="s">
        <v>199</v>
      </c>
      <c r="C263" s="86" t="s">
        <v>305</v>
      </c>
      <c r="D263" s="77" t="s">
        <v>40</v>
      </c>
      <c r="E263" s="33"/>
      <c r="F263" s="132">
        <v>48</v>
      </c>
      <c r="G263" s="24"/>
      <c r="H263" s="24">
        <f t="shared" si="71"/>
        <v>0</v>
      </c>
      <c r="I263" s="24"/>
      <c r="J263" s="24"/>
      <c r="K263" s="24"/>
      <c r="L263" s="24"/>
      <c r="M263" s="24">
        <f t="shared" si="69"/>
        <v>0</v>
      </c>
    </row>
    <row r="264" spans="1:13" ht="15.75" x14ac:dyDescent="0.25">
      <c r="A264" s="192"/>
      <c r="B264" s="140"/>
      <c r="C264" s="86" t="s">
        <v>306</v>
      </c>
      <c r="D264" s="77" t="s">
        <v>40</v>
      </c>
      <c r="E264" s="33"/>
      <c r="F264" s="132">
        <v>6</v>
      </c>
      <c r="G264" s="24"/>
      <c r="H264" s="24">
        <f t="shared" si="71"/>
        <v>0</v>
      </c>
      <c r="I264" s="24"/>
      <c r="J264" s="24"/>
      <c r="K264" s="24"/>
      <c r="L264" s="24"/>
      <c r="M264" s="24">
        <f t="shared" si="69"/>
        <v>0</v>
      </c>
    </row>
    <row r="265" spans="1:13" ht="15.75" x14ac:dyDescent="0.25">
      <c r="A265" s="192"/>
      <c r="B265" s="140"/>
      <c r="C265" s="86" t="s">
        <v>307</v>
      </c>
      <c r="D265" s="77" t="s">
        <v>40</v>
      </c>
      <c r="E265" s="33"/>
      <c r="F265" s="132">
        <v>12</v>
      </c>
      <c r="G265" s="24"/>
      <c r="H265" s="24">
        <f t="shared" si="71"/>
        <v>0</v>
      </c>
      <c r="I265" s="24"/>
      <c r="J265" s="24"/>
      <c r="K265" s="24"/>
      <c r="L265" s="24"/>
      <c r="M265" s="24">
        <f t="shared" si="69"/>
        <v>0</v>
      </c>
    </row>
    <row r="266" spans="1:13" ht="15.75" x14ac:dyDescent="0.25">
      <c r="A266" s="192"/>
      <c r="B266" s="140"/>
      <c r="C266" s="86" t="s">
        <v>213</v>
      </c>
      <c r="D266" s="77" t="s">
        <v>211</v>
      </c>
      <c r="E266" s="33">
        <v>0.2</v>
      </c>
      <c r="F266" s="132">
        <f>F247*E266</f>
        <v>32.4</v>
      </c>
      <c r="G266" s="24"/>
      <c r="H266" s="24">
        <f t="shared" si="71"/>
        <v>0</v>
      </c>
      <c r="I266" s="24"/>
      <c r="J266" s="24"/>
      <c r="K266" s="24"/>
      <c r="L266" s="24"/>
      <c r="M266" s="24">
        <f t="shared" si="69"/>
        <v>0</v>
      </c>
    </row>
    <row r="267" spans="1:13" ht="15.75" x14ac:dyDescent="0.25">
      <c r="A267" s="192"/>
      <c r="B267" s="140"/>
      <c r="C267" s="86" t="s">
        <v>308</v>
      </c>
      <c r="D267" s="77" t="s">
        <v>195</v>
      </c>
      <c r="E267" s="33"/>
      <c r="F267" s="132">
        <v>106.7</v>
      </c>
      <c r="G267" s="24"/>
      <c r="H267" s="24">
        <f t="shared" si="71"/>
        <v>0</v>
      </c>
      <c r="I267" s="24"/>
      <c r="J267" s="24"/>
      <c r="K267" s="24"/>
      <c r="L267" s="24"/>
      <c r="M267" s="24">
        <f t="shared" si="69"/>
        <v>0</v>
      </c>
    </row>
    <row r="268" spans="1:13" ht="15.75" x14ac:dyDescent="0.25">
      <c r="A268" s="193"/>
      <c r="B268" s="141"/>
      <c r="C268" s="86" t="s">
        <v>200</v>
      </c>
      <c r="D268" s="77" t="s">
        <v>40</v>
      </c>
      <c r="E268" s="33"/>
      <c r="F268" s="132">
        <v>12</v>
      </c>
      <c r="G268" s="24"/>
      <c r="H268" s="24">
        <f t="shared" ref="H268" si="82">G268*F268</f>
        <v>0</v>
      </c>
      <c r="I268" s="24"/>
      <c r="J268" s="24">
        <f t="shared" ref="J268" si="83">I268*F268</f>
        <v>0</v>
      </c>
      <c r="K268" s="24"/>
      <c r="L268" s="24">
        <f t="shared" ref="L268" si="84">K268*F268</f>
        <v>0</v>
      </c>
      <c r="M268" s="24">
        <f>H268+J268+L268</f>
        <v>0</v>
      </c>
    </row>
    <row r="269" spans="1:13" ht="18" x14ac:dyDescent="0.25">
      <c r="A269" s="37"/>
      <c r="B269" s="37"/>
      <c r="C269" s="127" t="s">
        <v>223</v>
      </c>
      <c r="D269" s="138"/>
      <c r="E269" s="138"/>
      <c r="F269" s="138"/>
      <c r="G269" s="138"/>
      <c r="H269" s="139"/>
      <c r="I269" s="138"/>
      <c r="J269" s="139"/>
      <c r="K269" s="138"/>
      <c r="L269" s="139"/>
      <c r="M269" s="142"/>
    </row>
    <row r="270" spans="1:13" ht="30" x14ac:dyDescent="0.25">
      <c r="A270" s="182">
        <v>1</v>
      </c>
      <c r="B270" s="183" t="s">
        <v>201</v>
      </c>
      <c r="C270" s="104" t="s">
        <v>276</v>
      </c>
      <c r="D270" s="54" t="s">
        <v>34</v>
      </c>
      <c r="E270" s="118"/>
      <c r="F270" s="118">
        <v>2.1</v>
      </c>
      <c r="G270" s="47"/>
      <c r="H270" s="47"/>
      <c r="I270" s="47"/>
      <c r="J270" s="47"/>
      <c r="K270" s="47"/>
      <c r="L270" s="47"/>
      <c r="M270" s="47"/>
    </row>
    <row r="271" spans="1:13" ht="15.75" x14ac:dyDescent="0.25">
      <c r="A271" s="182"/>
      <c r="B271" s="183"/>
      <c r="C271" s="86" t="s">
        <v>265</v>
      </c>
      <c r="D271" s="77" t="s">
        <v>162</v>
      </c>
      <c r="E271" s="33">
        <f>20*0.001</f>
        <v>0.02</v>
      </c>
      <c r="F271" s="132">
        <f>E271*F270</f>
        <v>4.2000000000000003E-2</v>
      </c>
      <c r="G271" s="24"/>
      <c r="H271" s="24"/>
      <c r="I271" s="24"/>
      <c r="J271" s="24">
        <f t="shared" ref="J271:J276" si="85">I271*F271</f>
        <v>0</v>
      </c>
      <c r="K271" s="24"/>
      <c r="L271" s="24"/>
      <c r="M271" s="24">
        <f t="shared" ref="M271:M278" si="86">L271+J271+H271</f>
        <v>0</v>
      </c>
    </row>
    <row r="272" spans="1:13" ht="30.75" customHeight="1" x14ac:dyDescent="0.25">
      <c r="A272" s="182"/>
      <c r="B272" s="183"/>
      <c r="C272" s="86" t="s">
        <v>277</v>
      </c>
      <c r="D272" s="77" t="s">
        <v>278</v>
      </c>
      <c r="E272" s="33">
        <f>44.8*0.001</f>
        <v>4.48E-2</v>
      </c>
      <c r="F272" s="132">
        <f>E272*F270</f>
        <v>9.4079999999999997E-2</v>
      </c>
      <c r="G272" s="24"/>
      <c r="H272" s="24"/>
      <c r="I272" s="24"/>
      <c r="J272" s="24"/>
      <c r="K272" s="24"/>
      <c r="L272" s="24">
        <f t="shared" ref="L272:L287" si="87">K272*F272</f>
        <v>0</v>
      </c>
      <c r="M272" s="24">
        <f t="shared" si="86"/>
        <v>0</v>
      </c>
    </row>
    <row r="273" spans="1:13" ht="15.75" x14ac:dyDescent="0.25">
      <c r="A273" s="182"/>
      <c r="B273" s="183"/>
      <c r="C273" s="86" t="s">
        <v>42</v>
      </c>
      <c r="D273" s="77" t="s">
        <v>29</v>
      </c>
      <c r="E273" s="33">
        <f>2.1*0.001</f>
        <v>2.1000000000000003E-3</v>
      </c>
      <c r="F273" s="132">
        <f>E273*F270</f>
        <v>4.4100000000000007E-3</v>
      </c>
      <c r="G273" s="24"/>
      <c r="H273" s="24"/>
      <c r="I273" s="24"/>
      <c r="J273" s="24"/>
      <c r="K273" s="24"/>
      <c r="L273" s="24">
        <f>K273*F273</f>
        <v>0</v>
      </c>
      <c r="M273" s="24">
        <f t="shared" si="86"/>
        <v>0</v>
      </c>
    </row>
    <row r="274" spans="1:13" ht="17.25" x14ac:dyDescent="0.25">
      <c r="A274" s="182"/>
      <c r="B274" s="183"/>
      <c r="C274" s="86" t="s">
        <v>279</v>
      </c>
      <c r="D274" s="77" t="s">
        <v>34</v>
      </c>
      <c r="E274" s="33">
        <f>0.05*0.001</f>
        <v>5.0000000000000002E-5</v>
      </c>
      <c r="F274" s="132">
        <f>F270*E274</f>
        <v>1.05E-4</v>
      </c>
      <c r="G274" s="24"/>
      <c r="H274" s="24">
        <f t="shared" ref="H274" si="88">G274*F274</f>
        <v>0</v>
      </c>
      <c r="I274" s="24"/>
      <c r="J274" s="24"/>
      <c r="K274" s="24"/>
      <c r="L274" s="24"/>
      <c r="M274" s="24">
        <f t="shared" si="86"/>
        <v>0</v>
      </c>
    </row>
    <row r="275" spans="1:13" ht="17.25" x14ac:dyDescent="0.25">
      <c r="A275" s="169">
        <v>2</v>
      </c>
      <c r="B275" s="171" t="s">
        <v>202</v>
      </c>
      <c r="C275" s="104" t="s">
        <v>280</v>
      </c>
      <c r="D275" s="54" t="s">
        <v>34</v>
      </c>
      <c r="E275" s="118"/>
      <c r="F275" s="118">
        <v>0.21</v>
      </c>
      <c r="G275" s="47"/>
      <c r="H275" s="47"/>
      <c r="I275" s="47"/>
      <c r="J275" s="47"/>
      <c r="K275" s="47"/>
      <c r="L275" s="47"/>
      <c r="M275" s="47"/>
    </row>
    <row r="276" spans="1:13" ht="15.75" x14ac:dyDescent="0.25">
      <c r="A276" s="170"/>
      <c r="B276" s="172"/>
      <c r="C276" s="86" t="s">
        <v>265</v>
      </c>
      <c r="D276" s="77" t="s">
        <v>162</v>
      </c>
      <c r="E276" s="33">
        <v>3.37</v>
      </c>
      <c r="F276" s="132">
        <f>E276*F275</f>
        <v>0.7077</v>
      </c>
      <c r="G276" s="24"/>
      <c r="H276" s="24"/>
      <c r="I276" s="24"/>
      <c r="J276" s="24">
        <f t="shared" si="85"/>
        <v>0</v>
      </c>
      <c r="K276" s="24"/>
      <c r="L276" s="24"/>
      <c r="M276" s="24">
        <f>L276+J276+H276</f>
        <v>0</v>
      </c>
    </row>
    <row r="277" spans="1:13" x14ac:dyDescent="0.25">
      <c r="A277" s="173">
        <v>3</v>
      </c>
      <c r="B277" s="173" t="s">
        <v>203</v>
      </c>
      <c r="C277" s="104" t="s">
        <v>285</v>
      </c>
      <c r="D277" s="54" t="s">
        <v>281</v>
      </c>
      <c r="E277" s="118"/>
      <c r="F277" s="118">
        <v>0.32</v>
      </c>
      <c r="G277" s="47"/>
      <c r="H277" s="47"/>
      <c r="I277" s="47"/>
      <c r="J277" s="47"/>
      <c r="K277" s="47"/>
      <c r="L277" s="47"/>
      <c r="M277" s="47"/>
    </row>
    <row r="278" spans="1:13" ht="15.75" x14ac:dyDescent="0.25">
      <c r="A278" s="174"/>
      <c r="B278" s="174"/>
      <c r="C278" s="86" t="s">
        <v>286</v>
      </c>
      <c r="D278" s="77" t="s">
        <v>29</v>
      </c>
      <c r="E278" s="33">
        <v>1</v>
      </c>
      <c r="F278" s="132">
        <f>E278*F277</f>
        <v>0.32</v>
      </c>
      <c r="G278" s="24"/>
      <c r="H278" s="24"/>
      <c r="I278" s="24"/>
      <c r="J278" s="24"/>
      <c r="K278" s="24"/>
      <c r="L278" s="24">
        <f>K278*F278</f>
        <v>0</v>
      </c>
      <c r="M278" s="24">
        <f t="shared" si="86"/>
        <v>0</v>
      </c>
    </row>
    <row r="279" spans="1:13" ht="30" x14ac:dyDescent="0.25">
      <c r="A279" s="169">
        <v>4</v>
      </c>
      <c r="B279" s="189" t="s">
        <v>204</v>
      </c>
      <c r="C279" s="104" t="s">
        <v>282</v>
      </c>
      <c r="D279" s="54" t="s">
        <v>34</v>
      </c>
      <c r="E279" s="118"/>
      <c r="F279" s="118">
        <v>0.28999999999999998</v>
      </c>
      <c r="G279" s="47"/>
      <c r="H279" s="47"/>
      <c r="I279" s="47"/>
      <c r="J279" s="47"/>
      <c r="K279" s="47"/>
      <c r="L279" s="47"/>
      <c r="M279" s="47"/>
    </row>
    <row r="280" spans="1:13" x14ac:dyDescent="0.25">
      <c r="A280" s="188"/>
      <c r="B280" s="189"/>
      <c r="C280" s="32" t="s">
        <v>265</v>
      </c>
      <c r="D280" s="143" t="s">
        <v>162</v>
      </c>
      <c r="E280" s="143">
        <v>25.2</v>
      </c>
      <c r="F280" s="144">
        <f>E280*F279</f>
        <v>7.3079999999999989</v>
      </c>
      <c r="G280" s="44"/>
      <c r="H280" s="145"/>
      <c r="I280" s="44"/>
      <c r="J280" s="145">
        <f t="shared" ref="J280:J285" si="89">I280*F280</f>
        <v>0</v>
      </c>
      <c r="K280" s="44"/>
      <c r="L280" s="145"/>
      <c r="M280" s="145">
        <f t="shared" ref="M280:M296" si="90">L280+J280+H280</f>
        <v>0</v>
      </c>
    </row>
    <row r="281" spans="1:13" ht="30.75" customHeight="1" x14ac:dyDescent="0.25">
      <c r="A281" s="188"/>
      <c r="B281" s="189"/>
      <c r="C281" s="32" t="s">
        <v>42</v>
      </c>
      <c r="D281" s="143" t="s">
        <v>278</v>
      </c>
      <c r="E281" s="143">
        <v>0.23</v>
      </c>
      <c r="F281" s="144">
        <f>E281*F279</f>
        <v>6.6699999999999995E-2</v>
      </c>
      <c r="G281" s="44"/>
      <c r="H281" s="145"/>
      <c r="I281" s="44"/>
      <c r="J281" s="145"/>
      <c r="K281" s="44"/>
      <c r="L281" s="145">
        <f t="shared" si="87"/>
        <v>0</v>
      </c>
      <c r="M281" s="145">
        <f t="shared" si="90"/>
        <v>0</v>
      </c>
    </row>
    <row r="282" spans="1:13" x14ac:dyDescent="0.25">
      <c r="A282" s="188"/>
      <c r="B282" s="189"/>
      <c r="C282" s="32" t="s">
        <v>283</v>
      </c>
      <c r="D282" s="143" t="s">
        <v>278</v>
      </c>
      <c r="E282" s="143">
        <v>0.96199999999999997</v>
      </c>
      <c r="F282" s="144">
        <f>E282*F279</f>
        <v>0.27897999999999995</v>
      </c>
      <c r="G282" s="44"/>
      <c r="H282" s="145">
        <f t="shared" ref="H282:H290" si="91">G282*F282</f>
        <v>0</v>
      </c>
      <c r="I282" s="44"/>
      <c r="J282" s="145"/>
      <c r="K282" s="44"/>
      <c r="L282" s="145">
        <f t="shared" si="87"/>
        <v>0</v>
      </c>
      <c r="M282" s="145">
        <f t="shared" si="90"/>
        <v>0</v>
      </c>
    </row>
    <row r="283" spans="1:13" x14ac:dyDescent="0.25">
      <c r="A283" s="170"/>
      <c r="B283" s="189"/>
      <c r="C283" s="32" t="s">
        <v>213</v>
      </c>
      <c r="D283" s="77" t="s">
        <v>29</v>
      </c>
      <c r="E283" s="143">
        <v>2.54</v>
      </c>
      <c r="F283" s="144">
        <f>E283*F279</f>
        <v>0.73659999999999992</v>
      </c>
      <c r="G283" s="44"/>
      <c r="H283" s="145">
        <f t="shared" si="91"/>
        <v>0</v>
      </c>
      <c r="I283" s="44"/>
      <c r="J283" s="145"/>
      <c r="K283" s="44"/>
      <c r="L283" s="145"/>
      <c r="M283" s="145">
        <f t="shared" si="90"/>
        <v>0</v>
      </c>
    </row>
    <row r="284" spans="1:13" ht="32.25" customHeight="1" x14ac:dyDescent="0.25">
      <c r="A284" s="169">
        <v>5</v>
      </c>
      <c r="B284" s="189" t="s">
        <v>205</v>
      </c>
      <c r="C284" s="104" t="s">
        <v>325</v>
      </c>
      <c r="D284" s="54" t="s">
        <v>34</v>
      </c>
      <c r="E284" s="118"/>
      <c r="F284" s="118">
        <v>1.25</v>
      </c>
      <c r="G284" s="47"/>
      <c r="H284" s="47"/>
      <c r="I284" s="47"/>
      <c r="J284" s="47"/>
      <c r="K284" s="47"/>
      <c r="L284" s="47"/>
      <c r="M284" s="47"/>
    </row>
    <row r="285" spans="1:13" x14ac:dyDescent="0.25">
      <c r="A285" s="188"/>
      <c r="B285" s="189"/>
      <c r="C285" s="32" t="s">
        <v>265</v>
      </c>
      <c r="D285" s="143" t="s">
        <v>162</v>
      </c>
      <c r="E285" s="143">
        <f>81.6*0.1</f>
        <v>8.16</v>
      </c>
      <c r="F285" s="144">
        <f>E285*F284</f>
        <v>10.199999999999999</v>
      </c>
      <c r="G285" s="44"/>
      <c r="H285" s="145"/>
      <c r="I285" s="44"/>
      <c r="J285" s="145">
        <f t="shared" si="89"/>
        <v>0</v>
      </c>
      <c r="K285" s="44"/>
      <c r="L285" s="145"/>
      <c r="M285" s="145">
        <f t="shared" si="90"/>
        <v>0</v>
      </c>
    </row>
    <row r="286" spans="1:13" x14ac:dyDescent="0.25">
      <c r="A286" s="188"/>
      <c r="B286" s="189"/>
      <c r="C286" s="32" t="s">
        <v>42</v>
      </c>
      <c r="D286" s="143" t="s">
        <v>278</v>
      </c>
      <c r="E286" s="143">
        <f>26.3*0.1</f>
        <v>2.6300000000000003</v>
      </c>
      <c r="F286" s="144">
        <f>E286*F284</f>
        <v>3.2875000000000005</v>
      </c>
      <c r="G286" s="44"/>
      <c r="H286" s="145"/>
      <c r="I286" s="44"/>
      <c r="J286" s="145"/>
      <c r="K286" s="44"/>
      <c r="L286" s="145">
        <f t="shared" si="87"/>
        <v>0</v>
      </c>
      <c r="M286" s="145">
        <f t="shared" si="90"/>
        <v>0</v>
      </c>
    </row>
    <row r="287" spans="1:13" x14ac:dyDescent="0.25">
      <c r="A287" s="188"/>
      <c r="B287" s="189"/>
      <c r="C287" s="32" t="s">
        <v>287</v>
      </c>
      <c r="D287" s="143" t="s">
        <v>99</v>
      </c>
      <c r="E287" s="143"/>
      <c r="F287" s="144">
        <v>2</v>
      </c>
      <c r="G287" s="44"/>
      <c r="H287" s="145">
        <f t="shared" si="91"/>
        <v>0</v>
      </c>
      <c r="I287" s="44"/>
      <c r="J287" s="145"/>
      <c r="K287" s="44"/>
      <c r="L287" s="145">
        <f t="shared" si="87"/>
        <v>0</v>
      </c>
      <c r="M287" s="145">
        <f t="shared" si="90"/>
        <v>0</v>
      </c>
    </row>
    <row r="288" spans="1:13" ht="27" x14ac:dyDescent="0.25">
      <c r="A288" s="188"/>
      <c r="B288" s="189"/>
      <c r="C288" s="32" t="s">
        <v>249</v>
      </c>
      <c r="D288" s="143" t="s">
        <v>184</v>
      </c>
      <c r="E288" s="143"/>
      <c r="F288" s="144">
        <v>1</v>
      </c>
      <c r="G288" s="44"/>
      <c r="H288" s="145">
        <f t="shared" si="91"/>
        <v>0</v>
      </c>
      <c r="I288" s="44"/>
      <c r="J288" s="145"/>
      <c r="K288" s="44"/>
      <c r="L288" s="145"/>
      <c r="M288" s="145">
        <f t="shared" si="90"/>
        <v>0</v>
      </c>
    </row>
    <row r="289" spans="1:13" x14ac:dyDescent="0.25">
      <c r="A289" s="188"/>
      <c r="B289" s="189"/>
      <c r="C289" s="32" t="s">
        <v>284</v>
      </c>
      <c r="D289" s="143" t="s">
        <v>281</v>
      </c>
      <c r="E289" s="143">
        <f>0.04*0.1</f>
        <v>4.0000000000000001E-3</v>
      </c>
      <c r="F289" s="144">
        <f>E289*F284</f>
        <v>5.0000000000000001E-3</v>
      </c>
      <c r="G289" s="44"/>
      <c r="H289" s="145">
        <f t="shared" si="91"/>
        <v>0</v>
      </c>
      <c r="I289" s="44"/>
      <c r="J289" s="145"/>
      <c r="K289" s="44"/>
      <c r="L289" s="145"/>
      <c r="M289" s="145">
        <f t="shared" si="90"/>
        <v>0</v>
      </c>
    </row>
    <row r="290" spans="1:13" x14ac:dyDescent="0.25">
      <c r="A290" s="170"/>
      <c r="B290" s="189"/>
      <c r="C290" s="32" t="s">
        <v>213</v>
      </c>
      <c r="D290" s="77" t="s">
        <v>29</v>
      </c>
      <c r="E290" s="143">
        <f>42.8*0.1</f>
        <v>4.28</v>
      </c>
      <c r="F290" s="144">
        <f>E290*F284</f>
        <v>5.3500000000000005</v>
      </c>
      <c r="G290" s="44"/>
      <c r="H290" s="145">
        <f t="shared" si="91"/>
        <v>0</v>
      </c>
      <c r="I290" s="44"/>
      <c r="J290" s="145"/>
      <c r="K290" s="44"/>
      <c r="L290" s="145"/>
      <c r="M290" s="145">
        <f t="shared" si="90"/>
        <v>0</v>
      </c>
    </row>
    <row r="291" spans="1:13" ht="30" x14ac:dyDescent="0.25">
      <c r="A291" s="171">
        <v>6</v>
      </c>
      <c r="B291" s="191" t="s">
        <v>206</v>
      </c>
      <c r="C291" s="104" t="s">
        <v>319</v>
      </c>
      <c r="D291" s="54" t="s">
        <v>167</v>
      </c>
      <c r="E291" s="118"/>
      <c r="F291" s="118">
        <v>20</v>
      </c>
      <c r="G291" s="47"/>
      <c r="H291" s="47"/>
      <c r="I291" s="47"/>
      <c r="J291" s="47"/>
      <c r="K291" s="47"/>
      <c r="L291" s="47"/>
      <c r="M291" s="47">
        <f t="shared" si="90"/>
        <v>0</v>
      </c>
    </row>
    <row r="292" spans="1:13" ht="15.75" x14ac:dyDescent="0.25">
      <c r="A292" s="190"/>
      <c r="B292" s="192"/>
      <c r="C292" s="32" t="s">
        <v>209</v>
      </c>
      <c r="D292" s="33" t="s">
        <v>162</v>
      </c>
      <c r="E292" s="33">
        <f>181*0.001</f>
        <v>0.18099999999999999</v>
      </c>
      <c r="F292" s="132">
        <f>F291*E292</f>
        <v>3.62</v>
      </c>
      <c r="G292" s="24"/>
      <c r="H292" s="24"/>
      <c r="I292" s="24"/>
      <c r="J292" s="24">
        <f t="shared" ref="J292" si="92">F292*I292</f>
        <v>0</v>
      </c>
      <c r="K292" s="24"/>
      <c r="L292" s="24"/>
      <c r="M292" s="145">
        <f t="shared" si="90"/>
        <v>0</v>
      </c>
    </row>
    <row r="293" spans="1:13" ht="15.75" x14ac:dyDescent="0.25">
      <c r="A293" s="190"/>
      <c r="B293" s="192"/>
      <c r="C293" s="32" t="s">
        <v>210</v>
      </c>
      <c r="D293" s="33" t="s">
        <v>211</v>
      </c>
      <c r="E293" s="33">
        <f>92.1*0.001</f>
        <v>9.2100000000000001E-2</v>
      </c>
      <c r="F293" s="132">
        <f>F291*E293</f>
        <v>1.8420000000000001</v>
      </c>
      <c r="G293" s="24"/>
      <c r="H293" s="24"/>
      <c r="I293" s="24"/>
      <c r="J293" s="24"/>
      <c r="K293" s="24"/>
      <c r="L293" s="24">
        <f t="shared" ref="L293" si="93">F293*K293</f>
        <v>0</v>
      </c>
      <c r="M293" s="145">
        <f t="shared" si="90"/>
        <v>0</v>
      </c>
    </row>
    <row r="294" spans="1:13" ht="15.75" x14ac:dyDescent="0.25">
      <c r="A294" s="190"/>
      <c r="B294" s="192"/>
      <c r="C294" s="32" t="s">
        <v>212</v>
      </c>
      <c r="D294" s="33"/>
      <c r="E294" s="33"/>
      <c r="F294" s="132"/>
      <c r="G294" s="24"/>
      <c r="H294" s="24"/>
      <c r="I294" s="24"/>
      <c r="J294" s="24"/>
      <c r="K294" s="24"/>
      <c r="L294" s="24"/>
      <c r="M294" s="145">
        <f t="shared" si="90"/>
        <v>0</v>
      </c>
    </row>
    <row r="295" spans="1:13" ht="15.75" x14ac:dyDescent="0.25">
      <c r="A295" s="190"/>
      <c r="B295" s="192"/>
      <c r="C295" s="32" t="s">
        <v>289</v>
      </c>
      <c r="D295" s="33" t="s">
        <v>180</v>
      </c>
      <c r="E295" s="33">
        <f>1010*0.001</f>
        <v>1.01</v>
      </c>
      <c r="F295" s="132">
        <f>E295*F291</f>
        <v>20.2</v>
      </c>
      <c r="G295" s="24"/>
      <c r="H295" s="24">
        <f t="shared" ref="H295:H296" si="94">F295*G295</f>
        <v>0</v>
      </c>
      <c r="I295" s="24"/>
      <c r="J295" s="146"/>
      <c r="K295" s="24"/>
      <c r="L295" s="24"/>
      <c r="M295" s="145">
        <f t="shared" si="90"/>
        <v>0</v>
      </c>
    </row>
    <row r="296" spans="1:13" ht="30.75" customHeight="1" x14ac:dyDescent="0.25">
      <c r="A296" s="172"/>
      <c r="B296" s="193"/>
      <c r="C296" s="32" t="s">
        <v>213</v>
      </c>
      <c r="D296" s="33" t="s">
        <v>29</v>
      </c>
      <c r="E296" s="33">
        <f>5.16*0.001</f>
        <v>5.1600000000000005E-3</v>
      </c>
      <c r="F296" s="132">
        <f>F291*E296</f>
        <v>0.10320000000000001</v>
      </c>
      <c r="G296" s="24"/>
      <c r="H296" s="24">
        <f t="shared" si="94"/>
        <v>0</v>
      </c>
      <c r="I296" s="24"/>
      <c r="J296" s="24"/>
      <c r="K296" s="24"/>
      <c r="L296" s="24"/>
      <c r="M296" s="145">
        <f t="shared" si="90"/>
        <v>0</v>
      </c>
    </row>
    <row r="297" spans="1:13" ht="18" x14ac:dyDescent="0.25">
      <c r="A297" s="147"/>
      <c r="B297" s="147"/>
      <c r="C297" s="148" t="s">
        <v>21</v>
      </c>
      <c r="D297" s="138"/>
      <c r="E297" s="138"/>
      <c r="F297" s="138"/>
      <c r="G297" s="138"/>
      <c r="H297" s="139">
        <f>SUM(H189:H296)</f>
        <v>0</v>
      </c>
      <c r="I297" s="139"/>
      <c r="J297" s="139">
        <f>SUM(J189:J296)</f>
        <v>0</v>
      </c>
      <c r="K297" s="139"/>
      <c r="L297" s="139">
        <f>SUM(L189:L296)</f>
        <v>0</v>
      </c>
      <c r="M297" s="139">
        <f>SUM(M189:M296)</f>
        <v>0</v>
      </c>
    </row>
    <row r="298" spans="1:13" ht="51" customHeight="1" x14ac:dyDescent="0.25">
      <c r="A298" s="147"/>
      <c r="B298" s="147"/>
      <c r="C298" s="148" t="s">
        <v>207</v>
      </c>
      <c r="D298" s="149" t="s">
        <v>330</v>
      </c>
      <c r="E298" s="149"/>
      <c r="F298" s="138"/>
      <c r="G298" s="138"/>
      <c r="H298" s="138"/>
      <c r="I298" s="138"/>
      <c r="J298" s="138"/>
      <c r="K298" s="128"/>
      <c r="L298" s="20"/>
      <c r="M298" s="20">
        <v>0</v>
      </c>
    </row>
    <row r="299" spans="1:13" ht="18" x14ac:dyDescent="0.25">
      <c r="A299" s="147"/>
      <c r="B299" s="147"/>
      <c r="C299" s="148" t="s">
        <v>21</v>
      </c>
      <c r="D299" s="138"/>
      <c r="E299" s="138"/>
      <c r="F299" s="138"/>
      <c r="G299" s="138"/>
      <c r="H299" s="138"/>
      <c r="I299" s="138"/>
      <c r="J299" s="138"/>
      <c r="K299" s="129"/>
      <c r="L299" s="20"/>
      <c r="M299" s="20">
        <f>SUM(M297:M298)</f>
        <v>0</v>
      </c>
    </row>
    <row r="300" spans="1:13" ht="18" x14ac:dyDescent="0.25">
      <c r="A300" s="147"/>
      <c r="B300" s="147"/>
      <c r="C300" s="148" t="s">
        <v>208</v>
      </c>
      <c r="D300" s="149" t="s">
        <v>330</v>
      </c>
      <c r="E300" s="149"/>
      <c r="F300" s="138"/>
      <c r="G300" s="138"/>
      <c r="H300" s="138"/>
      <c r="I300" s="138"/>
      <c r="J300" s="138"/>
      <c r="K300" s="128"/>
      <c r="L300" s="20"/>
      <c r="M300" s="20">
        <v>0</v>
      </c>
    </row>
    <row r="301" spans="1:13" ht="18" x14ac:dyDescent="0.25">
      <c r="A301" s="147"/>
      <c r="B301" s="147"/>
      <c r="C301" s="148" t="s">
        <v>21</v>
      </c>
      <c r="D301" s="138"/>
      <c r="E301" s="138"/>
      <c r="F301" s="138"/>
      <c r="G301" s="138"/>
      <c r="H301" s="138"/>
      <c r="I301" s="138"/>
      <c r="J301" s="138"/>
      <c r="K301" s="129"/>
      <c r="L301" s="20"/>
      <c r="M301" s="20">
        <f>SUM(M299:M300)</f>
        <v>0</v>
      </c>
    </row>
    <row r="302" spans="1:13" ht="15.75" x14ac:dyDescent="0.25">
      <c r="A302" s="54"/>
      <c r="B302" s="184" t="s">
        <v>224</v>
      </c>
      <c r="C302" s="185"/>
      <c r="D302" s="185"/>
      <c r="E302" s="185"/>
      <c r="F302" s="186"/>
      <c r="G302" s="47"/>
      <c r="H302" s="71"/>
      <c r="I302" s="71"/>
      <c r="J302" s="71"/>
      <c r="K302" s="71"/>
      <c r="L302" s="71"/>
      <c r="M302" s="71"/>
    </row>
    <row r="303" spans="1:13" ht="30" customHeight="1" x14ac:dyDescent="0.25">
      <c r="A303" s="187">
        <v>3</v>
      </c>
      <c r="B303" s="42" t="s">
        <v>263</v>
      </c>
      <c r="C303" s="104" t="s">
        <v>264</v>
      </c>
      <c r="D303" s="54" t="s">
        <v>34</v>
      </c>
      <c r="E303" s="118"/>
      <c r="F303" s="118">
        <v>1.1499999999999999</v>
      </c>
      <c r="G303" s="47"/>
      <c r="H303" s="47"/>
      <c r="I303" s="47"/>
      <c r="J303" s="47"/>
      <c r="K303" s="47"/>
      <c r="L303" s="47"/>
      <c r="M303" s="47"/>
    </row>
    <row r="304" spans="1:13" x14ac:dyDescent="0.25">
      <c r="A304" s="187"/>
      <c r="B304" s="42"/>
      <c r="C304" s="86" t="s">
        <v>265</v>
      </c>
      <c r="D304" s="77" t="s">
        <v>162</v>
      </c>
      <c r="E304" s="120">
        <f>206*0.8*0.01</f>
        <v>1.6480000000000001</v>
      </c>
      <c r="F304" s="120">
        <f>E304*F303</f>
        <v>1.8952</v>
      </c>
      <c r="G304" s="47"/>
      <c r="H304" s="47"/>
      <c r="I304" s="47"/>
      <c r="J304" s="47">
        <f t="shared" ref="J304" si="95">I304*F304</f>
        <v>0</v>
      </c>
      <c r="K304" s="47"/>
      <c r="L304" s="47"/>
      <c r="M304" s="47">
        <f t="shared" ref="M304" si="96">L304+J304+H304</f>
        <v>0</v>
      </c>
    </row>
    <row r="305" spans="1:13" ht="45" x14ac:dyDescent="0.25">
      <c r="A305" s="179">
        <v>1</v>
      </c>
      <c r="B305" s="38" t="s">
        <v>225</v>
      </c>
      <c r="C305" s="104" t="s">
        <v>266</v>
      </c>
      <c r="D305" s="54" t="s">
        <v>34</v>
      </c>
      <c r="E305" s="118"/>
      <c r="F305" s="118">
        <v>3.34</v>
      </c>
      <c r="G305" s="47"/>
      <c r="H305" s="47"/>
      <c r="I305" s="47"/>
      <c r="J305" s="47"/>
      <c r="K305" s="47"/>
      <c r="L305" s="47"/>
      <c r="M305" s="47"/>
    </row>
    <row r="306" spans="1:13" x14ac:dyDescent="0.25">
      <c r="A306" s="180"/>
      <c r="B306" s="39"/>
      <c r="C306" s="86" t="s">
        <v>161</v>
      </c>
      <c r="D306" s="77" t="s">
        <v>162</v>
      </c>
      <c r="E306" s="120">
        <v>0.89</v>
      </c>
      <c r="F306" s="120">
        <f>E306*F305</f>
        <v>2.9725999999999999</v>
      </c>
      <c r="G306" s="47"/>
      <c r="H306" s="47"/>
      <c r="I306" s="47"/>
      <c r="J306" s="47">
        <f t="shared" ref="J306" si="97">I306*F306</f>
        <v>0</v>
      </c>
      <c r="K306" s="47"/>
      <c r="L306" s="47"/>
      <c r="M306" s="47">
        <f t="shared" ref="M306:M309" si="98">L306+J306+H306</f>
        <v>0</v>
      </c>
    </row>
    <row r="307" spans="1:13" x14ac:dyDescent="0.25">
      <c r="A307" s="180"/>
      <c r="B307" s="39"/>
      <c r="C307" s="86" t="s">
        <v>226</v>
      </c>
      <c r="D307" s="77" t="s">
        <v>29</v>
      </c>
      <c r="E307" s="120">
        <v>0.37</v>
      </c>
      <c r="F307" s="120">
        <f>E307*F305</f>
        <v>1.2358</v>
      </c>
      <c r="G307" s="47"/>
      <c r="H307" s="47"/>
      <c r="I307" s="47"/>
      <c r="J307" s="47"/>
      <c r="K307" s="47"/>
      <c r="L307" s="47">
        <f t="shared" ref="L307" si="99">K307*F307</f>
        <v>0</v>
      </c>
      <c r="M307" s="47">
        <f t="shared" si="98"/>
        <v>0</v>
      </c>
    </row>
    <row r="308" spans="1:13" ht="27" x14ac:dyDescent="0.25">
      <c r="A308" s="180"/>
      <c r="B308" s="28" t="s">
        <v>267</v>
      </c>
      <c r="C308" s="86" t="s">
        <v>268</v>
      </c>
      <c r="D308" s="77" t="s">
        <v>34</v>
      </c>
      <c r="E308" s="120">
        <v>1.1499999999999999</v>
      </c>
      <c r="F308" s="120">
        <f>E308*F305</f>
        <v>3.8409999999999997</v>
      </c>
      <c r="G308" s="47"/>
      <c r="H308" s="47">
        <f t="shared" ref="H308:H309" si="100">G308*F308</f>
        <v>0</v>
      </c>
      <c r="I308" s="47"/>
      <c r="J308" s="47"/>
      <c r="K308" s="47"/>
      <c r="L308" s="47"/>
      <c r="M308" s="47">
        <f t="shared" si="98"/>
        <v>0</v>
      </c>
    </row>
    <row r="309" spans="1:13" x14ac:dyDescent="0.25">
      <c r="A309" s="181"/>
      <c r="B309" s="40"/>
      <c r="C309" s="86" t="s">
        <v>227</v>
      </c>
      <c r="D309" s="77" t="s">
        <v>29</v>
      </c>
      <c r="E309" s="120">
        <v>0.02</v>
      </c>
      <c r="F309" s="120">
        <f>E309*F305</f>
        <v>6.6799999999999998E-2</v>
      </c>
      <c r="G309" s="47"/>
      <c r="H309" s="47">
        <f t="shared" si="100"/>
        <v>0</v>
      </c>
      <c r="I309" s="47"/>
      <c r="J309" s="47"/>
      <c r="K309" s="47"/>
      <c r="L309" s="47"/>
      <c r="M309" s="47">
        <f t="shared" si="98"/>
        <v>0</v>
      </c>
    </row>
    <row r="310" spans="1:13" ht="33.75" customHeight="1" x14ac:dyDescent="0.25">
      <c r="A310" s="175">
        <v>2</v>
      </c>
      <c r="B310" s="41" t="s">
        <v>228</v>
      </c>
      <c r="C310" s="104" t="s">
        <v>269</v>
      </c>
      <c r="D310" s="54" t="s">
        <v>34</v>
      </c>
      <c r="E310" s="118"/>
      <c r="F310" s="118">
        <v>3.34</v>
      </c>
      <c r="G310" s="47"/>
      <c r="H310" s="47"/>
      <c r="I310" s="47"/>
      <c r="J310" s="47"/>
      <c r="K310" s="47"/>
      <c r="L310" s="47"/>
      <c r="M310" s="47"/>
    </row>
    <row r="311" spans="1:13" x14ac:dyDescent="0.25">
      <c r="A311" s="175"/>
      <c r="B311" s="41"/>
      <c r="C311" s="86" t="s">
        <v>161</v>
      </c>
      <c r="D311" s="77" t="s">
        <v>162</v>
      </c>
      <c r="E311" s="120">
        <f>666*0.01</f>
        <v>6.66</v>
      </c>
      <c r="F311" s="120">
        <f>E311*F310</f>
        <v>22.244399999999999</v>
      </c>
      <c r="G311" s="47"/>
      <c r="H311" s="47"/>
      <c r="I311" s="47"/>
      <c r="J311" s="47">
        <f t="shared" ref="J311" si="101">I311*F311</f>
        <v>0</v>
      </c>
      <c r="K311" s="47"/>
      <c r="L311" s="47"/>
      <c r="M311" s="47">
        <f t="shared" ref="M311:M316" si="102">L311+J311+H311</f>
        <v>0</v>
      </c>
    </row>
    <row r="312" spans="1:13" x14ac:dyDescent="0.25">
      <c r="A312" s="175"/>
      <c r="B312" s="41"/>
      <c r="C312" s="86" t="s">
        <v>28</v>
      </c>
      <c r="D312" s="77" t="s">
        <v>29</v>
      </c>
      <c r="E312" s="120">
        <f>59*0.01</f>
        <v>0.59</v>
      </c>
      <c r="F312" s="120">
        <f>E312*F310</f>
        <v>1.9705999999999999</v>
      </c>
      <c r="G312" s="47"/>
      <c r="H312" s="47"/>
      <c r="I312" s="47"/>
      <c r="J312" s="47"/>
      <c r="K312" s="47"/>
      <c r="L312" s="47">
        <f t="shared" ref="L312" si="103">K312*F312</f>
        <v>0</v>
      </c>
      <c r="M312" s="47">
        <f t="shared" si="102"/>
        <v>0</v>
      </c>
    </row>
    <row r="313" spans="1:13" ht="17.25" x14ac:dyDescent="0.25">
      <c r="A313" s="175"/>
      <c r="B313" s="28" t="s">
        <v>270</v>
      </c>
      <c r="C313" s="86" t="s">
        <v>271</v>
      </c>
      <c r="D313" s="77" t="s">
        <v>34</v>
      </c>
      <c r="E313" s="120">
        <f>101.5*0.01</f>
        <v>1.0150000000000001</v>
      </c>
      <c r="F313" s="120">
        <f>E313*F310</f>
        <v>3.3901000000000003</v>
      </c>
      <c r="G313" s="47"/>
      <c r="H313" s="47">
        <f t="shared" ref="H313:H316" si="104">G313*F313</f>
        <v>0</v>
      </c>
      <c r="I313" s="47"/>
      <c r="J313" s="47"/>
      <c r="K313" s="47"/>
      <c r="L313" s="47"/>
      <c r="M313" s="47">
        <f t="shared" si="102"/>
        <v>0</v>
      </c>
    </row>
    <row r="314" spans="1:13" ht="17.25" x14ac:dyDescent="0.25">
      <c r="A314" s="175"/>
      <c r="B314" s="28" t="s">
        <v>272</v>
      </c>
      <c r="C314" s="86" t="s">
        <v>273</v>
      </c>
      <c r="D314" s="77" t="s">
        <v>41</v>
      </c>
      <c r="E314" s="120">
        <f>160*0.01</f>
        <v>1.6</v>
      </c>
      <c r="F314" s="120">
        <f>E314*F310</f>
        <v>5.3440000000000003</v>
      </c>
      <c r="G314" s="47"/>
      <c r="H314" s="47">
        <f t="shared" si="104"/>
        <v>0</v>
      </c>
      <c r="I314" s="47"/>
      <c r="J314" s="47"/>
      <c r="K314" s="47"/>
      <c r="L314" s="47"/>
      <c r="M314" s="47">
        <f t="shared" si="102"/>
        <v>0</v>
      </c>
    </row>
    <row r="315" spans="1:13" ht="17.25" x14ac:dyDescent="0.25">
      <c r="A315" s="175"/>
      <c r="B315" s="28" t="s">
        <v>274</v>
      </c>
      <c r="C315" s="86" t="s">
        <v>275</v>
      </c>
      <c r="D315" s="77" t="s">
        <v>34</v>
      </c>
      <c r="E315" s="120">
        <f>1.83*0.01</f>
        <v>1.83E-2</v>
      </c>
      <c r="F315" s="120">
        <f>E315*F310</f>
        <v>6.1121999999999996E-2</v>
      </c>
      <c r="G315" s="47"/>
      <c r="H315" s="47">
        <f t="shared" si="104"/>
        <v>0</v>
      </c>
      <c r="I315" s="47"/>
      <c r="J315" s="47"/>
      <c r="K315" s="47"/>
      <c r="L315" s="47"/>
      <c r="M315" s="47">
        <f t="shared" si="102"/>
        <v>0</v>
      </c>
    </row>
    <row r="316" spans="1:13" x14ac:dyDescent="0.25">
      <c r="A316" s="175"/>
      <c r="B316" s="41"/>
      <c r="C316" s="86" t="s">
        <v>159</v>
      </c>
      <c r="D316" s="77" t="s">
        <v>29</v>
      </c>
      <c r="E316" s="120">
        <f>40*0.01</f>
        <v>0.4</v>
      </c>
      <c r="F316" s="120">
        <f>E316*F310</f>
        <v>1.3360000000000001</v>
      </c>
      <c r="G316" s="47"/>
      <c r="H316" s="47">
        <f t="shared" si="104"/>
        <v>0</v>
      </c>
      <c r="I316" s="47"/>
      <c r="J316" s="47"/>
      <c r="K316" s="47"/>
      <c r="L316" s="47"/>
      <c r="M316" s="47">
        <f t="shared" si="102"/>
        <v>0</v>
      </c>
    </row>
    <row r="317" spans="1:13" ht="51" customHeight="1" x14ac:dyDescent="0.25">
      <c r="A317" s="182">
        <v>4</v>
      </c>
      <c r="B317" s="183" t="s">
        <v>201</v>
      </c>
      <c r="C317" s="104" t="s">
        <v>314</v>
      </c>
      <c r="D317" s="54" t="s">
        <v>34</v>
      </c>
      <c r="E317" s="118"/>
      <c r="F317" s="118">
        <v>8.8000000000000007</v>
      </c>
      <c r="G317" s="47"/>
      <c r="H317" s="47"/>
      <c r="I317" s="47"/>
      <c r="J317" s="47"/>
      <c r="K317" s="47"/>
      <c r="L317" s="47"/>
      <c r="M317" s="47"/>
    </row>
    <row r="318" spans="1:13" x14ac:dyDescent="0.25">
      <c r="A318" s="182"/>
      <c r="B318" s="183"/>
      <c r="C318" s="86" t="s">
        <v>265</v>
      </c>
      <c r="D318" s="77" t="s">
        <v>162</v>
      </c>
      <c r="E318" s="120">
        <v>0.02</v>
      </c>
      <c r="F318" s="120">
        <v>0.17599999999999999</v>
      </c>
      <c r="G318" s="47"/>
      <c r="H318" s="47"/>
      <c r="I318" s="47"/>
      <c r="J318" s="47">
        <f>I318*F318</f>
        <v>0</v>
      </c>
      <c r="K318" s="47"/>
      <c r="L318" s="47"/>
      <c r="M318" s="47">
        <f>L318+J318+H318</f>
        <v>0</v>
      </c>
    </row>
    <row r="319" spans="1:13" x14ac:dyDescent="0.25">
      <c r="A319" s="182"/>
      <c r="B319" s="183"/>
      <c r="C319" s="86" t="s">
        <v>277</v>
      </c>
      <c r="D319" s="77" t="s">
        <v>278</v>
      </c>
      <c r="E319" s="120">
        <v>4.48E-2</v>
      </c>
      <c r="F319" s="120">
        <v>0.39400000000000002</v>
      </c>
      <c r="G319" s="47"/>
      <c r="H319" s="47"/>
      <c r="I319" s="47"/>
      <c r="J319" s="47"/>
      <c r="K319" s="47"/>
      <c r="L319" s="47">
        <f>K319*F319</f>
        <v>0</v>
      </c>
      <c r="M319" s="47">
        <f>L319+J319+H319</f>
        <v>0</v>
      </c>
    </row>
    <row r="320" spans="1:13" ht="33.75" customHeight="1" x14ac:dyDescent="0.25">
      <c r="A320" s="182"/>
      <c r="B320" s="183"/>
      <c r="C320" s="86" t="s">
        <v>42</v>
      </c>
      <c r="D320" s="77" t="s">
        <v>29</v>
      </c>
      <c r="E320" s="120">
        <v>2.0999999999999999E-3</v>
      </c>
      <c r="F320" s="120">
        <v>1.7999999999999999E-2</v>
      </c>
      <c r="G320" s="47"/>
      <c r="H320" s="47"/>
      <c r="I320" s="47"/>
      <c r="J320" s="47"/>
      <c r="K320" s="47"/>
      <c r="L320" s="47">
        <f>K320*F320</f>
        <v>0</v>
      </c>
      <c r="M320" s="47">
        <f>L320+J320+H320</f>
        <v>0</v>
      </c>
    </row>
    <row r="321" spans="1:13" ht="17.25" x14ac:dyDescent="0.25">
      <c r="A321" s="182"/>
      <c r="B321" s="183"/>
      <c r="C321" s="86" t="s">
        <v>279</v>
      </c>
      <c r="D321" s="77" t="s">
        <v>34</v>
      </c>
      <c r="E321" s="120">
        <v>5.0000000000000002E-5</v>
      </c>
      <c r="F321" s="120">
        <v>0</v>
      </c>
      <c r="G321" s="47"/>
      <c r="H321" s="47">
        <f>G321*F321</f>
        <v>0</v>
      </c>
      <c r="I321" s="47"/>
      <c r="J321" s="47"/>
      <c r="K321" s="47"/>
      <c r="L321" s="47"/>
      <c r="M321" s="47">
        <f>L321+J321+H321</f>
        <v>0</v>
      </c>
    </row>
    <row r="322" spans="1:13" ht="17.25" x14ac:dyDescent="0.25">
      <c r="A322" s="169">
        <v>5</v>
      </c>
      <c r="B322" s="171" t="s">
        <v>202</v>
      </c>
      <c r="C322" s="104" t="s">
        <v>280</v>
      </c>
      <c r="D322" s="54" t="s">
        <v>34</v>
      </c>
      <c r="E322" s="118"/>
      <c r="F322" s="118">
        <v>0.44</v>
      </c>
      <c r="G322" s="47"/>
      <c r="H322" s="47"/>
      <c r="I322" s="47"/>
      <c r="J322" s="47"/>
      <c r="K322" s="47"/>
      <c r="L322" s="47"/>
      <c r="M322" s="47"/>
    </row>
    <row r="323" spans="1:13" x14ac:dyDescent="0.25">
      <c r="A323" s="170"/>
      <c r="B323" s="172"/>
      <c r="C323" s="86" t="s">
        <v>265</v>
      </c>
      <c r="D323" s="77" t="s">
        <v>162</v>
      </c>
      <c r="E323" s="120">
        <v>3.37</v>
      </c>
      <c r="F323" s="120">
        <v>1.4830000000000001</v>
      </c>
      <c r="G323" s="47"/>
      <c r="H323" s="47"/>
      <c r="I323" s="47"/>
      <c r="J323" s="47">
        <f>I323*F323</f>
        <v>0</v>
      </c>
      <c r="K323" s="47"/>
      <c r="L323" s="47"/>
      <c r="M323" s="47">
        <f>L323+J323+H323</f>
        <v>0</v>
      </c>
    </row>
    <row r="324" spans="1:13" ht="45" x14ac:dyDescent="0.25">
      <c r="A324" s="175">
        <v>6</v>
      </c>
      <c r="B324" s="176" t="s">
        <v>310</v>
      </c>
      <c r="C324" s="104" t="s">
        <v>315</v>
      </c>
      <c r="D324" s="54" t="s">
        <v>34</v>
      </c>
      <c r="E324" s="118"/>
      <c r="F324" s="118">
        <v>3.34</v>
      </c>
      <c r="G324" s="47"/>
      <c r="H324" s="47"/>
      <c r="I324" s="47"/>
      <c r="J324" s="47"/>
      <c r="K324" s="47"/>
      <c r="L324" s="47"/>
      <c r="M324" s="47"/>
    </row>
    <row r="325" spans="1:13" x14ac:dyDescent="0.25">
      <c r="A325" s="175"/>
      <c r="B325" s="177"/>
      <c r="C325" s="86" t="s">
        <v>161</v>
      </c>
      <c r="D325" s="77" t="s">
        <v>162</v>
      </c>
      <c r="E325" s="120">
        <v>10.8</v>
      </c>
      <c r="F325" s="120">
        <v>36.07</v>
      </c>
      <c r="G325" s="47"/>
      <c r="H325" s="47"/>
      <c r="I325" s="47"/>
      <c r="J325" s="47">
        <f>I325*F325</f>
        <v>0</v>
      </c>
      <c r="K325" s="47"/>
      <c r="L325" s="47"/>
      <c r="M325" s="47">
        <f t="shared" ref="M325:M331" si="105">L325+J325+H325</f>
        <v>0</v>
      </c>
    </row>
    <row r="326" spans="1:13" x14ac:dyDescent="0.25">
      <c r="A326" s="175"/>
      <c r="B326" s="178"/>
      <c r="C326" s="86" t="s">
        <v>28</v>
      </c>
      <c r="D326" s="77" t="s">
        <v>29</v>
      </c>
      <c r="E326" s="120">
        <v>1.47</v>
      </c>
      <c r="F326" s="120">
        <v>4.91</v>
      </c>
      <c r="G326" s="47"/>
      <c r="H326" s="47"/>
      <c r="I326" s="47"/>
      <c r="J326" s="47"/>
      <c r="K326" s="47"/>
      <c r="L326" s="47">
        <f>K326*F326</f>
        <v>0</v>
      </c>
      <c r="M326" s="47">
        <f t="shared" si="105"/>
        <v>0</v>
      </c>
    </row>
    <row r="327" spans="1:13" ht="30" x14ac:dyDescent="0.25">
      <c r="A327" s="175"/>
      <c r="B327" s="28" t="s">
        <v>311</v>
      </c>
      <c r="C327" s="108" t="s">
        <v>316</v>
      </c>
      <c r="D327" s="77" t="s">
        <v>99</v>
      </c>
      <c r="E327" s="120"/>
      <c r="F327" s="120">
        <v>1</v>
      </c>
      <c r="G327" s="47"/>
      <c r="H327" s="47">
        <f>G327*F327</f>
        <v>0</v>
      </c>
      <c r="I327" s="47"/>
      <c r="J327" s="47"/>
      <c r="K327" s="47"/>
      <c r="L327" s="47"/>
      <c r="M327" s="47">
        <f t="shared" si="105"/>
        <v>0</v>
      </c>
    </row>
    <row r="328" spans="1:13" x14ac:dyDescent="0.25">
      <c r="A328" s="175"/>
      <c r="B328" s="28" t="s">
        <v>312</v>
      </c>
      <c r="C328" s="86" t="s">
        <v>317</v>
      </c>
      <c r="D328" s="77" t="s">
        <v>318</v>
      </c>
      <c r="E328" s="120">
        <v>4.7E-2</v>
      </c>
      <c r="F328" s="120">
        <v>0.16</v>
      </c>
      <c r="G328" s="47"/>
      <c r="H328" s="47">
        <f>G328*F328</f>
        <v>0</v>
      </c>
      <c r="I328" s="47"/>
      <c r="J328" s="47"/>
      <c r="K328" s="47"/>
      <c r="L328" s="47"/>
      <c r="M328" s="47">
        <f t="shared" si="105"/>
        <v>0</v>
      </c>
    </row>
    <row r="329" spans="1:13" ht="17.25" x14ac:dyDescent="0.25">
      <c r="A329" s="175"/>
      <c r="B329" s="28" t="s">
        <v>313</v>
      </c>
      <c r="C329" s="86" t="s">
        <v>271</v>
      </c>
      <c r="D329" s="77" t="s">
        <v>34</v>
      </c>
      <c r="E329" s="120">
        <v>0.90200000000000002</v>
      </c>
      <c r="F329" s="120">
        <v>3.01</v>
      </c>
      <c r="G329" s="47"/>
      <c r="H329" s="47">
        <f>G329*F329</f>
        <v>0</v>
      </c>
      <c r="I329" s="47"/>
      <c r="J329" s="47"/>
      <c r="K329" s="47"/>
      <c r="L329" s="47"/>
      <c r="M329" s="47">
        <f t="shared" si="105"/>
        <v>0</v>
      </c>
    </row>
    <row r="330" spans="1:13" ht="17.25" x14ac:dyDescent="0.25">
      <c r="A330" s="175"/>
      <c r="B330" s="28" t="s">
        <v>145</v>
      </c>
      <c r="C330" s="86" t="s">
        <v>275</v>
      </c>
      <c r="D330" s="77" t="s">
        <v>34</v>
      </c>
      <c r="E330" s="120">
        <v>0.09</v>
      </c>
      <c r="F330" s="120">
        <v>0.28999999999999998</v>
      </c>
      <c r="G330" s="47"/>
      <c r="H330" s="47">
        <f>G330*F330</f>
        <v>0</v>
      </c>
      <c r="I330" s="47"/>
      <c r="J330" s="47"/>
      <c r="K330" s="47"/>
      <c r="L330" s="47"/>
      <c r="M330" s="47">
        <f t="shared" si="105"/>
        <v>0</v>
      </c>
    </row>
    <row r="331" spans="1:13" x14ac:dyDescent="0.25">
      <c r="A331" s="175"/>
      <c r="B331" s="41"/>
      <c r="C331" s="86" t="s">
        <v>159</v>
      </c>
      <c r="D331" s="77" t="s">
        <v>29</v>
      </c>
      <c r="E331" s="120">
        <v>1.99</v>
      </c>
      <c r="F331" s="120">
        <v>6.65</v>
      </c>
      <c r="G331" s="47"/>
      <c r="H331" s="47">
        <f>G331*F331</f>
        <v>0</v>
      </c>
      <c r="I331" s="47"/>
      <c r="J331" s="47"/>
      <c r="K331" s="47"/>
      <c r="L331" s="47"/>
      <c r="M331" s="47">
        <f t="shared" si="105"/>
        <v>0</v>
      </c>
    </row>
    <row r="332" spans="1:13" ht="18" x14ac:dyDescent="0.25">
      <c r="A332" s="147"/>
      <c r="B332" s="147"/>
      <c r="C332" s="148" t="s">
        <v>21</v>
      </c>
      <c r="D332" s="138"/>
      <c r="E332" s="138"/>
      <c r="F332" s="138"/>
      <c r="G332" s="138"/>
      <c r="H332" s="139">
        <f>SUM(H303:H331)</f>
        <v>0</v>
      </c>
      <c r="I332" s="139"/>
      <c r="J332" s="139">
        <f t="shared" ref="J332:M332" si="106">SUM(J303:J331)</f>
        <v>0</v>
      </c>
      <c r="K332" s="139"/>
      <c r="L332" s="139">
        <f t="shared" si="106"/>
        <v>0</v>
      </c>
      <c r="M332" s="139">
        <f t="shared" si="106"/>
        <v>0</v>
      </c>
    </row>
    <row r="333" spans="1:13" ht="18" x14ac:dyDescent="0.25">
      <c r="A333" s="147"/>
      <c r="B333" s="147"/>
      <c r="C333" s="148" t="s">
        <v>207</v>
      </c>
      <c r="D333" s="149" t="s">
        <v>330</v>
      </c>
      <c r="E333" s="149"/>
      <c r="F333" s="138"/>
      <c r="G333" s="138"/>
      <c r="H333" s="138"/>
      <c r="I333" s="138"/>
      <c r="J333" s="138"/>
      <c r="K333" s="128"/>
      <c r="L333" s="20"/>
      <c r="M333" s="20">
        <v>0</v>
      </c>
    </row>
    <row r="334" spans="1:13" ht="18" x14ac:dyDescent="0.25">
      <c r="A334" s="147"/>
      <c r="B334" s="147"/>
      <c r="C334" s="148" t="s">
        <v>21</v>
      </c>
      <c r="D334" s="138"/>
      <c r="E334" s="138"/>
      <c r="F334" s="138"/>
      <c r="G334" s="138"/>
      <c r="H334" s="138"/>
      <c r="I334" s="138"/>
      <c r="J334" s="138"/>
      <c r="K334" s="129"/>
      <c r="L334" s="20"/>
      <c r="M334" s="20">
        <f>SUM(M332:M333)</f>
        <v>0</v>
      </c>
    </row>
    <row r="335" spans="1:13" ht="18" x14ac:dyDescent="0.25">
      <c r="A335" s="147"/>
      <c r="B335" s="147"/>
      <c r="C335" s="148" t="s">
        <v>208</v>
      </c>
      <c r="D335" s="149" t="s">
        <v>330</v>
      </c>
      <c r="E335" s="149"/>
      <c r="F335" s="138"/>
      <c r="G335" s="138"/>
      <c r="H335" s="138"/>
      <c r="I335" s="138"/>
      <c r="J335" s="138"/>
      <c r="K335" s="128"/>
      <c r="L335" s="20"/>
      <c r="M335" s="20">
        <v>0</v>
      </c>
    </row>
    <row r="336" spans="1:13" ht="18" x14ac:dyDescent="0.25">
      <c r="A336" s="147"/>
      <c r="B336" s="147"/>
      <c r="C336" s="148" t="s">
        <v>21</v>
      </c>
      <c r="D336" s="138"/>
      <c r="E336" s="138"/>
      <c r="F336" s="138"/>
      <c r="G336" s="138"/>
      <c r="H336" s="138"/>
      <c r="I336" s="138"/>
      <c r="J336" s="138"/>
      <c r="K336" s="129"/>
      <c r="L336" s="20"/>
      <c r="M336" s="20">
        <f>SUM(M334:M335)</f>
        <v>0</v>
      </c>
    </row>
    <row r="337" spans="1:13" ht="15.75" x14ac:dyDescent="0.25">
      <c r="A337" s="79"/>
      <c r="B337" s="79"/>
      <c r="C337" s="150" t="s">
        <v>229</v>
      </c>
      <c r="D337" s="100"/>
      <c r="E337" s="79"/>
      <c r="F337" s="57"/>
      <c r="G337" s="57"/>
      <c r="H337" s="116">
        <f>H185+H143</f>
        <v>0</v>
      </c>
      <c r="I337" s="116"/>
      <c r="J337" s="116">
        <f>J332+J297+J179+J137</f>
        <v>0</v>
      </c>
      <c r="K337" s="116"/>
      <c r="L337" s="116">
        <f>L185+L143</f>
        <v>0</v>
      </c>
      <c r="M337" s="116">
        <f>M336+M301+M185+M143</f>
        <v>0</v>
      </c>
    </row>
    <row r="340" spans="1:13" ht="15.75" x14ac:dyDescent="0.3">
      <c r="A340" s="220"/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</row>
    <row r="341" spans="1:13" x14ac:dyDescent="0.25">
      <c r="C341" s="219"/>
      <c r="D341" s="219"/>
      <c r="E341" s="219"/>
      <c r="F341" s="219"/>
      <c r="G341" s="219"/>
      <c r="H341" s="219"/>
      <c r="I341" s="219"/>
      <c r="J341" s="219"/>
      <c r="K341" s="219"/>
      <c r="L341" s="219"/>
    </row>
  </sheetData>
  <mergeCells count="102">
    <mergeCell ref="B1:C1"/>
    <mergeCell ref="C341:L341"/>
    <mergeCell ref="A340:M340"/>
    <mergeCell ref="G7:H7"/>
    <mergeCell ref="I7:J7"/>
    <mergeCell ref="K7:L7"/>
    <mergeCell ref="M7:M8"/>
    <mergeCell ref="B10:F10"/>
    <mergeCell ref="A7:A8"/>
    <mergeCell ref="B7:B8"/>
    <mergeCell ref="C7:C8"/>
    <mergeCell ref="D7:D8"/>
    <mergeCell ref="E7:F7"/>
    <mergeCell ref="A11:A13"/>
    <mergeCell ref="B11:B13"/>
    <mergeCell ref="A20:A22"/>
    <mergeCell ref="B20:B22"/>
    <mergeCell ref="B14:B16"/>
    <mergeCell ref="A2:M2"/>
    <mergeCell ref="A3:M3"/>
    <mergeCell ref="A5:D5"/>
    <mergeCell ref="A6:E6"/>
    <mergeCell ref="G6:L6"/>
    <mergeCell ref="B54:B56"/>
    <mergeCell ref="B31:F31"/>
    <mergeCell ref="A26:A27"/>
    <mergeCell ref="B26:B27"/>
    <mergeCell ref="A28:A30"/>
    <mergeCell ref="B28:B30"/>
    <mergeCell ref="A14:A16"/>
    <mergeCell ref="A32:A37"/>
    <mergeCell ref="A38:A43"/>
    <mergeCell ref="A23:A25"/>
    <mergeCell ref="B23:B25"/>
    <mergeCell ref="A17:A19"/>
    <mergeCell ref="B17:B19"/>
    <mergeCell ref="A124:A129"/>
    <mergeCell ref="C187:G187"/>
    <mergeCell ref="A119:A123"/>
    <mergeCell ref="A44:A48"/>
    <mergeCell ref="A80:A90"/>
    <mergeCell ref="A54:A59"/>
    <mergeCell ref="A60:A65"/>
    <mergeCell ref="A49:A53"/>
    <mergeCell ref="B66:B68"/>
    <mergeCell ref="A76:A79"/>
    <mergeCell ref="A72:A75"/>
    <mergeCell ref="A91:A98"/>
    <mergeCell ref="B60:B62"/>
    <mergeCell ref="A66:A71"/>
    <mergeCell ref="A130:A136"/>
    <mergeCell ref="A161:A166"/>
    <mergeCell ref="A189:A194"/>
    <mergeCell ref="B189:B194"/>
    <mergeCell ref="B144:F144"/>
    <mergeCell ref="A155:A160"/>
    <mergeCell ref="A172:A178"/>
    <mergeCell ref="A167:A171"/>
    <mergeCell ref="A149:A154"/>
    <mergeCell ref="A145:A148"/>
    <mergeCell ref="A105:A113"/>
    <mergeCell ref="A99:A104"/>
    <mergeCell ref="A279:A283"/>
    <mergeCell ref="B279:B283"/>
    <mergeCell ref="A240:A246"/>
    <mergeCell ref="B240:B246"/>
    <mergeCell ref="A270:A274"/>
    <mergeCell ref="B270:B274"/>
    <mergeCell ref="A247:A268"/>
    <mergeCell ref="B247:B250"/>
    <mergeCell ref="A225:A228"/>
    <mergeCell ref="B225:B228"/>
    <mergeCell ref="B229:B231"/>
    <mergeCell ref="A233:A239"/>
    <mergeCell ref="B233:B239"/>
    <mergeCell ref="A218:A224"/>
    <mergeCell ref="B218:B224"/>
    <mergeCell ref="A195:A202"/>
    <mergeCell ref="B195:B202"/>
    <mergeCell ref="A203:A208"/>
    <mergeCell ref="B203:B208"/>
    <mergeCell ref="A209:A217"/>
    <mergeCell ref="B209:B213"/>
    <mergeCell ref="A114:A118"/>
    <mergeCell ref="A322:A323"/>
    <mergeCell ref="B322:B323"/>
    <mergeCell ref="A275:A276"/>
    <mergeCell ref="B275:B276"/>
    <mergeCell ref="A277:A278"/>
    <mergeCell ref="B277:B278"/>
    <mergeCell ref="A324:A331"/>
    <mergeCell ref="B324:B326"/>
    <mergeCell ref="A305:A309"/>
    <mergeCell ref="A310:A316"/>
    <mergeCell ref="A317:A321"/>
    <mergeCell ref="B317:B321"/>
    <mergeCell ref="B302:F302"/>
    <mergeCell ref="A303:A304"/>
    <mergeCell ref="A284:A290"/>
    <mergeCell ref="B284:B290"/>
    <mergeCell ref="A291:A296"/>
    <mergeCell ref="B291:B296"/>
  </mergeCells>
  <pageMargins left="0.45" right="0.4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2019-06-26T10:08:33Z</dcterms:modified>
</cp:coreProperties>
</file>