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 TENDERI 2019\45200000\ამბულატორიები\ამბულატორია 2\ჟდანოვაკანი\"/>
    </mc:Choice>
  </mc:AlternateContent>
  <bookViews>
    <workbookView xWindow="-120" yWindow="-120" windowWidth="20730" windowHeight="11160" tabRatio="598"/>
  </bookViews>
  <sheets>
    <sheet name="SM#2." sheetId="143" r:id="rId1"/>
    <sheet name="S_1" sheetId="154" state="hidden" r:id="rId2"/>
    <sheet name="S_2" sheetId="155" state="hidden" r:id="rId3"/>
    <sheet name="S_3" sheetId="156" state="hidden" r:id="rId4"/>
    <sheet name="S_4" sheetId="157" state="hidden" r:id="rId5"/>
    <sheet name="S_5" sheetId="158" state="hidden" r:id="rId6"/>
    <sheet name="S_6" sheetId="159" state="hidden" r:id="rId7"/>
  </sheets>
  <definedNames>
    <definedName name="_xlnm.Print_Area" localSheetId="1">S_1!$A$1:$M$566</definedName>
    <definedName name="_xlnm.Print_Area" localSheetId="4">S_4!$A$1:$M$132</definedName>
    <definedName name="_xlnm.Print_Area" localSheetId="0">'SM#2.'!$A$1:$I$75</definedName>
    <definedName name="_xlnm.Print_Titles" localSheetId="4">S_4!$11:$11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43" l="1"/>
  <c r="I36" i="158" l="1"/>
  <c r="E36" i="158"/>
  <c r="E38" i="158"/>
  <c r="E49" i="154"/>
  <c r="I49" i="154" l="1"/>
  <c r="P292" i="154"/>
  <c r="F404" i="154"/>
  <c r="F44" i="159" l="1"/>
  <c r="L44" i="159" s="1"/>
  <c r="I43" i="159"/>
  <c r="F43" i="159"/>
  <c r="L43" i="159" s="1"/>
  <c r="I39" i="159"/>
  <c r="E39" i="159"/>
  <c r="F37" i="159"/>
  <c r="I33" i="159"/>
  <c r="E33" i="159"/>
  <c r="F31" i="159"/>
  <c r="F35" i="159" s="1"/>
  <c r="E29" i="159"/>
  <c r="E28" i="159"/>
  <c r="L27" i="159"/>
  <c r="J27" i="159"/>
  <c r="H27" i="159"/>
  <c r="E26" i="159"/>
  <c r="E25" i="159"/>
  <c r="I24" i="159"/>
  <c r="E24" i="159"/>
  <c r="F22" i="159"/>
  <c r="F28" i="159" s="1"/>
  <c r="I18" i="159"/>
  <c r="E18" i="159"/>
  <c r="F16" i="159"/>
  <c r="F20" i="159" s="1"/>
  <c r="I14" i="159"/>
  <c r="E14" i="159"/>
  <c r="F12" i="159"/>
  <c r="P38" i="158"/>
  <c r="O29" i="158"/>
  <c r="E28" i="158"/>
  <c r="I27" i="158"/>
  <c r="F25" i="158"/>
  <c r="E22" i="158"/>
  <c r="E21" i="158"/>
  <c r="F18" i="158"/>
  <c r="I16" i="158"/>
  <c r="E16" i="158"/>
  <c r="L120" i="157"/>
  <c r="J120" i="157"/>
  <c r="H120" i="157"/>
  <c r="L119" i="157"/>
  <c r="J119" i="157"/>
  <c r="H119" i="157"/>
  <c r="L118" i="157"/>
  <c r="J118" i="157"/>
  <c r="H118" i="157"/>
  <c r="L117" i="157"/>
  <c r="J117" i="157"/>
  <c r="H117" i="157"/>
  <c r="L116" i="157"/>
  <c r="J116" i="157"/>
  <c r="H116" i="157"/>
  <c r="L115" i="157"/>
  <c r="J115" i="157"/>
  <c r="H115" i="157"/>
  <c r="L114" i="157"/>
  <c r="J114" i="157"/>
  <c r="H114" i="157"/>
  <c r="L113" i="157"/>
  <c r="J113" i="157"/>
  <c r="H113" i="157"/>
  <c r="L112" i="157"/>
  <c r="J112" i="157"/>
  <c r="H112" i="157"/>
  <c r="L111" i="157"/>
  <c r="J111" i="157"/>
  <c r="H111" i="157"/>
  <c r="L110" i="157"/>
  <c r="J110" i="157"/>
  <c r="H110" i="157"/>
  <c r="L109" i="157"/>
  <c r="J109" i="157"/>
  <c r="H109" i="157"/>
  <c r="L108" i="157"/>
  <c r="J108" i="157"/>
  <c r="H108" i="157"/>
  <c r="L107" i="157"/>
  <c r="J107" i="157"/>
  <c r="H107" i="157"/>
  <c r="L106" i="157"/>
  <c r="J106" i="157"/>
  <c r="H106" i="157"/>
  <c r="L105" i="157"/>
  <c r="J105" i="157"/>
  <c r="H105" i="157"/>
  <c r="L104" i="157"/>
  <c r="J104" i="157"/>
  <c r="H104" i="157"/>
  <c r="L103" i="157"/>
  <c r="J103" i="157"/>
  <c r="H103" i="157"/>
  <c r="L102" i="157"/>
  <c r="J102" i="157"/>
  <c r="H102" i="157"/>
  <c r="L100" i="157"/>
  <c r="J100" i="157"/>
  <c r="H100" i="157"/>
  <c r="L99" i="157"/>
  <c r="J99" i="157"/>
  <c r="H99" i="157"/>
  <c r="L98" i="157"/>
  <c r="J98" i="157"/>
  <c r="H98" i="157"/>
  <c r="L97" i="157"/>
  <c r="J97" i="157"/>
  <c r="H97" i="157"/>
  <c r="L96" i="157"/>
  <c r="J96" i="157"/>
  <c r="H96" i="157"/>
  <c r="L95" i="157"/>
  <c r="J95" i="157"/>
  <c r="H95" i="157"/>
  <c r="L94" i="157"/>
  <c r="J94" i="157"/>
  <c r="H94" i="157"/>
  <c r="F93" i="157"/>
  <c r="H93" i="157" s="1"/>
  <c r="L92" i="157"/>
  <c r="J92" i="157"/>
  <c r="H92" i="157"/>
  <c r="L91" i="157"/>
  <c r="J91" i="157"/>
  <c r="H91" i="157"/>
  <c r="F90" i="157"/>
  <c r="L90" i="157" s="1"/>
  <c r="L89" i="157"/>
  <c r="J89" i="157"/>
  <c r="H89" i="157"/>
  <c r="L88" i="157"/>
  <c r="J88" i="157"/>
  <c r="H88" i="157"/>
  <c r="F87" i="157"/>
  <c r="F86" i="157"/>
  <c r="H86" i="157" s="1"/>
  <c r="F85" i="157"/>
  <c r="J85" i="157" s="1"/>
  <c r="F84" i="157"/>
  <c r="F83" i="157"/>
  <c r="F82" i="157"/>
  <c r="L82" i="157" s="1"/>
  <c r="F81" i="157"/>
  <c r="F80" i="157"/>
  <c r="L80" i="157" s="1"/>
  <c r="L79" i="157"/>
  <c r="J79" i="157"/>
  <c r="H79" i="157"/>
  <c r="F78" i="157"/>
  <c r="F77" i="157"/>
  <c r="L77" i="157" s="1"/>
  <c r="F76" i="157"/>
  <c r="F75" i="157"/>
  <c r="L75" i="157" s="1"/>
  <c r="F74" i="157"/>
  <c r="F69" i="157"/>
  <c r="L69" i="157" s="1"/>
  <c r="I68" i="157"/>
  <c r="F68" i="157"/>
  <c r="G64" i="157"/>
  <c r="F64" i="157"/>
  <c r="L64" i="157" s="1"/>
  <c r="I63" i="157"/>
  <c r="F63" i="157"/>
  <c r="L63" i="157" s="1"/>
  <c r="F59" i="157"/>
  <c r="H59" i="157" s="1"/>
  <c r="I58" i="157"/>
  <c r="F58" i="157"/>
  <c r="L58" i="157" s="1"/>
  <c r="F54" i="157"/>
  <c r="L54" i="157" s="1"/>
  <c r="F53" i="157"/>
  <c r="E52" i="157"/>
  <c r="F52" i="157" s="1"/>
  <c r="I51" i="157"/>
  <c r="F51" i="157"/>
  <c r="L51" i="157" s="1"/>
  <c r="F47" i="157"/>
  <c r="L47" i="157" s="1"/>
  <c r="F46" i="157"/>
  <c r="L46" i="157" s="1"/>
  <c r="E45" i="157"/>
  <c r="F45" i="157" s="1"/>
  <c r="I44" i="157"/>
  <c r="F44" i="157"/>
  <c r="H44" i="157" s="1"/>
  <c r="F40" i="157"/>
  <c r="F39" i="157"/>
  <c r="L39" i="157" s="1"/>
  <c r="F38" i="157"/>
  <c r="L38" i="157" s="1"/>
  <c r="E37" i="157"/>
  <c r="F37" i="157" s="1"/>
  <c r="I36" i="157"/>
  <c r="F36" i="157"/>
  <c r="H36" i="157" s="1"/>
  <c r="F32" i="157"/>
  <c r="L32" i="157" s="1"/>
  <c r="F31" i="157"/>
  <c r="L31" i="157" s="1"/>
  <c r="E30" i="157"/>
  <c r="F30" i="157" s="1"/>
  <c r="L30" i="157" s="1"/>
  <c r="I29" i="157"/>
  <c r="F29" i="157"/>
  <c r="L29" i="157" s="1"/>
  <c r="F25" i="157"/>
  <c r="J25" i="157" s="1"/>
  <c r="F24" i="157"/>
  <c r="L24" i="157" s="1"/>
  <c r="L23" i="157"/>
  <c r="J23" i="157"/>
  <c r="H23" i="157"/>
  <c r="L22" i="157"/>
  <c r="J22" i="157"/>
  <c r="H22" i="157"/>
  <c r="E21" i="157"/>
  <c r="F21" i="157" s="1"/>
  <c r="I20" i="157"/>
  <c r="F20" i="157"/>
  <c r="E16" i="157"/>
  <c r="F16" i="157" s="1"/>
  <c r="L16" i="157" s="1"/>
  <c r="I15" i="157"/>
  <c r="E15" i="157"/>
  <c r="F15" i="157" s="1"/>
  <c r="F199" i="156"/>
  <c r="H199" i="156" s="1"/>
  <c r="F198" i="156"/>
  <c r="F194" i="156"/>
  <c r="L194" i="156" s="1"/>
  <c r="I193" i="156"/>
  <c r="F193" i="156"/>
  <c r="F189" i="156"/>
  <c r="L189" i="156" s="1"/>
  <c r="I188" i="156"/>
  <c r="F188" i="156"/>
  <c r="L188" i="156" s="1"/>
  <c r="F184" i="156"/>
  <c r="J184" i="156" s="1"/>
  <c r="I183" i="156"/>
  <c r="F183" i="156"/>
  <c r="F179" i="156"/>
  <c r="I178" i="156"/>
  <c r="F178" i="156"/>
  <c r="F174" i="156"/>
  <c r="L174" i="156" s="1"/>
  <c r="I173" i="156"/>
  <c r="F173" i="156"/>
  <c r="F169" i="156"/>
  <c r="H169" i="156" s="1"/>
  <c r="I168" i="156"/>
  <c r="F168" i="156"/>
  <c r="F164" i="156"/>
  <c r="H164" i="156" s="1"/>
  <c r="I163" i="156"/>
  <c r="F163" i="156"/>
  <c r="H163" i="156" s="1"/>
  <c r="F159" i="156"/>
  <c r="I158" i="156"/>
  <c r="F158" i="156"/>
  <c r="L154" i="156"/>
  <c r="L152" i="156" s="1"/>
  <c r="K152" i="156" s="1"/>
  <c r="J154" i="156"/>
  <c r="J152" i="156" s="1"/>
  <c r="I152" i="156" s="1"/>
  <c r="G154" i="156"/>
  <c r="H154" i="156" s="1"/>
  <c r="O150" i="156"/>
  <c r="O151" i="156" s="1"/>
  <c r="F150" i="156"/>
  <c r="I149" i="156"/>
  <c r="F149" i="156"/>
  <c r="N145" i="156"/>
  <c r="F145" i="156"/>
  <c r="I144" i="156"/>
  <c r="F144" i="156"/>
  <c r="H144" i="156" s="1"/>
  <c r="F140" i="156"/>
  <c r="L140" i="156" s="1"/>
  <c r="I139" i="156"/>
  <c r="F139" i="156"/>
  <c r="F135" i="156"/>
  <c r="L135" i="156" s="1"/>
  <c r="I134" i="156"/>
  <c r="F134" i="156"/>
  <c r="F130" i="156"/>
  <c r="I129" i="156"/>
  <c r="F129" i="156"/>
  <c r="L129" i="156" s="1"/>
  <c r="F125" i="156"/>
  <c r="H125" i="156" s="1"/>
  <c r="I124" i="156"/>
  <c r="F124" i="156"/>
  <c r="F120" i="156"/>
  <c r="L120" i="156" s="1"/>
  <c r="I119" i="156"/>
  <c r="F119" i="156"/>
  <c r="H119" i="156" s="1"/>
  <c r="F115" i="156"/>
  <c r="L115" i="156" s="1"/>
  <c r="I114" i="156"/>
  <c r="F114" i="156"/>
  <c r="L114" i="156" s="1"/>
  <c r="F110" i="156"/>
  <c r="H110" i="156" s="1"/>
  <c r="I109" i="156"/>
  <c r="F109" i="156"/>
  <c r="L109" i="156" s="1"/>
  <c r="F105" i="156"/>
  <c r="L105" i="156" s="1"/>
  <c r="I104" i="156"/>
  <c r="F104" i="156"/>
  <c r="F100" i="156"/>
  <c r="I99" i="156"/>
  <c r="F99" i="156"/>
  <c r="F95" i="156"/>
  <c r="L95" i="156" s="1"/>
  <c r="I94" i="156"/>
  <c r="F94" i="156"/>
  <c r="F90" i="156"/>
  <c r="I89" i="156"/>
  <c r="F89" i="156"/>
  <c r="L89" i="156" s="1"/>
  <c r="F85" i="156"/>
  <c r="I84" i="156"/>
  <c r="F84" i="156"/>
  <c r="H84" i="156" s="1"/>
  <c r="F80" i="156"/>
  <c r="L80" i="156" s="1"/>
  <c r="I79" i="156"/>
  <c r="F79" i="156"/>
  <c r="H79" i="156" s="1"/>
  <c r="F75" i="156"/>
  <c r="L75" i="156" s="1"/>
  <c r="I74" i="156"/>
  <c r="F74" i="156"/>
  <c r="L74" i="156" s="1"/>
  <c r="L72" i="156" s="1"/>
  <c r="K72" i="156" s="1"/>
  <c r="F70" i="156"/>
  <c r="I69" i="156"/>
  <c r="F69" i="156"/>
  <c r="L69" i="156" s="1"/>
  <c r="F65" i="156"/>
  <c r="I64" i="156"/>
  <c r="F64" i="156"/>
  <c r="F60" i="156"/>
  <c r="I59" i="156"/>
  <c r="F59" i="156"/>
  <c r="I54" i="156"/>
  <c r="F52" i="156"/>
  <c r="I49" i="156"/>
  <c r="F47" i="156"/>
  <c r="I44" i="156"/>
  <c r="F42" i="156"/>
  <c r="F44" i="156" s="1"/>
  <c r="I39" i="156"/>
  <c r="F37" i="156"/>
  <c r="F39" i="156" s="1"/>
  <c r="I34" i="156"/>
  <c r="F32" i="156"/>
  <c r="F35" i="156" s="1"/>
  <c r="H35" i="156" s="1"/>
  <c r="I29" i="156"/>
  <c r="F27" i="156"/>
  <c r="F29" i="156" s="1"/>
  <c r="I24" i="156"/>
  <c r="F22" i="156"/>
  <c r="F24" i="156" s="1"/>
  <c r="I19" i="156"/>
  <c r="F17" i="156"/>
  <c r="F19" i="156" s="1"/>
  <c r="H19" i="156" s="1"/>
  <c r="F15" i="156"/>
  <c r="L15" i="156" s="1"/>
  <c r="F14" i="156"/>
  <c r="J14" i="156" s="1"/>
  <c r="K125" i="155"/>
  <c r="K126" i="155" s="1"/>
  <c r="I125" i="155"/>
  <c r="I126" i="155" s="1"/>
  <c r="L124" i="155"/>
  <c r="J124" i="155"/>
  <c r="H124" i="155"/>
  <c r="L123" i="155"/>
  <c r="J123" i="155"/>
  <c r="H123" i="155"/>
  <c r="L122" i="155"/>
  <c r="J122" i="155"/>
  <c r="H122" i="155"/>
  <c r="L121" i="155"/>
  <c r="J121" i="155"/>
  <c r="H121" i="155"/>
  <c r="L120" i="155"/>
  <c r="J120" i="155"/>
  <c r="H120" i="155"/>
  <c r="F119" i="155"/>
  <c r="L118" i="155"/>
  <c r="J118" i="155"/>
  <c r="H118" i="155"/>
  <c r="L117" i="155"/>
  <c r="J117" i="155"/>
  <c r="H117" i="155"/>
  <c r="L116" i="155"/>
  <c r="J116" i="155"/>
  <c r="H116" i="155"/>
  <c r="F115" i="155"/>
  <c r="L114" i="155"/>
  <c r="J114" i="155"/>
  <c r="H114" i="155"/>
  <c r="L113" i="155"/>
  <c r="J113" i="155"/>
  <c r="H113" i="155"/>
  <c r="L112" i="155"/>
  <c r="J112" i="155"/>
  <c r="G112" i="155"/>
  <c r="H112" i="155" s="1"/>
  <c r="L111" i="155"/>
  <c r="J111" i="155"/>
  <c r="H111" i="155"/>
  <c r="L110" i="155"/>
  <c r="J110" i="155"/>
  <c r="H110" i="155"/>
  <c r="L109" i="155"/>
  <c r="J109" i="155"/>
  <c r="G109" i="155"/>
  <c r="H109" i="155" s="1"/>
  <c r="F108" i="155"/>
  <c r="L108" i="155" s="1"/>
  <c r="L107" i="155"/>
  <c r="J107" i="155"/>
  <c r="H107" i="155"/>
  <c r="F106" i="155"/>
  <c r="L105" i="155"/>
  <c r="J105" i="155"/>
  <c r="H105" i="155"/>
  <c r="L104" i="155"/>
  <c r="J104" i="155"/>
  <c r="H104" i="155"/>
  <c r="L103" i="155"/>
  <c r="J103" i="155"/>
  <c r="H103" i="155"/>
  <c r="L102" i="155"/>
  <c r="J102" i="155"/>
  <c r="H102" i="155"/>
  <c r="F101" i="155"/>
  <c r="L101" i="155" s="1"/>
  <c r="L100" i="155"/>
  <c r="J100" i="155"/>
  <c r="H100" i="155"/>
  <c r="I94" i="155"/>
  <c r="F94" i="155"/>
  <c r="L94" i="155" s="1"/>
  <c r="L92" i="155" s="1"/>
  <c r="I90" i="155"/>
  <c r="F90" i="155"/>
  <c r="E86" i="155"/>
  <c r="F86" i="155" s="1"/>
  <c r="L86" i="155" s="1"/>
  <c r="I85" i="155"/>
  <c r="F85" i="155"/>
  <c r="L85" i="155" s="1"/>
  <c r="E81" i="155"/>
  <c r="F81" i="155" s="1"/>
  <c r="I80" i="155"/>
  <c r="F80" i="155"/>
  <c r="H80" i="155" s="1"/>
  <c r="E76" i="155"/>
  <c r="F76" i="155" s="1"/>
  <c r="I75" i="155"/>
  <c r="F75" i="155"/>
  <c r="L75" i="155" s="1"/>
  <c r="E71" i="155"/>
  <c r="F71" i="155" s="1"/>
  <c r="I70" i="155"/>
  <c r="F70" i="155"/>
  <c r="L70" i="155" s="1"/>
  <c r="E66" i="155"/>
  <c r="F66" i="155" s="1"/>
  <c r="L66" i="155" s="1"/>
  <c r="I65" i="155"/>
  <c r="F65" i="155"/>
  <c r="H65" i="155" s="1"/>
  <c r="E61" i="155"/>
  <c r="F61" i="155" s="1"/>
  <c r="I60" i="155"/>
  <c r="F60" i="155"/>
  <c r="L60" i="155" s="1"/>
  <c r="E56" i="155"/>
  <c r="I55" i="155"/>
  <c r="F53" i="155"/>
  <c r="F55" i="155" s="1"/>
  <c r="E51" i="155"/>
  <c r="F51" i="155" s="1"/>
  <c r="I50" i="155"/>
  <c r="F50" i="155"/>
  <c r="L50" i="155" s="1"/>
  <c r="E46" i="155"/>
  <c r="F46" i="155" s="1"/>
  <c r="I45" i="155"/>
  <c r="F45" i="155"/>
  <c r="H45" i="155" s="1"/>
  <c r="E41" i="155"/>
  <c r="I40" i="155"/>
  <c r="F38" i="155"/>
  <c r="F40" i="155" s="1"/>
  <c r="E36" i="155"/>
  <c r="F36" i="155" s="1"/>
  <c r="L36" i="155" s="1"/>
  <c r="I35" i="155"/>
  <c r="F35" i="155"/>
  <c r="L35" i="155" s="1"/>
  <c r="E31" i="155"/>
  <c r="F31" i="155" s="1"/>
  <c r="I30" i="155"/>
  <c r="E30" i="155"/>
  <c r="F30" i="155" s="1"/>
  <c r="E26" i="155"/>
  <c r="I25" i="155"/>
  <c r="E25" i="155"/>
  <c r="F23" i="155"/>
  <c r="E21" i="155"/>
  <c r="F21" i="155" s="1"/>
  <c r="L21" i="155" s="1"/>
  <c r="I20" i="155"/>
  <c r="E20" i="155"/>
  <c r="F20" i="155" s="1"/>
  <c r="E16" i="155"/>
  <c r="I15" i="155"/>
  <c r="E15" i="155"/>
  <c r="F13" i="155"/>
  <c r="I551" i="154"/>
  <c r="F549" i="154"/>
  <c r="J547" i="154"/>
  <c r="L547" i="154" s="1"/>
  <c r="G547" i="154"/>
  <c r="H547" i="154" s="1"/>
  <c r="I545" i="154"/>
  <c r="F543" i="154"/>
  <c r="F546" i="154" s="1"/>
  <c r="H546" i="154" s="1"/>
  <c r="E540" i="154"/>
  <c r="I538" i="154"/>
  <c r="F536" i="154"/>
  <c r="E532" i="154"/>
  <c r="E531" i="154"/>
  <c r="E530" i="154"/>
  <c r="E529" i="154"/>
  <c r="I528" i="154"/>
  <c r="E528" i="154"/>
  <c r="F526" i="154"/>
  <c r="F524" i="154"/>
  <c r="L524" i="154" s="1"/>
  <c r="F523" i="154"/>
  <c r="J523" i="154" s="1"/>
  <c r="I522" i="154"/>
  <c r="F522" i="154"/>
  <c r="F518" i="154"/>
  <c r="I517" i="154"/>
  <c r="F517" i="154"/>
  <c r="E511" i="154"/>
  <c r="I507" i="154"/>
  <c r="E503" i="154"/>
  <c r="E502" i="154"/>
  <c r="E501" i="154"/>
  <c r="E500" i="154"/>
  <c r="I499" i="154"/>
  <c r="L495" i="154"/>
  <c r="J495" i="154"/>
  <c r="G495" i="154"/>
  <c r="H495" i="154" s="1"/>
  <c r="F494" i="154"/>
  <c r="J494" i="154" s="1"/>
  <c r="J492" i="154" s="1"/>
  <c r="I492" i="154" s="1"/>
  <c r="G490" i="154"/>
  <c r="E490" i="154"/>
  <c r="E488" i="154"/>
  <c r="E487" i="154"/>
  <c r="I486" i="154"/>
  <c r="F484" i="154"/>
  <c r="F486" i="154" s="1"/>
  <c r="L480" i="154"/>
  <c r="J480" i="154"/>
  <c r="H480" i="154"/>
  <c r="I478" i="154"/>
  <c r="F476" i="154"/>
  <c r="F479" i="154" s="1"/>
  <c r="F471" i="154"/>
  <c r="L471" i="154" s="1"/>
  <c r="L470" i="154"/>
  <c r="J470" i="154"/>
  <c r="H470" i="154"/>
  <c r="E469" i="154"/>
  <c r="I468" i="154"/>
  <c r="F466" i="154"/>
  <c r="F468" i="154" s="1"/>
  <c r="G464" i="154"/>
  <c r="E462" i="154"/>
  <c r="I461" i="154"/>
  <c r="F459" i="154"/>
  <c r="F464" i="154" s="1"/>
  <c r="I456" i="154"/>
  <c r="G452" i="154"/>
  <c r="I450" i="154"/>
  <c r="F448" i="154"/>
  <c r="F451" i="154" s="1"/>
  <c r="L451" i="154" s="1"/>
  <c r="I444" i="154"/>
  <c r="F442" i="154"/>
  <c r="F445" i="154" s="1"/>
  <c r="E438" i="154"/>
  <c r="E435" i="154"/>
  <c r="I434" i="154"/>
  <c r="E430" i="154"/>
  <c r="E429" i="154"/>
  <c r="E428" i="154"/>
  <c r="I427" i="154"/>
  <c r="F425" i="154"/>
  <c r="F430" i="154" s="1"/>
  <c r="L430" i="154" s="1"/>
  <c r="E423" i="154"/>
  <c r="E422" i="154"/>
  <c r="E421" i="154"/>
  <c r="E420" i="154"/>
  <c r="E28" i="154" s="1"/>
  <c r="E419" i="154"/>
  <c r="F417" i="154"/>
  <c r="L415" i="154"/>
  <c r="J415" i="154"/>
  <c r="H415" i="154"/>
  <c r="I414" i="154"/>
  <c r="E414" i="154"/>
  <c r="F412" i="154"/>
  <c r="E408" i="154"/>
  <c r="E407" i="154"/>
  <c r="I406" i="154"/>
  <c r="F406" i="154"/>
  <c r="E402" i="154"/>
  <c r="E400" i="154"/>
  <c r="E399" i="154"/>
  <c r="I398" i="154"/>
  <c r="F396" i="154"/>
  <c r="F401" i="154" s="1"/>
  <c r="L401" i="154" s="1"/>
  <c r="E394" i="154"/>
  <c r="E393" i="154"/>
  <c r="E392" i="154"/>
  <c r="I391" i="154"/>
  <c r="F389" i="154"/>
  <c r="F387" i="154"/>
  <c r="L387" i="154" s="1"/>
  <c r="I386" i="154"/>
  <c r="F386" i="154"/>
  <c r="E382" i="154"/>
  <c r="F382" i="154" s="1"/>
  <c r="H382" i="154" s="1"/>
  <c r="E381" i="154"/>
  <c r="F381" i="154" s="1"/>
  <c r="E380" i="154"/>
  <c r="F380" i="154" s="1"/>
  <c r="J380" i="154" s="1"/>
  <c r="E379" i="154"/>
  <c r="F379" i="154" s="1"/>
  <c r="I378" i="154"/>
  <c r="F378" i="154"/>
  <c r="L378" i="154" s="1"/>
  <c r="E374" i="154"/>
  <c r="E373" i="154"/>
  <c r="E372" i="154"/>
  <c r="E371" i="154"/>
  <c r="I370" i="154"/>
  <c r="F368" i="154"/>
  <c r="F370" i="154" s="1"/>
  <c r="E365" i="154"/>
  <c r="E363" i="154"/>
  <c r="I362" i="154"/>
  <c r="F360" i="154"/>
  <c r="F364" i="154" s="1"/>
  <c r="J364" i="154" s="1"/>
  <c r="F358" i="154"/>
  <c r="F357" i="154"/>
  <c r="G356" i="154"/>
  <c r="F356" i="154"/>
  <c r="L356" i="154" s="1"/>
  <c r="F355" i="154"/>
  <c r="L355" i="154" s="1"/>
  <c r="E354" i="154"/>
  <c r="F354" i="154" s="1"/>
  <c r="I353" i="154"/>
  <c r="F353" i="154"/>
  <c r="L353" i="154" s="1"/>
  <c r="G347" i="154"/>
  <c r="E346" i="154"/>
  <c r="E345" i="154"/>
  <c r="I344" i="154"/>
  <c r="F342" i="154"/>
  <c r="E340" i="154"/>
  <c r="E339" i="154"/>
  <c r="E338" i="154"/>
  <c r="I337" i="154"/>
  <c r="F335" i="154"/>
  <c r="L330" i="154"/>
  <c r="J330" i="154"/>
  <c r="H330" i="154"/>
  <c r="L329" i="154"/>
  <c r="J329" i="154"/>
  <c r="H329" i="154"/>
  <c r="L328" i="154"/>
  <c r="J328" i="154"/>
  <c r="H328" i="154"/>
  <c r="L327" i="154"/>
  <c r="J327" i="154"/>
  <c r="H327" i="154"/>
  <c r="F326" i="154"/>
  <c r="L326" i="154" s="1"/>
  <c r="F325" i="154"/>
  <c r="I324" i="154"/>
  <c r="F322" i="154"/>
  <c r="F324" i="154" s="1"/>
  <c r="E320" i="154"/>
  <c r="P320" i="154" s="1"/>
  <c r="E319" i="154"/>
  <c r="E318" i="154"/>
  <c r="E317" i="154"/>
  <c r="F315" i="154"/>
  <c r="E313" i="154"/>
  <c r="E312" i="154"/>
  <c r="G311" i="154"/>
  <c r="E311" i="154"/>
  <c r="E310" i="154"/>
  <c r="K309" i="154"/>
  <c r="E309" i="154"/>
  <c r="E308" i="154"/>
  <c r="F308" i="154" s="1"/>
  <c r="L308" i="154" s="1"/>
  <c r="F306" i="154"/>
  <c r="E304" i="154"/>
  <c r="E303" i="154"/>
  <c r="G302" i="154"/>
  <c r="E301" i="154"/>
  <c r="K300" i="154"/>
  <c r="E299" i="154"/>
  <c r="F297" i="154"/>
  <c r="E291" i="154"/>
  <c r="I289" i="154"/>
  <c r="E289" i="154"/>
  <c r="G284" i="154"/>
  <c r="G281" i="154"/>
  <c r="F281" i="154"/>
  <c r="F280" i="154"/>
  <c r="L280" i="154" s="1"/>
  <c r="J279" i="154"/>
  <c r="F279" i="154"/>
  <c r="F278" i="154"/>
  <c r="J278" i="154" s="1"/>
  <c r="K276" i="154"/>
  <c r="I275" i="154"/>
  <c r="F271" i="154"/>
  <c r="L271" i="154" s="1"/>
  <c r="G270" i="154"/>
  <c r="F270" i="154"/>
  <c r="L270" i="154" s="1"/>
  <c r="F269" i="154"/>
  <c r="J269" i="154" s="1"/>
  <c r="F268" i="154"/>
  <c r="E267" i="154"/>
  <c r="F267" i="154" s="1"/>
  <c r="E266" i="154"/>
  <c r="F266" i="154" s="1"/>
  <c r="K265" i="154"/>
  <c r="F265" i="154"/>
  <c r="H265" i="154" s="1"/>
  <c r="I264" i="154"/>
  <c r="F264" i="154"/>
  <c r="L264" i="154" s="1"/>
  <c r="F260" i="154"/>
  <c r="G259" i="154"/>
  <c r="F259" i="154"/>
  <c r="J259" i="154" s="1"/>
  <c r="F258" i="154"/>
  <c r="F257" i="154"/>
  <c r="L257" i="154" s="1"/>
  <c r="F256" i="154"/>
  <c r="F255" i="154"/>
  <c r="E254" i="154"/>
  <c r="F254" i="154" s="1"/>
  <c r="J254" i="154" s="1"/>
  <c r="K253" i="154"/>
  <c r="F253" i="154"/>
  <c r="H253" i="154" s="1"/>
  <c r="I252" i="154"/>
  <c r="F252" i="154"/>
  <c r="F248" i="154"/>
  <c r="G247" i="154"/>
  <c r="F247" i="154"/>
  <c r="L247" i="154" s="1"/>
  <c r="F246" i="154"/>
  <c r="F245" i="154"/>
  <c r="L245" i="154" s="1"/>
  <c r="F244" i="154"/>
  <c r="E243" i="154"/>
  <c r="F243" i="154" s="1"/>
  <c r="K242" i="154"/>
  <c r="F242" i="154"/>
  <c r="I241" i="154"/>
  <c r="F241" i="154"/>
  <c r="G236" i="154"/>
  <c r="F234" i="154"/>
  <c r="F233" i="154"/>
  <c r="H233" i="154" s="1"/>
  <c r="E232" i="154"/>
  <c r="K231" i="154"/>
  <c r="I230" i="154"/>
  <c r="F228" i="154"/>
  <c r="F237" i="154" s="1"/>
  <c r="F226" i="154"/>
  <c r="J226" i="154" s="1"/>
  <c r="G225" i="154"/>
  <c r="F225" i="154"/>
  <c r="F224" i="154"/>
  <c r="F223" i="154"/>
  <c r="F222" i="154"/>
  <c r="E221" i="154"/>
  <c r="F221" i="154" s="1"/>
  <c r="L221" i="154" s="1"/>
  <c r="K220" i="154"/>
  <c r="F220" i="154"/>
  <c r="J220" i="154" s="1"/>
  <c r="I219" i="154"/>
  <c r="F219" i="154"/>
  <c r="L219" i="154" s="1"/>
  <c r="F215" i="154"/>
  <c r="G214" i="154"/>
  <c r="F214" i="154"/>
  <c r="J214" i="154" s="1"/>
  <c r="F213" i="154"/>
  <c r="L213" i="154" s="1"/>
  <c r="F212" i="154"/>
  <c r="F211" i="154"/>
  <c r="L211" i="154" s="1"/>
  <c r="E210" i="154"/>
  <c r="F210" i="154" s="1"/>
  <c r="K209" i="154"/>
  <c r="F209" i="154"/>
  <c r="H209" i="154" s="1"/>
  <c r="I208" i="154"/>
  <c r="F208" i="154"/>
  <c r="L208" i="154" s="1"/>
  <c r="F204" i="154"/>
  <c r="G203" i="154"/>
  <c r="F203" i="154"/>
  <c r="L203" i="154" s="1"/>
  <c r="F202" i="154"/>
  <c r="L202" i="154" s="1"/>
  <c r="F201" i="154"/>
  <c r="L201" i="154" s="1"/>
  <c r="F200" i="154"/>
  <c r="E199" i="154"/>
  <c r="F199" i="154" s="1"/>
  <c r="L199" i="154" s="1"/>
  <c r="K198" i="154"/>
  <c r="F198" i="154"/>
  <c r="H198" i="154" s="1"/>
  <c r="I197" i="154"/>
  <c r="F197" i="154"/>
  <c r="F193" i="154"/>
  <c r="L193" i="154" s="1"/>
  <c r="G192" i="154"/>
  <c r="F192" i="154"/>
  <c r="F191" i="154"/>
  <c r="H191" i="154" s="1"/>
  <c r="F190" i="154"/>
  <c r="L190" i="154" s="1"/>
  <c r="F189" i="154"/>
  <c r="E188" i="154"/>
  <c r="F188" i="154" s="1"/>
  <c r="K187" i="154"/>
  <c r="F187" i="154"/>
  <c r="H187" i="154" s="1"/>
  <c r="I186" i="154"/>
  <c r="F186" i="154"/>
  <c r="F182" i="154"/>
  <c r="G181" i="154"/>
  <c r="F181" i="154"/>
  <c r="L181" i="154" s="1"/>
  <c r="F180" i="154"/>
  <c r="F179" i="154"/>
  <c r="F178" i="154"/>
  <c r="L178" i="154" s="1"/>
  <c r="E177" i="154"/>
  <c r="F177" i="154" s="1"/>
  <c r="K176" i="154"/>
  <c r="F176" i="154"/>
  <c r="I175" i="154"/>
  <c r="F175" i="154"/>
  <c r="L175" i="154" s="1"/>
  <c r="F171" i="154"/>
  <c r="H171" i="154" s="1"/>
  <c r="G170" i="154"/>
  <c r="F170" i="154"/>
  <c r="F169" i="154"/>
  <c r="L169" i="154" s="1"/>
  <c r="F168" i="154"/>
  <c r="J168" i="154" s="1"/>
  <c r="F167" i="154"/>
  <c r="H167" i="154" s="1"/>
  <c r="E166" i="154"/>
  <c r="F166" i="154" s="1"/>
  <c r="L166" i="154" s="1"/>
  <c r="K165" i="154"/>
  <c r="F165" i="154"/>
  <c r="I164" i="154"/>
  <c r="F164" i="154"/>
  <c r="L164" i="154" s="1"/>
  <c r="F160" i="154"/>
  <c r="L160" i="154" s="1"/>
  <c r="F159" i="154"/>
  <c r="H159" i="154" s="1"/>
  <c r="G158" i="154"/>
  <c r="F158" i="154"/>
  <c r="F157" i="154"/>
  <c r="F156" i="154"/>
  <c r="E155" i="154"/>
  <c r="F155" i="154" s="1"/>
  <c r="K154" i="154"/>
  <c r="E154" i="154"/>
  <c r="F154" i="154" s="1"/>
  <c r="I153" i="154"/>
  <c r="F153" i="154"/>
  <c r="L153" i="154" s="1"/>
  <c r="G147" i="154"/>
  <c r="E144" i="154"/>
  <c r="K143" i="154"/>
  <c r="E143" i="154"/>
  <c r="I142" i="154"/>
  <c r="F140" i="154"/>
  <c r="F149" i="154" s="1"/>
  <c r="H149" i="154" s="1"/>
  <c r="G136" i="154"/>
  <c r="E133" i="154"/>
  <c r="K132" i="154"/>
  <c r="E132" i="154"/>
  <c r="I131" i="154"/>
  <c r="F129" i="154"/>
  <c r="F127" i="154"/>
  <c r="J127" i="154" s="1"/>
  <c r="F126" i="154"/>
  <c r="G125" i="154"/>
  <c r="F125" i="154"/>
  <c r="F124" i="154"/>
  <c r="J124" i="154" s="1"/>
  <c r="F123" i="154"/>
  <c r="E122" i="154"/>
  <c r="F122" i="154" s="1"/>
  <c r="K121" i="154"/>
  <c r="E121" i="154"/>
  <c r="F121" i="154" s="1"/>
  <c r="I120" i="154"/>
  <c r="F120" i="154"/>
  <c r="H120" i="154" s="1"/>
  <c r="G114" i="154"/>
  <c r="F112" i="154"/>
  <c r="F111" i="154"/>
  <c r="E110" i="154"/>
  <c r="K109" i="154"/>
  <c r="E109" i="154"/>
  <c r="I108" i="154"/>
  <c r="G102" i="154"/>
  <c r="F100" i="154"/>
  <c r="L100" i="154" s="1"/>
  <c r="E99" i="154"/>
  <c r="K98" i="154"/>
  <c r="E98" i="154"/>
  <c r="I97" i="154"/>
  <c r="F95" i="154"/>
  <c r="H93" i="154"/>
  <c r="F93" i="154"/>
  <c r="L93" i="154" s="1"/>
  <c r="F92" i="154"/>
  <c r="G91" i="154"/>
  <c r="F91" i="154"/>
  <c r="L91" i="154" s="1"/>
  <c r="F90" i="154"/>
  <c r="L90" i="154" s="1"/>
  <c r="F89" i="154"/>
  <c r="H89" i="154" s="1"/>
  <c r="E88" i="154"/>
  <c r="F88" i="154" s="1"/>
  <c r="K87" i="154"/>
  <c r="E87" i="154"/>
  <c r="F87" i="154" s="1"/>
  <c r="J87" i="154" s="1"/>
  <c r="I86" i="154"/>
  <c r="F86" i="154"/>
  <c r="H86" i="154" s="1"/>
  <c r="F82" i="154"/>
  <c r="L82" i="154" s="1"/>
  <c r="F81" i="154"/>
  <c r="L81" i="154" s="1"/>
  <c r="G80" i="154"/>
  <c r="F80" i="154"/>
  <c r="F79" i="154"/>
  <c r="L79" i="154" s="1"/>
  <c r="F78" i="154"/>
  <c r="L78" i="154" s="1"/>
  <c r="E77" i="154"/>
  <c r="F77" i="154" s="1"/>
  <c r="L77" i="154" s="1"/>
  <c r="K76" i="154"/>
  <c r="E76" i="154"/>
  <c r="F76" i="154" s="1"/>
  <c r="I75" i="154"/>
  <c r="F75" i="154"/>
  <c r="L75" i="154" s="1"/>
  <c r="F71" i="154"/>
  <c r="H71" i="154" s="1"/>
  <c r="F70" i="154"/>
  <c r="L70" i="154" s="1"/>
  <c r="G69" i="154"/>
  <c r="F69" i="154"/>
  <c r="F68" i="154"/>
  <c r="H68" i="154" s="1"/>
  <c r="L67" i="154"/>
  <c r="F67" i="154"/>
  <c r="J67" i="154" s="1"/>
  <c r="E66" i="154"/>
  <c r="F66" i="154" s="1"/>
  <c r="K65" i="154"/>
  <c r="E65" i="154"/>
  <c r="F65" i="154" s="1"/>
  <c r="I64" i="154"/>
  <c r="F64" i="154"/>
  <c r="H64" i="154" s="1"/>
  <c r="F60" i="154"/>
  <c r="L60" i="154" s="1"/>
  <c r="F59" i="154"/>
  <c r="J59" i="154" s="1"/>
  <c r="G58" i="154"/>
  <c r="F58" i="154"/>
  <c r="J58" i="154" s="1"/>
  <c r="F57" i="154"/>
  <c r="L57" i="154" s="1"/>
  <c r="F56" i="154"/>
  <c r="H56" i="154" s="1"/>
  <c r="E55" i="154"/>
  <c r="F55" i="154" s="1"/>
  <c r="L55" i="154" s="1"/>
  <c r="I54" i="154"/>
  <c r="F54" i="154"/>
  <c r="E50" i="154"/>
  <c r="F47" i="154"/>
  <c r="F38" i="154"/>
  <c r="L38" i="154" s="1"/>
  <c r="I37" i="154"/>
  <c r="F37" i="154"/>
  <c r="E33" i="154"/>
  <c r="F33" i="154" s="1"/>
  <c r="L33" i="154" s="1"/>
  <c r="I32" i="154"/>
  <c r="E32" i="154"/>
  <c r="F32" i="154" s="1"/>
  <c r="I27" i="154"/>
  <c r="E27" i="154"/>
  <c r="F25" i="154"/>
  <c r="I22" i="154"/>
  <c r="E22" i="154"/>
  <c r="F20" i="154"/>
  <c r="F40" i="154" s="1"/>
  <c r="F18" i="154"/>
  <c r="J18" i="154" s="1"/>
  <c r="I17" i="154"/>
  <c r="E17" i="154"/>
  <c r="F17" i="154" s="1"/>
  <c r="J86" i="157" l="1"/>
  <c r="F21" i="158"/>
  <c r="H21" i="158" s="1"/>
  <c r="H247" i="154"/>
  <c r="J522" i="154"/>
  <c r="L523" i="154"/>
  <c r="F531" i="154"/>
  <c r="J531" i="154" s="1"/>
  <c r="H43" i="159"/>
  <c r="L58" i="154"/>
  <c r="H100" i="154"/>
  <c r="H127" i="154"/>
  <c r="J167" i="154"/>
  <c r="H264" i="154"/>
  <c r="L269" i="154"/>
  <c r="H271" i="154"/>
  <c r="L65" i="155"/>
  <c r="L125" i="156"/>
  <c r="J139" i="156"/>
  <c r="F15" i="155"/>
  <c r="L15" i="155" s="1"/>
  <c r="J80" i="155"/>
  <c r="M110" i="155"/>
  <c r="H14" i="156"/>
  <c r="J119" i="156"/>
  <c r="L164" i="156"/>
  <c r="H189" i="156"/>
  <c r="J39" i="157"/>
  <c r="J59" i="157"/>
  <c r="J93" i="157"/>
  <c r="H59" i="154"/>
  <c r="M59" i="154" s="1"/>
  <c r="J68" i="154"/>
  <c r="H153" i="154"/>
  <c r="H169" i="154"/>
  <c r="L191" i="154"/>
  <c r="M495" i="154"/>
  <c r="F505" i="154"/>
  <c r="F510" i="154" s="1"/>
  <c r="J510" i="154" s="1"/>
  <c r="F26" i="155"/>
  <c r="L26" i="155" s="1"/>
  <c r="J140" i="156"/>
  <c r="J137" i="156" s="1"/>
  <c r="I137" i="156" s="1"/>
  <c r="H25" i="157"/>
  <c r="M79" i="157"/>
  <c r="F18" i="159"/>
  <c r="L18" i="159" s="1"/>
  <c r="L59" i="154"/>
  <c r="H67" i="154"/>
  <c r="H203" i="154"/>
  <c r="H75" i="155"/>
  <c r="M112" i="155"/>
  <c r="M120" i="155"/>
  <c r="M124" i="155"/>
  <c r="L112" i="156"/>
  <c r="K112" i="156" s="1"/>
  <c r="L163" i="156"/>
  <c r="L161" i="156" s="1"/>
  <c r="K161" i="156" s="1"/>
  <c r="J58" i="157"/>
  <c r="M88" i="157"/>
  <c r="F33" i="159"/>
  <c r="J33" i="159" s="1"/>
  <c r="M330" i="154"/>
  <c r="F452" i="154"/>
  <c r="J452" i="154" s="1"/>
  <c r="M480" i="154"/>
  <c r="J78" i="154"/>
  <c r="J90" i="154"/>
  <c r="J120" i="154"/>
  <c r="L157" i="154"/>
  <c r="H157" i="154"/>
  <c r="L248" i="154"/>
  <c r="H248" i="154"/>
  <c r="H255" i="154"/>
  <c r="L255" i="154"/>
  <c r="L325" i="154"/>
  <c r="H325" i="154"/>
  <c r="L381" i="154"/>
  <c r="J381" i="154"/>
  <c r="F446" i="154"/>
  <c r="L446" i="154" s="1"/>
  <c r="F528" i="154"/>
  <c r="L528" i="154" s="1"/>
  <c r="F530" i="154"/>
  <c r="F50" i="156"/>
  <c r="L50" i="156" s="1"/>
  <c r="F49" i="156"/>
  <c r="L49" i="156" s="1"/>
  <c r="L100" i="156"/>
  <c r="J100" i="156"/>
  <c r="L27" i="157"/>
  <c r="K27" i="157" s="1"/>
  <c r="J83" i="157"/>
  <c r="H83" i="157"/>
  <c r="F50" i="154"/>
  <c r="J50" i="154" s="1"/>
  <c r="H78" i="154"/>
  <c r="H90" i="154"/>
  <c r="M90" i="154" s="1"/>
  <c r="J93" i="154"/>
  <c r="M93" i="154" s="1"/>
  <c r="J100" i="154"/>
  <c r="M100" i="154" s="1"/>
  <c r="L121" i="154"/>
  <c r="L127" i="154"/>
  <c r="F147" i="154"/>
  <c r="J147" i="154" s="1"/>
  <c r="L189" i="154"/>
  <c r="H189" i="154"/>
  <c r="J198" i="154"/>
  <c r="L204" i="154"/>
  <c r="H204" i="154"/>
  <c r="J209" i="154"/>
  <c r="L214" i="154"/>
  <c r="L226" i="154"/>
  <c r="H226" i="154"/>
  <c r="F231" i="154"/>
  <c r="L231" i="154" s="1"/>
  <c r="L279" i="154"/>
  <c r="H279" i="154"/>
  <c r="J325" i="154"/>
  <c r="H355" i="154"/>
  <c r="J355" i="154"/>
  <c r="L522" i="154"/>
  <c r="L520" i="154" s="1"/>
  <c r="K520" i="154" s="1"/>
  <c r="H522" i="154"/>
  <c r="M104" i="155"/>
  <c r="H108" i="155"/>
  <c r="J108" i="155"/>
  <c r="F25" i="156"/>
  <c r="H25" i="156" s="1"/>
  <c r="L79" i="156"/>
  <c r="L77" i="156" s="1"/>
  <c r="K77" i="156" s="1"/>
  <c r="H85" i="156"/>
  <c r="H82" i="156" s="1"/>
  <c r="G82" i="156" s="1"/>
  <c r="L85" i="156"/>
  <c r="H105" i="156"/>
  <c r="J105" i="156"/>
  <c r="H183" i="156"/>
  <c r="L183" i="156"/>
  <c r="J183" i="156"/>
  <c r="L36" i="157"/>
  <c r="L44" i="157"/>
  <c r="J54" i="157"/>
  <c r="H54" i="157"/>
  <c r="J64" i="157"/>
  <c r="J78" i="157"/>
  <c r="L78" i="157"/>
  <c r="L83" i="157"/>
  <c r="L85" i="157"/>
  <c r="H85" i="157"/>
  <c r="L167" i="154"/>
  <c r="M167" i="154" s="1"/>
  <c r="J203" i="154"/>
  <c r="L220" i="154"/>
  <c r="J247" i="154"/>
  <c r="M247" i="154" s="1"/>
  <c r="H270" i="154"/>
  <c r="M270" i="154" s="1"/>
  <c r="J270" i="154"/>
  <c r="F311" i="154"/>
  <c r="H311" i="154" s="1"/>
  <c r="F310" i="154"/>
  <c r="L310" i="154" s="1"/>
  <c r="M328" i="154"/>
  <c r="F374" i="154"/>
  <c r="L374" i="154" s="1"/>
  <c r="J378" i="154"/>
  <c r="F400" i="154"/>
  <c r="H400" i="154" s="1"/>
  <c r="F414" i="154"/>
  <c r="L414" i="154" s="1"/>
  <c r="L412" i="154" s="1"/>
  <c r="K412" i="154" s="1"/>
  <c r="M415" i="154"/>
  <c r="F16" i="155"/>
  <c r="J16" i="155" s="1"/>
  <c r="F25" i="155"/>
  <c r="L25" i="155" s="1"/>
  <c r="L23" i="155" s="1"/>
  <c r="K23" i="155" s="1"/>
  <c r="J60" i="155"/>
  <c r="J65" i="155"/>
  <c r="J90" i="155"/>
  <c r="J88" i="155" s="1"/>
  <c r="I88" i="155" s="1"/>
  <c r="L90" i="155"/>
  <c r="L88" i="155" s="1"/>
  <c r="K88" i="155" s="1"/>
  <c r="M100" i="155"/>
  <c r="M105" i="155"/>
  <c r="M111" i="155"/>
  <c r="M121" i="155"/>
  <c r="L14" i="156"/>
  <c r="L12" i="156" s="1"/>
  <c r="K12" i="156" s="1"/>
  <c r="F40" i="156"/>
  <c r="J79" i="156"/>
  <c r="M79" i="156" s="1"/>
  <c r="J99" i="156"/>
  <c r="L119" i="156"/>
  <c r="L117" i="156" s="1"/>
  <c r="K117" i="156" s="1"/>
  <c r="M154" i="156"/>
  <c r="M152" i="156" s="1"/>
  <c r="J163" i="156"/>
  <c r="M163" i="156" s="1"/>
  <c r="J189" i="156"/>
  <c r="L25" i="157"/>
  <c r="M25" i="157" s="1"/>
  <c r="J29" i="157"/>
  <c r="L59" i="157"/>
  <c r="M59" i="157" s="1"/>
  <c r="J63" i="157"/>
  <c r="M91" i="157"/>
  <c r="M92" i="157"/>
  <c r="L93" i="157"/>
  <c r="M93" i="157" s="1"/>
  <c r="M95" i="157"/>
  <c r="M99" i="157"/>
  <c r="M104" i="157"/>
  <c r="M108" i="157"/>
  <c r="M112" i="157"/>
  <c r="M116" i="157"/>
  <c r="M120" i="157"/>
  <c r="F14" i="159"/>
  <c r="L14" i="159" s="1"/>
  <c r="L12" i="159" s="1"/>
  <c r="K12" i="159" s="1"/>
  <c r="L122" i="154"/>
  <c r="H122" i="154"/>
  <c r="L177" i="154"/>
  <c r="H177" i="154"/>
  <c r="L66" i="154"/>
  <c r="J66" i="154"/>
  <c r="L54" i="154"/>
  <c r="J54" i="154"/>
  <c r="L111" i="154"/>
  <c r="H111" i="154"/>
  <c r="L125" i="154"/>
  <c r="H125" i="154"/>
  <c r="H223" i="154"/>
  <c r="J223" i="154"/>
  <c r="L268" i="154"/>
  <c r="H268" i="154"/>
  <c r="F422" i="154"/>
  <c r="J422" i="154" s="1"/>
  <c r="F419" i="154"/>
  <c r="L419" i="154" s="1"/>
  <c r="F423" i="154"/>
  <c r="F420" i="154"/>
  <c r="H420" i="154" s="1"/>
  <c r="H145" i="156"/>
  <c r="H142" i="156" s="1"/>
  <c r="G142" i="156" s="1"/>
  <c r="L145" i="156"/>
  <c r="J145" i="156"/>
  <c r="J20" i="157"/>
  <c r="L20" i="157"/>
  <c r="J87" i="157"/>
  <c r="H87" i="157"/>
  <c r="L87" i="157"/>
  <c r="F27" i="158"/>
  <c r="L27" i="158" s="1"/>
  <c r="F34" i="158"/>
  <c r="H54" i="154"/>
  <c r="J89" i="154"/>
  <c r="H92" i="154"/>
  <c r="L92" i="154"/>
  <c r="L156" i="154"/>
  <c r="H156" i="154"/>
  <c r="L212" i="154"/>
  <c r="H212" i="154"/>
  <c r="J212" i="154"/>
  <c r="L242" i="154"/>
  <c r="J242" i="154"/>
  <c r="F303" i="154"/>
  <c r="J303" i="154" s="1"/>
  <c r="F302" i="154"/>
  <c r="H302" i="154" s="1"/>
  <c r="F299" i="154"/>
  <c r="J299" i="154" s="1"/>
  <c r="H106" i="155"/>
  <c r="L106" i="155"/>
  <c r="L18" i="154"/>
  <c r="F49" i="154"/>
  <c r="H49" i="154" s="1"/>
  <c r="J56" i="154"/>
  <c r="M67" i="154"/>
  <c r="H70" i="154"/>
  <c r="H81" i="154"/>
  <c r="J92" i="154"/>
  <c r="H124" i="154"/>
  <c r="F137" i="154"/>
  <c r="L137" i="154" s="1"/>
  <c r="F136" i="154"/>
  <c r="H136" i="154" s="1"/>
  <c r="J156" i="154"/>
  <c r="H165" i="154"/>
  <c r="J165" i="154"/>
  <c r="L180" i="154"/>
  <c r="J180" i="154"/>
  <c r="H182" i="154"/>
  <c r="J182" i="154"/>
  <c r="L182" i="154"/>
  <c r="L192" i="154"/>
  <c r="H192" i="154"/>
  <c r="L224" i="154"/>
  <c r="H224" i="154"/>
  <c r="J224" i="154"/>
  <c r="J253" i="154"/>
  <c r="L254" i="154"/>
  <c r="J266" i="154"/>
  <c r="L266" i="154"/>
  <c r="F27" i="154"/>
  <c r="J27" i="154" s="1"/>
  <c r="L56" i="154"/>
  <c r="L69" i="154"/>
  <c r="J69" i="154"/>
  <c r="J70" i="154"/>
  <c r="L80" i="154"/>
  <c r="J80" i="154"/>
  <c r="J81" i="154"/>
  <c r="F106" i="154"/>
  <c r="F109" i="154" s="1"/>
  <c r="H109" i="154" s="1"/>
  <c r="L124" i="154"/>
  <c r="F133" i="154"/>
  <c r="J133" i="154" s="1"/>
  <c r="L159" i="154"/>
  <c r="J159" i="154"/>
  <c r="J164" i="154"/>
  <c r="H164" i="154"/>
  <c r="L171" i="154"/>
  <c r="J171" i="154"/>
  <c r="H180" i="154"/>
  <c r="H186" i="154"/>
  <c r="J186" i="154"/>
  <c r="H201" i="154"/>
  <c r="J211" i="154"/>
  <c r="H211" i="154"/>
  <c r="H213" i="154"/>
  <c r="L215" i="154"/>
  <c r="H215" i="154"/>
  <c r="J215" i="154"/>
  <c r="J225" i="154"/>
  <c r="L225" i="154"/>
  <c r="H241" i="154"/>
  <c r="J241" i="154"/>
  <c r="H245" i="154"/>
  <c r="L252" i="154"/>
  <c r="H252" i="154"/>
  <c r="H257" i="154"/>
  <c r="H267" i="154"/>
  <c r="J267" i="154"/>
  <c r="L267" i="154"/>
  <c r="H414" i="154"/>
  <c r="H412" i="154" s="1"/>
  <c r="G412" i="154" s="1"/>
  <c r="H99" i="156"/>
  <c r="L99" i="156"/>
  <c r="L97" i="156" s="1"/>
  <c r="K97" i="156" s="1"/>
  <c r="J134" i="156"/>
  <c r="L134" i="156"/>
  <c r="L132" i="156" s="1"/>
  <c r="K132" i="156" s="1"/>
  <c r="M96" i="157"/>
  <c r="M100" i="157"/>
  <c r="M105" i="157"/>
  <c r="M109" i="157"/>
  <c r="M113" i="157"/>
  <c r="M117" i="157"/>
  <c r="H278" i="154"/>
  <c r="L278" i="154"/>
  <c r="L518" i="154"/>
  <c r="J518" i="154"/>
  <c r="H518" i="154"/>
  <c r="J94" i="156"/>
  <c r="L94" i="156"/>
  <c r="L92" i="156" s="1"/>
  <c r="K92" i="156" s="1"/>
  <c r="L178" i="156"/>
  <c r="J178" i="156"/>
  <c r="H194" i="156"/>
  <c r="J194" i="156"/>
  <c r="H76" i="157"/>
  <c r="J76" i="157"/>
  <c r="F30" i="158"/>
  <c r="L30" i="158" s="1"/>
  <c r="M56" i="154"/>
  <c r="J71" i="154"/>
  <c r="L168" i="154"/>
  <c r="H168" i="154"/>
  <c r="H179" i="154"/>
  <c r="J179" i="154"/>
  <c r="L179" i="154"/>
  <c r="L200" i="154"/>
  <c r="J200" i="154"/>
  <c r="H200" i="154"/>
  <c r="H219" i="154"/>
  <c r="L223" i="154"/>
  <c r="L244" i="154"/>
  <c r="H244" i="154"/>
  <c r="J244" i="154"/>
  <c r="L256" i="154"/>
  <c r="H256" i="154"/>
  <c r="J256" i="154"/>
  <c r="F273" i="154"/>
  <c r="F282" i="154" s="1"/>
  <c r="H119" i="155"/>
  <c r="J119" i="155"/>
  <c r="H65" i="156"/>
  <c r="L65" i="156"/>
  <c r="J65" i="156"/>
  <c r="H188" i="156"/>
  <c r="L76" i="157"/>
  <c r="H81" i="157"/>
  <c r="J81" i="157"/>
  <c r="L81" i="157"/>
  <c r="F28" i="154"/>
  <c r="J28" i="154" s="1"/>
  <c r="J37" i="154"/>
  <c r="L37" i="154"/>
  <c r="L35" i="154" s="1"/>
  <c r="K35" i="154" s="1"/>
  <c r="L89" i="154"/>
  <c r="H160" i="154"/>
  <c r="H175" i="154"/>
  <c r="H242" i="154"/>
  <c r="J106" i="155"/>
  <c r="L119" i="155"/>
  <c r="H29" i="156"/>
  <c r="L29" i="156"/>
  <c r="F54" i="156"/>
  <c r="H54" i="156" s="1"/>
  <c r="F55" i="156"/>
  <c r="L55" i="156" s="1"/>
  <c r="L60" i="156"/>
  <c r="J60" i="156"/>
  <c r="L149" i="156"/>
  <c r="J149" i="156"/>
  <c r="L168" i="156"/>
  <c r="H168" i="156"/>
  <c r="H166" i="156" s="1"/>
  <c r="G166" i="156" s="1"/>
  <c r="L40" i="157"/>
  <c r="J40" i="157"/>
  <c r="F22" i="154"/>
  <c r="J22" i="154" s="1"/>
  <c r="H58" i="154"/>
  <c r="F102" i="154"/>
  <c r="J102" i="154" s="1"/>
  <c r="L187" i="154"/>
  <c r="J191" i="154"/>
  <c r="L198" i="154"/>
  <c r="L209" i="154"/>
  <c r="J255" i="154"/>
  <c r="L259" i="154"/>
  <c r="H259" i="154"/>
  <c r="F372" i="154"/>
  <c r="L372" i="154" s="1"/>
  <c r="H374" i="154"/>
  <c r="F490" i="154"/>
  <c r="L490" i="154" s="1"/>
  <c r="L517" i="154"/>
  <c r="J517" i="154"/>
  <c r="F541" i="154"/>
  <c r="H541" i="154" s="1"/>
  <c r="F539" i="154"/>
  <c r="J539" i="154" s="1"/>
  <c r="L539" i="154" s="1"/>
  <c r="F552" i="154"/>
  <c r="H552" i="154" s="1"/>
  <c r="F551" i="154"/>
  <c r="J551" i="154" s="1"/>
  <c r="M116" i="155"/>
  <c r="M117" i="155"/>
  <c r="H59" i="156"/>
  <c r="J59" i="156"/>
  <c r="L59" i="156"/>
  <c r="H139" i="156"/>
  <c r="L139" i="156"/>
  <c r="L137" i="156" s="1"/>
  <c r="K137" i="156" s="1"/>
  <c r="L158" i="156"/>
  <c r="J158" i="156"/>
  <c r="M22" i="157"/>
  <c r="J47" i="157"/>
  <c r="M47" i="157" s="1"/>
  <c r="H53" i="157"/>
  <c r="J53" i="157"/>
  <c r="M53" i="157" s="1"/>
  <c r="J68" i="157"/>
  <c r="L68" i="157"/>
  <c r="L66" i="157" s="1"/>
  <c r="L84" i="157"/>
  <c r="J84" i="157"/>
  <c r="L260" i="154"/>
  <c r="H260" i="154"/>
  <c r="H281" i="154"/>
  <c r="J281" i="154"/>
  <c r="L281" i="154"/>
  <c r="H358" i="154"/>
  <c r="J358" i="154"/>
  <c r="L358" i="154"/>
  <c r="F391" i="154"/>
  <c r="L391" i="154" s="1"/>
  <c r="F392" i="154"/>
  <c r="H392" i="154" s="1"/>
  <c r="F393" i="154"/>
  <c r="J393" i="154" s="1"/>
  <c r="F488" i="154"/>
  <c r="L488" i="154" s="1"/>
  <c r="M113" i="155"/>
  <c r="H115" i="155"/>
  <c r="J115" i="155"/>
  <c r="L115" i="155"/>
  <c r="J169" i="156"/>
  <c r="L169" i="156"/>
  <c r="H174" i="156"/>
  <c r="J174" i="156"/>
  <c r="J198" i="156"/>
  <c r="L198" i="156"/>
  <c r="H31" i="157"/>
  <c r="J31" i="157"/>
  <c r="J74" i="157"/>
  <c r="H74" i="157"/>
  <c r="L74" i="157"/>
  <c r="F39" i="159"/>
  <c r="L39" i="159" s="1"/>
  <c r="L37" i="159" s="1"/>
  <c r="K37" i="159" s="1"/>
  <c r="J265" i="154"/>
  <c r="H280" i="154"/>
  <c r="F320" i="154"/>
  <c r="F319" i="154"/>
  <c r="Q320" i="154"/>
  <c r="M327" i="154"/>
  <c r="H378" i="154"/>
  <c r="M378" i="154" s="1"/>
  <c r="J387" i="154"/>
  <c r="F454" i="154"/>
  <c r="M470" i="154"/>
  <c r="M547" i="154"/>
  <c r="L33" i="155"/>
  <c r="K33" i="155" s="1"/>
  <c r="M103" i="155"/>
  <c r="M107" i="155"/>
  <c r="M122" i="155"/>
  <c r="J50" i="156"/>
  <c r="J74" i="156"/>
  <c r="J80" i="156"/>
  <c r="J85" i="156"/>
  <c r="J114" i="156"/>
  <c r="J120" i="156"/>
  <c r="J125" i="156"/>
  <c r="M125" i="156" s="1"/>
  <c r="J164" i="156"/>
  <c r="M164" i="156" s="1"/>
  <c r="J168" i="156"/>
  <c r="L184" i="156"/>
  <c r="M23" i="157"/>
  <c r="H29" i="157"/>
  <c r="M29" i="157" s="1"/>
  <c r="H58" i="157"/>
  <c r="M58" i="157" s="1"/>
  <c r="H63" i="157"/>
  <c r="H78" i="157"/>
  <c r="M78" i="157" s="1"/>
  <c r="M89" i="157"/>
  <c r="M97" i="157"/>
  <c r="M102" i="157"/>
  <c r="M106" i="157"/>
  <c r="M110" i="157"/>
  <c r="M114" i="157"/>
  <c r="M118" i="157"/>
  <c r="F19" i="159"/>
  <c r="L19" i="159" s="1"/>
  <c r="M27" i="159"/>
  <c r="J43" i="159"/>
  <c r="M43" i="159" s="1"/>
  <c r="L41" i="159"/>
  <c r="K41" i="159" s="1"/>
  <c r="M329" i="154"/>
  <c r="F399" i="154"/>
  <c r="J399" i="154" s="1"/>
  <c r="F429" i="154"/>
  <c r="L429" i="154" s="1"/>
  <c r="F462" i="154"/>
  <c r="L462" i="154" s="1"/>
  <c r="F487" i="154"/>
  <c r="L487" i="154" s="1"/>
  <c r="L83" i="155"/>
  <c r="K83" i="155" s="1"/>
  <c r="M102" i="155"/>
  <c r="M109" i="155"/>
  <c r="M114" i="155"/>
  <c r="M118" i="155"/>
  <c r="M123" i="155"/>
  <c r="J44" i="156"/>
  <c r="H50" i="156"/>
  <c r="J188" i="156"/>
  <c r="L56" i="157"/>
  <c r="K56" i="157" s="1"/>
  <c r="M94" i="157"/>
  <c r="M98" i="157"/>
  <c r="M103" i="157"/>
  <c r="M107" i="157"/>
  <c r="M111" i="157"/>
  <c r="M115" i="157"/>
  <c r="M119" i="157"/>
  <c r="F24" i="159"/>
  <c r="L24" i="159" s="1"/>
  <c r="L28" i="159"/>
  <c r="J28" i="159"/>
  <c r="H28" i="159"/>
  <c r="J24" i="159"/>
  <c r="L20" i="159"/>
  <c r="J20" i="159"/>
  <c r="H20" i="159"/>
  <c r="H35" i="159"/>
  <c r="L35" i="159"/>
  <c r="J35" i="159"/>
  <c r="H44" i="159"/>
  <c r="F34" i="159"/>
  <c r="J44" i="159"/>
  <c r="F25" i="159"/>
  <c r="F26" i="159"/>
  <c r="F29" i="159"/>
  <c r="J21" i="158"/>
  <c r="J27" i="158"/>
  <c r="F14" i="158"/>
  <c r="F16" i="158" s="1"/>
  <c r="F23" i="158"/>
  <c r="F29" i="158"/>
  <c r="F32" i="158"/>
  <c r="F22" i="158"/>
  <c r="F28" i="158"/>
  <c r="F31" i="158"/>
  <c r="F20" i="158"/>
  <c r="M39" i="157"/>
  <c r="M54" i="157"/>
  <c r="L61" i="157"/>
  <c r="K61" i="157" s="1"/>
  <c r="L21" i="157"/>
  <c r="J21" i="157"/>
  <c r="H21" i="157"/>
  <c r="M63" i="157"/>
  <c r="L15" i="157"/>
  <c r="L13" i="157" s="1"/>
  <c r="K13" i="157" s="1"/>
  <c r="J15" i="157"/>
  <c r="H15" i="157"/>
  <c r="L52" i="157"/>
  <c r="J52" i="157"/>
  <c r="H52" i="157"/>
  <c r="J37" i="157"/>
  <c r="H37" i="157"/>
  <c r="L37" i="157"/>
  <c r="J45" i="157"/>
  <c r="H45" i="157"/>
  <c r="L45" i="157"/>
  <c r="H16" i="157"/>
  <c r="H24" i="157"/>
  <c r="H30" i="157"/>
  <c r="J36" i="157"/>
  <c r="J44" i="157"/>
  <c r="M44" i="157" s="1"/>
  <c r="L53" i="157"/>
  <c r="H64" i="157"/>
  <c r="H75" i="157"/>
  <c r="H80" i="157"/>
  <c r="L86" i="157"/>
  <c r="M86" i="157" s="1"/>
  <c r="H90" i="157"/>
  <c r="J16" i="157"/>
  <c r="J24" i="157"/>
  <c r="J30" i="157"/>
  <c r="J75" i="157"/>
  <c r="J80" i="157"/>
  <c r="J90" i="157"/>
  <c r="H32" i="157"/>
  <c r="H38" i="157"/>
  <c r="H34" i="157" s="1"/>
  <c r="G34" i="157" s="1"/>
  <c r="H46" i="157"/>
  <c r="H51" i="157"/>
  <c r="H69" i="157"/>
  <c r="H77" i="157"/>
  <c r="H82" i="157"/>
  <c r="J32" i="157"/>
  <c r="J38" i="157"/>
  <c r="J46" i="157"/>
  <c r="J69" i="157"/>
  <c r="J77" i="157"/>
  <c r="J82" i="157"/>
  <c r="H20" i="157"/>
  <c r="J51" i="157"/>
  <c r="H68" i="157"/>
  <c r="H84" i="157"/>
  <c r="M84" i="157" s="1"/>
  <c r="J54" i="156"/>
  <c r="L90" i="156"/>
  <c r="L87" i="156" s="1"/>
  <c r="K87" i="156" s="1"/>
  <c r="J90" i="156"/>
  <c r="L124" i="156"/>
  <c r="J124" i="156"/>
  <c r="L159" i="156"/>
  <c r="J159" i="156"/>
  <c r="H159" i="156"/>
  <c r="F34" i="156"/>
  <c r="L64" i="156"/>
  <c r="J64" i="156"/>
  <c r="J62" i="156" s="1"/>
  <c r="I62" i="156" s="1"/>
  <c r="H90" i="156"/>
  <c r="H124" i="156"/>
  <c r="L179" i="156"/>
  <c r="J179" i="156"/>
  <c r="J176" i="156" s="1"/>
  <c r="I176" i="156" s="1"/>
  <c r="H179" i="156"/>
  <c r="H64" i="156"/>
  <c r="L130" i="156"/>
  <c r="L127" i="156" s="1"/>
  <c r="K127" i="156" s="1"/>
  <c r="J130" i="156"/>
  <c r="L150" i="156"/>
  <c r="J150" i="156"/>
  <c r="J147" i="156" s="1"/>
  <c r="I147" i="156" s="1"/>
  <c r="H150" i="156"/>
  <c r="J161" i="156"/>
  <c r="I161" i="156" s="1"/>
  <c r="L25" i="156"/>
  <c r="J25" i="156"/>
  <c r="L24" i="156"/>
  <c r="J24" i="156"/>
  <c r="H24" i="156"/>
  <c r="L40" i="156"/>
  <c r="J40" i="156"/>
  <c r="H40" i="156"/>
  <c r="L70" i="156"/>
  <c r="L67" i="156" s="1"/>
  <c r="K67" i="156" s="1"/>
  <c r="J70" i="156"/>
  <c r="L104" i="156"/>
  <c r="L102" i="156" s="1"/>
  <c r="K102" i="156" s="1"/>
  <c r="J104" i="156"/>
  <c r="J102" i="156" s="1"/>
  <c r="I102" i="156" s="1"/>
  <c r="H130" i="156"/>
  <c r="J181" i="156"/>
  <c r="I181" i="156" s="1"/>
  <c r="L19" i="156"/>
  <c r="J19" i="156"/>
  <c r="J35" i="156"/>
  <c r="H44" i="156"/>
  <c r="L44" i="156"/>
  <c r="J49" i="156"/>
  <c r="J47" i="156" s="1"/>
  <c r="I47" i="156" s="1"/>
  <c r="H70" i="156"/>
  <c r="H104" i="156"/>
  <c r="H161" i="156"/>
  <c r="G161" i="156" s="1"/>
  <c r="L186" i="156"/>
  <c r="K186" i="156" s="1"/>
  <c r="L193" i="156"/>
  <c r="L191" i="156" s="1"/>
  <c r="K191" i="156" s="1"/>
  <c r="J193" i="156"/>
  <c r="H193" i="156"/>
  <c r="L39" i="156"/>
  <c r="L37" i="156" s="1"/>
  <c r="K37" i="156" s="1"/>
  <c r="J39" i="156"/>
  <c r="H39" i="156"/>
  <c r="L84" i="156"/>
  <c r="J84" i="156"/>
  <c r="J82" i="156" s="1"/>
  <c r="I82" i="156" s="1"/>
  <c r="J29" i="156"/>
  <c r="L35" i="156"/>
  <c r="L110" i="156"/>
  <c r="J110" i="156"/>
  <c r="L144" i="156"/>
  <c r="J144" i="156"/>
  <c r="J142" i="156" s="1"/>
  <c r="I142" i="156" s="1"/>
  <c r="H152" i="156"/>
  <c r="G152" i="156" s="1"/>
  <c r="L173" i="156"/>
  <c r="L171" i="156" s="1"/>
  <c r="K171" i="156" s="1"/>
  <c r="J173" i="156"/>
  <c r="H173" i="156"/>
  <c r="J199" i="156"/>
  <c r="H15" i="156"/>
  <c r="F30" i="156"/>
  <c r="H55" i="156"/>
  <c r="H69" i="156"/>
  <c r="H75" i="156"/>
  <c r="H89" i="156"/>
  <c r="H95" i="156"/>
  <c r="H109" i="156"/>
  <c r="H115" i="156"/>
  <c r="H129" i="156"/>
  <c r="H135" i="156"/>
  <c r="L199" i="156"/>
  <c r="J15" i="156"/>
  <c r="J12" i="156" s="1"/>
  <c r="I12" i="156" s="1"/>
  <c r="F45" i="156"/>
  <c r="J55" i="156"/>
  <c r="J75" i="156"/>
  <c r="J95" i="156"/>
  <c r="J115" i="156"/>
  <c r="J135" i="156"/>
  <c r="J132" i="156" s="1"/>
  <c r="I132" i="156" s="1"/>
  <c r="H149" i="156"/>
  <c r="H158" i="156"/>
  <c r="H178" i="156"/>
  <c r="H184" i="156"/>
  <c r="M184" i="156" s="1"/>
  <c r="H198" i="156"/>
  <c r="F20" i="156"/>
  <c r="H60" i="156"/>
  <c r="J69" i="156"/>
  <c r="H74" i="156"/>
  <c r="H80" i="156"/>
  <c r="J89" i="156"/>
  <c r="H94" i="156"/>
  <c r="H100" i="156"/>
  <c r="J109" i="156"/>
  <c r="J107" i="156" s="1"/>
  <c r="I107" i="156" s="1"/>
  <c r="H114" i="156"/>
  <c r="H120" i="156"/>
  <c r="J129" i="156"/>
  <c r="H134" i="156"/>
  <c r="H140" i="156"/>
  <c r="H40" i="155"/>
  <c r="L40" i="155"/>
  <c r="J40" i="155"/>
  <c r="H30" i="155"/>
  <c r="J30" i="155"/>
  <c r="L30" i="155"/>
  <c r="H55" i="155"/>
  <c r="L55" i="155"/>
  <c r="J55" i="155"/>
  <c r="L63" i="155"/>
  <c r="K63" i="155" s="1"/>
  <c r="J31" i="155"/>
  <c r="H31" i="155"/>
  <c r="L31" i="155"/>
  <c r="L76" i="155"/>
  <c r="L73" i="155" s="1"/>
  <c r="K73" i="155" s="1"/>
  <c r="J76" i="155"/>
  <c r="H76" i="155"/>
  <c r="L16" i="155"/>
  <c r="J15" i="155"/>
  <c r="H46" i="155"/>
  <c r="J46" i="155"/>
  <c r="L46" i="155"/>
  <c r="L61" i="155"/>
  <c r="L58" i="155" s="1"/>
  <c r="K58" i="155" s="1"/>
  <c r="J61" i="155"/>
  <c r="J58" i="155" s="1"/>
  <c r="I58" i="155" s="1"/>
  <c r="H61" i="155"/>
  <c r="J81" i="155"/>
  <c r="J78" i="155" s="1"/>
  <c r="I78" i="155" s="1"/>
  <c r="H81" i="155"/>
  <c r="H78" i="155" s="1"/>
  <c r="G78" i="155" s="1"/>
  <c r="L81" i="155"/>
  <c r="K92" i="155"/>
  <c r="H20" i="155"/>
  <c r="L20" i="155"/>
  <c r="L18" i="155" s="1"/>
  <c r="K18" i="155" s="1"/>
  <c r="J20" i="155"/>
  <c r="L51" i="155"/>
  <c r="L48" i="155" s="1"/>
  <c r="K48" i="155" s="1"/>
  <c r="J51" i="155"/>
  <c r="H51" i="155"/>
  <c r="M65" i="155"/>
  <c r="J71" i="155"/>
  <c r="H71" i="155"/>
  <c r="L71" i="155"/>
  <c r="L68" i="155" s="1"/>
  <c r="K68" i="155" s="1"/>
  <c r="H36" i="155"/>
  <c r="H70" i="155"/>
  <c r="H35" i="155"/>
  <c r="J36" i="155"/>
  <c r="L80" i="155"/>
  <c r="M80" i="155" s="1"/>
  <c r="H85" i="155"/>
  <c r="J86" i="155"/>
  <c r="H94" i="155"/>
  <c r="H101" i="155"/>
  <c r="H86" i="155"/>
  <c r="J26" i="155"/>
  <c r="J45" i="155"/>
  <c r="H60" i="155"/>
  <c r="J70" i="155"/>
  <c r="J68" i="155" s="1"/>
  <c r="I68" i="155" s="1"/>
  <c r="J101" i="155"/>
  <c r="J35" i="155"/>
  <c r="J33" i="155" s="1"/>
  <c r="I33" i="155" s="1"/>
  <c r="F41" i="155"/>
  <c r="L45" i="155"/>
  <c r="H50" i="155"/>
  <c r="J85" i="155"/>
  <c r="J94" i="155"/>
  <c r="J92" i="155" s="1"/>
  <c r="H21" i="155"/>
  <c r="H66" i="155"/>
  <c r="H90" i="155"/>
  <c r="J21" i="155"/>
  <c r="J50" i="155"/>
  <c r="F56" i="155"/>
  <c r="J66" i="155"/>
  <c r="J63" i="155" s="1"/>
  <c r="I63" i="155" s="1"/>
  <c r="J75" i="155"/>
  <c r="H17" i="154"/>
  <c r="J17" i="154"/>
  <c r="J15" i="154" s="1"/>
  <c r="I15" i="154" s="1"/>
  <c r="L17" i="154"/>
  <c r="L28" i="154"/>
  <c r="L32" i="154"/>
  <c r="L30" i="154" s="1"/>
  <c r="K30" i="154" s="1"/>
  <c r="J32" i="154"/>
  <c r="H32" i="154"/>
  <c r="H50" i="154"/>
  <c r="J88" i="154"/>
  <c r="H88" i="154"/>
  <c r="L88" i="154"/>
  <c r="F42" i="154"/>
  <c r="F43" i="154"/>
  <c r="L76" i="154"/>
  <c r="J76" i="154"/>
  <c r="H76" i="154"/>
  <c r="L22" i="154"/>
  <c r="J65" i="154"/>
  <c r="H65" i="154"/>
  <c r="L65" i="154"/>
  <c r="L155" i="154"/>
  <c r="J155" i="154"/>
  <c r="H155" i="154"/>
  <c r="L222" i="154"/>
  <c r="J222" i="154"/>
  <c r="H222" i="154"/>
  <c r="H33" i="154"/>
  <c r="H55" i="154"/>
  <c r="J64" i="154"/>
  <c r="L68" i="154"/>
  <c r="M68" i="154" s="1"/>
  <c r="L71" i="154"/>
  <c r="H77" i="154"/>
  <c r="H80" i="154"/>
  <c r="L87" i="154"/>
  <c r="H87" i="154"/>
  <c r="L176" i="154"/>
  <c r="J176" i="154"/>
  <c r="H176" i="154"/>
  <c r="L197" i="154"/>
  <c r="J197" i="154"/>
  <c r="H197" i="154"/>
  <c r="L170" i="154"/>
  <c r="J170" i="154"/>
  <c r="H170" i="154"/>
  <c r="J33" i="154"/>
  <c r="J55" i="154"/>
  <c r="L64" i="154"/>
  <c r="J77" i="154"/>
  <c r="L123" i="154"/>
  <c r="J123" i="154"/>
  <c r="H123" i="154"/>
  <c r="L126" i="154"/>
  <c r="J126" i="154"/>
  <c r="H126" i="154"/>
  <c r="M203" i="154"/>
  <c r="J231" i="154"/>
  <c r="H38" i="154"/>
  <c r="H57" i="154"/>
  <c r="H60" i="154"/>
  <c r="H75" i="154"/>
  <c r="H79" i="154"/>
  <c r="H82" i="154"/>
  <c r="H102" i="154"/>
  <c r="L112" i="154"/>
  <c r="J112" i="154"/>
  <c r="H112" i="154"/>
  <c r="L149" i="154"/>
  <c r="J149" i="154"/>
  <c r="J57" i="154"/>
  <c r="J52" i="154" s="1"/>
  <c r="I52" i="154" s="1"/>
  <c r="J60" i="154"/>
  <c r="J79" i="154"/>
  <c r="J82" i="154"/>
  <c r="J121" i="154"/>
  <c r="H121" i="154"/>
  <c r="L188" i="154"/>
  <c r="J188" i="154"/>
  <c r="H188" i="154"/>
  <c r="H18" i="154"/>
  <c r="J38" i="154"/>
  <c r="J35" i="154" s="1"/>
  <c r="I35" i="154" s="1"/>
  <c r="H37" i="154"/>
  <c r="H66" i="154"/>
  <c r="H69" i="154"/>
  <c r="J75" i="154"/>
  <c r="L86" i="154"/>
  <c r="J86" i="154"/>
  <c r="L133" i="154"/>
  <c r="H133" i="154"/>
  <c r="J91" i="154"/>
  <c r="H91" i="154"/>
  <c r="L154" i="154"/>
  <c r="J154" i="154"/>
  <c r="H154" i="154"/>
  <c r="L158" i="154"/>
  <c r="J158" i="154"/>
  <c r="H158" i="154"/>
  <c r="L357" i="154"/>
  <c r="J357" i="154"/>
  <c r="H357" i="154"/>
  <c r="F23" i="154"/>
  <c r="J199" i="154"/>
  <c r="H199" i="154"/>
  <c r="L210" i="154"/>
  <c r="J210" i="154"/>
  <c r="H210" i="154"/>
  <c r="J111" i="154"/>
  <c r="L120" i="154"/>
  <c r="F132" i="154"/>
  <c r="L165" i="154"/>
  <c r="J177" i="154"/>
  <c r="L186" i="154"/>
  <c r="J189" i="154"/>
  <c r="M189" i="154" s="1"/>
  <c r="J192" i="154"/>
  <c r="J201" i="154"/>
  <c r="J204" i="154"/>
  <c r="J213" i="154"/>
  <c r="M213" i="154" s="1"/>
  <c r="J219" i="154"/>
  <c r="H225" i="154"/>
  <c r="L233" i="154"/>
  <c r="J233" i="154"/>
  <c r="L246" i="154"/>
  <c r="J246" i="154"/>
  <c r="H246" i="154"/>
  <c r="L311" i="154"/>
  <c r="F103" i="154"/>
  <c r="F131" i="154"/>
  <c r="F135" i="154"/>
  <c r="F138" i="154"/>
  <c r="F145" i="154"/>
  <c r="F148" i="154"/>
  <c r="F232" i="154"/>
  <c r="F235" i="154"/>
  <c r="F236" i="154"/>
  <c r="F230" i="154"/>
  <c r="L354" i="154"/>
  <c r="J354" i="154"/>
  <c r="H354" i="154"/>
  <c r="H531" i="154"/>
  <c r="L243" i="154"/>
  <c r="J243" i="154"/>
  <c r="H243" i="154"/>
  <c r="L258" i="154"/>
  <c r="J258" i="154"/>
  <c r="H258" i="154"/>
  <c r="H370" i="154"/>
  <c r="L370" i="154"/>
  <c r="J370" i="154"/>
  <c r="H208" i="154"/>
  <c r="H221" i="154"/>
  <c r="J234" i="154"/>
  <c r="H234" i="154"/>
  <c r="J237" i="154"/>
  <c r="H237" i="154"/>
  <c r="F338" i="154"/>
  <c r="F339" i="154"/>
  <c r="F340" i="154"/>
  <c r="F345" i="154"/>
  <c r="F349" i="154"/>
  <c r="F346" i="154"/>
  <c r="F347" i="154"/>
  <c r="F348" i="154"/>
  <c r="H364" i="154"/>
  <c r="L364" i="154"/>
  <c r="F99" i="154"/>
  <c r="J122" i="154"/>
  <c r="J125" i="154"/>
  <c r="F134" i="154"/>
  <c r="F144" i="154"/>
  <c r="J157" i="154"/>
  <c r="M157" i="154" s="1"/>
  <c r="J160" i="154"/>
  <c r="H166" i="154"/>
  <c r="J169" i="154"/>
  <c r="J175" i="154"/>
  <c r="H178" i="154"/>
  <c r="H181" i="154"/>
  <c r="J187" i="154"/>
  <c r="H190" i="154"/>
  <c r="H193" i="154"/>
  <c r="H202" i="154"/>
  <c r="H220" i="154"/>
  <c r="J221" i="154"/>
  <c r="L234" i="154"/>
  <c r="L237" i="154"/>
  <c r="L241" i="154"/>
  <c r="F337" i="154"/>
  <c r="F344" i="154"/>
  <c r="F98" i="154"/>
  <c r="F143" i="154"/>
  <c r="J153" i="154"/>
  <c r="J166" i="154"/>
  <c r="J178" i="154"/>
  <c r="J181" i="154"/>
  <c r="J190" i="154"/>
  <c r="J193" i="154"/>
  <c r="J202" i="154"/>
  <c r="J208" i="154"/>
  <c r="H214" i="154"/>
  <c r="H539" i="154"/>
  <c r="F97" i="154"/>
  <c r="F101" i="154"/>
  <c r="F104" i="154"/>
  <c r="F142" i="154"/>
  <c r="F146" i="154"/>
  <c r="F318" i="154"/>
  <c r="F317" i="154"/>
  <c r="L324" i="154"/>
  <c r="L322" i="154" s="1"/>
  <c r="J324" i="154"/>
  <c r="H324" i="154"/>
  <c r="L253" i="154"/>
  <c r="L265" i="154"/>
  <c r="J268" i="154"/>
  <c r="J271" i="154"/>
  <c r="M271" i="154" s="1"/>
  <c r="J280" i="154"/>
  <c r="M280" i="154" s="1"/>
  <c r="F309" i="154"/>
  <c r="F363" i="154"/>
  <c r="F366" i="154"/>
  <c r="F373" i="154"/>
  <c r="J374" i="154"/>
  <c r="L380" i="154"/>
  <c r="H380" i="154"/>
  <c r="F408" i="154"/>
  <c r="F407" i="154"/>
  <c r="J445" i="154"/>
  <c r="H445" i="154"/>
  <c r="H510" i="154"/>
  <c r="J252" i="154"/>
  <c r="J264" i="154"/>
  <c r="F276" i="154"/>
  <c r="F285" i="154"/>
  <c r="H353" i="154"/>
  <c r="F362" i="154"/>
  <c r="J464" i="154"/>
  <c r="H464" i="154"/>
  <c r="L464" i="154"/>
  <c r="M522" i="154"/>
  <c r="F301" i="154"/>
  <c r="F313" i="154"/>
  <c r="L386" i="154"/>
  <c r="L384" i="154" s="1"/>
  <c r="K384" i="154" s="1"/>
  <c r="J386" i="154"/>
  <c r="J384" i="154" s="1"/>
  <c r="I384" i="154" s="1"/>
  <c r="H386" i="154"/>
  <c r="H399" i="154"/>
  <c r="L406" i="154"/>
  <c r="J406" i="154"/>
  <c r="H406" i="154"/>
  <c r="J468" i="154"/>
  <c r="F473" i="154"/>
  <c r="H468" i="154"/>
  <c r="L468" i="154"/>
  <c r="F275" i="154"/>
  <c r="F300" i="154"/>
  <c r="H308" i="154"/>
  <c r="H326" i="154"/>
  <c r="J353" i="154"/>
  <c r="H356" i="154"/>
  <c r="F365" i="154"/>
  <c r="L420" i="154"/>
  <c r="L423" i="154"/>
  <c r="J423" i="154"/>
  <c r="H423" i="154"/>
  <c r="H490" i="154"/>
  <c r="F545" i="154"/>
  <c r="J245" i="154"/>
  <c r="J248" i="154"/>
  <c r="H254" i="154"/>
  <c r="M254" i="154" s="1"/>
  <c r="J257" i="154"/>
  <c r="J260" i="154"/>
  <c r="H266" i="154"/>
  <c r="H269" i="154"/>
  <c r="M269" i="154" s="1"/>
  <c r="F304" i="154"/>
  <c r="J308" i="154"/>
  <c r="F312" i="154"/>
  <c r="J326" i="154"/>
  <c r="J356" i="154"/>
  <c r="F371" i="154"/>
  <c r="J401" i="154"/>
  <c r="H401" i="154"/>
  <c r="L445" i="154"/>
  <c r="H479" i="154"/>
  <c r="L479" i="154"/>
  <c r="J479" i="154"/>
  <c r="L486" i="154"/>
  <c r="J486" i="154"/>
  <c r="H486" i="154"/>
  <c r="J541" i="154"/>
  <c r="L541" i="154" s="1"/>
  <c r="J552" i="154"/>
  <c r="L552" i="154" s="1"/>
  <c r="L392" i="154"/>
  <c r="H422" i="154"/>
  <c r="J546" i="154"/>
  <c r="L546" i="154" s="1"/>
  <c r="L379" i="154"/>
  <c r="J379" i="154"/>
  <c r="H379" i="154"/>
  <c r="J451" i="154"/>
  <c r="H451" i="154"/>
  <c r="J382" i="154"/>
  <c r="F394" i="154"/>
  <c r="F421" i="154"/>
  <c r="F428" i="154"/>
  <c r="L452" i="154"/>
  <c r="F478" i="154"/>
  <c r="F489" i="154"/>
  <c r="L494" i="154"/>
  <c r="L492" i="154" s="1"/>
  <c r="K492" i="154" s="1"/>
  <c r="H517" i="154"/>
  <c r="H523" i="154"/>
  <c r="M523" i="154" s="1"/>
  <c r="F540" i="154"/>
  <c r="H381" i="154"/>
  <c r="L382" i="154"/>
  <c r="H387" i="154"/>
  <c r="F427" i="154"/>
  <c r="F432" i="154"/>
  <c r="F444" i="154"/>
  <c r="F450" i="154"/>
  <c r="F463" i="154"/>
  <c r="F472" i="154"/>
  <c r="F497" i="154"/>
  <c r="F500" i="154" s="1"/>
  <c r="F529" i="154"/>
  <c r="F469" i="154"/>
  <c r="F474" i="154"/>
  <c r="F532" i="154"/>
  <c r="F538" i="154"/>
  <c r="F398" i="154"/>
  <c r="F402" i="154"/>
  <c r="H430" i="154"/>
  <c r="H446" i="154"/>
  <c r="F461" i="154"/>
  <c r="H462" i="154"/>
  <c r="H471" i="154"/>
  <c r="H524" i="154"/>
  <c r="J430" i="154"/>
  <c r="J446" i="154"/>
  <c r="H452" i="154"/>
  <c r="J471" i="154"/>
  <c r="H494" i="154"/>
  <c r="F511" i="154"/>
  <c r="J524" i="154"/>
  <c r="J520" i="154" l="1"/>
  <c r="I520" i="154" s="1"/>
  <c r="F507" i="154"/>
  <c r="H507" i="154" s="1"/>
  <c r="F508" i="154"/>
  <c r="F509" i="154"/>
  <c r="L509" i="154" s="1"/>
  <c r="L510" i="154"/>
  <c r="J429" i="154"/>
  <c r="M257" i="154"/>
  <c r="H372" i="154"/>
  <c r="L393" i="154"/>
  <c r="L531" i="154"/>
  <c r="H391" i="154"/>
  <c r="L102" i="154"/>
  <c r="M102" i="154" s="1"/>
  <c r="H231" i="154"/>
  <c r="F110" i="154"/>
  <c r="L110" i="154" s="1"/>
  <c r="H22" i="154"/>
  <c r="J48" i="155"/>
  <c r="I48" i="155" s="1"/>
  <c r="L43" i="155"/>
  <c r="K43" i="155" s="1"/>
  <c r="H15" i="155"/>
  <c r="H13" i="155" s="1"/>
  <c r="G13" i="155" s="1"/>
  <c r="L147" i="156"/>
  <c r="K147" i="156" s="1"/>
  <c r="L122" i="156"/>
  <c r="K122" i="156" s="1"/>
  <c r="M52" i="157"/>
  <c r="L21" i="158"/>
  <c r="M21" i="158" s="1"/>
  <c r="L181" i="156"/>
  <c r="K181" i="156" s="1"/>
  <c r="J117" i="156"/>
  <c r="I117" i="156" s="1"/>
  <c r="M14" i="156"/>
  <c r="L57" i="156"/>
  <c r="K57" i="156" s="1"/>
  <c r="M209" i="154"/>
  <c r="M191" i="154"/>
  <c r="M58" i="154"/>
  <c r="H186" i="156"/>
  <c r="G186" i="156" s="1"/>
  <c r="M189" i="156"/>
  <c r="M355" i="154"/>
  <c r="M127" i="154"/>
  <c r="L47" i="156"/>
  <c r="K47" i="156" s="1"/>
  <c r="J56" i="157"/>
  <c r="I56" i="157" s="1"/>
  <c r="M452" i="154"/>
  <c r="M259" i="154"/>
  <c r="F287" i="154"/>
  <c r="F290" i="154" s="1"/>
  <c r="M159" i="154"/>
  <c r="M126" i="154"/>
  <c r="J28" i="155"/>
  <c r="I28" i="155" s="1"/>
  <c r="M211" i="154"/>
  <c r="M164" i="154"/>
  <c r="M215" i="154"/>
  <c r="L125" i="155"/>
  <c r="M105" i="156"/>
  <c r="M83" i="157"/>
  <c r="J400" i="154"/>
  <c r="M400" i="154" s="1"/>
  <c r="J137" i="154"/>
  <c r="M256" i="154"/>
  <c r="M99" i="156"/>
  <c r="M212" i="154"/>
  <c r="L33" i="159"/>
  <c r="L217" i="154"/>
  <c r="K217" i="154" s="1"/>
  <c r="M325" i="154"/>
  <c r="M253" i="154"/>
  <c r="H147" i="154"/>
  <c r="H310" i="154"/>
  <c r="J109" i="154"/>
  <c r="M86" i="155"/>
  <c r="M71" i="155"/>
  <c r="L400" i="154"/>
  <c r="M245" i="154"/>
  <c r="J528" i="154"/>
  <c r="J488" i="154"/>
  <c r="J487" i="154"/>
  <c r="M187" i="154"/>
  <c r="M169" i="154"/>
  <c r="L302" i="154"/>
  <c r="J391" i="154"/>
  <c r="M391" i="154" s="1"/>
  <c r="M18" i="154"/>
  <c r="J310" i="154"/>
  <c r="L109" i="154"/>
  <c r="H28" i="154"/>
  <c r="M28" i="154" s="1"/>
  <c r="H27" i="154"/>
  <c r="J25" i="155"/>
  <c r="J23" i="155" s="1"/>
  <c r="I23" i="155" s="1"/>
  <c r="J171" i="156"/>
  <c r="I171" i="156" s="1"/>
  <c r="L176" i="156"/>
  <c r="K176" i="156" s="1"/>
  <c r="M64" i="157"/>
  <c r="L49" i="157"/>
  <c r="K49" i="157" s="1"/>
  <c r="H33" i="159"/>
  <c r="J39" i="159"/>
  <c r="J37" i="159" s="1"/>
  <c r="I37" i="159" s="1"/>
  <c r="J14" i="159"/>
  <c r="J12" i="159" s="1"/>
  <c r="I12" i="159" s="1"/>
  <c r="J186" i="156"/>
  <c r="I186" i="156" s="1"/>
  <c r="J166" i="156"/>
  <c r="I166" i="156" s="1"/>
  <c r="L147" i="154"/>
  <c r="H528" i="154"/>
  <c r="H184" i="154"/>
  <c r="G184" i="154" s="1"/>
  <c r="L27" i="154"/>
  <c r="H26" i="155"/>
  <c r="M26" i="155" s="1"/>
  <c r="H25" i="155"/>
  <c r="J156" i="156"/>
  <c r="I156" i="156" s="1"/>
  <c r="L42" i="157"/>
  <c r="K42" i="157" s="1"/>
  <c r="H18" i="159"/>
  <c r="M18" i="159" s="1"/>
  <c r="J515" i="154"/>
  <c r="I515" i="154" s="1"/>
  <c r="J462" i="154"/>
  <c r="M462" i="154" s="1"/>
  <c r="L422" i="154"/>
  <c r="M401" i="154"/>
  <c r="M268" i="154"/>
  <c r="J162" i="154"/>
  <c r="I162" i="154" s="1"/>
  <c r="H162" i="154"/>
  <c r="G162" i="154" s="1"/>
  <c r="L303" i="154"/>
  <c r="M225" i="154"/>
  <c r="M201" i="154"/>
  <c r="M133" i="154"/>
  <c r="M66" i="154"/>
  <c r="M112" i="154"/>
  <c r="F116" i="154"/>
  <c r="H116" i="154" s="1"/>
  <c r="M71" i="154"/>
  <c r="M155" i="154"/>
  <c r="H16" i="155"/>
  <c r="M80" i="156"/>
  <c r="L54" i="156"/>
  <c r="L52" i="156" s="1"/>
  <c r="K52" i="156" s="1"/>
  <c r="J18" i="159"/>
  <c r="M85" i="156"/>
  <c r="M160" i="154"/>
  <c r="M180" i="154"/>
  <c r="M124" i="154"/>
  <c r="M89" i="154"/>
  <c r="M279" i="154"/>
  <c r="M226" i="154"/>
  <c r="M539" i="154"/>
  <c r="J118" i="154"/>
  <c r="I118" i="154" s="1"/>
  <c r="L25" i="154"/>
  <c r="K25" i="154" s="1"/>
  <c r="H77" i="156"/>
  <c r="G77" i="156" s="1"/>
  <c r="M56" i="157"/>
  <c r="M244" i="154"/>
  <c r="M179" i="154"/>
  <c r="M518" i="154"/>
  <c r="M81" i="154"/>
  <c r="H47" i="154"/>
  <c r="G47" i="154" s="1"/>
  <c r="M156" i="154"/>
  <c r="H118" i="154"/>
  <c r="G118" i="154" s="1"/>
  <c r="J530" i="154"/>
  <c r="L530" i="154"/>
  <c r="M471" i="154"/>
  <c r="M387" i="154"/>
  <c r="M381" i="154"/>
  <c r="H530" i="154"/>
  <c r="M382" i="154"/>
  <c r="J490" i="154"/>
  <c r="M490" i="154" s="1"/>
  <c r="J392" i="154"/>
  <c r="M392" i="154" s="1"/>
  <c r="J420" i="154"/>
  <c r="M420" i="154" s="1"/>
  <c r="J372" i="154"/>
  <c r="M372" i="154" s="1"/>
  <c r="M266" i="154"/>
  <c r="M248" i="154"/>
  <c r="F284" i="154"/>
  <c r="J284" i="154" s="1"/>
  <c r="H551" i="154"/>
  <c r="H488" i="154"/>
  <c r="M488" i="154" s="1"/>
  <c r="H419" i="154"/>
  <c r="J262" i="154"/>
  <c r="I262" i="154" s="1"/>
  <c r="L262" i="154"/>
  <c r="K262" i="154" s="1"/>
  <c r="H487" i="154"/>
  <c r="H303" i="154"/>
  <c r="M214" i="154"/>
  <c r="L239" i="154"/>
  <c r="K239" i="154" s="1"/>
  <c r="M178" i="154"/>
  <c r="M125" i="154"/>
  <c r="J311" i="154"/>
  <c r="M311" i="154" s="1"/>
  <c r="M204" i="154"/>
  <c r="L184" i="154"/>
  <c r="K184" i="154" s="1"/>
  <c r="L162" i="154"/>
  <c r="K162" i="154" s="1"/>
  <c r="L206" i="154"/>
  <c r="K206" i="154" s="1"/>
  <c r="L151" i="154"/>
  <c r="K151" i="154" s="1"/>
  <c r="M69" i="154"/>
  <c r="M60" i="154"/>
  <c r="L62" i="154"/>
  <c r="K62" i="154" s="1"/>
  <c r="F292" i="154"/>
  <c r="H292" i="154" s="1"/>
  <c r="L173" i="154"/>
  <c r="K173" i="154" s="1"/>
  <c r="J62" i="154"/>
  <c r="I62" i="154" s="1"/>
  <c r="L73" i="154"/>
  <c r="K73" i="154" s="1"/>
  <c r="M88" i="154"/>
  <c r="L50" i="154"/>
  <c r="M50" i="154" s="1"/>
  <c r="M51" i="155"/>
  <c r="J127" i="156"/>
  <c r="I127" i="156" s="1"/>
  <c r="M100" i="156"/>
  <c r="J72" i="156"/>
  <c r="I72" i="156" s="1"/>
  <c r="L196" i="156"/>
  <c r="M110" i="156"/>
  <c r="L82" i="156"/>
  <c r="K82" i="156" s="1"/>
  <c r="H49" i="156"/>
  <c r="H47" i="156" s="1"/>
  <c r="G47" i="156" s="1"/>
  <c r="M179" i="156"/>
  <c r="M90" i="156"/>
  <c r="L62" i="156"/>
  <c r="K62" i="156" s="1"/>
  <c r="J122" i="156"/>
  <c r="I122" i="156" s="1"/>
  <c r="M119" i="156"/>
  <c r="H61" i="157"/>
  <c r="G61" i="157" s="1"/>
  <c r="J27" i="157"/>
  <c r="I27" i="157" s="1"/>
  <c r="M36" i="157"/>
  <c r="L34" i="157"/>
  <c r="K34" i="157" s="1"/>
  <c r="L18" i="157"/>
  <c r="K18" i="157" s="1"/>
  <c r="H24" i="159"/>
  <c r="M24" i="159" s="1"/>
  <c r="H14" i="159"/>
  <c r="M14" i="159" s="1"/>
  <c r="M12" i="159" s="1"/>
  <c r="M161" i="156"/>
  <c r="J77" i="156"/>
  <c r="I77" i="156" s="1"/>
  <c r="M358" i="154"/>
  <c r="M281" i="154"/>
  <c r="M541" i="154"/>
  <c r="M255" i="154"/>
  <c r="M198" i="154"/>
  <c r="L166" i="156"/>
  <c r="K166" i="156" s="1"/>
  <c r="M65" i="156"/>
  <c r="M168" i="154"/>
  <c r="J414" i="154"/>
  <c r="J412" i="154" s="1"/>
  <c r="I412" i="154" s="1"/>
  <c r="M171" i="154"/>
  <c r="J25" i="154"/>
  <c r="I25" i="154" s="1"/>
  <c r="M192" i="154"/>
  <c r="L52" i="154"/>
  <c r="K52" i="154" s="1"/>
  <c r="J61" i="157"/>
  <c r="I61" i="157" s="1"/>
  <c r="J97" i="156"/>
  <c r="I97" i="156" s="1"/>
  <c r="M85" i="157"/>
  <c r="M183" i="156"/>
  <c r="M181" i="156" s="1"/>
  <c r="M108" i="155"/>
  <c r="M78" i="154"/>
  <c r="H39" i="159"/>
  <c r="H37" i="159" s="1"/>
  <c r="G37" i="159" s="1"/>
  <c r="F457" i="154"/>
  <c r="F456" i="154"/>
  <c r="M169" i="156"/>
  <c r="M115" i="155"/>
  <c r="J57" i="156"/>
  <c r="I57" i="156" s="1"/>
  <c r="M119" i="155"/>
  <c r="M194" i="156"/>
  <c r="H429" i="154"/>
  <c r="M260" i="154"/>
  <c r="M423" i="154"/>
  <c r="M446" i="154"/>
  <c r="J376" i="154"/>
  <c r="I376" i="154" s="1"/>
  <c r="L399" i="154"/>
  <c r="M399" i="154" s="1"/>
  <c r="M374" i="154"/>
  <c r="H393" i="154"/>
  <c r="M393" i="154" s="1"/>
  <c r="M175" i="154"/>
  <c r="M122" i="154"/>
  <c r="J302" i="154"/>
  <c r="M302" i="154" s="1"/>
  <c r="J239" i="154"/>
  <c r="I239" i="154" s="1"/>
  <c r="H137" i="154"/>
  <c r="M137" i="154" s="1"/>
  <c r="F108" i="154"/>
  <c r="L108" i="154" s="1"/>
  <c r="M188" i="154"/>
  <c r="M121" i="154"/>
  <c r="M149" i="154"/>
  <c r="M38" i="154"/>
  <c r="F113" i="154"/>
  <c r="L113" i="154" s="1"/>
  <c r="F289" i="154"/>
  <c r="L289" i="154" s="1"/>
  <c r="J49" i="154"/>
  <c r="J47" i="154" s="1"/>
  <c r="I47" i="154" s="1"/>
  <c r="M66" i="155"/>
  <c r="M63" i="155" s="1"/>
  <c r="J125" i="155"/>
  <c r="H63" i="155"/>
  <c r="G63" i="155" s="1"/>
  <c r="J13" i="155"/>
  <c r="I13" i="155" s="1"/>
  <c r="J92" i="156"/>
  <c r="I92" i="156" s="1"/>
  <c r="M15" i="156"/>
  <c r="M208" i="156" s="1"/>
  <c r="J37" i="156"/>
  <c r="I37" i="156" s="1"/>
  <c r="M25" i="156"/>
  <c r="L156" i="156"/>
  <c r="K156" i="156" s="1"/>
  <c r="J52" i="156"/>
  <c r="I52" i="156" s="1"/>
  <c r="M77" i="157"/>
  <c r="H42" i="157"/>
  <c r="G42" i="157" s="1"/>
  <c r="J18" i="157"/>
  <c r="I18" i="157" s="1"/>
  <c r="M80" i="157"/>
  <c r="J30" i="158"/>
  <c r="H27" i="158"/>
  <c r="J41" i="159"/>
  <c r="I41" i="159" s="1"/>
  <c r="L16" i="159"/>
  <c r="K16" i="159" s="1"/>
  <c r="M174" i="156"/>
  <c r="M168" i="156"/>
  <c r="M200" i="154"/>
  <c r="M76" i="157"/>
  <c r="M224" i="154"/>
  <c r="M106" i="155"/>
  <c r="M242" i="154"/>
  <c r="M92" i="154"/>
  <c r="M87" i="157"/>
  <c r="M326" i="154"/>
  <c r="J184" i="154"/>
  <c r="I184" i="154" s="1"/>
  <c r="M199" i="156"/>
  <c r="M16" i="157"/>
  <c r="H319" i="154"/>
  <c r="J136" i="154"/>
  <c r="L136" i="154"/>
  <c r="L299" i="154"/>
  <c r="H299" i="154"/>
  <c r="F37" i="158"/>
  <c r="F36" i="158"/>
  <c r="J419" i="154"/>
  <c r="M237" i="154"/>
  <c r="L250" i="154"/>
  <c r="K250" i="154" s="1"/>
  <c r="M177" i="154"/>
  <c r="L118" i="154"/>
  <c r="K118" i="154" s="1"/>
  <c r="L195" i="154"/>
  <c r="K195" i="154" s="1"/>
  <c r="M80" i="154"/>
  <c r="M188" i="156"/>
  <c r="M186" i="156" s="1"/>
  <c r="L142" i="156"/>
  <c r="K142" i="156" s="1"/>
  <c r="M35" i="156"/>
  <c r="F38" i="158"/>
  <c r="L38" i="158" s="1"/>
  <c r="F39" i="158"/>
  <c r="M182" i="154"/>
  <c r="M70" i="154"/>
  <c r="M54" i="154"/>
  <c r="M145" i="156"/>
  <c r="M223" i="154"/>
  <c r="M379" i="154"/>
  <c r="M479" i="154"/>
  <c r="J322" i="154"/>
  <c r="M364" i="154"/>
  <c r="M243" i="154"/>
  <c r="L351" i="154"/>
  <c r="K351" i="154" s="1"/>
  <c r="M111" i="154"/>
  <c r="F115" i="154"/>
  <c r="L115" i="154" s="1"/>
  <c r="F114" i="154"/>
  <c r="J114" i="154" s="1"/>
  <c r="L49" i="154"/>
  <c r="M49" i="154" s="1"/>
  <c r="M76" i="154"/>
  <c r="L15" i="154"/>
  <c r="K15" i="154" s="1"/>
  <c r="M36" i="155"/>
  <c r="M46" i="155"/>
  <c r="J87" i="156"/>
  <c r="I87" i="156" s="1"/>
  <c r="J112" i="156"/>
  <c r="I112" i="156" s="1"/>
  <c r="M139" i="156"/>
  <c r="J191" i="156"/>
  <c r="I191" i="156" s="1"/>
  <c r="M150" i="156"/>
  <c r="J49" i="157"/>
  <c r="I49" i="157" s="1"/>
  <c r="J66" i="157"/>
  <c r="I66" i="157" s="1"/>
  <c r="M82" i="157"/>
  <c r="H27" i="157"/>
  <c r="G27" i="157" s="1"/>
  <c r="H56" i="157"/>
  <c r="G56" i="157" s="1"/>
  <c r="M30" i="157"/>
  <c r="H30" i="158"/>
  <c r="M50" i="156"/>
  <c r="H19" i="159"/>
  <c r="J19" i="159"/>
  <c r="J16" i="159" s="1"/>
  <c r="I16" i="159" s="1"/>
  <c r="M74" i="157"/>
  <c r="M31" i="157"/>
  <c r="M59" i="156"/>
  <c r="L515" i="154"/>
  <c r="K515" i="154" s="1"/>
  <c r="M40" i="157"/>
  <c r="M81" i="157"/>
  <c r="F283" i="154"/>
  <c r="F277" i="154"/>
  <c r="M278" i="154"/>
  <c r="M267" i="154"/>
  <c r="Q268" i="154"/>
  <c r="R268" i="154" s="1"/>
  <c r="M20" i="159"/>
  <c r="L25" i="159"/>
  <c r="J25" i="159"/>
  <c r="H25" i="159"/>
  <c r="M35" i="159"/>
  <c r="L34" i="159"/>
  <c r="L31" i="159" s="1"/>
  <c r="J34" i="159"/>
  <c r="J31" i="159" s="1"/>
  <c r="I31" i="159" s="1"/>
  <c r="H34" i="159"/>
  <c r="H31" i="159" s="1"/>
  <c r="G31" i="159" s="1"/>
  <c r="M28" i="159"/>
  <c r="H29" i="159"/>
  <c r="J29" i="159"/>
  <c r="L29" i="159"/>
  <c r="M44" i="159"/>
  <c r="M41" i="159" s="1"/>
  <c r="H41" i="159"/>
  <c r="H26" i="159"/>
  <c r="L26" i="159"/>
  <c r="J26" i="159"/>
  <c r="M33" i="159"/>
  <c r="L16" i="158"/>
  <c r="L14" i="158" s="1"/>
  <c r="K14" i="158" s="1"/>
  <c r="J16" i="158"/>
  <c r="J14" i="158" s="1"/>
  <c r="I14" i="158" s="1"/>
  <c r="H16" i="158"/>
  <c r="J22" i="158"/>
  <c r="H22" i="158"/>
  <c r="L22" i="158"/>
  <c r="H31" i="158"/>
  <c r="L31" i="158"/>
  <c r="J31" i="158"/>
  <c r="L32" i="158"/>
  <c r="J32" i="158"/>
  <c r="H32" i="158"/>
  <c r="H28" i="158"/>
  <c r="J28" i="158"/>
  <c r="L28" i="158"/>
  <c r="M27" i="158"/>
  <c r="L23" i="158"/>
  <c r="J23" i="158"/>
  <c r="H23" i="158"/>
  <c r="L29" i="158"/>
  <c r="J29" i="158"/>
  <c r="H29" i="158"/>
  <c r="L20" i="158"/>
  <c r="J20" i="158"/>
  <c r="H20" i="158"/>
  <c r="L39" i="158"/>
  <c r="J39" i="158"/>
  <c r="H39" i="158"/>
  <c r="M24" i="157"/>
  <c r="M69" i="157"/>
  <c r="M75" i="157"/>
  <c r="H121" i="157"/>
  <c r="O121" i="157" s="1"/>
  <c r="J13" i="157"/>
  <c r="I13" i="157" s="1"/>
  <c r="M37" i="157"/>
  <c r="M21" i="157"/>
  <c r="H18" i="157"/>
  <c r="G18" i="157" s="1"/>
  <c r="M20" i="157"/>
  <c r="M18" i="157" s="1"/>
  <c r="M15" i="157"/>
  <c r="H13" i="157"/>
  <c r="G13" i="157" s="1"/>
  <c r="M51" i="157"/>
  <c r="M49" i="157" s="1"/>
  <c r="H49" i="157"/>
  <c r="G49" i="157" s="1"/>
  <c r="M46" i="157"/>
  <c r="M38" i="157"/>
  <c r="J42" i="157"/>
  <c r="I42" i="157" s="1"/>
  <c r="M45" i="157"/>
  <c r="K66" i="157"/>
  <c r="H66" i="157"/>
  <c r="M68" i="157"/>
  <c r="M32" i="157"/>
  <c r="M90" i="157"/>
  <c r="J34" i="157"/>
  <c r="I34" i="157" s="1"/>
  <c r="M61" i="157"/>
  <c r="M64" i="156"/>
  <c r="H62" i="156"/>
  <c r="G62" i="156" s="1"/>
  <c r="M198" i="156"/>
  <c r="H196" i="156"/>
  <c r="M109" i="156"/>
  <c r="M107" i="156" s="1"/>
  <c r="H107" i="156"/>
  <c r="G107" i="156" s="1"/>
  <c r="M193" i="156"/>
  <c r="H191" i="156"/>
  <c r="G191" i="156" s="1"/>
  <c r="M70" i="156"/>
  <c r="J196" i="156"/>
  <c r="M40" i="156"/>
  <c r="L34" i="156"/>
  <c r="L32" i="156" s="1"/>
  <c r="K32" i="156" s="1"/>
  <c r="J34" i="156"/>
  <c r="J32" i="156" s="1"/>
  <c r="I32" i="156" s="1"/>
  <c r="H34" i="156"/>
  <c r="M60" i="156"/>
  <c r="M57" i="156" s="1"/>
  <c r="H57" i="156"/>
  <c r="G57" i="156" s="1"/>
  <c r="L30" i="156"/>
  <c r="L27" i="156" s="1"/>
  <c r="K27" i="156" s="1"/>
  <c r="J30" i="156"/>
  <c r="J27" i="156" s="1"/>
  <c r="I27" i="156" s="1"/>
  <c r="H30" i="156"/>
  <c r="J20" i="156"/>
  <c r="H20" i="156"/>
  <c r="L20" i="156"/>
  <c r="L17" i="156" s="1"/>
  <c r="K17" i="156" s="1"/>
  <c r="M115" i="156"/>
  <c r="H12" i="156"/>
  <c r="G12" i="156" s="1"/>
  <c r="H92" i="156"/>
  <c r="G92" i="156" s="1"/>
  <c r="M94" i="156"/>
  <c r="M95" i="156"/>
  <c r="J17" i="156"/>
  <c r="I17" i="156" s="1"/>
  <c r="M29" i="156"/>
  <c r="M77" i="156"/>
  <c r="H97" i="156"/>
  <c r="G97" i="156" s="1"/>
  <c r="M140" i="156"/>
  <c r="H137" i="156"/>
  <c r="G137" i="156" s="1"/>
  <c r="H176" i="156"/>
  <c r="G176" i="156" s="1"/>
  <c r="M178" i="156"/>
  <c r="L45" i="156"/>
  <c r="L42" i="156" s="1"/>
  <c r="J45" i="156"/>
  <c r="J42" i="156" s="1"/>
  <c r="I42" i="156" s="1"/>
  <c r="H45" i="156"/>
  <c r="M89" i="156"/>
  <c r="M87" i="156" s="1"/>
  <c r="H87" i="156"/>
  <c r="G87" i="156" s="1"/>
  <c r="M130" i="156"/>
  <c r="H132" i="156"/>
  <c r="G132" i="156" s="1"/>
  <c r="M134" i="156"/>
  <c r="H156" i="156"/>
  <c r="G156" i="156" s="1"/>
  <c r="M158" i="156"/>
  <c r="M75" i="156"/>
  <c r="M19" i="156"/>
  <c r="M24" i="156"/>
  <c r="H22" i="156"/>
  <c r="G22" i="156" s="1"/>
  <c r="M124" i="156"/>
  <c r="M122" i="156" s="1"/>
  <c r="H122" i="156"/>
  <c r="G122" i="156" s="1"/>
  <c r="L107" i="156"/>
  <c r="K107" i="156" s="1"/>
  <c r="M104" i="156"/>
  <c r="H102" i="156"/>
  <c r="G102" i="156" s="1"/>
  <c r="M44" i="156"/>
  <c r="H72" i="156"/>
  <c r="G72" i="156" s="1"/>
  <c r="M74" i="156"/>
  <c r="H147" i="156"/>
  <c r="G147" i="156" s="1"/>
  <c r="M149" i="156"/>
  <c r="K196" i="156"/>
  <c r="M69" i="156"/>
  <c r="M67" i="156" s="1"/>
  <c r="H67" i="156"/>
  <c r="G67" i="156" s="1"/>
  <c r="H181" i="156"/>
  <c r="G181" i="156" s="1"/>
  <c r="J22" i="156"/>
  <c r="I22" i="156" s="1"/>
  <c r="M159" i="156"/>
  <c r="M84" i="156"/>
  <c r="H112" i="156"/>
  <c r="G112" i="156" s="1"/>
  <c r="M114" i="156"/>
  <c r="M129" i="156"/>
  <c r="M127" i="156" s="1"/>
  <c r="H127" i="156"/>
  <c r="G127" i="156" s="1"/>
  <c r="M120" i="156"/>
  <c r="H117" i="156"/>
  <c r="G117" i="156" s="1"/>
  <c r="J67" i="156"/>
  <c r="I67" i="156" s="1"/>
  <c r="M135" i="156"/>
  <c r="M55" i="156"/>
  <c r="M173" i="156"/>
  <c r="H171" i="156"/>
  <c r="G171" i="156" s="1"/>
  <c r="H37" i="156"/>
  <c r="G37" i="156" s="1"/>
  <c r="M39" i="156"/>
  <c r="M144" i="156"/>
  <c r="M142" i="156" s="1"/>
  <c r="L22" i="156"/>
  <c r="K22" i="156" s="1"/>
  <c r="H52" i="156"/>
  <c r="G52" i="156" s="1"/>
  <c r="M54" i="156"/>
  <c r="H125" i="155"/>
  <c r="M101" i="155"/>
  <c r="M70" i="155"/>
  <c r="M68" i="155" s="1"/>
  <c r="H68" i="155"/>
  <c r="G68" i="155" s="1"/>
  <c r="M31" i="155"/>
  <c r="M55" i="155"/>
  <c r="H88" i="155"/>
  <c r="G88" i="155" s="1"/>
  <c r="M90" i="155"/>
  <c r="M88" i="155" s="1"/>
  <c r="M94" i="155"/>
  <c r="M92" i="155" s="1"/>
  <c r="H92" i="155"/>
  <c r="L13" i="155"/>
  <c r="K13" i="155" s="1"/>
  <c r="L28" i="155"/>
  <c r="K28" i="155" s="1"/>
  <c r="J18" i="155"/>
  <c r="I18" i="155" s="1"/>
  <c r="M61" i="155"/>
  <c r="M76" i="155"/>
  <c r="H73" i="155"/>
  <c r="G73" i="155" s="1"/>
  <c r="M15" i="155"/>
  <c r="L41" i="155"/>
  <c r="L38" i="155" s="1"/>
  <c r="K38" i="155" s="1"/>
  <c r="J41" i="155"/>
  <c r="J38" i="155" s="1"/>
  <c r="I38" i="155" s="1"/>
  <c r="H41" i="155"/>
  <c r="M21" i="155"/>
  <c r="M85" i="155"/>
  <c r="M83" i="155" s="1"/>
  <c r="H83" i="155"/>
  <c r="G83" i="155" s="1"/>
  <c r="H28" i="155"/>
  <c r="G28" i="155" s="1"/>
  <c r="M30" i="155"/>
  <c r="J73" i="155"/>
  <c r="I73" i="155" s="1"/>
  <c r="M75" i="155"/>
  <c r="I92" i="155"/>
  <c r="M60" i="155"/>
  <c r="M58" i="155" s="1"/>
  <c r="H58" i="155"/>
  <c r="G58" i="155" s="1"/>
  <c r="L78" i="155"/>
  <c r="H18" i="155"/>
  <c r="G18" i="155" s="1"/>
  <c r="M20" i="155"/>
  <c r="M18" i="155" s="1"/>
  <c r="M81" i="155"/>
  <c r="M78" i="155" s="1"/>
  <c r="J83" i="155"/>
  <c r="I83" i="155" s="1"/>
  <c r="J43" i="155"/>
  <c r="I43" i="155" s="1"/>
  <c r="M16" i="155"/>
  <c r="H43" i="155"/>
  <c r="G43" i="155" s="1"/>
  <c r="H56" i="155"/>
  <c r="L56" i="155"/>
  <c r="L53" i="155" s="1"/>
  <c r="K53" i="155" s="1"/>
  <c r="J56" i="155"/>
  <c r="J53" i="155" s="1"/>
  <c r="H48" i="155"/>
  <c r="G48" i="155" s="1"/>
  <c r="M50" i="155"/>
  <c r="M48" i="155" s="1"/>
  <c r="M35" i="155"/>
  <c r="H33" i="155"/>
  <c r="G33" i="155" s="1"/>
  <c r="M45" i="155"/>
  <c r="M43" i="155" s="1"/>
  <c r="M40" i="155"/>
  <c r="L500" i="154"/>
  <c r="J500" i="154"/>
  <c r="H500" i="154"/>
  <c r="J507" i="154"/>
  <c r="L507" i="154"/>
  <c r="H473" i="154"/>
  <c r="L473" i="154"/>
  <c r="J473" i="154"/>
  <c r="L292" i="154"/>
  <c r="M197" i="154"/>
  <c r="H195" i="154"/>
  <c r="G195" i="154" s="1"/>
  <c r="H492" i="154"/>
  <c r="G492" i="154" s="1"/>
  <c r="M494" i="154"/>
  <c r="M492" i="154" s="1"/>
  <c r="L532" i="154"/>
  <c r="J532" i="154"/>
  <c r="H532" i="154"/>
  <c r="L463" i="154"/>
  <c r="J463" i="154"/>
  <c r="H463" i="154"/>
  <c r="H540" i="154"/>
  <c r="J540" i="154"/>
  <c r="L540" i="154" s="1"/>
  <c r="M451" i="154"/>
  <c r="M356" i="154"/>
  <c r="L551" i="154"/>
  <c r="L549" i="154" s="1"/>
  <c r="J549" i="154"/>
  <c r="H376" i="154"/>
  <c r="G376" i="154" s="1"/>
  <c r="M380" i="154"/>
  <c r="M265" i="154"/>
  <c r="L337" i="154"/>
  <c r="J337" i="154"/>
  <c r="H337" i="154"/>
  <c r="M202" i="154"/>
  <c r="M166" i="154"/>
  <c r="L340" i="154"/>
  <c r="J340" i="154"/>
  <c r="H340" i="154"/>
  <c r="L232" i="154"/>
  <c r="H232" i="154"/>
  <c r="J232" i="154"/>
  <c r="M357" i="154"/>
  <c r="L84" i="154"/>
  <c r="K84" i="154" s="1"/>
  <c r="M57" i="154"/>
  <c r="M165" i="154"/>
  <c r="J195" i="154"/>
  <c r="I195" i="154" s="1"/>
  <c r="M55" i="154"/>
  <c r="M524" i="154"/>
  <c r="M520" i="154" s="1"/>
  <c r="L318" i="154"/>
  <c r="J318" i="154"/>
  <c r="H318" i="154"/>
  <c r="H235" i="154"/>
  <c r="J235" i="154"/>
  <c r="L235" i="154"/>
  <c r="M86" i="154"/>
  <c r="J84" i="154"/>
  <c r="I84" i="154" s="1"/>
  <c r="H461" i="154"/>
  <c r="L461" i="154"/>
  <c r="J461" i="154"/>
  <c r="L508" i="154"/>
  <c r="J508" i="154"/>
  <c r="H508" i="154"/>
  <c r="L450" i="154"/>
  <c r="L448" i="154" s="1"/>
  <c r="K448" i="154" s="1"/>
  <c r="J450" i="154"/>
  <c r="J448" i="154" s="1"/>
  <c r="I448" i="154" s="1"/>
  <c r="H450" i="154"/>
  <c r="L428" i="154"/>
  <c r="H428" i="154"/>
  <c r="J428" i="154"/>
  <c r="J312" i="154"/>
  <c r="H312" i="154"/>
  <c r="L312" i="154"/>
  <c r="J351" i="154"/>
  <c r="I351" i="154" s="1"/>
  <c r="M546" i="154"/>
  <c r="M406" i="154"/>
  <c r="L362" i="154"/>
  <c r="J362" i="154"/>
  <c r="H362" i="154"/>
  <c r="M510" i="154"/>
  <c r="M324" i="154"/>
  <c r="H322" i="154"/>
  <c r="M193" i="154"/>
  <c r="J339" i="154"/>
  <c r="H339" i="154"/>
  <c r="L339" i="154"/>
  <c r="M234" i="154"/>
  <c r="H250" i="154"/>
  <c r="G250" i="154" s="1"/>
  <c r="L148" i="154"/>
  <c r="J148" i="154"/>
  <c r="H148" i="154"/>
  <c r="M233" i="154"/>
  <c r="M210" i="154"/>
  <c r="M154" i="154"/>
  <c r="J73" i="154"/>
  <c r="I73" i="154" s="1"/>
  <c r="H52" i="154"/>
  <c r="G52" i="154" s="1"/>
  <c r="J115" i="154"/>
  <c r="M87" i="154"/>
  <c r="H84" i="154"/>
  <c r="G84" i="154" s="1"/>
  <c r="J250" i="154"/>
  <c r="I250" i="154" s="1"/>
  <c r="J99" i="154"/>
  <c r="H99" i="154"/>
  <c r="L99" i="154"/>
  <c r="M370" i="154"/>
  <c r="L474" i="154"/>
  <c r="J474" i="154"/>
  <c r="H474" i="154"/>
  <c r="M190" i="154"/>
  <c r="L338" i="154"/>
  <c r="J338" i="154"/>
  <c r="H338" i="154"/>
  <c r="M252" i="154"/>
  <c r="L145" i="154"/>
  <c r="J145" i="154"/>
  <c r="H145" i="154"/>
  <c r="M176" i="154"/>
  <c r="H173" i="154"/>
  <c r="G173" i="154" s="1"/>
  <c r="M33" i="154"/>
  <c r="M64" i="154"/>
  <c r="L365" i="154"/>
  <c r="J365" i="154"/>
  <c r="H365" i="154"/>
  <c r="J408" i="154"/>
  <c r="H408" i="154"/>
  <c r="L408" i="154"/>
  <c r="M220" i="154"/>
  <c r="H217" i="154"/>
  <c r="G217" i="154" s="1"/>
  <c r="L23" i="154"/>
  <c r="J23" i="154"/>
  <c r="H23" i="154"/>
  <c r="L469" i="154"/>
  <c r="J469" i="154"/>
  <c r="H469" i="154"/>
  <c r="M517" i="154"/>
  <c r="H515" i="154"/>
  <c r="G515" i="154" s="1"/>
  <c r="J304" i="154"/>
  <c r="H304" i="154"/>
  <c r="L304" i="154"/>
  <c r="J545" i="154"/>
  <c r="H545" i="154"/>
  <c r="M308" i="154"/>
  <c r="L301" i="154"/>
  <c r="J301" i="154"/>
  <c r="H301" i="154"/>
  <c r="M464" i="154"/>
  <c r="L285" i="154"/>
  <c r="J285" i="154"/>
  <c r="H285" i="154"/>
  <c r="L373" i="154"/>
  <c r="J373" i="154"/>
  <c r="H373" i="154"/>
  <c r="K322" i="154"/>
  <c r="L142" i="154"/>
  <c r="J142" i="154"/>
  <c r="H142" i="154"/>
  <c r="J206" i="154"/>
  <c r="I206" i="154" s="1"/>
  <c r="J144" i="154"/>
  <c r="H144" i="154"/>
  <c r="L144" i="154"/>
  <c r="L348" i="154"/>
  <c r="J348" i="154"/>
  <c r="H348" i="154"/>
  <c r="M221" i="154"/>
  <c r="M531" i="154"/>
  <c r="M241" i="154"/>
  <c r="L138" i="154"/>
  <c r="J138" i="154"/>
  <c r="H138" i="154"/>
  <c r="L116" i="154"/>
  <c r="M170" i="154"/>
  <c r="M222" i="154"/>
  <c r="M65" i="154"/>
  <c r="M22" i="154"/>
  <c r="H62" i="154"/>
  <c r="G62" i="154" s="1"/>
  <c r="M27" i="154"/>
  <c r="H511" i="154"/>
  <c r="L511" i="154"/>
  <c r="J511" i="154"/>
  <c r="L478" i="154"/>
  <c r="L476" i="154" s="1"/>
  <c r="J478" i="154"/>
  <c r="J476" i="154" s="1"/>
  <c r="H478" i="154"/>
  <c r="M386" i="154"/>
  <c r="H384" i="154"/>
  <c r="G384" i="154" s="1"/>
  <c r="L345" i="154"/>
  <c r="J345" i="154"/>
  <c r="H345" i="154"/>
  <c r="L421" i="154"/>
  <c r="L417" i="154" s="1"/>
  <c r="K417" i="154" s="1"/>
  <c r="H421" i="154"/>
  <c r="H417" i="154" s="1"/>
  <c r="G417" i="154" s="1"/>
  <c r="J421" i="154"/>
  <c r="M353" i="154"/>
  <c r="H351" i="154"/>
  <c r="G351" i="154" s="1"/>
  <c r="I322" i="154"/>
  <c r="J151" i="154"/>
  <c r="I151" i="154" s="1"/>
  <c r="M153" i="154"/>
  <c r="M430" i="154"/>
  <c r="F436" i="154"/>
  <c r="F434" i="154"/>
  <c r="F438" i="154"/>
  <c r="F435" i="154"/>
  <c r="F437" i="154"/>
  <c r="L394" i="154"/>
  <c r="L389" i="154" s="1"/>
  <c r="K389" i="154" s="1"/>
  <c r="H394" i="154"/>
  <c r="H389" i="154" s="1"/>
  <c r="G389" i="154" s="1"/>
  <c r="J394" i="154"/>
  <c r="J402" i="154"/>
  <c r="H402" i="154"/>
  <c r="L402" i="154"/>
  <c r="L529" i="154"/>
  <c r="J529" i="154"/>
  <c r="H529" i="154"/>
  <c r="L427" i="154"/>
  <c r="J427" i="154"/>
  <c r="H427" i="154"/>
  <c r="L376" i="154"/>
  <c r="K376" i="154" s="1"/>
  <c r="J300" i="154"/>
  <c r="H300" i="154"/>
  <c r="L300" i="154"/>
  <c r="M552" i="154"/>
  <c r="L282" i="154"/>
  <c r="J282" i="154"/>
  <c r="H282" i="154"/>
  <c r="M445" i="154"/>
  <c r="L366" i="154"/>
  <c r="J366" i="154"/>
  <c r="H366" i="154"/>
  <c r="L317" i="154"/>
  <c r="J317" i="154"/>
  <c r="H317" i="154"/>
  <c r="L104" i="154"/>
  <c r="J104" i="154"/>
  <c r="H104" i="154"/>
  <c r="H143" i="154"/>
  <c r="L143" i="154"/>
  <c r="J143" i="154"/>
  <c r="M181" i="154"/>
  <c r="J134" i="154"/>
  <c r="H134" i="154"/>
  <c r="L134" i="154"/>
  <c r="L347" i="154"/>
  <c r="J347" i="154"/>
  <c r="H347" i="154"/>
  <c r="H262" i="154"/>
  <c r="G262" i="154" s="1"/>
  <c r="H206" i="154"/>
  <c r="G206" i="154" s="1"/>
  <c r="M208" i="154"/>
  <c r="M258" i="154"/>
  <c r="H239" i="154"/>
  <c r="G239" i="154" s="1"/>
  <c r="L135" i="154"/>
  <c r="J135" i="154"/>
  <c r="H135" i="154"/>
  <c r="M219" i="154"/>
  <c r="J217" i="154"/>
  <c r="I217" i="154" s="1"/>
  <c r="M91" i="154"/>
  <c r="H35" i="154"/>
  <c r="M37" i="154"/>
  <c r="H151" i="154"/>
  <c r="G151" i="154" s="1"/>
  <c r="M82" i="154"/>
  <c r="M231" i="154"/>
  <c r="J110" i="154"/>
  <c r="M77" i="154"/>
  <c r="J20" i="154"/>
  <c r="I20" i="154" s="1"/>
  <c r="L43" i="154"/>
  <c r="J43" i="154"/>
  <c r="H43" i="154"/>
  <c r="J538" i="154"/>
  <c r="H538" i="154"/>
  <c r="L472" i="154"/>
  <c r="J472" i="154"/>
  <c r="H472" i="154"/>
  <c r="L344" i="154"/>
  <c r="J344" i="154"/>
  <c r="H344" i="154"/>
  <c r="L444" i="154"/>
  <c r="L442" i="154" s="1"/>
  <c r="K442" i="154" s="1"/>
  <c r="J444" i="154"/>
  <c r="J442" i="154" s="1"/>
  <c r="I442" i="154" s="1"/>
  <c r="H444" i="154"/>
  <c r="L313" i="154"/>
  <c r="J313" i="154"/>
  <c r="H313" i="154"/>
  <c r="L146" i="154"/>
  <c r="J146" i="154"/>
  <c r="H146" i="154"/>
  <c r="H398" i="154"/>
  <c r="L398" i="154"/>
  <c r="J398" i="154"/>
  <c r="J509" i="154"/>
  <c r="M422" i="154"/>
  <c r="M486" i="154"/>
  <c r="H284" i="154"/>
  <c r="H520" i="154"/>
  <c r="G520" i="154" s="1"/>
  <c r="L276" i="154"/>
  <c r="J276" i="154"/>
  <c r="H276" i="154"/>
  <c r="L363" i="154"/>
  <c r="J363" i="154"/>
  <c r="H363" i="154"/>
  <c r="L320" i="154"/>
  <c r="J320" i="154"/>
  <c r="H320" i="154"/>
  <c r="L101" i="154"/>
  <c r="J101" i="154"/>
  <c r="H101" i="154"/>
  <c r="H98" i="154"/>
  <c r="L98" i="154"/>
  <c r="J98" i="154"/>
  <c r="J346" i="154"/>
  <c r="H346" i="154"/>
  <c r="L346" i="154"/>
  <c r="M264" i="154"/>
  <c r="M354" i="154"/>
  <c r="L230" i="154"/>
  <c r="J230" i="154"/>
  <c r="H230" i="154"/>
  <c r="L131" i="154"/>
  <c r="J131" i="154"/>
  <c r="H131" i="154"/>
  <c r="M199" i="154"/>
  <c r="H108" i="154"/>
  <c r="M79" i="154"/>
  <c r="M123" i="154"/>
  <c r="L114" i="154"/>
  <c r="L20" i="154"/>
  <c r="K20" i="154" s="1"/>
  <c r="L42" i="154"/>
  <c r="H42" i="154"/>
  <c r="J42" i="154"/>
  <c r="M32" i="154"/>
  <c r="H30" i="154"/>
  <c r="F502" i="154"/>
  <c r="F503" i="154"/>
  <c r="F499" i="154"/>
  <c r="F501" i="154"/>
  <c r="L489" i="154"/>
  <c r="L484" i="154" s="1"/>
  <c r="K484" i="154" s="1"/>
  <c r="H489" i="154"/>
  <c r="J489" i="154"/>
  <c r="J371" i="154"/>
  <c r="H371" i="154"/>
  <c r="L371" i="154"/>
  <c r="J275" i="154"/>
  <c r="H275" i="154"/>
  <c r="L275" i="154"/>
  <c r="M468" i="154"/>
  <c r="J407" i="154"/>
  <c r="J404" i="154" s="1"/>
  <c r="L407" i="154"/>
  <c r="H407" i="154"/>
  <c r="L309" i="154"/>
  <c r="J309" i="154"/>
  <c r="H309" i="154"/>
  <c r="J319" i="154"/>
  <c r="L319" i="154"/>
  <c r="J97" i="154"/>
  <c r="L97" i="154"/>
  <c r="H97" i="154"/>
  <c r="J173" i="154"/>
  <c r="I173" i="154" s="1"/>
  <c r="J349" i="154"/>
  <c r="H349" i="154"/>
  <c r="L349" i="154"/>
  <c r="L236" i="154"/>
  <c r="J236" i="154"/>
  <c r="H236" i="154"/>
  <c r="L103" i="154"/>
  <c r="J103" i="154"/>
  <c r="H103" i="154"/>
  <c r="M246" i="154"/>
  <c r="L132" i="154"/>
  <c r="J132" i="154"/>
  <c r="H132" i="154"/>
  <c r="M158" i="154"/>
  <c r="M120" i="154"/>
  <c r="M186" i="154"/>
  <c r="M75" i="154"/>
  <c r="H73" i="154"/>
  <c r="G73" i="154" s="1"/>
  <c r="H289" i="154"/>
  <c r="J30" i="154"/>
  <c r="I30" i="154" s="1"/>
  <c r="H15" i="154"/>
  <c r="M17" i="154"/>
  <c r="L290" i="154" l="1"/>
  <c r="H290" i="154"/>
  <c r="J290" i="154"/>
  <c r="J108" i="154"/>
  <c r="M108" i="154" s="1"/>
  <c r="H509" i="154"/>
  <c r="H110" i="154"/>
  <c r="M110" i="154" s="1"/>
  <c r="J116" i="154"/>
  <c r="L47" i="154"/>
  <c r="K47" i="154" s="1"/>
  <c r="M117" i="156"/>
  <c r="M102" i="156"/>
  <c r="M176" i="156"/>
  <c r="M62" i="156"/>
  <c r="L71" i="157"/>
  <c r="L122" i="157" s="1"/>
  <c r="M13" i="157"/>
  <c r="M429" i="154"/>
  <c r="M487" i="154"/>
  <c r="M530" i="154"/>
  <c r="M25" i="155"/>
  <c r="M528" i="154"/>
  <c r="M73" i="154"/>
  <c r="M103" i="154"/>
  <c r="M73" i="155"/>
  <c r="M28" i="155"/>
  <c r="M72" i="156"/>
  <c r="Q292" i="154"/>
  <c r="F291" i="154"/>
  <c r="L466" i="154"/>
  <c r="K466" i="154" s="1"/>
  <c r="M23" i="155"/>
  <c r="H25" i="154"/>
  <c r="M109" i="154"/>
  <c r="M97" i="156"/>
  <c r="L22" i="159"/>
  <c r="K22" i="159" s="1"/>
  <c r="M551" i="154"/>
  <c r="M303" i="154"/>
  <c r="H16" i="159"/>
  <c r="G16" i="159" s="1"/>
  <c r="M310" i="154"/>
  <c r="M49" i="156"/>
  <c r="M47" i="156" s="1"/>
  <c r="H38" i="158"/>
  <c r="J22" i="159"/>
  <c r="H526" i="154"/>
  <c r="G526" i="154" s="1"/>
  <c r="M132" i="156"/>
  <c r="M196" i="156"/>
  <c r="M474" i="154"/>
  <c r="M322" i="154"/>
  <c r="H23" i="155"/>
  <c r="G23" i="155" s="1"/>
  <c r="M12" i="156"/>
  <c r="H12" i="159"/>
  <c r="G12" i="159" s="1"/>
  <c r="M414" i="154"/>
  <c r="M412" i="154" s="1"/>
  <c r="M147" i="154"/>
  <c r="J289" i="154"/>
  <c r="M289" i="154" s="1"/>
  <c r="H484" i="154"/>
  <c r="G484" i="154" s="1"/>
  <c r="M384" i="154"/>
  <c r="M82" i="156"/>
  <c r="M191" i="156"/>
  <c r="H404" i="154"/>
  <c r="H549" i="154"/>
  <c r="G549" i="154" s="1"/>
  <c r="J368" i="154"/>
  <c r="I368" i="154" s="1"/>
  <c r="L526" i="154"/>
  <c r="L534" i="154" s="1"/>
  <c r="J389" i="154"/>
  <c r="I389" i="154" s="1"/>
  <c r="M376" i="154"/>
  <c r="J292" i="154"/>
  <c r="M292" i="154" s="1"/>
  <c r="M27" i="157"/>
  <c r="M42" i="157"/>
  <c r="M34" i="157"/>
  <c r="M116" i="154"/>
  <c r="L368" i="154"/>
  <c r="K368" i="154" s="1"/>
  <c r="H466" i="154"/>
  <c r="G466" i="154" s="1"/>
  <c r="L95" i="154"/>
  <c r="K95" i="154" s="1"/>
  <c r="M309" i="154"/>
  <c r="J484" i="154"/>
  <c r="I484" i="154" s="1"/>
  <c r="J129" i="154"/>
  <c r="I129" i="154" s="1"/>
  <c r="M346" i="154"/>
  <c r="M98" i="154"/>
  <c r="L284" i="154"/>
  <c r="L425" i="154"/>
  <c r="K425" i="154" s="1"/>
  <c r="M138" i="154"/>
  <c r="M515" i="154"/>
  <c r="J113" i="154"/>
  <c r="H115" i="154"/>
  <c r="M115" i="154" s="1"/>
  <c r="J459" i="154"/>
  <c r="I459" i="154" s="1"/>
  <c r="M52" i="154"/>
  <c r="M340" i="154"/>
  <c r="M33" i="155"/>
  <c r="M52" i="156"/>
  <c r="M171" i="156"/>
  <c r="M112" i="156"/>
  <c r="M137" i="156"/>
  <c r="H25" i="158"/>
  <c r="G25" i="158" s="1"/>
  <c r="J38" i="158"/>
  <c r="M30" i="158"/>
  <c r="J417" i="154"/>
  <c r="I417" i="154" s="1"/>
  <c r="M299" i="154"/>
  <c r="M136" i="154"/>
  <c r="M408" i="154"/>
  <c r="M312" i="154"/>
  <c r="L277" i="154"/>
  <c r="J277" i="154"/>
  <c r="H277" i="154"/>
  <c r="L36" i="158"/>
  <c r="J36" i="158"/>
  <c r="H36" i="158"/>
  <c r="M166" i="156"/>
  <c r="H456" i="154"/>
  <c r="L456" i="154"/>
  <c r="J456" i="154"/>
  <c r="J306" i="154"/>
  <c r="I306" i="154" s="1"/>
  <c r="H114" i="154"/>
  <c r="M419" i="154"/>
  <c r="M135" i="154"/>
  <c r="M347" i="154"/>
  <c r="M134" i="154"/>
  <c r="J526" i="154"/>
  <c r="I526" i="154" s="1"/>
  <c r="M373" i="154"/>
  <c r="H113" i="154"/>
  <c r="M99" i="154"/>
  <c r="M290" i="154"/>
  <c r="M162" i="154"/>
  <c r="M125" i="155"/>
  <c r="M37" i="156"/>
  <c r="M22" i="156"/>
  <c r="M45" i="156"/>
  <c r="M42" i="156" s="1"/>
  <c r="L25" i="158"/>
  <c r="K25" i="158" s="1"/>
  <c r="M39" i="159"/>
  <c r="M37" i="159" s="1"/>
  <c r="H283" i="154"/>
  <c r="J283" i="154"/>
  <c r="L283" i="154"/>
  <c r="L273" i="154" s="1"/>
  <c r="K273" i="154" s="1"/>
  <c r="H37" i="158"/>
  <c r="L37" i="158"/>
  <c r="J37" i="158"/>
  <c r="J457" i="154"/>
  <c r="H457" i="154"/>
  <c r="L457" i="154"/>
  <c r="H315" i="154"/>
  <c r="G315" i="154" s="1"/>
  <c r="M349" i="154"/>
  <c r="L404" i="154"/>
  <c r="K404" i="154" s="1"/>
  <c r="J106" i="154"/>
  <c r="I106" i="154" s="1"/>
  <c r="J466" i="154"/>
  <c r="I466" i="154" s="1"/>
  <c r="M428" i="154"/>
  <c r="M19" i="159"/>
  <c r="M16" i="159" s="1"/>
  <c r="M118" i="154"/>
  <c r="L306" i="154"/>
  <c r="K306" i="154" s="1"/>
  <c r="M284" i="154"/>
  <c r="M366" i="154"/>
  <c r="J297" i="154"/>
  <c r="I297" i="154" s="1"/>
  <c r="J425" i="154"/>
  <c r="I425" i="154" s="1"/>
  <c r="M144" i="154"/>
  <c r="M173" i="154"/>
  <c r="M232" i="154"/>
  <c r="M147" i="156"/>
  <c r="J18" i="158"/>
  <c r="I18" i="158" s="1"/>
  <c r="J25" i="158"/>
  <c r="I25" i="158" s="1"/>
  <c r="M34" i="159"/>
  <c r="M25" i="159"/>
  <c r="I22" i="159"/>
  <c r="J46" i="159"/>
  <c r="M31" i="159"/>
  <c r="M26" i="159"/>
  <c r="M29" i="159"/>
  <c r="G41" i="159"/>
  <c r="H22" i="159"/>
  <c r="G22" i="159" s="1"/>
  <c r="K31" i="159"/>
  <c r="M39" i="158"/>
  <c r="M29" i="158"/>
  <c r="M22" i="158"/>
  <c r="M20" i="158"/>
  <c r="H18" i="158"/>
  <c r="G18" i="158" s="1"/>
  <c r="M31" i="158"/>
  <c r="M28" i="158"/>
  <c r="H14" i="158"/>
  <c r="G14" i="158" s="1"/>
  <c r="M16" i="158"/>
  <c r="M14" i="158" s="1"/>
  <c r="L18" i="158"/>
  <c r="K18" i="158" s="1"/>
  <c r="M23" i="158"/>
  <c r="M32" i="158"/>
  <c r="H71" i="157"/>
  <c r="H122" i="157" s="1"/>
  <c r="M123" i="157" s="1"/>
  <c r="G66" i="157"/>
  <c r="M121" i="157"/>
  <c r="J71" i="157"/>
  <c r="J122" i="157" s="1"/>
  <c r="M66" i="157"/>
  <c r="K42" i="156"/>
  <c r="L201" i="156"/>
  <c r="H42" i="156"/>
  <c r="G42" i="156" s="1"/>
  <c r="M34" i="156"/>
  <c r="M32" i="156" s="1"/>
  <c r="H32" i="156"/>
  <c r="G32" i="156" s="1"/>
  <c r="M92" i="156"/>
  <c r="M30" i="156"/>
  <c r="M27" i="156" s="1"/>
  <c r="H27" i="156"/>
  <c r="G27" i="156" s="1"/>
  <c r="G196" i="156"/>
  <c r="J201" i="156"/>
  <c r="M204" i="156" s="1"/>
  <c r="I196" i="156"/>
  <c r="M20" i="156"/>
  <c r="M17" i="156" s="1"/>
  <c r="H17" i="156"/>
  <c r="G17" i="156" s="1"/>
  <c r="M156" i="156"/>
  <c r="I53" i="155"/>
  <c r="J96" i="155"/>
  <c r="M41" i="155"/>
  <c r="G92" i="155"/>
  <c r="M38" i="155"/>
  <c r="K78" i="155"/>
  <c r="L96" i="155"/>
  <c r="L126" i="155" s="1"/>
  <c r="M13" i="155"/>
  <c r="H38" i="155"/>
  <c r="G38" i="155" s="1"/>
  <c r="M56" i="155"/>
  <c r="M53" i="155" s="1"/>
  <c r="H53" i="155"/>
  <c r="G53" i="155" s="1"/>
  <c r="G404" i="154"/>
  <c r="I404" i="154"/>
  <c r="M450" i="154"/>
  <c r="M448" i="154" s="1"/>
  <c r="H448" i="154"/>
  <c r="G448" i="154" s="1"/>
  <c r="H459" i="154"/>
  <c r="G459" i="154" s="1"/>
  <c r="M461" i="154"/>
  <c r="M319" i="154"/>
  <c r="M371" i="154"/>
  <c r="M368" i="154" s="1"/>
  <c r="H503" i="154"/>
  <c r="L503" i="154"/>
  <c r="J503" i="154"/>
  <c r="M114" i="154"/>
  <c r="M101" i="154"/>
  <c r="M363" i="154"/>
  <c r="J396" i="154"/>
  <c r="I396" i="154" s="1"/>
  <c r="M43" i="154"/>
  <c r="M217" i="154"/>
  <c r="J315" i="154"/>
  <c r="M402" i="154"/>
  <c r="L434" i="154"/>
  <c r="J434" i="154"/>
  <c r="H434" i="154"/>
  <c r="M351" i="154"/>
  <c r="M511" i="154"/>
  <c r="M301" i="154"/>
  <c r="L545" i="154"/>
  <c r="L543" i="154" s="1"/>
  <c r="K543" i="154" s="1"/>
  <c r="J543" i="154"/>
  <c r="I543" i="154" s="1"/>
  <c r="M145" i="154"/>
  <c r="L505" i="154"/>
  <c r="M317" i="154"/>
  <c r="J502" i="154"/>
  <c r="H502" i="154"/>
  <c r="L502" i="154"/>
  <c r="M131" i="154"/>
  <c r="H129" i="154"/>
  <c r="G129" i="154" s="1"/>
  <c r="M262" i="154"/>
  <c r="L396" i="154"/>
  <c r="K396" i="154" s="1"/>
  <c r="M444" i="154"/>
  <c r="M442" i="154" s="1"/>
  <c r="H442" i="154"/>
  <c r="G442" i="154" s="1"/>
  <c r="L315" i="154"/>
  <c r="M427" i="154"/>
  <c r="M425" i="154" s="1"/>
  <c r="H425" i="154"/>
  <c r="G425" i="154" s="1"/>
  <c r="J436" i="154"/>
  <c r="H436" i="154"/>
  <c r="L436" i="154"/>
  <c r="M362" i="154"/>
  <c r="H360" i="154"/>
  <c r="G360" i="154" s="1"/>
  <c r="M84" i="154"/>
  <c r="H505" i="154"/>
  <c r="M507" i="154"/>
  <c r="L538" i="154"/>
  <c r="L536" i="154" s="1"/>
  <c r="K536" i="154" s="1"/>
  <c r="J536" i="154"/>
  <c r="I536" i="154" s="1"/>
  <c r="M545" i="154"/>
  <c r="M543" i="154" s="1"/>
  <c r="H543" i="154"/>
  <c r="G543" i="154" s="1"/>
  <c r="M184" i="154"/>
  <c r="M30" i="154"/>
  <c r="G30" i="154"/>
  <c r="H396" i="154"/>
  <c r="G396" i="154" s="1"/>
  <c r="M398" i="154"/>
  <c r="M549" i="154"/>
  <c r="M143" i="154"/>
  <c r="G25" i="154"/>
  <c r="M25" i="154"/>
  <c r="M239" i="154"/>
  <c r="M304" i="154"/>
  <c r="M339" i="154"/>
  <c r="J360" i="154"/>
  <c r="I360" i="154" s="1"/>
  <c r="M508" i="154"/>
  <c r="M540" i="154"/>
  <c r="J505" i="154"/>
  <c r="L129" i="154"/>
  <c r="K129" i="154" s="1"/>
  <c r="M320" i="154"/>
  <c r="M276" i="154"/>
  <c r="M146" i="154"/>
  <c r="M472" i="154"/>
  <c r="K526" i="154"/>
  <c r="M394" i="154"/>
  <c r="M389" i="154" s="1"/>
  <c r="M151" i="154"/>
  <c r="M478" i="154"/>
  <c r="M476" i="154" s="1"/>
  <c r="H476" i="154"/>
  <c r="M23" i="154"/>
  <c r="M365" i="154"/>
  <c r="M250" i="154"/>
  <c r="M148" i="154"/>
  <c r="L360" i="154"/>
  <c r="K360" i="154" s="1"/>
  <c r="M463" i="154"/>
  <c r="M500" i="154"/>
  <c r="G15" i="154"/>
  <c r="M15" i="154"/>
  <c r="M236" i="154"/>
  <c r="H95" i="154"/>
  <c r="G95" i="154" s="1"/>
  <c r="M97" i="154"/>
  <c r="M489" i="154"/>
  <c r="M484" i="154" s="1"/>
  <c r="J40" i="154"/>
  <c r="M230" i="154"/>
  <c r="H228" i="154"/>
  <c r="G228" i="154" s="1"/>
  <c r="M344" i="154"/>
  <c r="H342" i="154"/>
  <c r="G342" i="154" s="1"/>
  <c r="G35" i="154"/>
  <c r="M35" i="154"/>
  <c r="M104" i="154"/>
  <c r="L297" i="154"/>
  <c r="M529" i="154"/>
  <c r="M421" i="154"/>
  <c r="I476" i="154"/>
  <c r="M142" i="154"/>
  <c r="H140" i="154"/>
  <c r="G140" i="154" s="1"/>
  <c r="M285" i="154"/>
  <c r="M338" i="154"/>
  <c r="H368" i="154"/>
  <c r="G368" i="154" s="1"/>
  <c r="M235" i="154"/>
  <c r="M337" i="154"/>
  <c r="H335" i="154"/>
  <c r="G335" i="154" s="1"/>
  <c r="I549" i="154"/>
  <c r="L499" i="154"/>
  <c r="J499" i="154"/>
  <c r="H499" i="154"/>
  <c r="L438" i="154"/>
  <c r="H438" i="154"/>
  <c r="J438" i="154"/>
  <c r="M407" i="154"/>
  <c r="J228" i="154"/>
  <c r="I228" i="154" s="1"/>
  <c r="M509" i="154"/>
  <c r="J342" i="154"/>
  <c r="I342" i="154" s="1"/>
  <c r="M300" i="154"/>
  <c r="H297" i="154"/>
  <c r="L437" i="154"/>
  <c r="J437" i="154"/>
  <c r="H437" i="154"/>
  <c r="K476" i="154"/>
  <c r="M348" i="154"/>
  <c r="J140" i="154"/>
  <c r="I140" i="154" s="1"/>
  <c r="H306" i="154"/>
  <c r="G306" i="154" s="1"/>
  <c r="G322" i="154"/>
  <c r="M404" i="154"/>
  <c r="M318" i="154"/>
  <c r="J335" i="154"/>
  <c r="I335" i="154" s="1"/>
  <c r="K549" i="154"/>
  <c r="M132" i="154"/>
  <c r="M275" i="154"/>
  <c r="M42" i="154"/>
  <c r="H40" i="154"/>
  <c r="L106" i="154"/>
  <c r="K106" i="154" s="1"/>
  <c r="J95" i="154"/>
  <c r="I95" i="154" s="1"/>
  <c r="L501" i="154"/>
  <c r="H501" i="154"/>
  <c r="J501" i="154"/>
  <c r="L40" i="154"/>
  <c r="L228" i="154"/>
  <c r="K228" i="154" s="1"/>
  <c r="M313" i="154"/>
  <c r="L342" i="154"/>
  <c r="K342" i="154" s="1"/>
  <c r="H536" i="154"/>
  <c r="G536" i="154" s="1"/>
  <c r="M206" i="154"/>
  <c r="M282" i="154"/>
  <c r="L435" i="154"/>
  <c r="H435" i="154"/>
  <c r="J435" i="154"/>
  <c r="M345" i="154"/>
  <c r="H20" i="154"/>
  <c r="L140" i="154"/>
  <c r="K140" i="154" s="1"/>
  <c r="M469" i="154"/>
  <c r="M62" i="154"/>
  <c r="M113" i="154"/>
  <c r="L459" i="154"/>
  <c r="K459" i="154" s="1"/>
  <c r="L335" i="154"/>
  <c r="K335" i="154" s="1"/>
  <c r="M532" i="154"/>
  <c r="M195" i="154"/>
  <c r="M473" i="154"/>
  <c r="J554" i="154" l="1"/>
  <c r="M396" i="154"/>
  <c r="H534" i="154"/>
  <c r="L46" i="159"/>
  <c r="M47" i="154"/>
  <c r="M36" i="158"/>
  <c r="M38" i="158"/>
  <c r="R292" i="154"/>
  <c r="M297" i="154"/>
  <c r="J34" i="158"/>
  <c r="I34" i="158" s="1"/>
  <c r="L291" i="154"/>
  <c r="L287" i="154" s="1"/>
  <c r="K287" i="154" s="1"/>
  <c r="H291" i="154"/>
  <c r="J291" i="154"/>
  <c r="J287" i="154" s="1"/>
  <c r="I287" i="154" s="1"/>
  <c r="M417" i="154"/>
  <c r="J273" i="154"/>
  <c r="H273" i="154"/>
  <c r="G273" i="154" s="1"/>
  <c r="M18" i="158"/>
  <c r="M306" i="154"/>
  <c r="M333" i="154" s="1"/>
  <c r="J333" i="154"/>
  <c r="M71" i="157"/>
  <c r="H201" i="156"/>
  <c r="M25" i="158"/>
  <c r="H106" i="154"/>
  <c r="G106" i="154" s="1"/>
  <c r="L34" i="158"/>
  <c r="L41" i="158" s="1"/>
  <c r="L42" i="158" s="1"/>
  <c r="J454" i="154"/>
  <c r="I454" i="154" s="1"/>
  <c r="J534" i="154"/>
  <c r="O122" i="157"/>
  <c r="M22" i="159"/>
  <c r="M46" i="159" s="1"/>
  <c r="M457" i="154"/>
  <c r="M37" i="158"/>
  <c r="L454" i="154"/>
  <c r="K454" i="154" s="1"/>
  <c r="I273" i="154"/>
  <c r="J294" i="154"/>
  <c r="J295" i="154" s="1"/>
  <c r="J556" i="154" s="1"/>
  <c r="M538" i="154"/>
  <c r="M536" i="154" s="1"/>
  <c r="M554" i="154" s="1"/>
  <c r="L554" i="154"/>
  <c r="M360" i="154"/>
  <c r="M140" i="154"/>
  <c r="M526" i="154"/>
  <c r="M534" i="154" s="1"/>
  <c r="M459" i="154"/>
  <c r="H96" i="155"/>
  <c r="H126" i="155" s="1"/>
  <c r="M127" i="155" s="1"/>
  <c r="M201" i="156"/>
  <c r="M283" i="154"/>
  <c r="M456" i="154"/>
  <c r="H454" i="154"/>
  <c r="G454" i="154" s="1"/>
  <c r="M435" i="154"/>
  <c r="H34" i="158"/>
  <c r="H41" i="158" s="1"/>
  <c r="M466" i="154"/>
  <c r="M106" i="154"/>
  <c r="M438" i="154"/>
  <c r="M335" i="154"/>
  <c r="M96" i="155"/>
  <c r="M122" i="157"/>
  <c r="M124" i="157" s="1"/>
  <c r="M125" i="157" s="1"/>
  <c r="M277" i="154"/>
  <c r="H46" i="159"/>
  <c r="M47" i="159" s="1"/>
  <c r="G34" i="158"/>
  <c r="O201" i="156"/>
  <c r="M202" i="156"/>
  <c r="M97" i="155"/>
  <c r="M98" i="155" s="1"/>
  <c r="M126" i="155" s="1"/>
  <c r="J126" i="155"/>
  <c r="G297" i="154"/>
  <c r="H333" i="154"/>
  <c r="K315" i="154"/>
  <c r="L332" i="154"/>
  <c r="M129" i="154"/>
  <c r="J432" i="154"/>
  <c r="K40" i="154"/>
  <c r="L45" i="154"/>
  <c r="L432" i="154"/>
  <c r="L410" i="154"/>
  <c r="M95" i="154"/>
  <c r="H554" i="154"/>
  <c r="M502" i="154"/>
  <c r="M434" i="154"/>
  <c r="H432" i="154"/>
  <c r="M501" i="154"/>
  <c r="M40" i="154"/>
  <c r="H45" i="154"/>
  <c r="G40" i="154"/>
  <c r="M342" i="154"/>
  <c r="I505" i="154"/>
  <c r="M505" i="154"/>
  <c r="I315" i="154"/>
  <c r="J332" i="154"/>
  <c r="L294" i="154"/>
  <c r="L295" i="154" s="1"/>
  <c r="H410" i="154"/>
  <c r="G476" i="154"/>
  <c r="M20" i="154"/>
  <c r="G20" i="154"/>
  <c r="M499" i="154"/>
  <c r="H497" i="154"/>
  <c r="G497" i="154" s="1"/>
  <c r="G505" i="154"/>
  <c r="M436" i="154"/>
  <c r="M503" i="154"/>
  <c r="H332" i="154"/>
  <c r="M437" i="154"/>
  <c r="J497" i="154"/>
  <c r="I497" i="154" s="1"/>
  <c r="M228" i="154"/>
  <c r="M315" i="154"/>
  <c r="L497" i="154"/>
  <c r="K497" i="154" s="1"/>
  <c r="L333" i="154"/>
  <c r="K297" i="154"/>
  <c r="J45" i="154"/>
  <c r="I40" i="154"/>
  <c r="K505" i="154"/>
  <c r="J410" i="154"/>
  <c r="L482" i="154" l="1"/>
  <c r="M203" i="156"/>
  <c r="M205" i="156" s="1"/>
  <c r="J41" i="158"/>
  <c r="M34" i="158"/>
  <c r="M41" i="158" s="1"/>
  <c r="M42" i="158" s="1"/>
  <c r="M46" i="158" s="1"/>
  <c r="K34" i="158"/>
  <c r="M291" i="154"/>
  <c r="M287" i="154" s="1"/>
  <c r="H287" i="154"/>
  <c r="M410" i="154"/>
  <c r="M332" i="154"/>
  <c r="M128" i="155"/>
  <c r="M129" i="155" s="1"/>
  <c r="M130" i="155" s="1"/>
  <c r="J6" i="155" s="1"/>
  <c r="M48" i="159"/>
  <c r="J482" i="154"/>
  <c r="H482" i="154"/>
  <c r="J513" i="154"/>
  <c r="O46" i="159"/>
  <c r="M273" i="154"/>
  <c r="M294" i="154" s="1"/>
  <c r="M295" i="154" s="1"/>
  <c r="M556" i="154" s="1"/>
  <c r="M560" i="154" s="1"/>
  <c r="M454" i="154"/>
  <c r="M482" i="154" s="1"/>
  <c r="M126" i="157"/>
  <c r="O41" i="158"/>
  <c r="L556" i="154"/>
  <c r="M51" i="159"/>
  <c r="M49" i="159"/>
  <c r="M50" i="159" s="1"/>
  <c r="H42" i="158"/>
  <c r="M43" i="158"/>
  <c r="M44" i="158" s="1"/>
  <c r="M206" i="156"/>
  <c r="M207" i="156" s="1"/>
  <c r="J6" i="156" s="1"/>
  <c r="J440" i="154"/>
  <c r="I432" i="154"/>
  <c r="M45" i="154"/>
  <c r="L513" i="154"/>
  <c r="H513" i="154"/>
  <c r="H440" i="154"/>
  <c r="G432" i="154"/>
  <c r="M432" i="154"/>
  <c r="M440" i="154" s="1"/>
  <c r="L440" i="154"/>
  <c r="K432" i="154"/>
  <c r="M497" i="154"/>
  <c r="M513" i="154" s="1"/>
  <c r="M45" i="158" l="1"/>
  <c r="O42" i="158"/>
  <c r="J42" i="158"/>
  <c r="G287" i="154"/>
  <c r="H294" i="154"/>
  <c r="H295" i="154" s="1"/>
  <c r="H556" i="154" s="1"/>
  <c r="J555" i="154"/>
  <c r="M52" i="159"/>
  <c r="J6" i="159" s="1"/>
  <c r="L555" i="154"/>
  <c r="M127" i="157"/>
  <c r="M128" i="157" s="1"/>
  <c r="J6" i="157" s="1"/>
  <c r="H555" i="154"/>
  <c r="M557" i="154" s="1"/>
  <c r="M47" i="158"/>
  <c r="M555" i="154"/>
  <c r="M48" i="158" l="1"/>
  <c r="M49" i="158" s="1"/>
  <c r="J8" i="158" s="1"/>
  <c r="M559" i="154"/>
  <c r="M558" i="154"/>
  <c r="M561" i="154" l="1"/>
  <c r="M562" i="154" s="1"/>
  <c r="M563" i="154" s="1"/>
  <c r="J8" i="154" s="1"/>
</calcChain>
</file>

<file path=xl/sharedStrings.xml><?xml version="1.0" encoding="utf-8"?>
<sst xmlns="http://schemas.openxmlformats.org/spreadsheetml/2006/main" count="2372" uniqueCount="675">
  <si>
    <t>`</t>
  </si>
  <si>
    <t>#</t>
  </si>
  <si>
    <t>cali</t>
  </si>
  <si>
    <t>°</t>
  </si>
  <si>
    <t>ათ.ლარი</t>
  </si>
  <si>
    <t>(სახარჯთაღრიცხვო ღირებულება)</t>
  </si>
  <si>
    <t>სამუშაოების დასახელება</t>
  </si>
  <si>
    <t>განზ. ერთ.</t>
  </si>
  <si>
    <t>რაოდ.</t>
  </si>
  <si>
    <t>ღირებულება, ლარი</t>
  </si>
  <si>
    <t>მასალა</t>
  </si>
  <si>
    <t>ხელფასი</t>
  </si>
  <si>
    <t>მანქ.-მექ. ესპლუატაცია და სატრანს. ხარჯები</t>
  </si>
  <si>
    <t>ჯამი</t>
  </si>
  <si>
    <t>ერთ.</t>
  </si>
  <si>
    <t>სულ</t>
  </si>
  <si>
    <t>კომპ.</t>
  </si>
  <si>
    <t>მ2</t>
  </si>
  <si>
    <t>ლარი</t>
  </si>
  <si>
    <t>ცალი</t>
  </si>
  <si>
    <t>დამხმარე მასალები</t>
  </si>
  <si>
    <t>ჯამი-1:</t>
  </si>
  <si>
    <t>ჯამი:</t>
  </si>
  <si>
    <t>სატრანსპორტო ხარჯები (მასალათა ღირებულებიდან)</t>
  </si>
  <si>
    <t>სულ:</t>
  </si>
  <si>
    <t>გეგმიური დაგროვება:</t>
  </si>
  <si>
    <r>
      <rPr>
        <b/>
        <sz val="10"/>
        <rFont val="AcadNusx"/>
      </rPr>
      <t>შედგენლია:</t>
    </r>
    <r>
      <rPr>
        <sz val="10"/>
        <rFont val="AcadNusx"/>
      </rPr>
      <t xml:space="preserve"> საბაზრო ფასების მიხედვით</t>
    </r>
  </si>
  <si>
    <t>ტონა</t>
  </si>
  <si>
    <t>მ.შ. ლითონ-კონსტრუქცია</t>
  </si>
  <si>
    <t>გრძ.მ.</t>
  </si>
  <si>
    <t>ჯამი-2:</t>
  </si>
  <si>
    <t>ხის კოჭების მონტაჟი იატაკის მოსაწყობად</t>
  </si>
  <si>
    <t>მ3</t>
  </si>
  <si>
    <t>ჯამი-3:</t>
  </si>
  <si>
    <t>სატრანსპორტო ხარჯები (მასალის ღირებულებიდან)</t>
  </si>
  <si>
    <t>ათ. ლარი</t>
  </si>
  <si>
    <r>
      <rPr>
        <b/>
        <sz val="10"/>
        <rFont val="AcadNusx"/>
      </rPr>
      <t xml:space="preserve">საფუძველი: </t>
    </r>
    <r>
      <rPr>
        <sz val="10"/>
        <rFont val="AcadNusx"/>
      </rPr>
      <t>პროექტი</t>
    </r>
  </si>
  <si>
    <r>
      <rPr>
        <b/>
        <sz val="9"/>
        <rFont val="AcadNusx"/>
      </rPr>
      <t xml:space="preserve">შედგენილია: </t>
    </r>
    <r>
      <rPr>
        <sz val="9"/>
        <rFont val="AcadNusx"/>
      </rPr>
      <t>2014 წლის  კვარტლის .ფასებში (სამშენებლო რესურსული ფასთა კრებული)</t>
    </r>
  </si>
  <si>
    <t>1.სამონტაჟო სამუშაოები</t>
  </si>
  <si>
    <t xml:space="preserve">კაბელის მონტაჟი კვეთით: 6მმ2-მდე. </t>
  </si>
  <si>
    <t>100 მ.</t>
  </si>
  <si>
    <t xml:space="preserve">კაბელის მონტაჟი კვეთით: 50მმ2-მდე. </t>
  </si>
  <si>
    <t>პლასმასის კარადის მონტაჟი</t>
  </si>
  <si>
    <t>ერთპოლუსა ავტომატების მონტაჟი</t>
  </si>
  <si>
    <t>სამ პოლუსა 160 ამპ. ავტომატების მონტაჟი</t>
  </si>
  <si>
    <t>ჩამოსაკიდი სანათების მონტაჟი</t>
  </si>
  <si>
    <t>როზეტების მონტაჟი</t>
  </si>
  <si>
    <t>იატაკის სამონტაჟო ყუთის მონტაჟი 4 მოდულზე</t>
  </si>
  <si>
    <t>პლასმასის საკაბელო არხის მონტაჟი</t>
  </si>
  <si>
    <t>ზედნადები ხარჯები ელ-სამონტაჟო სამუშაოებზე (ხელფასიდან)</t>
  </si>
  <si>
    <t>2. მასალები</t>
  </si>
  <si>
    <r>
      <rPr>
        <b/>
        <sz val="9"/>
        <rFont val="BalavMtavr"/>
      </rPr>
      <t>სპილენძის კაბელი მრგვალი კვეთით:</t>
    </r>
    <r>
      <rPr>
        <sz val="9"/>
        <rFont val="BalavMtavr"/>
      </rPr>
      <t xml:space="preserve"> 1X4</t>
    </r>
    <r>
      <rPr>
        <b/>
        <sz val="9"/>
        <rFont val="BalavMtavr"/>
      </rPr>
      <t>მმ</t>
    </r>
    <r>
      <rPr>
        <sz val="9"/>
        <rFont val="BalavMtavr"/>
      </rPr>
      <t>2</t>
    </r>
  </si>
  <si>
    <r>
      <rPr>
        <b/>
        <sz val="9"/>
        <rFont val="BalavMtavr"/>
      </rPr>
      <t>სპილენძის კაბელი მრგვალი კვეთით</t>
    </r>
    <r>
      <rPr>
        <sz val="9"/>
        <rFont val="BalavMtavr"/>
      </rPr>
      <t>: 3X1,5</t>
    </r>
    <r>
      <rPr>
        <b/>
        <sz val="9"/>
        <rFont val="BalavMtavr"/>
      </rPr>
      <t>მმ2</t>
    </r>
  </si>
  <si>
    <r>
      <rPr>
        <b/>
        <sz val="9"/>
        <rFont val="BalavMtavr"/>
      </rPr>
      <t>სპილენძის კაბელი მრგვალი კვეთით</t>
    </r>
    <r>
      <rPr>
        <sz val="9"/>
        <rFont val="BalavMtavr"/>
      </rPr>
      <t>: 3X2,5მმ2</t>
    </r>
  </si>
  <si>
    <r>
      <rPr>
        <b/>
        <sz val="9"/>
        <rFont val="BalavMtavr"/>
      </rPr>
      <t>სპილენძის კაბელი მრგვალი კვეთით</t>
    </r>
    <r>
      <rPr>
        <sz val="9"/>
        <rFont val="BalavMtavr"/>
      </rPr>
      <t>: 4X50++++</t>
    </r>
    <r>
      <rPr>
        <sz val="9"/>
        <rFont val="AcadNusx"/>
      </rPr>
      <t>+</t>
    </r>
    <r>
      <rPr>
        <sz val="9"/>
        <rFont val="BalavMtavr"/>
      </rPr>
      <t>1X25მმ2</t>
    </r>
  </si>
  <si>
    <t>კბ.</t>
  </si>
  <si>
    <t>ჯამი-1-2:</t>
  </si>
  <si>
    <t>კარადა გარე მისაყენებელი: 2X24 მოდულზე</t>
  </si>
  <si>
    <t>დასაპარალილებელი სალტე 3 პოლუსა 3/-63ა.</t>
  </si>
  <si>
    <t>ავტომატური ამომრთველი: 1X16ამპ.</t>
  </si>
  <si>
    <t>ავტომატური ამომრთველი: 1X25ამპ.</t>
  </si>
  <si>
    <t>ავტომატური ამომრთველი: 3X160ამპ.</t>
  </si>
  <si>
    <t>ერთკლავიშიანი ჩამრთველი</t>
  </si>
  <si>
    <t>როზეტი დამიწების კონტურით</t>
  </si>
  <si>
    <t>განშტოების ყუთი: 100X100X50</t>
  </si>
  <si>
    <t>იატაკის სამონტაჟო ყუთი 4 მოდულზე</t>
  </si>
  <si>
    <r>
      <t>საინსტალაციო მყარი მილი:</t>
    </r>
    <r>
      <rPr>
        <b/>
        <sz val="9"/>
        <rFont val="Arial"/>
        <family val="2"/>
        <charset val="204"/>
      </rPr>
      <t xml:space="preserve"> D=16mm. PVC</t>
    </r>
  </si>
  <si>
    <t>პლასმასის საკაბელო არხი: 60X40მმ, ფიტინგებით (გადამყვანი, კუთხე, დაბოლოება, ჯვარედინა)</t>
  </si>
  <si>
    <r>
      <rPr>
        <b/>
        <sz val="9"/>
        <rFont val="BalavMtavr"/>
      </rPr>
      <t>ჯაჭვი მოთუთიებული: დ</t>
    </r>
    <r>
      <rPr>
        <sz val="9"/>
        <rFont val="BalavMtavr"/>
      </rPr>
      <t>==</t>
    </r>
    <r>
      <rPr>
        <sz val="9"/>
        <rFont val="Arachveulebrivi Thin"/>
        <family val="2"/>
      </rPr>
      <t>=</t>
    </r>
    <r>
      <rPr>
        <sz val="9"/>
        <rFont val="BalavMtavr"/>
      </rPr>
      <t>3mm</t>
    </r>
  </si>
  <si>
    <t>დამხმარე მასალები (იზოლენტა, სკობები, შურუპები და სხვა)</t>
  </si>
  <si>
    <t xml:space="preserve">კაბელის მონტაჟი კვეთით: 16მმ2-მდე. </t>
  </si>
  <si>
    <r>
      <rPr>
        <b/>
        <sz val="9"/>
        <rFont val="BalavMtavr"/>
      </rPr>
      <t>სპილენძის კაბელი მრგვალი კვეთით</t>
    </r>
    <r>
      <rPr>
        <sz val="9"/>
        <rFont val="BalavMtavr"/>
      </rPr>
      <t>: 5X16მმ2</t>
    </r>
  </si>
  <si>
    <t>ავტომატური ამომრთველი: 3X63ამპ.</t>
  </si>
  <si>
    <t>სამ პოლუსა 63 ამპ. ავტომატების მონტაჟი</t>
  </si>
  <si>
    <t>სატრანსპორტო ხარჯები (მასალების ღირებულებიდან)</t>
  </si>
  <si>
    <t>ჯამი-4:</t>
  </si>
  <si>
    <t>ზედნადები ხარჯები სამშენებლო სამუშაოებისათვის</t>
  </si>
  <si>
    <t>ზედნადები ხარჯები ლითონ-კონსტრტუქციის მონტაჟზე</t>
  </si>
  <si>
    <t>კომპ</t>
  </si>
  <si>
    <t>გეგმიური დაგროვება (დანადგარის ღირებულების გარეშე):</t>
  </si>
  <si>
    <t>მათ. შორის დანადგარი:</t>
  </si>
  <si>
    <t>ჯამი-5:</t>
  </si>
  <si>
    <t>ალუმინის მოაჯირების მონტაჟი</t>
  </si>
  <si>
    <t>სავალი ფენილის და ასევე გვერდითი ფერდოების შემოსვა ფერცლოვანი ალუმინით, წიბოების მოპირკეთებით ალუმინის პროფილებით.</t>
  </si>
  <si>
    <t>ორკლავიშიანი ჩამრთველი</t>
  </si>
  <si>
    <t>ზედნადები ხარჯები  (ხელფასიდან)</t>
  </si>
  <si>
    <r>
      <rPr>
        <b/>
        <sz val="9"/>
        <rFont val="Arial"/>
        <family val="2"/>
        <charset val="204"/>
      </rPr>
      <t xml:space="preserve">LED </t>
    </r>
    <r>
      <rPr>
        <b/>
        <sz val="9"/>
        <rFont val="BalavMtavr"/>
      </rPr>
      <t>სანათი 40 ვატიანი</t>
    </r>
  </si>
  <si>
    <r>
      <rPr>
        <b/>
        <sz val="9"/>
        <rFont val="Arial"/>
        <family val="2"/>
        <charset val="204"/>
      </rPr>
      <t xml:space="preserve">LED </t>
    </r>
    <r>
      <rPr>
        <b/>
        <sz val="9"/>
        <rFont val="BalavMtavr"/>
      </rPr>
      <t>სანათი 40 ვატიანი, აკუმულატორით, ავარიული განათებისათვის</t>
    </r>
  </si>
  <si>
    <t>ელექტრო-სამონტაჟო სამუშაოები</t>
  </si>
  <si>
    <t>გეგმიური დაგროვება</t>
  </si>
  <si>
    <r>
      <rPr>
        <b/>
        <sz val="9"/>
        <rFont val="AcadNusx"/>
      </rPr>
      <t xml:space="preserve">საფუძველი: </t>
    </r>
    <r>
      <rPr>
        <sz val="9"/>
        <rFont val="AcadNusx"/>
      </rPr>
      <t>პროექტი</t>
    </r>
  </si>
  <si>
    <t>შიდა ინვენტარული ხარაჩოების მოწყობა-დაშლა სავენტილაციო და ელექტრო სისტემების სამონტაჟო სამუშაოების ჩასატარებლად</t>
  </si>
  <si>
    <t>lari</t>
  </si>
  <si>
    <t>ერთკლავიშიანი ჩამრთველის მონტაჟი</t>
  </si>
  <si>
    <t>ორკლავიშიანი ჩამრთველის მონტაჟი</t>
  </si>
  <si>
    <t>ლოკალური სახარჯთაღრიცხვო ანგარიში #1</t>
  </si>
  <si>
    <r>
      <rPr>
        <b/>
        <sz val="10"/>
        <rFont val="AcadNusx"/>
      </rPr>
      <t>ობიექტის დასახელება:</t>
    </r>
    <r>
      <rPr>
        <sz val="10"/>
        <rFont val="AcadNusx"/>
      </rPr>
      <t xml:space="preserve"> საქართველოს ფინანსთა სამინისტროს ადმინისტრაციული შენობის ტერასაზე დროებითი საკონფერენციო დარბაზი</t>
    </r>
  </si>
  <si>
    <t>საერთო-სამშენებლო სამუშაოები</t>
  </si>
  <si>
    <r>
      <rPr>
        <b/>
        <sz val="9"/>
        <rFont val="AcadNusx"/>
      </rPr>
      <t>შედგენლია:</t>
    </r>
    <r>
      <rPr>
        <sz val="9"/>
        <rFont val="AcadNusx"/>
      </rPr>
      <t xml:space="preserve"> 2015 წლის  მე-2 კვარტლის .ფასებში (სამშენებლო რესურსული ფასთა კრებული)</t>
    </r>
  </si>
  <si>
    <t>1.სადემონტაჟო სამუშაოები</t>
  </si>
  <si>
    <t>ლოკალური სახარჯთაღრიცხვო ანგარიში #2</t>
  </si>
  <si>
    <t>ჭერში ჩაფლული სანათების მონტაჟი</t>
  </si>
  <si>
    <t>ერთკლავიშიანი გადამრთველის მონტაჟი</t>
  </si>
  <si>
    <t>ორკლავიშიანი გადამრთველის მონტაჟი</t>
  </si>
  <si>
    <t>ჭერში ჩაფლული წერტილოვანი სანათი</t>
  </si>
  <si>
    <r>
      <rPr>
        <b/>
        <sz val="9"/>
        <rFont val="BalavMtavr"/>
      </rPr>
      <t>საინსტალაციო მყარი მილის მონტაჟი</t>
    </r>
    <r>
      <rPr>
        <sz val="9"/>
        <rFont val="BalavMtavr"/>
      </rPr>
      <t xml:space="preserve">: </t>
    </r>
    <r>
      <rPr>
        <b/>
        <sz val="9"/>
        <rFont val="Arial"/>
        <family val="2"/>
        <charset val="204"/>
      </rPr>
      <t xml:space="preserve"> D=16mm. PVC</t>
    </r>
  </si>
  <si>
    <t>სულ-1:</t>
  </si>
  <si>
    <t>ლოკალური სახარჯთაღრიცხვო ანგარიში #3</t>
  </si>
  <si>
    <t>100 ც</t>
  </si>
  <si>
    <r>
      <rPr>
        <b/>
        <sz val="9"/>
        <rFont val="AcadNusx"/>
      </rPr>
      <t xml:space="preserve">შედგენილია: </t>
    </r>
    <r>
      <rPr>
        <sz val="9"/>
        <rFont val="AcadNusx"/>
      </rPr>
      <t>2014 წლის მე-2 კვარტლის .ფასებში (სამშენებლო რესურსული ფასთა კრებული)</t>
    </r>
  </si>
  <si>
    <t>შიდა ცივი და ცხელი წყალსადენის  და კანალიზაციის ქსელის მონტაჟი</t>
  </si>
  <si>
    <t>უნიტაზის მონტაჟი</t>
  </si>
  <si>
    <t>პისუარის მონტაჟი</t>
  </si>
  <si>
    <t>პირსაბანის მონტაჟი</t>
  </si>
  <si>
    <t>ტრაპის მონტაჟი</t>
  </si>
  <si>
    <t>წყლის შემრევების მონტაჟი</t>
  </si>
  <si>
    <t>წყლის გამაცხელებლის მონტაჟი</t>
  </si>
  <si>
    <t>1. მოწყობილობები</t>
  </si>
  <si>
    <r>
      <t xml:space="preserve">მინა-ბოჭკოვანი მილი: 20X2,9მმ. </t>
    </r>
    <r>
      <rPr>
        <sz val="9"/>
        <rFont val="Arial"/>
        <family val="2"/>
        <charset val="204"/>
      </rPr>
      <t>PN20</t>
    </r>
  </si>
  <si>
    <r>
      <t xml:space="preserve">მინა-ბოჭკოვანი მილი: 25X3,5მმ. </t>
    </r>
    <r>
      <rPr>
        <sz val="9"/>
        <rFont val="Arial"/>
        <family val="2"/>
        <charset val="204"/>
      </rPr>
      <t>PN20</t>
    </r>
  </si>
  <si>
    <r>
      <t xml:space="preserve">მინა-ბოჭკოვანი მილი: 32X4,4მმ. </t>
    </r>
    <r>
      <rPr>
        <sz val="9"/>
        <rFont val="Arial"/>
        <family val="2"/>
        <charset val="204"/>
      </rPr>
      <t>PN20</t>
    </r>
  </si>
  <si>
    <r>
      <t xml:space="preserve">მილის თბოიზოლაცია: </t>
    </r>
    <r>
      <rPr>
        <sz val="9"/>
        <rFont val="Arial"/>
        <family val="2"/>
        <charset val="204"/>
      </rPr>
      <t xml:space="preserve">D= </t>
    </r>
    <r>
      <rPr>
        <sz val="9"/>
        <rFont val="BalavMtavr"/>
      </rPr>
      <t>20მმ. მილისათვის</t>
    </r>
  </si>
  <si>
    <r>
      <t xml:space="preserve">მილის თბოიზოლაცია: </t>
    </r>
    <r>
      <rPr>
        <sz val="9"/>
        <rFont val="Arial"/>
        <family val="2"/>
        <charset val="204"/>
      </rPr>
      <t xml:space="preserve">D= </t>
    </r>
    <r>
      <rPr>
        <sz val="9"/>
        <rFont val="BalavMtavr"/>
      </rPr>
      <t>25მმ. მილისათვის</t>
    </r>
  </si>
  <si>
    <r>
      <t xml:space="preserve">მილის თბოიზოლაცია: </t>
    </r>
    <r>
      <rPr>
        <sz val="9"/>
        <rFont val="Arial"/>
        <family val="2"/>
        <charset val="204"/>
      </rPr>
      <t xml:space="preserve">D= </t>
    </r>
    <r>
      <rPr>
        <sz val="9"/>
        <rFont val="BalavMtavr"/>
      </rPr>
      <t>32მმ. მილისათვის</t>
    </r>
  </si>
  <si>
    <r>
      <t xml:space="preserve">მუხლი შიდა ხრახნით: </t>
    </r>
    <r>
      <rPr>
        <sz val="9"/>
        <rFont val="Arial"/>
        <family val="2"/>
        <charset val="204"/>
      </rPr>
      <t>D=25 3/4</t>
    </r>
    <r>
      <rPr>
        <sz val="9"/>
        <rFont val="BalavMtavr"/>
      </rPr>
      <t>მმ.</t>
    </r>
  </si>
  <si>
    <r>
      <t xml:space="preserve">მუხლი შიდა ხრახნით: </t>
    </r>
    <r>
      <rPr>
        <sz val="9"/>
        <rFont val="Arial"/>
        <family val="2"/>
        <charset val="204"/>
      </rPr>
      <t>D=20 1/2</t>
    </r>
    <r>
      <rPr>
        <sz val="9"/>
        <rFont val="BalavMtavr"/>
      </rPr>
      <t>მმ.</t>
    </r>
  </si>
  <si>
    <r>
      <t xml:space="preserve">მუხლი: </t>
    </r>
    <r>
      <rPr>
        <sz val="9"/>
        <rFont val="Arial"/>
        <family val="2"/>
        <charset val="204"/>
      </rPr>
      <t>D=20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90°</t>
    </r>
  </si>
  <si>
    <r>
      <t xml:space="preserve">მუხლი: </t>
    </r>
    <r>
      <rPr>
        <sz val="9"/>
        <rFont val="Arial"/>
        <family val="2"/>
        <charset val="204"/>
      </rPr>
      <t>D=25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90°</t>
    </r>
  </si>
  <si>
    <r>
      <t xml:space="preserve">მუხლი: </t>
    </r>
    <r>
      <rPr>
        <sz val="9"/>
        <rFont val="Arial"/>
        <family val="2"/>
        <charset val="204"/>
      </rPr>
      <t>D=32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90°</t>
    </r>
  </si>
  <si>
    <r>
      <t xml:space="preserve">არკოს ვენტილი: </t>
    </r>
    <r>
      <rPr>
        <sz val="9"/>
        <rFont val="Arial"/>
        <family val="2"/>
        <charset val="204"/>
      </rPr>
      <t>1/2-1/2</t>
    </r>
  </si>
  <si>
    <r>
      <t xml:space="preserve">არკოს ვენტილი: </t>
    </r>
    <r>
      <rPr>
        <sz val="9"/>
        <rFont val="Arial"/>
        <family val="2"/>
        <charset val="204"/>
      </rPr>
      <t>1/2-3/8</t>
    </r>
  </si>
  <si>
    <r>
      <t xml:space="preserve">გადამყვანი: </t>
    </r>
    <r>
      <rPr>
        <sz val="9"/>
        <rFont val="Arial"/>
        <family val="2"/>
        <charset val="204"/>
      </rPr>
      <t>20/25მმ</t>
    </r>
  </si>
  <si>
    <r>
      <t xml:space="preserve">გადამყვანი: </t>
    </r>
    <r>
      <rPr>
        <sz val="9"/>
        <rFont val="Arial"/>
        <family val="2"/>
        <charset val="204"/>
      </rPr>
      <t>25/32მმ</t>
    </r>
  </si>
  <si>
    <r>
      <t xml:space="preserve">ქურო: </t>
    </r>
    <r>
      <rPr>
        <sz val="9"/>
        <rFont val="Arial"/>
        <family val="2"/>
        <charset val="204"/>
      </rPr>
      <t>D=25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</si>
  <si>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r>
      <t xml:space="preserve">ქურო: </t>
    </r>
    <r>
      <rPr>
        <sz val="9"/>
        <rFont val="Arial"/>
        <family val="2"/>
        <charset val="204"/>
      </rPr>
      <t>D=32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</si>
  <si>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r>
      <t xml:space="preserve">ხუფი: </t>
    </r>
    <r>
      <rPr>
        <sz val="9"/>
        <rFont val="Arial"/>
        <family val="2"/>
        <charset val="204"/>
      </rPr>
      <t>D=20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</si>
  <si>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r>
      <t xml:space="preserve">ხუფი: </t>
    </r>
    <r>
      <rPr>
        <sz val="9"/>
        <rFont val="Arial"/>
        <family val="2"/>
        <charset val="204"/>
      </rPr>
      <t>D=25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ხრახნიანი</t>
    </r>
  </si>
  <si>
    <r>
      <t xml:space="preserve">სამკაპი: </t>
    </r>
    <r>
      <rPr>
        <sz val="9"/>
        <rFont val="Arial"/>
        <family val="2"/>
        <charset val="204"/>
      </rPr>
      <t>D=32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</si>
  <si>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r>
      <t xml:space="preserve">სამკაპი: </t>
    </r>
    <r>
      <rPr>
        <sz val="9"/>
        <rFont val="Arial"/>
        <family val="2"/>
        <charset val="204"/>
      </rPr>
      <t>D=25/20/25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</si>
  <si>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r>
      <t xml:space="preserve">სამკაპი: </t>
    </r>
    <r>
      <rPr>
        <sz val="9"/>
        <rFont val="Arial"/>
        <family val="2"/>
        <charset val="204"/>
      </rPr>
      <t>D=20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</si>
  <si>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r>
      <t xml:space="preserve">რეზინის შლანგი უნიტაზისათვის: </t>
    </r>
    <r>
      <rPr>
        <sz val="9"/>
        <rFont val="Arial"/>
        <family val="2"/>
        <charset val="204"/>
      </rPr>
      <t>L=50</t>
    </r>
    <r>
      <rPr>
        <sz val="9"/>
        <rFont val="BalavMtavr"/>
      </rPr>
      <t>სმ.</t>
    </r>
    <r>
      <rPr>
        <sz val="9"/>
        <rFont val="Arial"/>
        <family val="2"/>
        <charset val="204"/>
      </rPr>
      <t xml:space="preserve"> </t>
    </r>
  </si>
  <si>
    <r>
      <t xml:space="preserve">რეზინის შლანგი ინვალიდების უნიტაზისათვის: </t>
    </r>
    <r>
      <rPr>
        <sz val="9"/>
        <rFont val="Arial"/>
        <family val="2"/>
        <charset val="204"/>
      </rPr>
      <t>L=50</t>
    </r>
    <r>
      <rPr>
        <sz val="9"/>
        <rFont val="BalavMtavr"/>
      </rPr>
      <t>სმ.</t>
    </r>
    <r>
      <rPr>
        <sz val="9"/>
        <rFont val="Arial"/>
        <family val="2"/>
        <charset val="204"/>
      </rPr>
      <t xml:space="preserve"> </t>
    </r>
  </si>
  <si>
    <r>
      <t xml:space="preserve">რეზინის შლანგი პისუარისათვის: </t>
    </r>
    <r>
      <rPr>
        <sz val="9"/>
        <rFont val="Arial"/>
        <family val="2"/>
        <charset val="204"/>
      </rPr>
      <t>L=50</t>
    </r>
    <r>
      <rPr>
        <sz val="9"/>
        <rFont val="BalavMtavr"/>
      </rPr>
      <t>სმ.</t>
    </r>
    <r>
      <rPr>
        <sz val="9"/>
        <rFont val="Arial"/>
        <family val="2"/>
        <charset val="204"/>
      </rPr>
      <t xml:space="preserve"> </t>
    </r>
  </si>
  <si>
    <r>
      <t xml:space="preserve">შემოვლა: </t>
    </r>
    <r>
      <rPr>
        <sz val="9"/>
        <rFont val="Arial"/>
        <family val="2"/>
        <charset val="204"/>
      </rPr>
      <t>D=20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</si>
  <si>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r>
      <t xml:space="preserve">შემოვლა: </t>
    </r>
    <r>
      <rPr>
        <sz val="9"/>
        <rFont val="Arial"/>
        <family val="2"/>
        <charset val="204"/>
      </rPr>
      <t>D=25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</t>
    </r>
  </si>
  <si>
    <t>ა. ცივი და ცხელი წყალსადენი</t>
  </si>
  <si>
    <t>ბ. კანალიზაცია</t>
  </si>
  <si>
    <t>პლასმასის სქელკედლა კანალიზაციის მილი: 100-3000მმ.</t>
  </si>
  <si>
    <t>პლასმასის სქელკედლა კანალიზაციის მილი: 100-2000მმ.</t>
  </si>
  <si>
    <t>პლასმასის სქელკედლა კანალიზაციის მილი: 100-1000მმ.</t>
  </si>
  <si>
    <t>პლასმასის სქელკედლა კანალიზაციის მილი: 100-500მმ.</t>
  </si>
  <si>
    <t>პლასმასის სქელკედლა კანალიზაციის მილი: 50-1000მმ.</t>
  </si>
  <si>
    <t>პლასმასის სქელკედლა კანალიზაციის მილი: 50-500მმ.</t>
  </si>
  <si>
    <t>პლასმასის სქელკედლა კანალიზაციის მილი: 50-250მმ.</t>
  </si>
  <si>
    <t>მილის სამაგრი: 100მმ.</t>
  </si>
  <si>
    <t>მილის სამაგრი: 50მმ.</t>
  </si>
  <si>
    <r>
      <t xml:space="preserve">სამკაპი: </t>
    </r>
    <r>
      <rPr>
        <sz val="9"/>
        <rFont val="Arial"/>
        <family val="2"/>
        <charset val="204"/>
      </rPr>
      <t>D=100X100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45</t>
    </r>
    <r>
      <rPr>
        <sz val="9"/>
        <rFont val="Calibri"/>
        <family val="2"/>
        <charset val="204"/>
      </rPr>
      <t>°</t>
    </r>
  </si>
  <si>
    <r>
      <t xml:space="preserve">სამკაპი: </t>
    </r>
    <r>
      <rPr>
        <sz val="9"/>
        <rFont val="Arial"/>
        <family val="2"/>
        <charset val="204"/>
      </rPr>
      <t>D=100X50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45</t>
    </r>
    <r>
      <rPr>
        <sz val="9"/>
        <rFont val="Calibri"/>
        <family val="2"/>
        <charset val="204"/>
      </rPr>
      <t>°</t>
    </r>
  </si>
  <si>
    <r>
      <t xml:space="preserve">სამკაპი: </t>
    </r>
    <r>
      <rPr>
        <sz val="9"/>
        <rFont val="Arial"/>
        <family val="2"/>
        <charset val="204"/>
      </rPr>
      <t>D=50X50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45</t>
    </r>
    <r>
      <rPr>
        <sz val="9"/>
        <rFont val="Calibri"/>
        <family val="2"/>
        <charset val="204"/>
      </rPr>
      <t>°</t>
    </r>
  </si>
  <si>
    <r>
      <t xml:space="preserve">გაშლილი მუხლი: </t>
    </r>
    <r>
      <rPr>
        <sz val="9"/>
        <rFont val="Arial"/>
        <family val="2"/>
        <charset val="204"/>
      </rPr>
      <t>D=100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45</t>
    </r>
    <r>
      <rPr>
        <sz val="9"/>
        <rFont val="Calibri"/>
        <family val="2"/>
        <charset val="204"/>
      </rPr>
      <t>°</t>
    </r>
  </si>
  <si>
    <r>
      <t xml:space="preserve">გაშლილი მუხლი: </t>
    </r>
    <r>
      <rPr>
        <sz val="9"/>
        <rFont val="Arial"/>
        <family val="2"/>
        <charset val="204"/>
      </rPr>
      <t>D=50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45</t>
    </r>
    <r>
      <rPr>
        <sz val="9"/>
        <rFont val="Calibri"/>
        <family val="2"/>
        <charset val="204"/>
      </rPr>
      <t>°</t>
    </r>
  </si>
  <si>
    <r>
      <t xml:space="preserve">მუხლი: </t>
    </r>
    <r>
      <rPr>
        <sz val="9"/>
        <rFont val="Arial"/>
        <family val="2"/>
        <charset val="204"/>
      </rPr>
      <t>D=50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45</t>
    </r>
    <r>
      <rPr>
        <sz val="9"/>
        <rFont val="Calibri"/>
        <family val="2"/>
        <charset val="204"/>
      </rPr>
      <t>°</t>
    </r>
  </si>
  <si>
    <r>
      <t xml:space="preserve">გადამყვანი: </t>
    </r>
    <r>
      <rPr>
        <sz val="9"/>
        <rFont val="Arial"/>
        <family val="2"/>
        <charset val="204"/>
      </rPr>
      <t>100X50მმ</t>
    </r>
  </si>
  <si>
    <r>
      <t xml:space="preserve">რევიზია: </t>
    </r>
    <r>
      <rPr>
        <sz val="9"/>
        <rFont val="Arial"/>
        <family val="2"/>
        <charset val="204"/>
      </rPr>
      <t>100მმ</t>
    </r>
  </si>
  <si>
    <t>ზედნადები ხარჯები:</t>
  </si>
  <si>
    <t>ხვრეტის გაკეთება არსებულ რკინა-ბეტონის გადახურვაში სისქ: 200მმ.</t>
  </si>
  <si>
    <t>სარკის მონტაჟი</t>
  </si>
  <si>
    <t xml:space="preserve"> სავენტილაციო სამუშაოები</t>
  </si>
  <si>
    <t>საყოფაცხოვრებო ვენტილატორის მონტაჟი</t>
  </si>
  <si>
    <t>პლასმასის თხელკედლა კანალიზაციის მილი: 100-1000მმ.</t>
  </si>
  <si>
    <r>
      <t xml:space="preserve">მუხლი: </t>
    </r>
    <r>
      <rPr>
        <sz val="9"/>
        <rFont val="Arial"/>
        <family val="2"/>
        <charset val="204"/>
      </rPr>
      <t>D=100</t>
    </r>
    <r>
      <rPr>
        <sz val="9"/>
        <rFont val="BalavMtavr"/>
      </rPr>
      <t>მმ.</t>
    </r>
    <r>
      <rPr>
        <sz val="9"/>
        <rFont val="Arial"/>
        <family val="2"/>
        <charset val="204"/>
      </rPr>
      <t xml:space="preserve"> 90</t>
    </r>
    <r>
      <rPr>
        <sz val="9"/>
        <rFont val="Calibri"/>
        <family val="2"/>
        <charset val="204"/>
      </rPr>
      <t>°</t>
    </r>
  </si>
  <si>
    <t>გარე წყალმომარაგების ქსელი</t>
  </si>
  <si>
    <t>მიწის დამუშავება თხრილში ხელით</t>
  </si>
  <si>
    <t>100მ3</t>
  </si>
  <si>
    <t>მილებისთვის ქვიშის ბალიშის მოწყობა სისქ: 10სმ.</t>
  </si>
  <si>
    <t>წყალსადენის არსებულ ქსელთან მიერთება</t>
  </si>
  <si>
    <t>შეჭრა</t>
  </si>
  <si>
    <t>10მ3</t>
  </si>
  <si>
    <t>პემზის საფარის მოხსნა</t>
  </si>
  <si>
    <t>ბაქანზე არსებული ბეტონის ფილაქნების დაშლა ქვიშის საფუძველზე</t>
  </si>
  <si>
    <t>2.ლითონ-კონსტრუქციები</t>
  </si>
  <si>
    <t>ასევე გამასწორებელი ცემენტის ფენილის</t>
  </si>
  <si>
    <r>
      <t>ლითონის სვეტების მონტაჟი სიმაღლით: 5,0მ-მდე (დგ: 2-2</t>
    </r>
    <r>
      <rPr>
        <b/>
        <sz val="9"/>
        <rFont val="Calibri"/>
        <family val="2"/>
        <charset val="204"/>
      </rPr>
      <t>´)</t>
    </r>
    <r>
      <rPr>
        <b/>
        <sz val="9"/>
        <color rgb="FFFF0000"/>
        <rFont val="Calibri"/>
        <family val="2"/>
        <charset val="204"/>
      </rPr>
      <t xml:space="preserve"> (არსებული კონსტრუქციით)</t>
    </r>
  </si>
  <si>
    <r>
      <t>ლითონის სვეტების მონტაჟი სიმაღლით: 5,0მ-მდე (დგ: 1-1</t>
    </r>
    <r>
      <rPr>
        <b/>
        <sz val="9"/>
        <rFont val="Calibri"/>
        <family val="2"/>
        <charset val="204"/>
      </rPr>
      <t xml:space="preserve">´)  </t>
    </r>
    <r>
      <rPr>
        <b/>
        <sz val="9"/>
        <color rgb="FFFF0000"/>
        <rFont val="Calibri"/>
        <family val="2"/>
        <charset val="204"/>
      </rPr>
      <t>(არსებული კონსტრუქციით)</t>
    </r>
  </si>
  <si>
    <r>
      <t xml:space="preserve">საკონფერენციო დარბაზის კარკასის გამაგრების ლითონკონსტრუქციის მონტაჟი </t>
    </r>
    <r>
      <rPr>
        <b/>
        <sz val="9"/>
        <color rgb="FFFF0000"/>
        <rFont val="BalavMtavr"/>
      </rPr>
      <t xml:space="preserve">  (არსებული კონსტრუქციით)</t>
    </r>
  </si>
  <si>
    <r>
      <t xml:space="preserve">ლითონის კოჭების მონტაჟი  (კ-1) </t>
    </r>
    <r>
      <rPr>
        <b/>
        <sz val="9"/>
        <color rgb="FFFF0000"/>
        <rFont val="BalavMtavr"/>
      </rPr>
      <t>(არსებული კონსტრუქციით)</t>
    </r>
  </si>
  <si>
    <r>
      <t xml:space="preserve">ლითონის კოჭების მონტაჟი  (კ-3) </t>
    </r>
    <r>
      <rPr>
        <b/>
        <sz val="9"/>
        <color rgb="FFFF0000"/>
        <rFont val="BalavMtavr"/>
      </rPr>
      <t xml:space="preserve"> (არსებული კონსტრუქციით)</t>
    </r>
  </si>
  <si>
    <r>
      <t xml:space="preserve">ლითონის კოჭების მონტაჟი  (კ-4) </t>
    </r>
    <r>
      <rPr>
        <b/>
        <sz val="9"/>
        <color rgb="FFFF0000"/>
        <rFont val="BalavMtavr"/>
      </rPr>
      <t xml:space="preserve"> (არსებული კონსტრუქციით)</t>
    </r>
  </si>
  <si>
    <r>
      <t>ლითონის ფერმების მონტაჟი მალით: 16,2მ. (ფ: 1;2;3</t>
    </r>
    <r>
      <rPr>
        <b/>
        <sz val="9"/>
        <rFont val="Calibri"/>
        <family val="2"/>
        <charset val="204"/>
      </rPr>
      <t xml:space="preserve">) </t>
    </r>
    <r>
      <rPr>
        <b/>
        <sz val="9"/>
        <color rgb="FFFF0000"/>
        <rFont val="Calibri"/>
        <family val="2"/>
        <charset val="204"/>
      </rPr>
      <t xml:space="preserve"> (არსებული კონსტრუქციით)</t>
    </r>
  </si>
  <si>
    <r>
      <t xml:space="preserve">ფერმის ჰორიზონტალური და ვერტიკალური კავშირების მონტაჟი   (გრძივი-1)  </t>
    </r>
    <r>
      <rPr>
        <b/>
        <sz val="9"/>
        <color rgb="FFFF0000"/>
        <rFont val="BalavMtavr"/>
      </rPr>
      <t>(არსებული კონსტრუქციით)</t>
    </r>
  </si>
  <si>
    <r>
      <t>ფერმის ჰორიზონტალური და ვერტიკალური კავშირების მონტაჟი   (გრძივი-2)</t>
    </r>
    <r>
      <rPr>
        <b/>
        <sz val="9"/>
        <color rgb="FFFF0000"/>
        <rFont val="BalavMtavr"/>
      </rPr>
      <t xml:space="preserve"> (არსებული კონსტრუქციით)</t>
    </r>
  </si>
  <si>
    <r>
      <t xml:space="preserve">ფერმის ჰორიზონტალური და ვერტიკალური კავშირების მონტაჟი   (გრძივი-3)  </t>
    </r>
    <r>
      <rPr>
        <b/>
        <sz val="9"/>
        <color rgb="FFFF0000"/>
        <rFont val="BalavMtavr"/>
      </rPr>
      <t>(არსებული კონსტრუქციით)</t>
    </r>
  </si>
  <si>
    <r>
      <t xml:space="preserve">ფერმის ჰორიზონტალური და ვერტიკალური კავშირების მონტაჟი   (მჭიმი-1) </t>
    </r>
    <r>
      <rPr>
        <b/>
        <sz val="9"/>
        <color rgb="FFFF0000"/>
        <rFont val="BalavMtavr"/>
      </rPr>
      <t>(არსებული კონსტრუქციით)</t>
    </r>
  </si>
  <si>
    <r>
      <t xml:space="preserve">ფერმის ჰორიზონტალური და ვერტიკალური კავშირების მონტაჟი   (მჭიმი-2) </t>
    </r>
    <r>
      <rPr>
        <b/>
        <sz val="9"/>
        <color rgb="FFFF0000"/>
        <rFont val="BalavMtavr"/>
      </rPr>
      <t>(არსებული კონსტრუქციით)</t>
    </r>
  </si>
  <si>
    <r>
      <t xml:space="preserve">ფერმის ჰორიზონტალური და ვერტიკალური კავშირების მონტაჟი   (მჭიმი-3) </t>
    </r>
    <r>
      <rPr>
        <b/>
        <sz val="9"/>
        <color rgb="FFFF0000"/>
        <rFont val="BalavMtavr"/>
      </rPr>
      <t>(არსებული კონსტრუქციით)</t>
    </r>
  </si>
  <si>
    <r>
      <t xml:space="preserve">ფერმის ჰორიზონტალური და ვერტიკალური კავშირების მონტაჟი   (მჭიმი-5) </t>
    </r>
    <r>
      <rPr>
        <b/>
        <sz val="9"/>
        <color rgb="FFFF0000"/>
        <rFont val="BalavMtavr"/>
      </rPr>
      <t xml:space="preserve"> (არსებული კონსტრუქციით)</t>
    </r>
  </si>
  <si>
    <r>
      <t xml:space="preserve">ლითონის კარების კარკასის მონტაჟი  </t>
    </r>
    <r>
      <rPr>
        <b/>
        <sz val="9"/>
        <color rgb="FFFF0000"/>
        <rFont val="BalavMtavr"/>
      </rPr>
      <t>(არსებული კონსტრუქციით)</t>
    </r>
  </si>
  <si>
    <r>
      <t xml:space="preserve">კედლების და კარების ლითონის კარკასის შემოსვა სენდვიჩ-პანელებით </t>
    </r>
    <r>
      <rPr>
        <b/>
        <sz val="9"/>
        <color rgb="FFFF0000"/>
        <rFont val="BalavMtavr"/>
      </rPr>
      <t>(არსებული მასალით)</t>
    </r>
  </si>
  <si>
    <r>
      <t>სახურავის ლითონის კარკასის შემოსვა სენდვიჩ-პანელებით</t>
    </r>
    <r>
      <rPr>
        <b/>
        <sz val="9"/>
        <color rgb="FFFF0000"/>
        <rFont val="BalavMtavr"/>
      </rPr>
      <t xml:space="preserve"> (არსებული მასალით)</t>
    </r>
  </si>
  <si>
    <r>
      <t xml:space="preserve">კედლების კუთხეების, შუბლების და ჩაფენების, ასევე სახურავის კეხის მოწყობა ფერადი (რუხი) თუნუქის ფურცლებით </t>
    </r>
    <r>
      <rPr>
        <b/>
        <sz val="9"/>
        <color rgb="FFFF0000"/>
        <rFont val="BalavMtavr"/>
      </rPr>
      <t>(</t>
    </r>
    <r>
      <rPr>
        <sz val="9"/>
        <color rgb="FFFF0000"/>
        <rFont val="BalavMtavr"/>
      </rPr>
      <t>80%</t>
    </r>
    <r>
      <rPr>
        <b/>
        <sz val="9"/>
        <color rgb="FFFF0000"/>
        <rFont val="BalavMtavr"/>
      </rPr>
      <t xml:space="preserve"> არსებული მასალის გამოყენებით)</t>
    </r>
  </si>
  <si>
    <r>
      <t xml:space="preserve">წვიმსაწრეტი მილების (ვერტიკალური) და საწვიმარი ღარების  (ჰორიზონტალური) მონტაჟი, აქსესუარებით  </t>
    </r>
    <r>
      <rPr>
        <b/>
        <sz val="9"/>
        <color rgb="FFFF0000"/>
        <rFont val="BalavMtavr"/>
      </rPr>
      <t>(არსებული მასალით)</t>
    </r>
  </si>
  <si>
    <r>
      <t>დიქტის დაგება ხის იატაკზე</t>
    </r>
    <r>
      <rPr>
        <b/>
        <sz val="9"/>
        <color rgb="FFFF0000"/>
        <rFont val="BalavMtavr"/>
      </rPr>
      <t xml:space="preserve"> (არსებული მასალით)</t>
    </r>
  </si>
  <si>
    <t>გადახურვის მოწყობა პროფნასტილისაგან</t>
  </si>
  <si>
    <t>იატაკის მოპირკეთება ხელოვნური გრანიტის ფილებით,</t>
  </si>
  <si>
    <t>პლინტუსების მოწყობა ხელოვნური გრანიტის ფილებით</t>
  </si>
  <si>
    <t>გამასწორებელი ქვიშა-ცემენტის ხსნარის მოწყობა სისქ: 40მმ.</t>
  </si>
  <si>
    <r>
      <t xml:space="preserve">იატაკის მოპირკეთება </t>
    </r>
    <r>
      <rPr>
        <b/>
        <sz val="9"/>
        <color rgb="FFFF0000"/>
        <rFont val="BalavMtavr"/>
      </rPr>
      <t xml:space="preserve">არსებული </t>
    </r>
    <r>
      <rPr>
        <b/>
        <sz val="9"/>
        <rFont val="BalavMtavr"/>
      </rPr>
      <t>ბეტონის ფილაქნით წებო-ცემენტის ხსნარზე</t>
    </r>
  </si>
  <si>
    <t>თაბაშირ-მუყაოს ერთფენოვანი ტიხრის მოწყობა</t>
  </si>
  <si>
    <t>ჭერის კარკასზე ორი ფენა თაბაშირ-მუყაოს ფილის აკვრა</t>
  </si>
  <si>
    <t>ნესტგამძლე თაბაშირ-მუყაოს ორფენოვანი ტიხრის მოწყობა</t>
  </si>
  <si>
    <r>
      <t xml:space="preserve">თაბაშირ-მუყაოს ტალღოვანი ტიხრის მოწყობა, ორფენოვანი ფილის სისქით: </t>
    </r>
    <r>
      <rPr>
        <sz val="9"/>
        <rFont val="BalavMtavr"/>
      </rPr>
      <t>9,5</t>
    </r>
    <r>
      <rPr>
        <b/>
        <sz val="9"/>
        <rFont val="BalavMtavr"/>
      </rPr>
      <t>მმ, დგარების ბიჯით: მაქსიმუმ 200მმ</t>
    </r>
  </si>
  <si>
    <t>სველ წერტილებში ინდივიდუალური კაბინების მოწყობა ლამინირებული ფარებისაგან</t>
  </si>
  <si>
    <t>kedlebis SefiTxvna, damuSaveba da SeRebva wyalemulsiuri saRebaviT</t>
  </si>
  <si>
    <t>ჭერის SefiTxvna, damuSaveba da SeRebva wyalemulsiuri saRebaviT</t>
  </si>
  <si>
    <t>ჯამი-6:</t>
  </si>
  <si>
    <t>ტიხრის და ჭერის დათბუნება ორი ფენა ფოლგიანი მინერალური ბამბით</t>
  </si>
  <si>
    <r>
      <t xml:space="preserve">კარების გაღება-დახურვის თვითმარეგულირებელის (ე.წ. შვეიცარის) მონტაჟი </t>
    </r>
    <r>
      <rPr>
        <b/>
        <sz val="9"/>
        <color rgb="FFFF0000"/>
        <rFont val="BalavMtavr"/>
      </rPr>
      <t>(არსებული მასალა)</t>
    </r>
  </si>
  <si>
    <t>ჯამი-7:</t>
  </si>
  <si>
    <t>ჯამი-8:</t>
  </si>
  <si>
    <r>
      <rPr>
        <sz val="10"/>
        <color rgb="FFFF0000"/>
        <rFont val="BalavMtavr"/>
      </rPr>
      <t>6.</t>
    </r>
    <r>
      <rPr>
        <b/>
        <sz val="10"/>
        <color rgb="FFFF0000"/>
        <rFont val="BalavMtavr"/>
      </rPr>
      <t xml:space="preserve"> კედლები და ჭერი</t>
    </r>
  </si>
  <si>
    <t>ჯამი-9:</t>
  </si>
  <si>
    <t>ჯამი 1-9:</t>
  </si>
  <si>
    <t>გადახურვის იზოლაცია ორი ფენა რულონური მასალით</t>
  </si>
  <si>
    <r>
      <t>ლითონის სვეტების მონტაჟი სიმაღლით: 5,0მ-მდე (დგ: 3-3</t>
    </r>
    <r>
      <rPr>
        <b/>
        <sz val="9"/>
        <rFont val="Calibri"/>
        <family val="2"/>
        <charset val="204"/>
      </rPr>
      <t xml:space="preserve">´) </t>
    </r>
    <r>
      <rPr>
        <b/>
        <sz val="9"/>
        <color rgb="FFFF0000"/>
        <rFont val="Calibri"/>
        <family val="2"/>
        <charset val="204"/>
      </rPr>
      <t>(არსებული კონსტრუქციით)</t>
    </r>
  </si>
  <si>
    <t>პოლიეთილენის მილების ჩაწყობა თხრილში და ნაწილობრივი მონტაჟი კედელზე</t>
  </si>
  <si>
    <t>მილების თავზე ქვიშოვანი ფენილის მოწყობა, ფენოვანი დატკეპვნით</t>
  </si>
  <si>
    <t>მიწის უკუჩაყრა</t>
  </si>
  <si>
    <t>არსებული ჰიდროიზოლაციის მოხსნა</t>
  </si>
  <si>
    <t>სვეტების ქვედა კვანძის მონტაჟი</t>
  </si>
  <si>
    <r>
      <t>საკონფერენციო დარბაზის კარკასის გამაგრების ლითონკონსტრუქციის მონტაჟი (კოჭი HEB</t>
    </r>
    <r>
      <rPr>
        <b/>
        <sz val="9"/>
        <rFont val="Arial"/>
        <family val="2"/>
        <charset val="204"/>
      </rPr>
      <t xml:space="preserve">HEB-200 </t>
    </r>
    <r>
      <rPr>
        <b/>
        <sz val="9"/>
        <rFont val="AcadNusx"/>
      </rPr>
      <t>da liTonis furclebi)</t>
    </r>
  </si>
  <si>
    <r>
      <t xml:space="preserve">ფერმის ჰორიზონტალური და ვერტიკალური კავშირების მონტაჟი   (მჭიმი-4) </t>
    </r>
    <r>
      <rPr>
        <b/>
        <sz val="9"/>
        <color rgb="FFFF0000"/>
        <rFont val="BalavMtavr"/>
      </rPr>
      <t xml:space="preserve"> (არსებული კონსტრუქციით)</t>
    </r>
  </si>
  <si>
    <r>
      <t>სველი წერტილების და დამხმარე ოთახის კედლების და ჭერის კარკასის მონტაჟი</t>
    </r>
    <r>
      <rPr>
        <sz val="9"/>
        <rFont val="BalavMtavr"/>
      </rPr>
      <t xml:space="preserve"> </t>
    </r>
  </si>
  <si>
    <r>
      <rPr>
        <sz val="9"/>
        <color rgb="FFFF0000"/>
        <rFont val="BalavMtavr"/>
      </rPr>
      <t>3.</t>
    </r>
    <r>
      <rPr>
        <b/>
        <sz val="9"/>
        <color rgb="FFFF0000"/>
        <rFont val="BalavMtavr"/>
      </rPr>
      <t xml:space="preserve"> კედლების და სახურავის მოწყობა სენდვიჩ-პანელები</t>
    </r>
  </si>
  <si>
    <r>
      <rPr>
        <sz val="9"/>
        <color rgb="FFFF0000"/>
        <rFont val="BalavMtavr"/>
      </rPr>
      <t>4</t>
    </r>
    <r>
      <rPr>
        <b/>
        <sz val="9"/>
        <color rgb="FFFF0000"/>
        <rFont val="BalavMtavr"/>
      </rPr>
      <t>. იატაკი</t>
    </r>
  </si>
  <si>
    <r>
      <rPr>
        <sz val="9"/>
        <color rgb="FFFF0000"/>
        <rFont val="BalavMtavr"/>
      </rPr>
      <t>5.</t>
    </r>
    <r>
      <rPr>
        <b/>
        <sz val="9"/>
        <color rgb="FFFF0000"/>
        <rFont val="BalavMtavr"/>
      </rPr>
      <t xml:space="preserve"> ტერასა</t>
    </r>
  </si>
  <si>
    <r>
      <t xml:space="preserve">ხის კოჭების მონტაჟი იატაკის მოსაწყობად </t>
    </r>
    <r>
      <rPr>
        <b/>
        <sz val="9"/>
        <color rgb="FFFF0000"/>
        <rFont val="BalavMtavr"/>
      </rPr>
      <t>(არსებული მასალით)</t>
    </r>
  </si>
  <si>
    <r>
      <rPr>
        <sz val="9"/>
        <color rgb="FFFF0000"/>
        <rFont val="BalavMtavr"/>
      </rPr>
      <t>7</t>
    </r>
    <r>
      <rPr>
        <b/>
        <sz val="9"/>
        <color rgb="FFFF0000"/>
        <rFont val="BalavMtavr"/>
      </rPr>
      <t>. მოსაპირკეთებელი სამუშაოები</t>
    </r>
  </si>
  <si>
    <r>
      <rPr>
        <sz val="9"/>
        <color rgb="FFFF0000"/>
        <rFont val="BalavMtavr"/>
      </rPr>
      <t>8.</t>
    </r>
    <r>
      <rPr>
        <b/>
        <sz val="9"/>
        <color rgb="FFFF0000"/>
        <rFont val="BalavMtavr"/>
      </rPr>
      <t xml:space="preserve"> სხვადასხვა სამუშაოები</t>
    </r>
  </si>
  <si>
    <r>
      <rPr>
        <sz val="9"/>
        <color rgb="FFFF0000"/>
        <rFont val="BalavMtavr"/>
      </rPr>
      <t>9.</t>
    </r>
    <r>
      <rPr>
        <b/>
        <sz val="9"/>
        <color rgb="FFFF0000"/>
        <rFont val="BalavMtavr"/>
      </rPr>
      <t xml:space="preserve"> პანდუსები</t>
    </r>
  </si>
  <si>
    <r>
      <t>ხის ფიცრული იატაკის მოწყობა</t>
    </r>
    <r>
      <rPr>
        <b/>
        <sz val="9"/>
        <color rgb="FFFF0000"/>
        <rFont val="BalavMtavr"/>
      </rPr>
      <t xml:space="preserve"> (არსებული მასალის გამოყენებით)</t>
    </r>
  </si>
  <si>
    <r>
      <t>გამასწორებელი ქვიშა-ცემენტის ხსნარის მოწყობა სისქ:</t>
    </r>
    <r>
      <rPr>
        <sz val="9"/>
        <rFont val="BalavMtavr"/>
      </rPr>
      <t xml:space="preserve"> 50</t>
    </r>
    <r>
      <rPr>
        <b/>
        <sz val="9"/>
        <rFont val="BalavMtavr"/>
      </rPr>
      <t>მმ.</t>
    </r>
  </si>
  <si>
    <r>
      <t xml:space="preserve">ლოკალური სახარჯთაღრიცხვო ანგარიში </t>
    </r>
    <r>
      <rPr>
        <sz val="10"/>
        <rFont val="BalavMtavr"/>
      </rPr>
      <t>#4</t>
    </r>
  </si>
  <si>
    <t>გამასწორებელი ქვიშა-ცემენტის ხსნარის მოწყობა სისქ: 75მმ.სველ წერტილში</t>
  </si>
  <si>
    <r>
      <t>რბილი იატაკის დაგება პლინტუსების მოწყობით</t>
    </r>
    <r>
      <rPr>
        <sz val="9"/>
        <rFont val="BalavMtavr"/>
      </rPr>
      <t xml:space="preserve"> </t>
    </r>
    <r>
      <rPr>
        <sz val="9"/>
        <color rgb="FFFF0000"/>
        <rFont val="BalavMtavr"/>
      </rPr>
      <t>(80%</t>
    </r>
    <r>
      <rPr>
        <b/>
        <sz val="9"/>
        <color rgb="FFFF0000"/>
        <rFont val="BalavMtavr"/>
      </rPr>
      <t xml:space="preserve"> ძველი მასალის გამოყენებით)</t>
    </r>
  </si>
  <si>
    <r>
      <t>პემზის საფარის ზედაპირის მოშანდაკება ხელით წყალანირების გეგმის შესაბამისი დახრილობით  არსებული მასალით</t>
    </r>
    <r>
      <rPr>
        <b/>
        <sz val="9"/>
        <color rgb="FFFF0000"/>
        <rFont val="BalavMtavr"/>
      </rPr>
      <t xml:space="preserve"> ( 5,6მ3 ახალი პემზის დამატებით)</t>
    </r>
  </si>
  <si>
    <r>
      <t xml:space="preserve">სახანძრო კუთხის მოწყობა </t>
    </r>
    <r>
      <rPr>
        <b/>
        <sz val="9"/>
        <color rgb="FFFF0000"/>
        <rFont val="BalavMtavr"/>
      </rPr>
      <t>(არსებული ინვენტარი)</t>
    </r>
  </si>
  <si>
    <r>
      <t xml:space="preserve">ხის ფიცრული იატაკის მოწყობა პანდუსებისათვის </t>
    </r>
    <r>
      <rPr>
        <b/>
        <sz val="9"/>
        <color rgb="FFFF0000"/>
        <rFont val="BalavMtavr"/>
      </rPr>
      <t>(არსებული მასალით)</t>
    </r>
  </si>
  <si>
    <t>2.ხარჯთაღრიცხვაში  გათვალისწინებულია არსებული მასალების  გამოყენება, გარდა ცალკეული მასალისა,რომელთა  რაოდენობა აღემატება არსებულს გრაფა 6-ში ნაჩვენები რაოდენობით.</t>
  </si>
  <si>
    <r>
      <t xml:space="preserve">ლოკალური სახარჯთაღრიცხვო ანგარიში </t>
    </r>
    <r>
      <rPr>
        <sz val="10"/>
        <rFont val="BalavMtavr"/>
      </rPr>
      <t>#6</t>
    </r>
  </si>
  <si>
    <r>
      <t>ლითონის პანდუსების კარკასის მონტაჟი</t>
    </r>
    <r>
      <rPr>
        <sz val="9"/>
        <rFont val="BalavMtavr"/>
      </rPr>
      <t xml:space="preserve"> (#1 _2ც; #2 _ 2ც)</t>
    </r>
    <r>
      <rPr>
        <sz val="9"/>
        <color rgb="FFFF0000"/>
        <rFont val="BalavMtavr"/>
      </rPr>
      <t xml:space="preserve"> (80% </t>
    </r>
    <r>
      <rPr>
        <b/>
        <sz val="9"/>
        <color rgb="FFFF0000"/>
        <rFont val="BalavMtavr"/>
      </rPr>
      <t>არსებული მასალის გამოყენებით)</t>
    </r>
  </si>
  <si>
    <t>ლითონ-კონსტრუქციის შეღებვა ზეთოვანი საღებავით  (1 პირზე)</t>
  </si>
  <si>
    <t>სამშენებლო ნაგვის დატვირთვა თვითმცლელებზე და ტრანსპორტირება 15კმ-ს მანძილზე</t>
  </si>
  <si>
    <t xml:space="preserve">"МДФ"-is კარის მონტაჟი </t>
  </si>
  <si>
    <t>სველი წერტილების kedlebis mopirkeTeba  keramikuli filebiT,  webo-cementis xsnarze</t>
  </si>
  <si>
    <t>ლოკალური სახარჯთაღრიცხვო ანგარიში #5</t>
  </si>
  <si>
    <t>ჩილერის საყრდენების მოწყობა</t>
  </si>
  <si>
    <r>
      <rPr>
        <b/>
        <sz val="9"/>
        <rFont val="AcadNusx"/>
      </rPr>
      <t>შედგენლია:</t>
    </r>
    <r>
      <rPr>
        <sz val="9"/>
        <rFont val="AcadNusx"/>
      </rPr>
      <t xml:space="preserve"> 2015 წლის  I კვარტლის .ფასებში (სამშენებლო რესურსული ფასთა კრებული)</t>
    </r>
  </si>
  <si>
    <t>ლითონ-კონსტრუქციის შეღებვა ზეთოვანი საღებავით</t>
  </si>
  <si>
    <t>ბეტონი ბ-20-თ საყრდენების ჩაბეტონება საძირკვლებში</t>
  </si>
  <si>
    <t>რუფტოპის საყრდენების მონტაჟი (არსებული კონსტრუქცია)</t>
  </si>
  <si>
    <t>მიწის დამუშავება თხრილში ხელით შემდგომ ადგილზე მოსწორებით</t>
  </si>
  <si>
    <t>2.ხარჯთაღრიცხვაში  გათვალისწინებულია არსებული მასალების  გამოყენება, გარდა ჰაერსატარებისთვის განკუთვნილი კაუჩუკის ფირის, რომელსაც ემატება 25% ახალი მასალა</t>
  </si>
  <si>
    <t>ერთეულის ფასდება</t>
  </si>
  <si>
    <t>ნორმატ. ხარჯი ერთ.</t>
  </si>
  <si>
    <t>1</t>
  </si>
  <si>
    <r>
      <rPr>
        <sz val="8"/>
        <rFont val="AcadNusx"/>
      </rPr>
      <t xml:space="preserve">СНиП IV-2-8 </t>
    </r>
    <r>
      <rPr>
        <sz val="9"/>
        <rFont val="AcadNusx"/>
      </rPr>
      <t>ცხ: 46-30-5</t>
    </r>
  </si>
  <si>
    <t>მათ შორის:</t>
  </si>
  <si>
    <t>_შრომითი დანახარჯები</t>
  </si>
  <si>
    <t>კაც.სთ.</t>
  </si>
  <si>
    <t>_ სხვა მანქანები</t>
  </si>
  <si>
    <r>
      <rPr>
        <sz val="8"/>
        <rFont val="AcadNusx"/>
      </rPr>
      <t xml:space="preserve">СНиП IV-2-2 </t>
    </r>
    <r>
      <rPr>
        <sz val="9"/>
        <rFont val="AcadNusx"/>
      </rPr>
      <t>ცხ: 11-28</t>
    </r>
  </si>
  <si>
    <r>
      <t xml:space="preserve">_შრომითი დანახარჯები </t>
    </r>
    <r>
      <rPr>
        <sz val="9"/>
        <color rgb="FFFF0000"/>
        <rFont val="AcadNusx"/>
      </rPr>
      <t>კ=0,3</t>
    </r>
  </si>
  <si>
    <t>_ სხვა მანქანები კ=0,4</t>
  </si>
  <si>
    <r>
      <rPr>
        <sz val="8"/>
        <rFont val="AcadNusx"/>
      </rPr>
      <t xml:space="preserve">СНиП IV-2-2 </t>
    </r>
    <r>
      <rPr>
        <sz val="9"/>
        <rFont val="AcadNusx"/>
      </rPr>
      <t>ცხ: 11-7-1</t>
    </r>
  </si>
  <si>
    <t>_შრომითი დანახარჯები: კ=0,4</t>
  </si>
  <si>
    <r>
      <rPr>
        <sz val="8"/>
        <rFont val="AcadNusx"/>
      </rPr>
      <t xml:space="preserve">СНиП IV-2-8 </t>
    </r>
    <r>
      <rPr>
        <sz val="9"/>
        <rFont val="AcadNusx"/>
      </rPr>
      <t>ცხ: 46-30-1</t>
    </r>
  </si>
  <si>
    <r>
      <rPr>
        <sz val="8"/>
        <rFont val="AcadNusx"/>
      </rPr>
      <t xml:space="preserve">СНиП IV-2-2 </t>
    </r>
    <r>
      <rPr>
        <sz val="9"/>
        <rFont val="AcadNusx"/>
      </rPr>
      <t>ცხ: 9-8-1</t>
    </r>
  </si>
  <si>
    <t>საბაზრო</t>
  </si>
  <si>
    <t>_ მუშათა ხელფასი</t>
  </si>
  <si>
    <t>_ ავტოთვითმცლელი</t>
  </si>
  <si>
    <r>
      <rPr>
        <sz val="8"/>
        <rFont val="AcadNusx"/>
      </rPr>
      <t xml:space="preserve">СНиП IV-2-8 </t>
    </r>
    <r>
      <rPr>
        <sz val="9"/>
        <rFont val="AcadNusx"/>
      </rPr>
      <t>ცხ: 46-19-4</t>
    </r>
  </si>
  <si>
    <t>ტექ. ნაწილი.</t>
  </si>
  <si>
    <r>
      <t xml:space="preserve">_ </t>
    </r>
    <r>
      <rPr>
        <sz val="9"/>
        <rFont val="AcadNusx"/>
      </rPr>
      <t>შრომითი დანახარჯები კ</t>
    </r>
    <r>
      <rPr>
        <sz val="10"/>
        <rFont val="AcadNusx"/>
      </rPr>
      <t>=</t>
    </r>
    <r>
      <rPr>
        <sz val="10"/>
        <color rgb="FFFF0000"/>
        <rFont val="AcadNusx"/>
      </rPr>
      <t>1,15;</t>
    </r>
  </si>
  <si>
    <t>კაც. სთ.</t>
  </si>
  <si>
    <r>
      <t xml:space="preserve">_ სხვა მანქანები </t>
    </r>
    <r>
      <rPr>
        <sz val="9"/>
        <color rgb="FFFF0000"/>
        <rFont val="AcadNusx"/>
      </rPr>
      <t/>
    </r>
  </si>
  <si>
    <r>
      <rPr>
        <sz val="8"/>
        <rFont val="AcadNusx"/>
      </rPr>
      <t xml:space="preserve">СНиП IV-2-2 </t>
    </r>
    <r>
      <rPr>
        <sz val="9"/>
        <rFont val="AcadNusx"/>
      </rPr>
      <t>ცხ: 9-4-10</t>
    </r>
  </si>
  <si>
    <t>_ სხვა მანქანები: კ=1,15,1,15</t>
  </si>
  <si>
    <t>1.6.22.</t>
  </si>
  <si>
    <t>_ ფურცლოვანი ფოლადი სისქ: 20მმ</t>
  </si>
  <si>
    <t>1.3.27.</t>
  </si>
  <si>
    <t>_ ლითონკონსტრუქცია სამონტაჟო სამუშაოების ჩასატარებლად</t>
  </si>
  <si>
    <t>კგ.</t>
  </si>
  <si>
    <t>_ ქანჩი-ჭანჭიკი</t>
  </si>
  <si>
    <t>1.10.14.</t>
  </si>
  <si>
    <t>_ ელექტროდი</t>
  </si>
  <si>
    <t>_ სხვადასხვა მასალები</t>
  </si>
  <si>
    <t>12.3.</t>
  </si>
  <si>
    <r>
      <t>_</t>
    </r>
    <r>
      <rPr>
        <sz val="9"/>
        <color rgb="FFFF0000"/>
        <rFont val="AcadNusx"/>
      </rPr>
      <t xml:space="preserve"> ატოამწე. 20 ტონამდე.</t>
    </r>
    <r>
      <rPr>
        <sz val="9"/>
        <rFont val="AcadNusx"/>
      </rPr>
      <t xml:space="preserve"> კ=1,15,1,15</t>
    </r>
  </si>
  <si>
    <t>მანქ. სთ.</t>
  </si>
  <si>
    <t>1.9.62.</t>
  </si>
  <si>
    <r>
      <t xml:space="preserve">_ სვეტების ლითონ-კონსტრუქცია </t>
    </r>
    <r>
      <rPr>
        <sz val="9"/>
        <color indexed="10"/>
        <rFont val="AcadNusx"/>
      </rPr>
      <t>(არსებული მასალა)</t>
    </r>
  </si>
  <si>
    <r>
      <rPr>
        <sz val="8"/>
        <rFont val="AcadNusx"/>
      </rPr>
      <t xml:space="preserve">СНиП IV-2-2 </t>
    </r>
    <r>
      <rPr>
        <sz val="9"/>
        <rFont val="AcadNusx"/>
      </rPr>
      <t>ცხ: 9-12-1</t>
    </r>
  </si>
  <si>
    <t>_ სხვა მანქანები k=1,15,1,15</t>
  </si>
  <si>
    <t>1.9.63.</t>
  </si>
  <si>
    <r>
      <t>_ კარკასის გამაგრების ლითონ-კონსტრუქცია</t>
    </r>
    <r>
      <rPr>
        <sz val="9"/>
        <color rgb="FFFF0000"/>
        <rFont val="AcadNusx"/>
      </rPr>
      <t xml:space="preserve"> (არსებული მასალა)</t>
    </r>
  </si>
  <si>
    <r>
      <t>_ კოჭიB</t>
    </r>
    <r>
      <rPr>
        <sz val="9"/>
        <rFont val="Arial"/>
        <family val="2"/>
        <charset val="204"/>
      </rPr>
      <t>HEB 200</t>
    </r>
    <r>
      <rPr>
        <sz val="9"/>
        <rFont val="AcadNusx"/>
      </rPr>
      <t xml:space="preserve"> ლითონ-კონსტრუქცია</t>
    </r>
    <r>
      <rPr>
        <sz val="9"/>
        <color rgb="FFFF0000"/>
        <rFont val="AcadNusx"/>
      </rPr>
      <t xml:space="preserve"> </t>
    </r>
  </si>
  <si>
    <t>_ ფურცლოვანი ფოლადი სისქ: 10მმ</t>
  </si>
  <si>
    <r>
      <t>_ კოჭების ლითონ-კონსტრუქცია</t>
    </r>
    <r>
      <rPr>
        <sz val="9"/>
        <color rgb="FFFF0000"/>
        <rFont val="AcadNusx"/>
      </rPr>
      <t xml:space="preserve"> (არსებული მასალა)</t>
    </r>
  </si>
  <si>
    <r>
      <t xml:space="preserve">_ კოჭების ლითონ-კონსტრუქცია </t>
    </r>
    <r>
      <rPr>
        <sz val="9"/>
        <color rgb="FFFF0000"/>
        <rFont val="AcadNusx"/>
      </rPr>
      <t xml:space="preserve"> (არსებული მასალა)</t>
    </r>
  </si>
  <si>
    <r>
      <rPr>
        <sz val="8"/>
        <rFont val="AcadNusx"/>
      </rPr>
      <t xml:space="preserve">СНиП IV-2-2 </t>
    </r>
    <r>
      <rPr>
        <sz val="9"/>
        <rFont val="AcadNusx"/>
      </rPr>
      <t>ცხ: 9-10-1</t>
    </r>
  </si>
  <si>
    <t>1.9.61.</t>
  </si>
  <si>
    <r>
      <t>_ ფერმების ლითონ-კონსტრუქცია</t>
    </r>
    <r>
      <rPr>
        <sz val="9"/>
        <color rgb="FFFF0000"/>
        <rFont val="AcadNusx"/>
      </rPr>
      <t xml:space="preserve"> (არსებული მასალა)</t>
    </r>
  </si>
  <si>
    <r>
      <rPr>
        <sz val="8"/>
        <rFont val="AcadNusx"/>
      </rPr>
      <t xml:space="preserve">СНиП IV-2-2 </t>
    </r>
    <r>
      <rPr>
        <sz val="9"/>
        <rFont val="AcadNusx"/>
      </rPr>
      <t>ცხ: 9-11-7</t>
    </r>
  </si>
  <si>
    <t>2.2.1.</t>
  </si>
  <si>
    <r>
      <t xml:space="preserve">_ </t>
    </r>
    <r>
      <rPr>
        <sz val="9"/>
        <rFont val="AcadNusx"/>
      </rPr>
      <t>კვადრატული მილი კვეთით</t>
    </r>
    <r>
      <rPr>
        <sz val="10"/>
        <rFont val="AcadNusx"/>
      </rPr>
      <t xml:space="preserve">: 80X80X4მმ. </t>
    </r>
    <r>
      <rPr>
        <sz val="10"/>
        <color rgb="FFFF0000"/>
        <rFont val="AcadNusx"/>
      </rPr>
      <t>(არსებული მასალა)</t>
    </r>
  </si>
  <si>
    <r>
      <t>_ სამონტაჟო ქანჩი-ჭანჭიკი:</t>
    </r>
    <r>
      <rPr>
        <sz val="9"/>
        <rFont val="Arial"/>
        <family val="2"/>
        <charset val="204"/>
      </rPr>
      <t xml:space="preserve"> M-12mm.</t>
    </r>
  </si>
  <si>
    <t>1.1.11.</t>
  </si>
  <si>
    <r>
      <t>_ არმატურა:</t>
    </r>
    <r>
      <rPr>
        <sz val="9"/>
        <rFont val="Arial"/>
        <family val="2"/>
        <charset val="204"/>
      </rPr>
      <t xml:space="preserve"> D-=18mm. A-III </t>
    </r>
    <r>
      <rPr>
        <sz val="9"/>
        <color rgb="FFFF0000"/>
        <rFont val="Arial"/>
        <family val="2"/>
        <charset val="204"/>
      </rPr>
      <t>(არსებული მასალა)</t>
    </r>
  </si>
  <si>
    <t>tona</t>
  </si>
  <si>
    <r>
      <t>_ არმატურა:</t>
    </r>
    <r>
      <rPr>
        <sz val="9"/>
        <rFont val="Arial"/>
        <family val="2"/>
        <charset val="204"/>
      </rPr>
      <t xml:space="preserve"> D-=18mm. A-III </t>
    </r>
    <r>
      <rPr>
        <sz val="9"/>
        <color rgb="FFFF0000"/>
        <rFont val="Arial"/>
        <family val="2"/>
        <charset val="204"/>
      </rPr>
      <t xml:space="preserve"> (არსებული მასალა)</t>
    </r>
  </si>
  <si>
    <r>
      <t xml:space="preserve">_ კუთხოვანა კვეთით: 50X50X4მმ. </t>
    </r>
    <r>
      <rPr>
        <sz val="9"/>
        <color rgb="FFFF0000"/>
        <rFont val="AcadNusx"/>
      </rPr>
      <t>(არსებული მასალა)</t>
    </r>
  </si>
  <si>
    <t>kg.</t>
  </si>
  <si>
    <r>
      <t xml:space="preserve">_ </t>
    </r>
    <r>
      <rPr>
        <sz val="9"/>
        <rFont val="AcadNusx"/>
      </rPr>
      <t>კვადრატული მილი კვეთით</t>
    </r>
    <r>
      <rPr>
        <sz val="10"/>
        <rFont val="AcadNusx"/>
      </rPr>
      <t>: 80X80X4მმ.</t>
    </r>
  </si>
  <si>
    <r>
      <t xml:space="preserve">_ </t>
    </r>
    <r>
      <rPr>
        <sz val="9"/>
        <rFont val="AcadNusx"/>
      </rPr>
      <t>კვადრატული მილი კვეთით</t>
    </r>
    <r>
      <rPr>
        <sz val="10"/>
        <rFont val="AcadNusx"/>
      </rPr>
      <t>: 70X70X3მმ.</t>
    </r>
  </si>
  <si>
    <r>
      <t xml:space="preserve">_ </t>
    </r>
    <r>
      <rPr>
        <sz val="9"/>
        <rFont val="AcadNusx"/>
      </rPr>
      <t>კუთხოვანა კვეთით</t>
    </r>
    <r>
      <rPr>
        <sz val="10"/>
        <rFont val="AcadNusx"/>
      </rPr>
      <t>: 50X50X3მმ.</t>
    </r>
  </si>
  <si>
    <t>1.6.21.</t>
  </si>
  <si>
    <t>_ ფურცლოვანი ფოლადი სისქ: 8მმ</t>
  </si>
  <si>
    <t>1.10.19.</t>
  </si>
  <si>
    <t>_ ანკერ-ბოლტები</t>
  </si>
  <si>
    <r>
      <rPr>
        <sz val="8"/>
        <rFont val="AcadNusx"/>
      </rPr>
      <t xml:space="preserve">СНиП IV-2-5 </t>
    </r>
    <r>
      <rPr>
        <sz val="9"/>
        <rFont val="AcadNusx"/>
      </rPr>
      <t>ცხ: 34-33-12</t>
    </r>
  </si>
  <si>
    <r>
      <t xml:space="preserve">_ შრომითი დანახარჯი: </t>
    </r>
    <r>
      <rPr>
        <sz val="9"/>
        <color rgb="FFFF0000"/>
        <rFont val="AcadNusx"/>
      </rPr>
      <t>k=0,60;1,15</t>
    </r>
  </si>
  <si>
    <t>4.2.23.</t>
  </si>
  <si>
    <r>
      <t xml:space="preserve">_ ზეთოვანი საღებავი </t>
    </r>
    <r>
      <rPr>
        <sz val="9"/>
        <color rgb="FFFF0000"/>
        <rFont val="AcadNusx"/>
      </rPr>
      <t>k=0,6</t>
    </r>
  </si>
  <si>
    <r>
      <rPr>
        <sz val="8"/>
        <rFont val="AcadNusx"/>
      </rPr>
      <t xml:space="preserve">СНиП IV-2-2 </t>
    </r>
    <r>
      <rPr>
        <sz val="9"/>
        <rFont val="AcadNusx"/>
      </rPr>
      <t>ცხ: 9-4-8</t>
    </r>
  </si>
  <si>
    <t>_ შრომითი დანახარჯი: k=1,15,1,15</t>
  </si>
  <si>
    <r>
      <t xml:space="preserve">_ საკედლე სენდვიჩ-პანელი სისქ: 100მმ. </t>
    </r>
    <r>
      <rPr>
        <sz val="9"/>
        <rFont val="Arial"/>
        <family val="2"/>
        <charset val="204"/>
      </rPr>
      <t>(IKS103</t>
    </r>
    <r>
      <rPr>
        <sz val="9"/>
        <rFont val="AcadNusx"/>
      </rPr>
      <t>)</t>
    </r>
  </si>
  <si>
    <t>_ სჭვალი თვითმჭრელი სიგრძით: 120მმ.</t>
  </si>
  <si>
    <r>
      <rPr>
        <sz val="8"/>
        <rFont val="AcadNusx"/>
      </rPr>
      <t xml:space="preserve">СНиП IV-2-2 </t>
    </r>
    <r>
      <rPr>
        <sz val="9"/>
        <rFont val="AcadNusx"/>
      </rPr>
      <t>ცხ: 9-4-4</t>
    </r>
  </si>
  <si>
    <r>
      <t xml:space="preserve">_ საკედლე სენდვიჩ-პანელი სისქ: 100მმ. </t>
    </r>
    <r>
      <rPr>
        <sz val="9"/>
        <rFont val="Arial"/>
        <family val="2"/>
        <charset val="204"/>
      </rPr>
      <t>(IKS100</t>
    </r>
    <r>
      <rPr>
        <sz val="9"/>
        <rFont val="AcadNusx"/>
      </rPr>
      <t>)</t>
    </r>
  </si>
  <si>
    <r>
      <rPr>
        <sz val="8"/>
        <rFont val="AcadNusx"/>
      </rPr>
      <t xml:space="preserve">СНиП IV-2-2 </t>
    </r>
    <r>
      <rPr>
        <sz val="9"/>
        <rFont val="AcadNusx"/>
      </rPr>
      <t>ცხ: 12-8-5</t>
    </r>
  </si>
  <si>
    <t>1.5.19.</t>
  </si>
  <si>
    <t>_ ფერადი თუნუქის ფურვლები სისქ: 0,5მმ.</t>
  </si>
  <si>
    <t>1.5.27.</t>
  </si>
  <si>
    <t>_ წვიმსაწრეტი მილები</t>
  </si>
  <si>
    <t>1.5.21.</t>
  </si>
  <si>
    <t>_ საწვიმარი ღარები</t>
  </si>
  <si>
    <t>1.5.29.</t>
  </si>
  <si>
    <t>_ საწვიმარი ძაბრი</t>
  </si>
  <si>
    <t>1.5.23.</t>
  </si>
  <si>
    <t>_ საწვიმარი მუხლი</t>
  </si>
  <si>
    <t>1.5.22.</t>
  </si>
  <si>
    <t>_ საწვიმარი მილის დაჭერი</t>
  </si>
  <si>
    <t>_ საწვიმარი ღარის დაჭერი</t>
  </si>
  <si>
    <r>
      <rPr>
        <sz val="8"/>
        <rFont val="AcadNusx"/>
      </rPr>
      <t xml:space="preserve">СНиП IV-2-2 </t>
    </r>
    <r>
      <rPr>
        <sz val="9"/>
        <rFont val="AcadNusx"/>
      </rPr>
      <t>ცხ: 11-8-1-2</t>
    </r>
  </si>
  <si>
    <t>4.1-331.</t>
  </si>
  <si>
    <t>_ ქვიშა-ცემენტის ხსნარი მ-200</t>
  </si>
  <si>
    <r>
      <rPr>
        <sz val="8"/>
        <rFont val="AcadNusx"/>
      </rPr>
      <t xml:space="preserve">СНиП IV-2-2 </t>
    </r>
    <r>
      <rPr>
        <sz val="9"/>
        <rFont val="AcadNusx"/>
      </rPr>
      <t>ცხ: 10-4-1</t>
    </r>
  </si>
  <si>
    <t>5.1.45.</t>
  </si>
  <si>
    <t xml:space="preserve">_ ხის კოჭები  </t>
  </si>
  <si>
    <t>1.9.54.</t>
  </si>
  <si>
    <t>_ კავეული მასალა</t>
  </si>
  <si>
    <r>
      <rPr>
        <sz val="8"/>
        <rFont val="AcadNusx"/>
      </rPr>
      <t xml:space="preserve">СНиП IV-2-2 </t>
    </r>
    <r>
      <rPr>
        <sz val="9"/>
        <rFont val="AcadNusx"/>
      </rPr>
      <t>ცხ: 11-27-2</t>
    </r>
  </si>
  <si>
    <t>5.1.22.</t>
  </si>
  <si>
    <t>_ ხის ფიცრები სისქ: 40მმ. (საპროექტო მონაცემი)</t>
  </si>
  <si>
    <t>1.10.1.</t>
  </si>
  <si>
    <t>_ სამშენებლო ლურსმანი</t>
  </si>
  <si>
    <r>
      <rPr>
        <sz val="8"/>
        <rFont val="AcadNusx"/>
      </rPr>
      <t xml:space="preserve">СНиП IV-2-2 </t>
    </r>
    <r>
      <rPr>
        <sz val="9"/>
        <rFont val="AcadNusx"/>
      </rPr>
      <t>ცხ: 11-27-3</t>
    </r>
  </si>
  <si>
    <t>5.1.107.</t>
  </si>
  <si>
    <t>_ დიქტი სისქ: 10მმ.</t>
  </si>
  <si>
    <t>4.3.38.</t>
  </si>
  <si>
    <t>_ რბილი იატაკი (კავროლინი) _ უცხოური</t>
  </si>
  <si>
    <t>5.1.79.</t>
  </si>
  <si>
    <t>_ ლამინირებული პლინტუსი</t>
  </si>
  <si>
    <t>1.5.9.</t>
  </si>
  <si>
    <t>_ პროფნასტილი მოთუთიებული თუნუქის ფურცლებისაგან სისქ: 1მმ.</t>
  </si>
  <si>
    <r>
      <rPr>
        <sz val="8"/>
        <rFont val="AcadNusx"/>
      </rPr>
      <t xml:space="preserve">СНиП IV-2-2 </t>
    </r>
    <r>
      <rPr>
        <sz val="9"/>
        <rFont val="AcadNusx"/>
      </rPr>
      <t>ცხ: 11-20-3</t>
    </r>
  </si>
  <si>
    <t>4.3.12.</t>
  </si>
  <si>
    <t>_ ხელოვნური კერამიკული ფილები</t>
  </si>
  <si>
    <t>4.2.122.</t>
  </si>
  <si>
    <t>_ წებო-ცემენტი</t>
  </si>
  <si>
    <r>
      <rPr>
        <sz val="8"/>
        <rFont val="AcadNusx"/>
      </rPr>
      <t xml:space="preserve">СНиП IV-2-1 </t>
    </r>
    <r>
      <rPr>
        <sz val="9"/>
        <rFont val="AcadNusx"/>
      </rPr>
      <t>ცხ: 1-116-5</t>
    </r>
  </si>
  <si>
    <t>_ შრომითი დანახარჯები: კ=1,15X1,15</t>
  </si>
  <si>
    <t>4.1.182.</t>
  </si>
  <si>
    <t>_ პემზა 5,64 ახალი</t>
  </si>
  <si>
    <r>
      <rPr>
        <sz val="8"/>
        <rFont val="AcadNusx"/>
      </rPr>
      <t xml:space="preserve">СНиП IV-2-2 </t>
    </r>
    <r>
      <rPr>
        <sz val="9"/>
        <rFont val="AcadNusx"/>
      </rPr>
      <t>ცხ: 11-3-4</t>
    </r>
  </si>
  <si>
    <t>4.1-354.</t>
  </si>
  <si>
    <t>_ ლინოკრომის ქვედა ფენა</t>
  </si>
  <si>
    <t>4.1.376.</t>
  </si>
  <si>
    <t>_ პრაიმერი</t>
  </si>
  <si>
    <t xml:space="preserve">_ ბეტონის ფილაქნის ფილები </t>
  </si>
  <si>
    <t>4.2.119.</t>
  </si>
  <si>
    <t>_ ყინვაგამძლე წებო-ცემენტი</t>
  </si>
  <si>
    <r>
      <t xml:space="preserve">_ თაბაშირ-მუყაოს ტიხრის სისტემა: </t>
    </r>
    <r>
      <rPr>
        <sz val="9"/>
        <rFont val="Arial"/>
        <family val="2"/>
        <charset val="204"/>
      </rPr>
      <t>w-111</t>
    </r>
  </si>
  <si>
    <t>8.1.53.</t>
  </si>
  <si>
    <r>
      <t xml:space="preserve">_samontaJo SesafiTxni masala: </t>
    </r>
    <r>
      <rPr>
        <sz val="9"/>
        <rFont val="Arial"/>
        <family val="2"/>
        <charset val="204"/>
      </rPr>
      <t>Fugagipsi</t>
    </r>
  </si>
  <si>
    <r>
      <t xml:space="preserve">_ nestgamZle თაბაშირ-მუყაოს ტიხრის სისტემა: </t>
    </r>
    <r>
      <rPr>
        <sz val="9"/>
        <rFont val="Arial"/>
        <family val="2"/>
        <charset val="204"/>
      </rPr>
      <t>w-112w</t>
    </r>
  </si>
  <si>
    <r>
      <t xml:space="preserve">_samontaJo SesafiTxni masala: </t>
    </r>
    <r>
      <rPr>
        <sz val="9"/>
        <rFont val="Arial"/>
        <family val="2"/>
        <charset val="204"/>
      </rPr>
      <t>Yniflot</t>
    </r>
  </si>
  <si>
    <t>4.1.398.</t>
  </si>
  <si>
    <t>_ ფოლგიანი მინერალური ბამბა</t>
  </si>
  <si>
    <t>8.1.4.</t>
  </si>
  <si>
    <t>_ თაბაშირ-მუყაოს ნესტგამძლე ფილა</t>
  </si>
  <si>
    <r>
      <t xml:space="preserve">_ თვითმჭრელი შურუპი: </t>
    </r>
    <r>
      <rPr>
        <sz val="9"/>
        <rFont val="Arial"/>
        <family val="2"/>
        <charset val="204"/>
      </rPr>
      <t>TN35X3,5mm.</t>
    </r>
  </si>
  <si>
    <t>8.1.1.</t>
  </si>
  <si>
    <t>_ თაბაშირ-მუყაოს ფილა სისქ: 9,5მმ.</t>
  </si>
  <si>
    <t>8.1.34.</t>
  </si>
  <si>
    <r>
      <t>_</t>
    </r>
    <r>
      <rPr>
        <sz val="9"/>
        <rFont val="Arial"/>
        <family val="2"/>
        <charset val="204"/>
      </rPr>
      <t xml:space="preserve"> UW</t>
    </r>
    <r>
      <rPr>
        <sz val="9"/>
        <rFont val="AcadNusx"/>
      </rPr>
      <t xml:space="preserve"> პროფილი</t>
    </r>
  </si>
  <si>
    <t>8.1.31.</t>
  </si>
  <si>
    <r>
      <t>_</t>
    </r>
    <r>
      <rPr>
        <sz val="9"/>
        <rFont val="Arial"/>
        <family val="2"/>
        <charset val="204"/>
      </rPr>
      <t xml:space="preserve"> CW</t>
    </r>
    <r>
      <rPr>
        <sz val="9"/>
        <rFont val="AcadNusx"/>
      </rPr>
      <t xml:space="preserve"> პროფილი</t>
    </r>
  </si>
  <si>
    <r>
      <t xml:space="preserve">_ თვითმჭრელი შურუპი: </t>
    </r>
    <r>
      <rPr>
        <sz val="9"/>
        <rFont val="Arial"/>
        <family val="2"/>
        <charset val="204"/>
      </rPr>
      <t>TN35X2,5mm.</t>
    </r>
  </si>
  <si>
    <t>_ლამინირებულიმერქან-ბურბუშელოვანი ფილა სისქ: 18მმ.</t>
  </si>
  <si>
    <r>
      <t>_</t>
    </r>
    <r>
      <rPr>
        <sz val="9"/>
        <rFont val="Arial"/>
        <family val="2"/>
        <charset val="204"/>
      </rPr>
      <t xml:space="preserve"> ფურნიტურა</t>
    </r>
  </si>
  <si>
    <t>15-14-1</t>
  </si>
  <si>
    <t>m2</t>
  </si>
  <si>
    <t>maT Soris:</t>
  </si>
  <si>
    <t>_ muSaTa xelfasi</t>
  </si>
  <si>
    <t xml:space="preserve">_ manqanebi   </t>
  </si>
  <si>
    <t>4.3.13.</t>
  </si>
  <si>
    <t>_ keramikuli filebi</t>
  </si>
  <si>
    <t>_ webo-cementi</t>
  </si>
  <si>
    <t>_ sxva masala</t>
  </si>
  <si>
    <t>_"МДФ"-is კარი საპირეებით და საკეტით</t>
  </si>
  <si>
    <r>
      <rPr>
        <sz val="8"/>
        <rFont val="AcadNusx"/>
      </rPr>
      <t xml:space="preserve">СНиП IV-2-8  </t>
    </r>
    <r>
      <rPr>
        <sz val="9"/>
        <rFont val="AcadNusx"/>
      </rPr>
      <t>ცხ: 15-168-3</t>
    </r>
  </si>
  <si>
    <t xml:space="preserve">_ SromiTi danaxarji </t>
  </si>
  <si>
    <t>_ sxva manqanebi</t>
  </si>
  <si>
    <t>4.2.50.</t>
  </si>
  <si>
    <t>_ wyalemulsiuri saRebavi</t>
  </si>
  <si>
    <t>4.2.80.</t>
  </si>
  <si>
    <t>_ fiTxi</t>
  </si>
  <si>
    <t xml:space="preserve">_ sxvadasxva masalebi </t>
  </si>
  <si>
    <r>
      <rPr>
        <sz val="8"/>
        <rFont val="AcadNusx"/>
      </rPr>
      <t xml:space="preserve">СНиП IV-2-8  </t>
    </r>
    <r>
      <rPr>
        <sz val="9"/>
        <rFont val="AcadNusx"/>
      </rPr>
      <t>ცხ: 15-168-4</t>
    </r>
  </si>
  <si>
    <t>_ შვეიცარი, ლითონის კარებისთვის ფრთის სიგანით: 100სმ.</t>
  </si>
  <si>
    <t>10.12.</t>
  </si>
  <si>
    <t>_ სახანძრო სტენდი</t>
  </si>
  <si>
    <t>10.9.</t>
  </si>
  <si>
    <t>_ ცეცხლმაქრი ფხვნილოვანი მანომეტრით</t>
  </si>
  <si>
    <r>
      <rPr>
        <sz val="8"/>
        <rFont val="AcadNusx"/>
      </rPr>
      <t xml:space="preserve">СНиП IV-2-2 </t>
    </r>
    <r>
      <rPr>
        <sz val="9"/>
        <rFont val="AcadNusx"/>
      </rPr>
      <t>ცხ: 8-22-6</t>
    </r>
  </si>
  <si>
    <t xml:space="preserve">_ სხვა მანქანები </t>
  </si>
  <si>
    <t>1.9.42.</t>
  </si>
  <si>
    <t>_ ხარაჩოს ლითონკონსტრუქცია</t>
  </si>
  <si>
    <t>_ ხარაჩოს ხის დეტალები</t>
  </si>
  <si>
    <t>5.1.133.</t>
  </si>
  <si>
    <t>_ ხის სავალი ფარები</t>
  </si>
  <si>
    <t>5.1.26.</t>
  </si>
  <si>
    <t>3.12.</t>
  </si>
  <si>
    <t>_ ალუმინის ფურცლოვანი იატაკი სისქ: 2მმ.</t>
  </si>
  <si>
    <t>_ ალუმინის პროფილი რეზინის შუასადებით სიგრძით: 275სმ.</t>
  </si>
  <si>
    <t>3.33.</t>
  </si>
  <si>
    <t>_ ალუმინის მოაჯირი, სახელურთან ერთად</t>
  </si>
  <si>
    <t>შედგენილია:</t>
  </si>
  <si>
    <t>შპს "კანო"-ს მიერ</t>
  </si>
  <si>
    <t>8-403-1</t>
  </si>
  <si>
    <r>
      <t xml:space="preserve">_ </t>
    </r>
    <r>
      <rPr>
        <sz val="9"/>
        <rFont val="AcadNusx"/>
      </rPr>
      <t>შრომითი დანახარჯები კ</t>
    </r>
    <r>
      <rPr>
        <sz val="10"/>
        <rFont val="AcadNusx"/>
      </rPr>
      <t>=1,15;1,15</t>
    </r>
  </si>
  <si>
    <t>_ სხვა მანქანები კ=1,15;1,15</t>
  </si>
  <si>
    <t>8-403-2</t>
  </si>
  <si>
    <t>8-403-4</t>
  </si>
  <si>
    <t>8-417-9</t>
  </si>
  <si>
    <t>8-103-1</t>
  </si>
  <si>
    <r>
      <t xml:space="preserve">_ </t>
    </r>
    <r>
      <rPr>
        <sz val="9"/>
        <rFont val="AcadNusx"/>
      </rPr>
      <t>მუშათა ხელფასი</t>
    </r>
  </si>
  <si>
    <t>8-525-1</t>
  </si>
  <si>
    <t>წერტ.</t>
  </si>
  <si>
    <t>8-525-2</t>
  </si>
  <si>
    <t>8-525-3</t>
  </si>
  <si>
    <t>8-619-2</t>
  </si>
  <si>
    <t>8-591-3</t>
  </si>
  <si>
    <t>8-591-8</t>
  </si>
  <si>
    <t xml:space="preserve"> </t>
  </si>
  <si>
    <t>შენიშვნა:</t>
  </si>
  <si>
    <t>გათბობა-გაგრილების და ვენტილაციის სისტემის დანადგარის მონტაჟი</t>
  </si>
  <si>
    <r>
      <t xml:space="preserve">გათბობა-გაგრილების და ვენტილაციის სისტემის დანადგარი </t>
    </r>
    <r>
      <rPr>
        <sz val="9"/>
        <color indexed="8"/>
        <rFont val="Arial"/>
        <family val="2"/>
        <charset val="204"/>
      </rPr>
      <t>ROOFTOP-ის ტიპის, გათბობა-გაგრილების რეჟიმით: სიცივის წარმადობით 66.8 კვტ. , სითბოს წარმადობით 64.8 კვტ.   მუშა ტემპერატურები -8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c  და +38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c, ჰაერის წარმადობით მიწოდებაზე   7810 მ</t>
    </r>
    <r>
      <rPr>
        <vertAlign val="superscript"/>
        <sz val="9"/>
        <color indexed="8"/>
        <rFont val="Arial"/>
        <family val="2"/>
        <charset val="204"/>
      </rPr>
      <t>3</t>
    </r>
    <r>
      <rPr>
        <sz val="9"/>
        <color indexed="8"/>
        <rFont val="Arial"/>
        <family val="2"/>
        <charset val="204"/>
      </rPr>
      <t>/სთ (გაწოვა სუფთა ჰაერის რაოდენობიდან გამომდინარე), ჰაერის ხარისხის სენსორით (CO</t>
    </r>
    <r>
      <rPr>
        <vertAlign val="subscript"/>
        <sz val="9"/>
        <color indexed="8"/>
        <rFont val="Calibri"/>
        <family val="2"/>
        <charset val="204"/>
      </rPr>
      <t xml:space="preserve">² </t>
    </r>
    <r>
      <rPr>
        <sz val="9"/>
        <color indexed="8"/>
        <rFont val="Calibri"/>
        <family val="2"/>
        <charset val="204"/>
      </rPr>
      <t xml:space="preserve">შემცველობა),  ვენტილაციის ძრავების სიხშირული მართვით, მაღალი და დაბალი მაცივარ-აგენტის კონტურების მანომეტრებით, ხმის დამხშობებით (მოდინების და გაწოვის მხარეს), ანტივიბრაციული ბალიშებით, ფილტრით G4, ფაზების კონტროლით, ავტომატიკის კარადით (კომპლექტში) </t>
    </r>
    <r>
      <rPr>
        <sz val="9"/>
        <color indexed="8"/>
        <rFont val="Arial"/>
        <family val="2"/>
        <charset val="204"/>
      </rPr>
      <t>თავისუფალი ჭავლი 350 პა.</t>
    </r>
  </si>
  <si>
    <t>komp</t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</si>
  <si>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დ=315მმ.</t>
    </r>
  </si>
  <si>
    <t>_ haersatari moTuTiebuli Tunuqis furclebisagan sisq: 0,6mm.</t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</si>
  <si>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დ=355მმ.</t>
    </r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</si>
  <si>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დ=400მმ.</t>
    </r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</si>
  <si>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დ=450მმ.</t>
    </r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</si>
  <si>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დ=500მმ.</t>
    </r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</si>
  <si>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დ=560მმ.</t>
    </r>
  </si>
  <si>
    <t>_ haersatari moTuTiebuli Tunuqis furclebisagan sisq: 0,7mm.</t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</si>
  <si>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დ=600მმ.</t>
    </r>
  </si>
  <si>
    <r>
      <t xml:space="preserve">ჰაერსატარების მონტაჟი </t>
    </r>
    <r>
      <rPr>
        <b/>
        <sz val="9"/>
        <rFont val="Arial"/>
        <family val="2"/>
        <charset val="204"/>
      </rPr>
      <t>დ=630მმ.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</si>
  <si>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Dდ=315მმ. </t>
    </r>
  </si>
  <si>
    <r>
      <t>_ ჰაერსატარის სამაგრი:</t>
    </r>
    <r>
      <rPr>
        <sz val="9"/>
        <rFont val="AcadNusx"/>
      </rPr>
      <t xml:space="preserve"> Dდ=350მმ.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</si>
  <si>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Dდ=355მმ. </t>
    </r>
  </si>
  <si>
    <r>
      <t>_ ჰაერსატარის სამაგრი:</t>
    </r>
    <r>
      <rPr>
        <sz val="9"/>
        <rFont val="AcadNusx"/>
      </rPr>
      <t xml:space="preserve"> Dდ=355მმ.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</si>
  <si>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Dდ=400მმ. </t>
    </r>
  </si>
  <si>
    <r>
      <t>_ ჰაერსატარის სამაგრი:</t>
    </r>
    <r>
      <rPr>
        <sz val="9"/>
        <rFont val="AcadNusx"/>
      </rPr>
      <t xml:space="preserve"> Dდ=400მმ.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</si>
  <si>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Dდ=450მმ. </t>
    </r>
  </si>
  <si>
    <r>
      <t>_ ჰაერსატარის სამაგრი:</t>
    </r>
    <r>
      <rPr>
        <sz val="9"/>
        <rFont val="AcadNusx"/>
      </rPr>
      <t xml:space="preserve"> Dდ=450მმ.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</si>
  <si>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Dდ=500მმ. </t>
    </r>
  </si>
  <si>
    <r>
      <t>_ ჰაერსატარის სამაგრი:</t>
    </r>
    <r>
      <rPr>
        <sz val="9"/>
        <rFont val="AcadNusx"/>
      </rPr>
      <t xml:space="preserve"> Dდ=500მმ.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</si>
  <si>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Dდ=560მმ. </t>
    </r>
  </si>
  <si>
    <t>მათ. შორის:</t>
  </si>
  <si>
    <r>
      <t>_ ჰაერსატარის სამაგრი:</t>
    </r>
    <r>
      <rPr>
        <sz val="9"/>
        <rFont val="AcadNusx"/>
      </rPr>
      <t xml:space="preserve"> Dდ=560მმ.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</si>
  <si>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Dდ=600მმ. </t>
    </r>
  </si>
  <si>
    <r>
      <t>_ ჰაერსატარის სამაგრი:</t>
    </r>
    <r>
      <rPr>
        <sz val="9"/>
        <rFont val="AcadNusx"/>
      </rPr>
      <t xml:space="preserve"> Dდ=600მმ.</t>
    </r>
  </si>
  <si>
    <r>
      <t>ჰაერსატარის სამაგრის მონტაჟი:</t>
    </r>
    <r>
      <rPr>
        <b/>
        <sz val="9"/>
        <rFont val="AcadNusx"/>
      </rPr>
      <t xml:space="preserve"> Dდ=630მმ. </t>
    </r>
  </si>
  <si>
    <r>
      <t>_ ჰაერსატარის სამაგრი:</t>
    </r>
    <r>
      <rPr>
        <sz val="9"/>
        <rFont val="AcadNusx"/>
      </rPr>
      <t xml:space="preserve"> Dდ=630მმ.</t>
    </r>
  </si>
  <si>
    <r>
      <t>ჰაერსატარის გადამყვანის  მონტაჟი:</t>
    </r>
    <r>
      <rPr>
        <b/>
        <sz val="9"/>
        <rFont val="AcadNusx"/>
      </rPr>
      <t xml:space="preserve"> Dდ=355/315მმ. </t>
    </r>
  </si>
  <si>
    <r>
      <t>_ ჰაერსატარის გადამყვანი:</t>
    </r>
    <r>
      <rPr>
        <sz val="9"/>
        <rFont val="AcadNusx"/>
      </rPr>
      <t xml:space="preserve"> Dდ=355/315მმ.</t>
    </r>
  </si>
  <si>
    <r>
      <t>ჰაერსატარის გადამყვანის  მონტაჟი:</t>
    </r>
    <r>
      <rPr>
        <b/>
        <sz val="9"/>
        <rFont val="AcadNusx"/>
      </rPr>
      <t xml:space="preserve"> Dდ=400/355მმ. </t>
    </r>
  </si>
  <si>
    <r>
      <t>_ ჰაერსატარის გადამყვანი:</t>
    </r>
    <r>
      <rPr>
        <sz val="9"/>
        <rFont val="AcadNusx"/>
      </rPr>
      <t xml:space="preserve"> Dდ=400/355მმ.</t>
    </r>
  </si>
  <si>
    <r>
      <t>ჰაერსატარის გადამყვანის  მონტაჟი:</t>
    </r>
    <r>
      <rPr>
        <b/>
        <sz val="9"/>
        <rFont val="AcadNusx"/>
      </rPr>
      <t xml:space="preserve"> Dდ=450/400მმ. </t>
    </r>
  </si>
  <si>
    <r>
      <t>_ ჰაერსატარის გადამყვანი:</t>
    </r>
    <r>
      <rPr>
        <sz val="9"/>
        <rFont val="AcadNusx"/>
      </rPr>
      <t xml:space="preserve"> Dდ=450/400მმ.</t>
    </r>
  </si>
  <si>
    <r>
      <t>ჰაერსატარის გადამყვანის  მონტაჟი:</t>
    </r>
    <r>
      <rPr>
        <b/>
        <sz val="9"/>
        <rFont val="AcadNusx"/>
      </rPr>
      <t xml:space="preserve"> Dდ=500/450მმ. </t>
    </r>
  </si>
  <si>
    <r>
      <t>_ ჰაერსატარის გადამყვანი:</t>
    </r>
    <r>
      <rPr>
        <sz val="9"/>
        <rFont val="AcadNusx"/>
      </rPr>
      <t xml:space="preserve"> Dდ=500/450მმ.</t>
    </r>
  </si>
  <si>
    <r>
      <t>ჰაერსატარის გადამყვანის  მონტაჟი:</t>
    </r>
    <r>
      <rPr>
        <b/>
        <sz val="9"/>
        <rFont val="AcadNusx"/>
      </rPr>
      <t xml:space="preserve"> Dდ=560/500მმ. </t>
    </r>
  </si>
  <si>
    <r>
      <t>_ ჰაერსატარის გადამყვანი:</t>
    </r>
    <r>
      <rPr>
        <sz val="9"/>
        <rFont val="AcadNusx"/>
      </rPr>
      <t xml:space="preserve"> Dდ=560/500მმ.</t>
    </r>
  </si>
  <si>
    <r>
      <t>ჰაერსატარის გადამყვანის  მონტაჟი:</t>
    </r>
    <r>
      <rPr>
        <b/>
        <sz val="9"/>
        <rFont val="AcadNusx"/>
      </rPr>
      <t xml:space="preserve"> Dდ=600/560მმ. </t>
    </r>
  </si>
  <si>
    <r>
      <t>_ ჰაერსატარის გადამყვანი:</t>
    </r>
    <r>
      <rPr>
        <sz val="9"/>
        <rFont val="AcadNusx"/>
      </rPr>
      <t xml:space="preserve"> Dდ=600/560მმ.</t>
    </r>
  </si>
  <si>
    <r>
      <t>ჰაერსატარის გადამყვანის  მონტაჟი:</t>
    </r>
    <r>
      <rPr>
        <b/>
        <sz val="9"/>
        <rFont val="AcadNusx"/>
      </rPr>
      <t xml:space="preserve"> Dდ=630/600მმ. </t>
    </r>
  </si>
  <si>
    <r>
      <t>_ ჰაერსატარის გადამყვანი:</t>
    </r>
    <r>
      <rPr>
        <sz val="9"/>
        <rFont val="AcadNusx"/>
      </rPr>
      <t xml:space="preserve"> Dდ=630/600მმ.</t>
    </r>
  </si>
  <si>
    <r>
      <t>ჰაერსატარის ხუფის  მონტაჟი:</t>
    </r>
    <r>
      <rPr>
        <b/>
        <sz val="9"/>
        <rFont val="AcadNusx"/>
      </rPr>
      <t xml:space="preserve"> Dდ=315მმ. </t>
    </r>
  </si>
  <si>
    <r>
      <t>_ ჰაერსატარის ხუფი:</t>
    </r>
    <r>
      <rPr>
        <sz val="9"/>
        <rFont val="AcadNusx"/>
      </rPr>
      <t xml:space="preserve"> Dდ=315მმ.</t>
    </r>
  </si>
  <si>
    <r>
      <t xml:space="preserve">ჰაერსატარების იზოლაცია კაუჩუკით სისქით: </t>
    </r>
    <r>
      <rPr>
        <sz val="9"/>
        <rFont val="BalavMtavr"/>
      </rPr>
      <t>13mm. /არსებული/</t>
    </r>
  </si>
  <si>
    <r>
      <t xml:space="preserve">_ კაუჩუკის ფირფიტა სისქ: 13სმ </t>
    </r>
    <r>
      <rPr>
        <sz val="9"/>
        <color rgb="FFFF0000"/>
        <rFont val="AcadNusx"/>
      </rPr>
      <t>25% დამატება</t>
    </r>
  </si>
  <si>
    <t>მოდინების ჰაერსატარის დერმანტინით შეფუთვნა</t>
  </si>
  <si>
    <t>_ დერმატინი ან ანალოგიური ქსოვილი</t>
  </si>
  <si>
    <t>ჰაერსატარების მონტაჟი</t>
  </si>
  <si>
    <r>
      <t xml:space="preserve">_ დამხმარე და საინსტალაციო მასალები </t>
    </r>
    <r>
      <rPr>
        <sz val="9"/>
        <color rgb="FFFF0000"/>
        <rFont val="AcadNusx"/>
      </rPr>
      <t>კ=0,30</t>
    </r>
  </si>
  <si>
    <r>
      <t>ცხაური D==</t>
    </r>
    <r>
      <rPr>
        <b/>
        <sz val="9"/>
        <rFont val="AcadNusx"/>
      </rPr>
      <t>525X125</t>
    </r>
    <r>
      <rPr>
        <b/>
        <sz val="9"/>
        <rFont val="Sylfaen"/>
        <family val="1"/>
        <charset val="204"/>
      </rPr>
      <t>მმ</t>
    </r>
    <r>
      <rPr>
        <b/>
        <sz val="9"/>
        <rFont val="BalavMtavr"/>
      </rPr>
      <t xml:space="preserve"> ჰაერის ერთრიგიანი მარეგულირებელი დემფერით (355მმ. დიამეტრის მილისათვის)</t>
    </r>
  </si>
  <si>
    <r>
      <t>_ცხაური D==</t>
    </r>
    <r>
      <rPr>
        <sz val="9"/>
        <rFont val="AcadNusx"/>
      </rPr>
      <t>525X125</t>
    </r>
    <r>
      <rPr>
        <sz val="9"/>
        <rFont val="Sylfaen"/>
        <family val="1"/>
        <charset val="204"/>
      </rPr>
      <t>მმ</t>
    </r>
    <r>
      <rPr>
        <sz val="9"/>
        <rFont val="BalavMtavr"/>
      </rPr>
      <t xml:space="preserve"> ჰაერის ერთრიგიანი მარეგულირებელი დემფერით </t>
    </r>
  </si>
  <si>
    <r>
      <t>ცხაური D==</t>
    </r>
    <r>
      <rPr>
        <b/>
        <sz val="9"/>
        <rFont val="AcadNusx"/>
      </rPr>
      <t>525X125</t>
    </r>
    <r>
      <rPr>
        <b/>
        <sz val="9"/>
        <rFont val="Sylfaen"/>
        <family val="1"/>
        <charset val="204"/>
      </rPr>
      <t>მმ</t>
    </r>
    <r>
      <rPr>
        <b/>
        <sz val="9"/>
        <rFont val="BalavMtavr"/>
      </rPr>
      <t xml:space="preserve"> ჰაერის ერთრიგიანი მარეგულირებელი დემფერით (400მმ. დიამეტრის მილისათვის)</t>
    </r>
  </si>
  <si>
    <r>
      <t>ცხაური D==</t>
    </r>
    <r>
      <rPr>
        <b/>
        <sz val="9"/>
        <rFont val="AcadNusx"/>
      </rPr>
      <t>525X125</t>
    </r>
    <r>
      <rPr>
        <b/>
        <sz val="9"/>
        <rFont val="Sylfaen"/>
        <family val="1"/>
        <charset val="204"/>
      </rPr>
      <t>მმ</t>
    </r>
    <r>
      <rPr>
        <b/>
        <sz val="9"/>
        <rFont val="BalavMtavr"/>
      </rPr>
      <t xml:space="preserve"> ჰაერის ერთრიგიანი მარეგულირებელი დემფერით (450მმ. დიამეტრის მილისათვის)</t>
    </r>
  </si>
  <si>
    <r>
      <t>ცხაური D==</t>
    </r>
    <r>
      <rPr>
        <b/>
        <sz val="9"/>
        <rFont val="AcadNusx"/>
      </rPr>
      <t>525X125</t>
    </r>
    <r>
      <rPr>
        <b/>
        <sz val="9"/>
        <rFont val="Sylfaen"/>
        <family val="1"/>
        <charset val="204"/>
      </rPr>
      <t>მმ</t>
    </r>
    <r>
      <rPr>
        <b/>
        <sz val="9"/>
        <rFont val="BalavMtavr"/>
      </rPr>
      <t xml:space="preserve"> ჰაერის ერთრიგიანი მარეგულირებელი დემფერით (500მმ. დიამეტრის მილისათვის)</t>
    </r>
  </si>
  <si>
    <r>
      <t>ცხაური D==</t>
    </r>
    <r>
      <rPr>
        <b/>
        <sz val="9"/>
        <rFont val="AcadNusx"/>
      </rPr>
      <t>525X125</t>
    </r>
    <r>
      <rPr>
        <b/>
        <sz val="9"/>
        <rFont val="Sylfaen"/>
        <family val="1"/>
        <charset val="204"/>
      </rPr>
      <t>მმ</t>
    </r>
    <r>
      <rPr>
        <b/>
        <sz val="9"/>
        <rFont val="BalavMtavr"/>
      </rPr>
      <t xml:space="preserve"> ჰაერის ერთრიგიანი მარეგულირებელი დემფერით (560მმ. დიამეტრის მილისათვის)</t>
    </r>
  </si>
  <si>
    <r>
      <t>ცხაური D==</t>
    </r>
    <r>
      <rPr>
        <b/>
        <sz val="9"/>
        <rFont val="AcadNusx"/>
      </rPr>
      <t>525X125</t>
    </r>
    <r>
      <rPr>
        <b/>
        <sz val="9"/>
        <rFont val="Sylfaen"/>
        <family val="1"/>
        <charset val="204"/>
      </rPr>
      <t>მმ</t>
    </r>
    <r>
      <rPr>
        <b/>
        <sz val="9"/>
        <rFont val="BalavMtavr"/>
      </rPr>
      <t xml:space="preserve"> ჰაერის ერთრიგიანი მარეგულირებელი დემფერით (600მმ. დიამეტრის მილისათვის)</t>
    </r>
  </si>
  <si>
    <r>
      <t>ცხაური D==</t>
    </r>
    <r>
      <rPr>
        <b/>
        <sz val="9"/>
        <rFont val="AcadNusx"/>
      </rPr>
      <t>525X125</t>
    </r>
    <r>
      <rPr>
        <b/>
        <sz val="9"/>
        <rFont val="Sylfaen"/>
        <family val="1"/>
        <charset val="204"/>
      </rPr>
      <t>მმ</t>
    </r>
    <r>
      <rPr>
        <b/>
        <sz val="9"/>
        <rFont val="BalavMtavr"/>
      </rPr>
      <t xml:space="preserve"> ჰაერის ერთრიგიანი მარეგულირებელი დემფერით (630მმ. დიამეტრის მილისათვის)</t>
    </r>
  </si>
  <si>
    <r>
      <rPr>
        <b/>
        <sz val="9"/>
        <rFont val="BalavMtavr"/>
      </rPr>
      <t>ჰაერის მარეგულირებელი დელფერი: D==დ======</t>
    </r>
    <r>
      <rPr>
        <b/>
        <sz val="9"/>
        <rFont val="Sylfaen"/>
        <family val="1"/>
        <charset val="204"/>
      </rPr>
      <t>=650მმ</t>
    </r>
    <r>
      <rPr>
        <b/>
        <sz val="9"/>
        <rFont val="BalavMtavr"/>
      </rPr>
      <t xml:space="preserve"> </t>
    </r>
    <r>
      <rPr>
        <sz val="9"/>
        <rFont val="BalavMtavr"/>
      </rPr>
      <t/>
    </r>
  </si>
  <si>
    <r>
      <t>_ჰაერის მარეგულირებელი დელფერი: D==დ======</t>
    </r>
    <r>
      <rPr>
        <sz val="9"/>
        <rFont val="Sylfaen"/>
        <family val="1"/>
        <charset val="204"/>
      </rPr>
      <t>=650მმ</t>
    </r>
    <r>
      <rPr>
        <sz val="9"/>
        <rFont val="BalavMtavr"/>
      </rPr>
      <t xml:space="preserve"> </t>
    </r>
  </si>
  <si>
    <r>
      <t xml:space="preserve">ჰაერის მარეგულირებელი დელფერი: </t>
    </r>
    <r>
      <rPr>
        <b/>
        <sz val="9"/>
        <rFont val="AcadNusx"/>
      </rPr>
      <t>700*500მმ</t>
    </r>
  </si>
  <si>
    <r>
      <t xml:space="preserve">_ ჰაერის მარეგულირებელი დელფერი: </t>
    </r>
    <r>
      <rPr>
        <sz val="9"/>
        <rFont val="AcadNusx"/>
      </rPr>
      <t>700*500მმ</t>
    </r>
  </si>
  <si>
    <r>
      <t xml:space="preserve">_ </t>
    </r>
    <r>
      <rPr>
        <sz val="9"/>
        <rFont val="AcadNusx"/>
      </rPr>
      <t>შრომითი დანახარჯები კ</t>
    </r>
    <r>
      <rPr>
        <sz val="10"/>
        <rFont val="AcadNusx"/>
      </rPr>
      <t xml:space="preserve">=1,75;1,1; </t>
    </r>
  </si>
  <si>
    <t xml:space="preserve">_ სხვა მანქანები კ=1,75;1,1; </t>
  </si>
  <si>
    <r>
      <rPr>
        <sz val="8"/>
        <rFont val="AcadNusx"/>
      </rPr>
      <t xml:space="preserve">СНиП IV-2-3 </t>
    </r>
    <r>
      <rPr>
        <sz val="9"/>
        <rFont val="AcadNusx"/>
      </rPr>
      <t>ცხ: 17-4-1</t>
    </r>
  </si>
  <si>
    <t>6.17.</t>
  </si>
  <si>
    <t>_ უნიტაზი ფაიფურის კომპლექსში</t>
  </si>
  <si>
    <t>_ უნიტაზი ფაიფურის ინვალიდებისათვის კომპლექსში</t>
  </si>
  <si>
    <t>_ მილთან შესაერთებელი გოფრირებული მილი</t>
  </si>
  <si>
    <r>
      <rPr>
        <sz val="8"/>
        <rFont val="AcadNusx"/>
      </rPr>
      <t xml:space="preserve">СНиП IV-2-3 </t>
    </r>
    <r>
      <rPr>
        <sz val="9"/>
        <rFont val="AcadNusx"/>
      </rPr>
      <t>ცხ: 17-5-1</t>
    </r>
  </si>
  <si>
    <t>6.21.</t>
  </si>
  <si>
    <t>_ პისუარი ფაიფურის</t>
  </si>
  <si>
    <r>
      <rPr>
        <sz val="8"/>
        <rFont val="AcadNusx"/>
      </rPr>
      <t xml:space="preserve">СНиП IV-2-3 </t>
    </r>
    <r>
      <rPr>
        <sz val="9"/>
        <rFont val="AcadNusx"/>
      </rPr>
      <t>ცხ: 17-1-3</t>
    </r>
  </si>
  <si>
    <t>6.22.</t>
  </si>
  <si>
    <t>_პირსაბანი ფაიფურის კომპლექსში</t>
  </si>
  <si>
    <t>_ სიფონი</t>
  </si>
  <si>
    <r>
      <rPr>
        <sz val="8"/>
        <rFont val="AcadNusx"/>
      </rPr>
      <t xml:space="preserve">СНиП IV-2-3 </t>
    </r>
    <r>
      <rPr>
        <sz val="9"/>
        <rFont val="AcadNusx"/>
      </rPr>
      <t>ცხ: 17-1-9</t>
    </r>
  </si>
  <si>
    <t>6.28.</t>
  </si>
  <si>
    <t>_ ტრაპი მონიკელებული</t>
  </si>
  <si>
    <r>
      <rPr>
        <sz val="8"/>
        <rFont val="AcadNusx"/>
      </rPr>
      <t xml:space="preserve">СНиП IV-2-3 </t>
    </r>
    <r>
      <rPr>
        <sz val="9"/>
        <rFont val="AcadNusx"/>
      </rPr>
      <t>ცხ: 17-3-3</t>
    </r>
  </si>
  <si>
    <t>6.31.</t>
  </si>
  <si>
    <t>_ წყლის შემრევი</t>
  </si>
  <si>
    <t>7.1.6.</t>
  </si>
  <si>
    <t>_ წყლის გამაცხელებელი 100ლ. (თერმექსი)</t>
  </si>
  <si>
    <r>
      <t xml:space="preserve">_საყოფაცხოვრებო ვენტილატორი: </t>
    </r>
    <r>
      <rPr>
        <sz val="9"/>
        <rFont val="Arial"/>
        <family val="2"/>
        <charset val="204"/>
      </rPr>
      <t xml:space="preserve">D= </t>
    </r>
    <r>
      <rPr>
        <sz val="9"/>
        <rFont val="BalavMtavr"/>
      </rPr>
      <t xml:space="preserve">150მმ. </t>
    </r>
  </si>
  <si>
    <t>_ სარკე ზომით; 600X800მმ.</t>
  </si>
  <si>
    <t>2.5.72.</t>
  </si>
  <si>
    <t>2.5.73.</t>
  </si>
  <si>
    <t>2.5.74.</t>
  </si>
  <si>
    <t>6.1062.</t>
  </si>
  <si>
    <t>6.1063.</t>
  </si>
  <si>
    <t>6.1064.</t>
  </si>
  <si>
    <t>6.553.</t>
  </si>
  <si>
    <t>6.552.</t>
  </si>
  <si>
    <t>6.543.</t>
  </si>
  <si>
    <t>6.544.</t>
  </si>
  <si>
    <t>6.545.</t>
  </si>
  <si>
    <t>6.184.</t>
  </si>
  <si>
    <t>6.485.</t>
  </si>
  <si>
    <t>6.487.</t>
  </si>
  <si>
    <t>6.665.</t>
  </si>
  <si>
    <t>6.666.</t>
  </si>
  <si>
    <t>6.664.</t>
  </si>
  <si>
    <t>6.719.</t>
  </si>
  <si>
    <t>6.727.</t>
  </si>
  <si>
    <t>6.717.</t>
  </si>
  <si>
    <t>6.718.</t>
  </si>
  <si>
    <t>2.5.110.</t>
  </si>
  <si>
    <t>2.5.101.</t>
  </si>
  <si>
    <t>2.5.92.</t>
  </si>
  <si>
    <t>2.5.91.</t>
  </si>
  <si>
    <t>2.5.83.</t>
  </si>
  <si>
    <t>2.5.87.</t>
  </si>
  <si>
    <t>2.5.80.</t>
  </si>
  <si>
    <t>6.305.</t>
  </si>
  <si>
    <t>6.304.</t>
  </si>
  <si>
    <t>6.745.</t>
  </si>
  <si>
    <t>6.743.</t>
  </si>
  <si>
    <t>6.740.</t>
  </si>
  <si>
    <t>6.562.</t>
  </si>
  <si>
    <t>6.560.</t>
  </si>
  <si>
    <t>6.497.</t>
  </si>
  <si>
    <r>
      <rPr>
        <sz val="8"/>
        <rFont val="AcadNusx"/>
      </rPr>
      <t xml:space="preserve">СНиП IV-2-1 </t>
    </r>
    <r>
      <rPr>
        <sz val="9"/>
        <rFont val="AcadNusx"/>
      </rPr>
      <t>ცხ:1-80-3</t>
    </r>
  </si>
  <si>
    <r>
      <t xml:space="preserve">_ </t>
    </r>
    <r>
      <rPr>
        <sz val="9"/>
        <rFont val="AcadNusx"/>
      </rPr>
      <t>შრომითი დანახარჯები კ</t>
    </r>
    <r>
      <rPr>
        <sz val="10"/>
        <rFont val="AcadNusx"/>
      </rPr>
      <t>=</t>
    </r>
    <r>
      <rPr>
        <sz val="10"/>
        <color rgb="FFFF0000"/>
        <rFont val="AcadNusx"/>
      </rPr>
      <t>1,15</t>
    </r>
    <r>
      <rPr>
        <sz val="10"/>
        <rFont val="AcadNusx"/>
      </rPr>
      <t>;1,15</t>
    </r>
  </si>
  <si>
    <t>_ ბეტონი ბ-20</t>
  </si>
  <si>
    <r>
      <t xml:space="preserve">_ </t>
    </r>
    <r>
      <rPr>
        <sz val="9"/>
        <rFont val="AcadNusx"/>
      </rPr>
      <t>კვადრატული მილი კვეთით</t>
    </r>
    <r>
      <rPr>
        <sz val="10"/>
        <rFont val="AcadNusx"/>
      </rPr>
      <t>: 800X80X4მმ.</t>
    </r>
  </si>
  <si>
    <r>
      <rPr>
        <sz val="8"/>
        <rFont val="AcadNusx"/>
      </rPr>
      <t xml:space="preserve">СНиП IV-2-3 </t>
    </r>
    <r>
      <rPr>
        <sz val="9"/>
        <rFont val="AcadNusx"/>
      </rPr>
      <t>ცხ: 23-1-1</t>
    </r>
  </si>
  <si>
    <t>4.1.188.</t>
  </si>
  <si>
    <t>_ ქვიშა</t>
  </si>
  <si>
    <r>
      <rPr>
        <sz val="8"/>
        <rFont val="AcadNusx"/>
      </rPr>
      <t xml:space="preserve">СНиП IV-2-3 </t>
    </r>
    <r>
      <rPr>
        <sz val="9"/>
        <rFont val="AcadNusx"/>
      </rPr>
      <t>ცხ: 22-8-1</t>
    </r>
  </si>
  <si>
    <t>1 გრძ.მ.</t>
  </si>
  <si>
    <t>2.5.13.</t>
  </si>
  <si>
    <t>_ პოლიეთილენის მილი: დ=32მმ.</t>
  </si>
  <si>
    <t>6.554.</t>
  </si>
  <si>
    <r>
      <t xml:space="preserve">_ პოლიეთილენის მუხლი: </t>
    </r>
    <r>
      <rPr>
        <sz val="9"/>
        <rFont val="AcadNusx"/>
      </rPr>
      <t>d=32mm</t>
    </r>
  </si>
  <si>
    <t>6.1065.</t>
  </si>
  <si>
    <r>
      <t>_ მილის თბოიზოლაცია დ</t>
    </r>
    <r>
      <rPr>
        <sz val="9"/>
        <rFont val="Arial"/>
        <family val="2"/>
        <charset val="204"/>
      </rPr>
      <t xml:space="preserve">= </t>
    </r>
    <r>
      <rPr>
        <sz val="9"/>
        <rFont val="BalavMtavr"/>
      </rPr>
      <t>40მმ.</t>
    </r>
  </si>
  <si>
    <r>
      <rPr>
        <sz val="8"/>
        <rFont val="AcadNusx"/>
      </rPr>
      <t xml:space="preserve">СНиП IV-2-1 </t>
    </r>
    <r>
      <rPr>
        <sz val="9"/>
        <rFont val="AcadNusx"/>
      </rPr>
      <t>ცხ:1-81-3</t>
    </r>
  </si>
  <si>
    <t>წერტ</t>
  </si>
  <si>
    <t>6.596.</t>
  </si>
  <si>
    <t>_ ამერიკანკა: დ=32მმ.</t>
  </si>
  <si>
    <t>ბაქანზე არსებული ბეტონის ფილაქნების დაშლა ქვ. ცემენტის ხსნარის საფუძველზე</t>
  </si>
  <si>
    <t xml:space="preserve">ზედნადები ხარჯები </t>
  </si>
  <si>
    <t>გეგმიური დაგროვება (მოგება)</t>
  </si>
  <si>
    <t>დ.ღ.გ.</t>
  </si>
  <si>
    <t>სენდვიჩ-პანელის აქსესუარების ღირებულება და მონტაჟი</t>
  </si>
  <si>
    <t xml:space="preserve">ლითონ-კონსტრუქციის შეღებვა ზეთოვანი საღებავით  </t>
  </si>
  <si>
    <t>კგ</t>
  </si>
  <si>
    <t>ლითონის კონსტრუქციების(დგარები, კავშირები, კოჭები დასხვა) მონტაჟი</t>
  </si>
  <si>
    <t>1. სამშენებლო სამუშაოები</t>
  </si>
  <si>
    <t>თუნუქის ფურცელი 0,25 (2მ*1მ)</t>
  </si>
  <si>
    <t>პენოპლასტი 4 სმ-იანი (1მ*0,5მ)</t>
  </si>
  <si>
    <t>პლეივუდი 2.44*1.22</t>
  </si>
  <si>
    <t>შიდა კედლების მოწყობა 40 მმ  სენდვიჩ-პანელით</t>
  </si>
  <si>
    <t>მეტრი</t>
  </si>
  <si>
    <t>კვ.მ</t>
  </si>
  <si>
    <t>6-იანი გამანაწილებელი ყუთი</t>
  </si>
  <si>
    <t>სადენ სატარი</t>
  </si>
  <si>
    <t>ლედ სანათი მრგვალი</t>
  </si>
  <si>
    <t>მოჭიმვის მომზადება, მეტლახის იატაკის მოწყობა</t>
  </si>
  <si>
    <t>ცხელი წყლის მილი 20მმ</t>
  </si>
  <si>
    <t>ცივი წყლის მილი</t>
  </si>
  <si>
    <t>სამკაპი 20*20*20</t>
  </si>
  <si>
    <t>მუხლი 20მმ 90გრ.</t>
  </si>
  <si>
    <t>მუხლი 20მმ 45გრ.</t>
  </si>
  <si>
    <t>გადასაბმელი 20მმ</t>
  </si>
  <si>
    <t>არკოს ვენტილი</t>
  </si>
  <si>
    <t>ხელსაბანის გოფრე</t>
  </si>
  <si>
    <t>უნიტაზი</t>
  </si>
  <si>
    <t>უნიტაზის გოფრე</t>
  </si>
  <si>
    <t>შემრევი</t>
  </si>
  <si>
    <t>ტრაპი</t>
  </si>
  <si>
    <t xml:space="preserve">ლინოლიუმის იატაკის მოწყობა  </t>
  </si>
  <si>
    <t>გარე კედლების მოწყობა 40 მმ  სენდვიჩ-პანელით</t>
  </si>
  <si>
    <t xml:space="preserve">ხელსაბანი </t>
  </si>
  <si>
    <t>2. ელექტროობა</t>
  </si>
  <si>
    <t xml:space="preserve">მეტალო-პლასტმასის კარები  </t>
  </si>
  <si>
    <t xml:space="preserve">მეტალო-პლასტმასის ფანჯარა </t>
  </si>
  <si>
    <t>3.წყალი, კანალიზაცია და გათბობა</t>
  </si>
  <si>
    <t xml:space="preserve">ჭკვიანი ტუმბოს მოწყობა </t>
  </si>
  <si>
    <t>კომპლ.</t>
  </si>
  <si>
    <t>4. ბეტონის ფილის მოწყობა</t>
  </si>
  <si>
    <t>ღორღის ფენის მოწყობა, დატკეპვნით</t>
  </si>
  <si>
    <t xml:space="preserve">არმატურის მოწყობა </t>
  </si>
  <si>
    <t>ტნ</t>
  </si>
  <si>
    <t>15 სმ-ის სისქის ფილის მოწყობა ბ22,5 კლასის ბეტონით</t>
  </si>
  <si>
    <t>ხის მასალა</t>
  </si>
  <si>
    <t>ჯამი 1-4:</t>
  </si>
  <si>
    <t>ჭერის მოწყობა 40 მმ  სენდვიჩ-პანელით</t>
  </si>
  <si>
    <t>სახურავის მოწყობა და გვერდების შეფუთვა პროფილირებული თუნუქის ფურცლებით</t>
  </si>
  <si>
    <t>ელ. როზეტი</t>
  </si>
  <si>
    <t xml:space="preserve">ჩამრთველი  </t>
  </si>
  <si>
    <t xml:space="preserve">ავტომატი 2X40 </t>
  </si>
  <si>
    <t xml:space="preserve">ავტომატი 1X16 </t>
  </si>
  <si>
    <t xml:space="preserve">ავტომატი 1X32 </t>
  </si>
  <si>
    <t>სეპტიკის მოწყობა საკანალიზაციო ბეტონის ჭით  D=1,5მ ; H=2მ</t>
  </si>
  <si>
    <t>3 ტონიანი წყლის რეზერვუარის მოწყობა, ლითონის კონსტრუქციით, რეზერვუარისა და მილების შეფუთვით (3 მეტრის სიმაღლეზე) კონსტრუქციის შეღებვით.</t>
  </si>
  <si>
    <t>სადენი 2X2.5  (სპილენძის)</t>
  </si>
  <si>
    <t>სადენი 2X1.5 (სპილენძის)</t>
  </si>
  <si>
    <t xml:space="preserve">გათბობა-გაგრილების რეჟიმზე მომუშავე კონდენციონერის მოწყობა, სიმძლავრე არანაკლებ 35 კვ.მეტრისა. </t>
  </si>
  <si>
    <t>წყლის  გამაცხელებელი გაზის (მოიხმარს გარედან შემოტანილ აირს)</t>
  </si>
  <si>
    <t>გაზის გამათბობელი (მოიხმარს გარედან შემოტანილ აირს)</t>
  </si>
  <si>
    <t xml:space="preserve">ღირებულებაში სატრანსპორტო </t>
  </si>
  <si>
    <t>%</t>
  </si>
  <si>
    <t>პრეტენდენტი:</t>
  </si>
  <si>
    <t xml:space="preserve">1 eqimze gaTvlili სოფლის ამბულატორიის შენობის ჟდანოვაკანი ხარჯთაღრიცხვა #1-2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</si>
</sst>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_([$GEL]\ * #,##0.00_);_([$GEL]\ * \(#,##0.00\);_([$GEL]\ * &quot;-&quot;??_);_(@_)"/>
    <numFmt numFmtId="169" formatCode="_([$$-409]* #,##0.00_);_([$$-409]* \(#,##0.00\);_([$$-409]* &quot;-&quot;??_);_(@_)"/>
    <numFmt numFmtId="170" formatCode="_-[$$-409]* #,##0.00_ ;_-[$$-409]* \-#,##0.00\ ;_-[$$-409]* &quot;-&quot;??_ ;_-@_ "/>
    <numFmt numFmtId="171" formatCode="_-* #,##0\ [$₾-437]_-;\-* #,##0\ [$₾-437]_-;_-* &quot;-&quot;??\ [$₾-437]_-;_-@_-"/>
  </numFmts>
  <fonts count="83" x14ac:knownFonts="1">
    <font>
      <sz val="11"/>
      <name val="Times New Roman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cadNusx"/>
    </font>
    <font>
      <sz val="11"/>
      <name val="AcadNusx"/>
    </font>
    <font>
      <b/>
      <sz val="11"/>
      <name val="AcadNusx"/>
    </font>
    <font>
      <b/>
      <sz val="10"/>
      <name val="AcadNusx"/>
    </font>
    <font>
      <sz val="10"/>
      <name val="Arial"/>
      <family val="2"/>
    </font>
    <font>
      <sz val="9"/>
      <name val="AcadNusx"/>
    </font>
    <font>
      <sz val="11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  <font>
      <b/>
      <sz val="9"/>
      <name val="AcadNusx"/>
    </font>
    <font>
      <i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cadNusx"/>
    </font>
    <font>
      <b/>
      <sz val="8"/>
      <name val="Arial"/>
      <family val="2"/>
    </font>
    <font>
      <sz val="8"/>
      <name val="Arial"/>
      <family val="2"/>
    </font>
    <font>
      <sz val="7"/>
      <name val="AcadNusx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Helv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8"/>
      <name val="AcadNusx"/>
    </font>
    <font>
      <sz val="10"/>
      <name val="Calibri"/>
      <family val="2"/>
    </font>
    <font>
      <sz val="9"/>
      <name val="BalavMtavr"/>
    </font>
    <font>
      <sz val="9"/>
      <name val="Arachveulebrivi Thin"/>
      <family val="2"/>
    </font>
    <font>
      <sz val="11"/>
      <name val="Calibri"/>
      <family val="2"/>
      <charset val="204"/>
    </font>
    <font>
      <b/>
      <sz val="9"/>
      <name val="BalavMtavr"/>
    </font>
    <font>
      <sz val="9"/>
      <name val="Times New Roman"/>
      <family val="1"/>
      <charset val="204"/>
    </font>
    <font>
      <b/>
      <sz val="9"/>
      <name val="Sylfaen"/>
      <family val="1"/>
      <charset val="204"/>
    </font>
    <font>
      <b/>
      <sz val="9"/>
      <name val="Calibri"/>
      <family val="2"/>
      <charset val="204"/>
    </font>
    <font>
      <b/>
      <sz val="10"/>
      <name val="BalavMtavr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8"/>
      <color rgb="FFFF0000"/>
      <name val="AcadNusx"/>
    </font>
    <font>
      <sz val="9"/>
      <color rgb="FFFF0000"/>
      <name val="Arial"/>
      <family val="2"/>
    </font>
    <font>
      <b/>
      <sz val="9"/>
      <color rgb="FFFF0000"/>
      <name val="Arial"/>
      <family val="2"/>
      <charset val="204"/>
    </font>
    <font>
      <sz val="9"/>
      <color rgb="FFFF0000"/>
      <name val="AcadNusx"/>
    </font>
    <font>
      <b/>
      <sz val="9"/>
      <color rgb="FFFF0000"/>
      <name val="AcadNusx"/>
    </font>
    <font>
      <b/>
      <sz val="9"/>
      <color rgb="FFFF0000"/>
      <name val="BalavMtavr"/>
    </font>
    <font>
      <b/>
      <sz val="10"/>
      <color rgb="FFFF0000"/>
      <name val="BalavMtavr"/>
    </font>
    <font>
      <sz val="9"/>
      <name val="Calibri"/>
      <family val="2"/>
      <charset val="204"/>
    </font>
    <font>
      <sz val="10"/>
      <name val="BalavMtavr"/>
    </font>
    <font>
      <b/>
      <sz val="9"/>
      <color rgb="FFFF0000"/>
      <name val="Calibri"/>
      <family val="2"/>
      <charset val="204"/>
    </font>
    <font>
      <sz val="9"/>
      <color rgb="FFFF0000"/>
      <name val="BalavMtavr"/>
    </font>
    <font>
      <sz val="10"/>
      <color rgb="FFFF0000"/>
      <name val="BalavMtavr"/>
    </font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10"/>
      <color rgb="FFFF0000"/>
      <name val="AcadNusx"/>
    </font>
    <font>
      <sz val="9"/>
      <color indexed="10"/>
      <name val="AcadNusx"/>
    </font>
    <font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u/>
      <sz val="9"/>
      <name val="Arial"/>
      <family val="2"/>
      <charset val="204"/>
    </font>
    <font>
      <sz val="9"/>
      <color theme="1"/>
      <name val="AcadNusx"/>
    </font>
    <font>
      <vertAlign val="superscript"/>
      <sz val="9"/>
      <color indexed="8"/>
      <name val="Arial"/>
      <family val="2"/>
      <charset val="204"/>
    </font>
    <font>
      <vertAlign val="subscript"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Sylfae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10"/>
      <color rgb="FFFF0000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sz val="10"/>
      <color theme="1"/>
      <name val="Arial"/>
      <family val="2"/>
      <charset val="204"/>
    </font>
    <font>
      <b/>
      <sz val="16"/>
      <name val="AcadNusx"/>
    </font>
    <font>
      <sz val="10"/>
      <color theme="1"/>
      <name val="Sylfaen"/>
      <family val="1"/>
    </font>
    <font>
      <b/>
      <sz val="10"/>
      <name val="Sylfae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Times New Roman"/>
      <charset val="204"/>
    </font>
    <font>
      <b/>
      <sz val="12"/>
      <name val="Sylfaen"/>
      <family val="1"/>
    </font>
    <font>
      <sz val="16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0" fontId="22" fillId="0" borderId="0"/>
    <xf numFmtId="0" fontId="21" fillId="0" borderId="0"/>
    <xf numFmtId="0" fontId="22" fillId="0" borderId="0"/>
    <xf numFmtId="0" fontId="34" fillId="0" borderId="0"/>
    <xf numFmtId="0" fontId="34" fillId="0" borderId="0"/>
    <xf numFmtId="164" fontId="2" fillId="0" borderId="0" applyFont="0" applyFill="0" applyBorder="0" applyAlignment="0" applyProtection="0"/>
    <xf numFmtId="0" fontId="7" fillId="0" borderId="0"/>
    <xf numFmtId="0" fontId="22" fillId="0" borderId="0"/>
    <xf numFmtId="44" fontId="63" fillId="0" borderId="0" applyFont="0" applyFill="0" applyBorder="0" applyAlignment="0" applyProtection="0"/>
    <xf numFmtId="0" fontId="51" fillId="0" borderId="0"/>
    <xf numFmtId="0" fontId="1" fillId="0" borderId="0"/>
    <xf numFmtId="0" fontId="1" fillId="0" borderId="0"/>
    <xf numFmtId="44" fontId="51" fillId="0" borderId="0" applyFont="0" applyFill="0" applyBorder="0" applyAlignment="0" applyProtection="0"/>
    <xf numFmtId="9" fontId="79" fillId="0" borderId="0" applyFont="0" applyFill="0" applyBorder="0" applyAlignment="0" applyProtection="0"/>
  </cellStyleXfs>
  <cellXfs count="374">
    <xf numFmtId="0" fontId="0" fillId="0" borderId="0" xfId="0"/>
    <xf numFmtId="0" fontId="19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9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9" fontId="2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9" fontId="23" fillId="0" borderId="1" xfId="0" applyNumberFormat="1" applyFont="1" applyBorder="1" applyAlignment="1">
      <alignment horizontal="center" vertical="center"/>
    </xf>
    <xf numFmtId="0" fontId="23" fillId="4" borderId="1" xfId="0" quotePrefix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1" fontId="14" fillId="3" borderId="1" xfId="0" applyNumberFormat="1" applyFont="1" applyFill="1" applyBorder="1" applyAlignment="1">
      <alignment vertical="center" wrapText="1"/>
    </xf>
    <xf numFmtId="0" fontId="35" fillId="0" borderId="0" xfId="0" applyFont="1"/>
    <xf numFmtId="0" fontId="3" fillId="0" borderId="1" xfId="0" applyFont="1" applyBorder="1" applyAlignment="1">
      <alignment horizontal="center" vertical="center"/>
    </xf>
    <xf numFmtId="0" fontId="20" fillId="0" borderId="0" xfId="0" applyFont="1"/>
    <xf numFmtId="1" fontId="2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0" fillId="0" borderId="1" xfId="2" applyNumberFormat="1" applyFont="1" applyBorder="1" applyAlignment="1">
      <alignment horizontal="center" vertical="center" wrapText="1"/>
    </xf>
    <xf numFmtId="2" fontId="23" fillId="0" borderId="1" xfId="7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2" fontId="35" fillId="0" borderId="0" xfId="0" applyNumberFormat="1" applyFont="1"/>
    <xf numFmtId="0" fontId="26" fillId="0" borderId="1" xfId="0" applyFont="1" applyBorder="1" applyAlignment="1">
      <alignment horizontal="left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2" fontId="38" fillId="4" borderId="2" xfId="0" applyNumberFormat="1" applyFont="1" applyFill="1" applyBorder="1" applyAlignment="1">
      <alignment horizontal="center" vertical="center" wrapText="1"/>
    </xf>
    <xf numFmtId="1" fontId="39" fillId="4" borderId="2" xfId="0" applyNumberFormat="1" applyFont="1" applyFill="1" applyBorder="1" applyAlignment="1">
      <alignment horizontal="center" vertical="center" wrapText="1"/>
    </xf>
    <xf numFmtId="1" fontId="39" fillId="4" borderId="2" xfId="0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>
      <alignment horizontal="left" vertical="center" wrapText="1"/>
    </xf>
    <xf numFmtId="9" fontId="23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vertical="center" wrapText="1"/>
    </xf>
    <xf numFmtId="2" fontId="23" fillId="0" borderId="2" xfId="7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 vertical="center" wrapText="1"/>
    </xf>
    <xf numFmtId="0" fontId="30" fillId="4" borderId="1" xfId="0" applyFont="1" applyFill="1" applyBorder="1" applyAlignment="1">
      <alignment vertical="center"/>
    </xf>
    <xf numFmtId="2" fontId="29" fillId="0" borderId="1" xfId="0" applyNumberFormat="1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5" fillId="0" borderId="0" xfId="0" applyNumberFormat="1" applyFont="1"/>
    <xf numFmtId="2" fontId="10" fillId="0" borderId="1" xfId="7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20" fillId="0" borderId="0" xfId="0" applyNumberFormat="1" applyFont="1"/>
    <xf numFmtId="166" fontId="14" fillId="0" borderId="0" xfId="0" applyNumberFormat="1" applyFont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vertical="center" wrapText="1"/>
    </xf>
    <xf numFmtId="166" fontId="1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9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6" fontId="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20" fillId="5" borderId="0" xfId="0" applyFont="1" applyFill="1"/>
    <xf numFmtId="0" fontId="3" fillId="0" borderId="2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wrapText="1"/>
    </xf>
    <xf numFmtId="0" fontId="3" fillId="5" borderId="0" xfId="0" applyFont="1" applyFill="1"/>
    <xf numFmtId="0" fontId="23" fillId="0" borderId="1" xfId="2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10" fillId="0" borderId="1" xfId="2" applyNumberFormat="1" applyFont="1" applyBorder="1" applyAlignment="1">
      <alignment horizontal="right" vertical="center" wrapText="1"/>
    </xf>
    <xf numFmtId="2" fontId="10" fillId="0" borderId="1" xfId="7" applyNumberFormat="1" applyFont="1" applyBorder="1" applyAlignment="1">
      <alignment horizontal="right" vertical="center" wrapText="1"/>
    </xf>
    <xf numFmtId="0" fontId="25" fillId="5" borderId="0" xfId="0" applyFont="1" applyFill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5" borderId="0" xfId="0" applyFont="1" applyFill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2" fillId="5" borderId="0" xfId="0" applyFont="1" applyFill="1"/>
    <xf numFmtId="165" fontId="11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right" vertical="center" wrapText="1"/>
    </xf>
    <xf numFmtId="2" fontId="38" fillId="4" borderId="2" xfId="0" applyNumberFormat="1" applyFont="1" applyFill="1" applyBorder="1" applyAlignment="1">
      <alignment horizontal="right" vertical="center" wrapText="1"/>
    </xf>
    <xf numFmtId="3" fontId="39" fillId="4" borderId="2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 wrapText="1"/>
    </xf>
    <xf numFmtId="2" fontId="38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2" fontId="36" fillId="0" borderId="3" xfId="0" applyNumberFormat="1" applyFont="1" applyBorder="1" applyAlignment="1">
      <alignment horizontal="center" vertical="center" wrapText="1"/>
    </xf>
    <xf numFmtId="166" fontId="10" fillId="0" borderId="3" xfId="2" applyNumberFormat="1" applyFont="1" applyBorder="1" applyAlignment="1">
      <alignment horizontal="center" vertical="center" wrapText="1"/>
    </xf>
    <xf numFmtId="2" fontId="23" fillId="0" borderId="3" xfId="7" applyNumberFormat="1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2" fontId="10" fillId="0" borderId="3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23" fillId="0" borderId="3" xfId="7" applyNumberFormat="1" applyFont="1" applyBorder="1" applyAlignment="1">
      <alignment horizontal="center" vertical="center" wrapText="1"/>
    </xf>
    <xf numFmtId="165" fontId="3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23" fillId="0" borderId="3" xfId="2" applyNumberFormat="1" applyFont="1" applyBorder="1" applyAlignment="1">
      <alignment horizontal="center" vertical="center" wrapText="1"/>
    </xf>
    <xf numFmtId="166" fontId="23" fillId="0" borderId="3" xfId="2" applyNumberFormat="1" applyFont="1" applyBorder="1" applyAlignment="1">
      <alignment horizontal="center" vertical="center" wrapText="1"/>
    </xf>
    <xf numFmtId="2" fontId="23" fillId="0" borderId="1" xfId="2" applyNumberFormat="1" applyFont="1" applyBorder="1" applyAlignment="1">
      <alignment horizontal="center" vertical="center" wrapText="1"/>
    </xf>
    <xf numFmtId="2" fontId="36" fillId="0" borderId="1" xfId="7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2" fontId="23" fillId="0" borderId="7" xfId="7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2" fontId="0" fillId="0" borderId="0" xfId="0" applyNumberFormat="1"/>
    <xf numFmtId="1" fontId="23" fillId="0" borderId="1" xfId="3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2" fontId="54" fillId="0" borderId="1" xfId="0" applyNumberFormat="1" applyFont="1" applyBorder="1" applyAlignment="1">
      <alignment horizontal="center" vertical="center" wrapText="1"/>
    </xf>
    <xf numFmtId="0" fontId="55" fillId="3" borderId="0" xfId="0" applyFont="1" applyFill="1"/>
    <xf numFmtId="0" fontId="49" fillId="0" borderId="7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 wrapText="1"/>
    </xf>
    <xf numFmtId="0" fontId="23" fillId="3" borderId="1" xfId="0" applyFont="1" applyFill="1" applyBorder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2" borderId="0" xfId="0" applyFont="1" applyFill="1"/>
    <xf numFmtId="0" fontId="15" fillId="3" borderId="1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2" fontId="38" fillId="0" borderId="7" xfId="0" applyNumberFormat="1" applyFont="1" applyBorder="1" applyAlignment="1">
      <alignment horizontal="center" vertical="center" wrapText="1"/>
    </xf>
    <xf numFmtId="1" fontId="39" fillId="0" borderId="7" xfId="0" applyNumberFormat="1" applyFont="1" applyBorder="1" applyAlignment="1">
      <alignment horizontal="center" vertical="center" wrapText="1"/>
    </xf>
    <xf numFmtId="1" fontId="39" fillId="0" borderId="7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vertical="center" wrapText="1"/>
    </xf>
    <xf numFmtId="3" fontId="39" fillId="4" borderId="2" xfId="0" applyNumberFormat="1" applyFont="1" applyFill="1" applyBorder="1" applyAlignment="1">
      <alignment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vertical="center" wrapText="1"/>
    </xf>
    <xf numFmtId="9" fontId="23" fillId="0" borderId="3" xfId="0" applyNumberFormat="1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vertical="center" wrapText="1"/>
    </xf>
    <xf numFmtId="9" fontId="23" fillId="0" borderId="5" xfId="0" applyNumberFormat="1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3" fontId="23" fillId="3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1" fontId="10" fillId="3" borderId="1" xfId="0" applyNumberFormat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9" fontId="23" fillId="0" borderId="2" xfId="0" applyNumberFormat="1" applyFont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right" vertical="center" wrapText="1"/>
    </xf>
    <xf numFmtId="9" fontId="23" fillId="4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11" fillId="4" borderId="5" xfId="0" applyNumberFormat="1" applyFont="1" applyFill="1" applyBorder="1" applyAlignment="1">
      <alignment vertical="center" wrapText="1"/>
    </xf>
    <xf numFmtId="1" fontId="11" fillId="4" borderId="6" xfId="0" applyNumberFormat="1" applyFont="1" applyFill="1" applyBorder="1" applyAlignment="1">
      <alignment horizontal="right" vertical="center" wrapText="1"/>
    </xf>
    <xf numFmtId="9" fontId="56" fillId="0" borderId="0" xfId="0" applyNumberFormat="1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57" fillId="0" borderId="2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57" fillId="0" borderId="7" xfId="0" applyFont="1" applyBorder="1" applyAlignment="1">
      <alignment horizontal="left" vertical="center" wrapText="1"/>
    </xf>
    <xf numFmtId="2" fontId="23" fillId="3" borderId="2" xfId="7" applyNumberFormat="1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2" fontId="10" fillId="0" borderId="7" xfId="2" applyNumberFormat="1" applyFont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right" vertical="center" wrapText="1"/>
    </xf>
    <xf numFmtId="17" fontId="62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23" fillId="3" borderId="1" xfId="7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3" fontId="39" fillId="4" borderId="2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2" fontId="25" fillId="0" borderId="0" xfId="0" applyNumberFormat="1" applyFont="1" applyAlignment="1">
      <alignment vertical="center" wrapText="1"/>
    </xf>
    <xf numFmtId="0" fontId="23" fillId="0" borderId="1" xfId="0" quotePrefix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168" fontId="20" fillId="0" borderId="0" xfId="0" applyNumberFormat="1" applyFont="1"/>
    <xf numFmtId="0" fontId="2" fillId="3" borderId="0" xfId="0" applyFont="1" applyFill="1"/>
    <xf numFmtId="0" fontId="64" fillId="0" borderId="0" xfId="0" applyFont="1"/>
    <xf numFmtId="0" fontId="66" fillId="0" borderId="1" xfId="0" quotePrefix="1" applyFont="1" applyBorder="1" applyAlignment="1">
      <alignment horizontal="center" vertical="center" wrapText="1"/>
    </xf>
    <xf numFmtId="0" fontId="67" fillId="0" borderId="1" xfId="0" quotePrefix="1" applyFont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left" vertical="center" wrapText="1"/>
    </xf>
    <xf numFmtId="0" fontId="65" fillId="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0" fontId="20" fillId="0" borderId="0" xfId="0" quotePrefix="1" applyFont="1"/>
    <xf numFmtId="169" fontId="22" fillId="0" borderId="2" xfId="0" quotePrefix="1" applyNumberFormat="1" applyFont="1" applyBorder="1" applyAlignment="1">
      <alignment horizontal="center" vertical="center" wrapText="1"/>
    </xf>
    <xf numFmtId="169" fontId="70" fillId="3" borderId="1" xfId="7" applyNumberFormat="1" applyFont="1" applyFill="1" applyBorder="1" applyAlignment="1">
      <alignment horizontal="right" vertical="center" wrapText="1"/>
    </xf>
    <xf numFmtId="169" fontId="22" fillId="0" borderId="1" xfId="0" quotePrefix="1" applyNumberFormat="1" applyFont="1" applyBorder="1" applyAlignment="1">
      <alignment horizontal="center" vertical="center" wrapText="1"/>
    </xf>
    <xf numFmtId="169" fontId="70" fillId="3" borderId="1" xfId="0" applyNumberFormat="1" applyFont="1" applyFill="1" applyBorder="1" applyAlignment="1">
      <alignment horizontal="right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0" fontId="9" fillId="0" borderId="0" xfId="0" applyNumberFormat="1" applyFont="1" applyAlignment="1">
      <alignment vertical="center" wrapText="1"/>
    </xf>
    <xf numFmtId="170" fontId="20" fillId="0" borderId="0" xfId="0" applyNumberFormat="1" applyFont="1"/>
    <xf numFmtId="0" fontId="72" fillId="3" borderId="1" xfId="0" applyFont="1" applyFill="1" applyBorder="1" applyAlignment="1">
      <alignment horizontal="left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73" fillId="0" borderId="1" xfId="0" quotePrefix="1" applyFont="1" applyBorder="1" applyAlignment="1">
      <alignment horizontal="center" vertical="center" wrapText="1"/>
    </xf>
    <xf numFmtId="171" fontId="20" fillId="3" borderId="0" xfId="10" applyNumberFormat="1" applyFont="1" applyFill="1" applyAlignment="1">
      <alignment horizontal="center" vertical="center"/>
    </xf>
    <xf numFmtId="0" fontId="23" fillId="0" borderId="8" xfId="0" quotePrefix="1" applyFont="1" applyBorder="1" applyAlignment="1">
      <alignment horizontal="center" vertical="center" wrapText="1"/>
    </xf>
    <xf numFmtId="164" fontId="74" fillId="3" borderId="1" xfId="7" applyFont="1" applyFill="1" applyBorder="1" applyAlignment="1">
      <alignment horizontal="left" vertical="center"/>
    </xf>
    <xf numFmtId="164" fontId="74" fillId="3" borderId="1" xfId="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5" fillId="3" borderId="1" xfId="11" applyFont="1" applyFill="1" applyBorder="1" applyAlignment="1">
      <alignment horizontal="left" vertical="center" wrapText="1"/>
    </xf>
    <xf numFmtId="0" fontId="74" fillId="3" borderId="1" xfId="11" applyFont="1" applyFill="1" applyBorder="1" applyAlignment="1">
      <alignment horizontal="center" vertical="center"/>
    </xf>
    <xf numFmtId="0" fontId="22" fillId="0" borderId="8" xfId="0" quotePrefix="1" applyFont="1" applyBorder="1" applyAlignment="1">
      <alignment horizontal="center" vertical="center" wrapText="1"/>
    </xf>
    <xf numFmtId="164" fontId="74" fillId="3" borderId="9" xfId="7" applyFont="1" applyFill="1" applyBorder="1" applyAlignment="1">
      <alignment horizontal="left" vertical="center"/>
    </xf>
    <xf numFmtId="164" fontId="74" fillId="3" borderId="10" xfId="7" applyFont="1" applyFill="1" applyBorder="1" applyAlignment="1">
      <alignment horizontal="left" vertical="center"/>
    </xf>
    <xf numFmtId="0" fontId="75" fillId="3" borderId="1" xfId="0" applyFont="1" applyFill="1" applyBorder="1" applyAlignment="1">
      <alignment vertical="center" wrapText="1"/>
    </xf>
    <xf numFmtId="0" fontId="74" fillId="3" borderId="2" xfId="0" applyFont="1" applyFill="1" applyBorder="1" applyAlignment="1">
      <alignment horizontal="left" vertical="center" wrapText="1"/>
    </xf>
    <xf numFmtId="0" fontId="74" fillId="0" borderId="1" xfId="0" applyFont="1" applyBorder="1" applyAlignment="1">
      <alignment horizontal="center" vertical="center"/>
    </xf>
    <xf numFmtId="0" fontId="74" fillId="3" borderId="11" xfId="0" applyFont="1" applyFill="1" applyBorder="1" applyAlignment="1">
      <alignment horizontal="left" vertical="center" wrapText="1"/>
    </xf>
    <xf numFmtId="0" fontId="75" fillId="3" borderId="11" xfId="0" applyFont="1" applyFill="1" applyBorder="1" applyAlignment="1">
      <alignment horizontal="left" vertical="center" wrapText="1"/>
    </xf>
    <xf numFmtId="0" fontId="74" fillId="3" borderId="1" xfId="7" applyNumberFormat="1" applyFont="1" applyFill="1" applyBorder="1" applyAlignment="1">
      <alignment horizontal="center" vertical="center"/>
    </xf>
    <xf numFmtId="0" fontId="74" fillId="0" borderId="1" xfId="0" quotePrefix="1" applyFont="1" applyBorder="1" applyAlignment="1">
      <alignment horizontal="center" vertical="center" wrapText="1"/>
    </xf>
    <xf numFmtId="0" fontId="76" fillId="3" borderId="1" xfId="0" applyFont="1" applyFill="1" applyBorder="1" applyAlignment="1">
      <alignment horizontal="center" vertical="center" wrapText="1"/>
    </xf>
    <xf numFmtId="0" fontId="77" fillId="3" borderId="1" xfId="0" applyFont="1" applyFill="1" applyBorder="1" applyAlignment="1">
      <alignment horizontal="center" vertical="center" wrapText="1"/>
    </xf>
    <xf numFmtId="0" fontId="74" fillId="3" borderId="1" xfId="0" applyFont="1" applyFill="1" applyBorder="1" applyAlignment="1">
      <alignment horizontal="center" vertical="center" wrapText="1"/>
    </xf>
    <xf numFmtId="2" fontId="74" fillId="3" borderId="1" xfId="10" applyNumberFormat="1" applyFont="1" applyFill="1" applyBorder="1" applyAlignment="1">
      <alignment horizontal="center" vertical="center" wrapText="1"/>
    </xf>
    <xf numFmtId="2" fontId="74" fillId="3" borderId="1" xfId="7" applyNumberFormat="1" applyFont="1" applyFill="1" applyBorder="1" applyAlignment="1">
      <alignment horizontal="center" vertical="center" wrapText="1"/>
    </xf>
    <xf numFmtId="2" fontId="74" fillId="3" borderId="1" xfId="0" applyNumberFormat="1" applyFont="1" applyFill="1" applyBorder="1" applyAlignment="1">
      <alignment horizontal="center" vertical="center" wrapText="1"/>
    </xf>
    <xf numFmtId="2" fontId="74" fillId="3" borderId="1" xfId="7" applyNumberFormat="1" applyFont="1" applyFill="1" applyBorder="1" applyAlignment="1">
      <alignment horizontal="center" vertical="center"/>
    </xf>
    <xf numFmtId="2" fontId="74" fillId="0" borderId="1" xfId="10" quotePrefix="1" applyNumberFormat="1" applyFont="1" applyBorder="1" applyAlignment="1">
      <alignment horizontal="center" vertical="center" wrapText="1"/>
    </xf>
    <xf numFmtId="2" fontId="74" fillId="0" borderId="2" xfId="10" quotePrefix="1" applyNumberFormat="1" applyFont="1" applyBorder="1" applyAlignment="1">
      <alignment horizontal="center" vertical="center" wrapText="1"/>
    </xf>
    <xf numFmtId="2" fontId="78" fillId="0" borderId="1" xfId="10" quotePrefix="1" applyNumberFormat="1" applyFont="1" applyBorder="1" applyAlignment="1">
      <alignment horizontal="center" vertical="center" wrapText="1"/>
    </xf>
    <xf numFmtId="2" fontId="75" fillId="3" borderId="1" xfId="10" applyNumberFormat="1" applyFont="1" applyFill="1" applyBorder="1" applyAlignment="1">
      <alignment horizontal="right" vertical="center" wrapText="1"/>
    </xf>
    <xf numFmtId="2" fontId="75" fillId="3" borderId="1" xfId="10" applyNumberFormat="1" applyFont="1" applyFill="1" applyBorder="1" applyAlignment="1">
      <alignment horizontal="center" vertical="center" wrapText="1"/>
    </xf>
    <xf numFmtId="2" fontId="76" fillId="3" borderId="1" xfId="10" applyNumberFormat="1" applyFont="1" applyFill="1" applyBorder="1" applyAlignment="1">
      <alignment horizontal="right" vertical="center" wrapText="1"/>
    </xf>
    <xf numFmtId="2" fontId="78" fillId="3" borderId="1" xfId="10" applyNumberFormat="1" applyFont="1" applyFill="1" applyBorder="1" applyAlignment="1">
      <alignment horizontal="right" vertical="center" wrapText="1"/>
    </xf>
    <xf numFmtId="2" fontId="76" fillId="3" borderId="1" xfId="0" applyNumberFormat="1" applyFont="1" applyFill="1" applyBorder="1" applyAlignment="1">
      <alignment horizontal="center" vertical="center" wrapText="1"/>
    </xf>
    <xf numFmtId="2" fontId="77" fillId="3" borderId="1" xfId="0" applyNumberFormat="1" applyFont="1" applyFill="1" applyBorder="1" applyAlignment="1">
      <alignment horizontal="right" vertical="center" wrapText="1"/>
    </xf>
    <xf numFmtId="2" fontId="78" fillId="3" borderId="1" xfId="0" applyNumberFormat="1" applyFont="1" applyFill="1" applyBorder="1" applyAlignment="1">
      <alignment horizontal="right" vertical="center" wrapText="1"/>
    </xf>
    <xf numFmtId="2" fontId="74" fillId="3" borderId="1" xfId="1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/>
    </xf>
    <xf numFmtId="9" fontId="74" fillId="3" borderId="1" xfId="15" applyFont="1" applyFill="1" applyBorder="1" applyAlignment="1">
      <alignment horizontal="center" vertical="center" wrapText="1"/>
    </xf>
    <xf numFmtId="2" fontId="78" fillId="3" borderId="1" xfId="0" applyNumberFormat="1" applyFont="1" applyFill="1" applyBorder="1" applyAlignment="1">
      <alignment horizontal="center" vertical="center" wrapText="1"/>
    </xf>
    <xf numFmtId="2" fontId="74" fillId="0" borderId="2" xfId="14" quotePrefix="1" applyNumberFormat="1" applyFont="1" applyBorder="1" applyAlignment="1">
      <alignment horizontal="center" vertical="center" wrapText="1"/>
    </xf>
    <xf numFmtId="2" fontId="75" fillId="3" borderId="1" xfId="14" applyNumberFormat="1" applyFont="1" applyFill="1" applyBorder="1" applyAlignment="1">
      <alignment horizontal="right" vertical="center" wrapText="1"/>
    </xf>
    <xf numFmtId="2" fontId="74" fillId="0" borderId="1" xfId="14" quotePrefix="1" applyNumberFormat="1" applyFont="1" applyBorder="1" applyAlignment="1">
      <alignment horizontal="center" vertical="center" wrapText="1"/>
    </xf>
    <xf numFmtId="164" fontId="74" fillId="3" borderId="1" xfId="7" applyFont="1" applyFill="1" applyBorder="1" applyAlignment="1">
      <alignment horizontal="left" vertical="center" wrapText="1"/>
    </xf>
    <xf numFmtId="0" fontId="6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 vertical="center" wrapText="1"/>
    </xf>
    <xf numFmtId="9" fontId="81" fillId="0" borderId="1" xfId="15" applyFont="1" applyFill="1" applyBorder="1" applyAlignment="1">
      <alignment horizontal="center" vertical="center" wrapText="1"/>
    </xf>
    <xf numFmtId="2" fontId="76" fillId="0" borderId="1" xfId="10" applyNumberFormat="1" applyFont="1" applyFill="1" applyBorder="1" applyAlignment="1">
      <alignment horizontal="right" vertical="center" wrapText="1"/>
    </xf>
    <xf numFmtId="2" fontId="81" fillId="0" borderId="1" xfId="10" applyNumberFormat="1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6">
    <cellStyle name="Comma" xfId="7" builtinId="3"/>
    <cellStyle name="Currency" xfId="10" builtinId="4"/>
    <cellStyle name="Currency 2" xfId="14"/>
    <cellStyle name="Normal" xfId="0" builtinId="0"/>
    <cellStyle name="Normal 16 2" xfId="9"/>
    <cellStyle name="Normal 2" xfId="1"/>
    <cellStyle name="Normal 3" xfId="8"/>
    <cellStyle name="Normal 4" xfId="2"/>
    <cellStyle name="Normal 5" xfId="11"/>
    <cellStyle name="Percent" xfId="15" builtinId="5"/>
    <cellStyle name="Style 1" xfId="3"/>
    <cellStyle name="Обычный 3" xfId="4"/>
    <cellStyle name="Обычный 5" xfId="5"/>
    <cellStyle name="Обычный 5 2" xfId="12"/>
    <cellStyle name="Обычный 6" xfId="6"/>
    <cellStyle name="Обычный 6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30480</xdr:rowOff>
    </xdr:from>
    <xdr:to>
      <xdr:col>1</xdr:col>
      <xdr:colOff>1725432</xdr:colOff>
      <xdr:row>1</xdr:row>
      <xdr:rowOff>352426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0480"/>
          <a:ext cx="1801632" cy="512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87"/>
  <sheetViews>
    <sheetView tabSelected="1" zoomScaleNormal="100" zoomScaleSheetLayoutView="100" workbookViewId="0">
      <selection activeCell="B3" sqref="B3:F3"/>
    </sheetView>
  </sheetViews>
  <sheetFormatPr defaultColWidth="9.140625" defaultRowHeight="15" x14ac:dyDescent="0.25"/>
  <cols>
    <col min="1" max="1" width="5.140625" style="18" customWidth="1"/>
    <col min="2" max="2" width="55.85546875" style="18" customWidth="1"/>
    <col min="3" max="3" width="8.28515625" style="18" customWidth="1"/>
    <col min="4" max="4" width="12.140625" style="20" customWidth="1"/>
    <col min="5" max="5" width="11.5703125" style="20" customWidth="1"/>
    <col min="6" max="6" width="13.7109375" style="20" customWidth="1"/>
    <col min="7" max="7" width="11.42578125" style="20" bestFit="1" customWidth="1"/>
    <col min="8" max="8" width="17" style="20" customWidth="1"/>
    <col min="9" max="9" width="13.7109375" style="18" bestFit="1" customWidth="1"/>
    <col min="10" max="10" width="16.28515625" style="18" bestFit="1" customWidth="1"/>
    <col min="11" max="16384" width="9.140625" style="18"/>
  </cols>
  <sheetData>
    <row r="1" spans="1:10" s="87" customFormat="1" x14ac:dyDescent="0.25">
      <c r="D1" s="114"/>
      <c r="E1" s="114"/>
      <c r="F1" s="114"/>
      <c r="G1" s="114"/>
      <c r="H1" s="114"/>
    </row>
    <row r="2" spans="1:10" s="283" customFormat="1" ht="43.9" customHeight="1" x14ac:dyDescent="0.25">
      <c r="A2" s="352"/>
      <c r="B2" s="352"/>
      <c r="C2" s="352"/>
      <c r="D2" s="352"/>
      <c r="E2" s="352"/>
      <c r="F2" s="352"/>
      <c r="G2" s="352"/>
      <c r="H2" s="352"/>
      <c r="I2" s="303"/>
    </row>
    <row r="3" spans="1:10" s="15" customFormat="1" ht="43.5" customHeight="1" x14ac:dyDescent="0.25">
      <c r="A3" s="356" t="s">
        <v>1</v>
      </c>
      <c r="B3" s="358" t="s">
        <v>674</v>
      </c>
      <c r="C3" s="358"/>
      <c r="D3" s="358"/>
      <c r="E3" s="358"/>
      <c r="F3" s="358"/>
      <c r="G3" s="346"/>
      <c r="H3" s="355"/>
      <c r="I3" s="355"/>
    </row>
    <row r="4" spans="1:10" s="15" customFormat="1" ht="42.75" customHeight="1" x14ac:dyDescent="0.25">
      <c r="A4" s="356"/>
      <c r="B4" s="353" t="s">
        <v>6</v>
      </c>
      <c r="C4" s="357" t="s">
        <v>7</v>
      </c>
      <c r="D4" s="354" t="s">
        <v>8</v>
      </c>
      <c r="E4" s="353" t="s">
        <v>9</v>
      </c>
      <c r="F4" s="353"/>
      <c r="G4" s="353"/>
      <c r="H4" s="353"/>
      <c r="I4" s="353"/>
    </row>
    <row r="5" spans="1:10" s="13" customFormat="1" ht="14.25" customHeight="1" x14ac:dyDescent="0.25">
      <c r="A5" s="356"/>
      <c r="B5" s="353"/>
      <c r="C5" s="357"/>
      <c r="D5" s="354"/>
      <c r="E5" s="353" t="s">
        <v>10</v>
      </c>
      <c r="F5" s="353"/>
      <c r="G5" s="353" t="s">
        <v>11</v>
      </c>
      <c r="H5" s="353"/>
      <c r="I5" s="354" t="s">
        <v>13</v>
      </c>
    </row>
    <row r="6" spans="1:10" s="13" customFormat="1" ht="24.75" customHeight="1" x14ac:dyDescent="0.25">
      <c r="A6" s="278">
        <v>1</v>
      </c>
      <c r="B6" s="353"/>
      <c r="C6" s="357"/>
      <c r="D6" s="354"/>
      <c r="E6" s="345" t="s">
        <v>14</v>
      </c>
      <c r="F6" s="345" t="s">
        <v>15</v>
      </c>
      <c r="G6" s="345" t="s">
        <v>14</v>
      </c>
      <c r="H6" s="345" t="s">
        <v>15</v>
      </c>
      <c r="I6" s="354"/>
    </row>
    <row r="7" spans="1:10" s="13" customFormat="1" ht="27.75" customHeight="1" x14ac:dyDescent="0.25">
      <c r="A7" s="301"/>
      <c r="B7" s="285">
        <v>2</v>
      </c>
      <c r="C7" s="278">
        <v>3</v>
      </c>
      <c r="D7" s="278">
        <v>4</v>
      </c>
      <c r="E7" s="278">
        <v>5</v>
      </c>
      <c r="F7" s="278">
        <v>6</v>
      </c>
      <c r="G7" s="278">
        <v>7</v>
      </c>
      <c r="H7" s="278">
        <v>8</v>
      </c>
      <c r="I7" s="278">
        <v>11</v>
      </c>
      <c r="J7" s="298"/>
    </row>
    <row r="8" spans="1:10" s="13" customFormat="1" ht="24" customHeight="1" x14ac:dyDescent="0.25">
      <c r="A8" s="304">
        <v>1</v>
      </c>
      <c r="B8" s="286" t="s">
        <v>618</v>
      </c>
      <c r="C8" s="278"/>
      <c r="D8" s="281"/>
      <c r="E8" s="292"/>
      <c r="F8" s="293"/>
      <c r="G8" s="294"/>
      <c r="H8" s="293"/>
      <c r="I8" s="295"/>
    </row>
    <row r="9" spans="1:10" s="13" customFormat="1" ht="24" customHeight="1" x14ac:dyDescent="0.25">
      <c r="A9" s="304">
        <v>2</v>
      </c>
      <c r="B9" s="308" t="s">
        <v>617</v>
      </c>
      <c r="C9" s="309" t="s">
        <v>27</v>
      </c>
      <c r="D9" s="322">
        <v>1.8</v>
      </c>
      <c r="E9" s="323">
        <v>2265</v>
      </c>
      <c r="F9" s="324"/>
      <c r="G9" s="323"/>
      <c r="H9" s="324"/>
      <c r="I9" s="325"/>
    </row>
    <row r="10" spans="1:10" s="13" customFormat="1" x14ac:dyDescent="0.25">
      <c r="A10" s="304">
        <v>3</v>
      </c>
      <c r="B10" s="308" t="s">
        <v>615</v>
      </c>
      <c r="C10" s="309" t="s">
        <v>616</v>
      </c>
      <c r="D10" s="322">
        <v>22</v>
      </c>
      <c r="E10" s="325">
        <v>9.67</v>
      </c>
      <c r="F10" s="324"/>
      <c r="G10" s="323"/>
      <c r="H10" s="324"/>
      <c r="I10" s="325"/>
    </row>
    <row r="11" spans="1:10" s="13" customFormat="1" ht="24" customHeight="1" x14ac:dyDescent="0.25">
      <c r="A11" s="304">
        <v>4</v>
      </c>
      <c r="B11" s="305" t="s">
        <v>619</v>
      </c>
      <c r="C11" s="306" t="s">
        <v>19</v>
      </c>
      <c r="D11" s="322">
        <v>20</v>
      </c>
      <c r="E11" s="326">
        <v>11.8</v>
      </c>
      <c r="F11" s="324"/>
      <c r="G11" s="327"/>
      <c r="H11" s="324"/>
      <c r="I11" s="325"/>
    </row>
    <row r="12" spans="1:10" s="13" customFormat="1" ht="24" customHeight="1" x14ac:dyDescent="0.25">
      <c r="A12" s="304">
        <v>5</v>
      </c>
      <c r="B12" s="305" t="s">
        <v>620</v>
      </c>
      <c r="C12" s="306" t="s">
        <v>19</v>
      </c>
      <c r="D12" s="322">
        <v>80</v>
      </c>
      <c r="E12" s="326">
        <v>1.8</v>
      </c>
      <c r="F12" s="324"/>
      <c r="G12" s="327"/>
      <c r="H12" s="324"/>
      <c r="I12" s="325"/>
    </row>
    <row r="13" spans="1:10" s="13" customFormat="1" ht="24" customHeight="1" x14ac:dyDescent="0.25">
      <c r="A13" s="304">
        <v>6</v>
      </c>
      <c r="B13" s="305" t="s">
        <v>621</v>
      </c>
      <c r="C13" s="306" t="s">
        <v>19</v>
      </c>
      <c r="D13" s="322">
        <v>12</v>
      </c>
      <c r="E13" s="326">
        <v>62.1</v>
      </c>
      <c r="F13" s="324"/>
      <c r="G13" s="327"/>
      <c r="H13" s="324"/>
      <c r="I13" s="325"/>
    </row>
    <row r="14" spans="1:10" s="13" customFormat="1" ht="24" customHeight="1" x14ac:dyDescent="0.25">
      <c r="A14" s="304">
        <v>7</v>
      </c>
      <c r="B14" s="305" t="s">
        <v>641</v>
      </c>
      <c r="C14" s="306" t="s">
        <v>624</v>
      </c>
      <c r="D14" s="322">
        <v>31</v>
      </c>
      <c r="E14" s="326">
        <v>17.899999999999999</v>
      </c>
      <c r="F14" s="324"/>
      <c r="G14" s="327"/>
      <c r="H14" s="324"/>
      <c r="I14" s="325"/>
    </row>
    <row r="15" spans="1:10" s="13" customFormat="1" ht="24" customHeight="1" x14ac:dyDescent="0.25">
      <c r="A15" s="304">
        <v>8</v>
      </c>
      <c r="B15" s="305" t="s">
        <v>628</v>
      </c>
      <c r="C15" s="306" t="s">
        <v>624</v>
      </c>
      <c r="D15" s="322">
        <v>4.2</v>
      </c>
      <c r="E15" s="326">
        <v>37.799999999999997</v>
      </c>
      <c r="F15" s="324"/>
      <c r="G15" s="327"/>
      <c r="H15" s="324"/>
      <c r="I15" s="325"/>
    </row>
    <row r="16" spans="1:10" s="13" customFormat="1" ht="24" customHeight="1" x14ac:dyDescent="0.25">
      <c r="A16" s="304"/>
      <c r="B16" s="344" t="s">
        <v>658</v>
      </c>
      <c r="C16" s="306" t="s">
        <v>624</v>
      </c>
      <c r="D16" s="322">
        <v>49</v>
      </c>
      <c r="E16" s="326">
        <v>11.9</v>
      </c>
      <c r="F16" s="324"/>
      <c r="G16" s="343"/>
      <c r="H16" s="324"/>
      <c r="I16" s="325"/>
    </row>
    <row r="17" spans="1:9" s="13" customFormat="1" x14ac:dyDescent="0.25">
      <c r="A17" s="304">
        <v>9</v>
      </c>
      <c r="B17" s="305" t="s">
        <v>657</v>
      </c>
      <c r="C17" s="306" t="s">
        <v>624</v>
      </c>
      <c r="D17" s="322">
        <v>41</v>
      </c>
      <c r="E17" s="326">
        <v>37.9</v>
      </c>
      <c r="F17" s="324"/>
      <c r="G17" s="343"/>
      <c r="H17" s="324"/>
      <c r="I17" s="325"/>
    </row>
    <row r="18" spans="1:9" s="13" customFormat="1" ht="24" customHeight="1" x14ac:dyDescent="0.25">
      <c r="A18" s="304">
        <v>10</v>
      </c>
      <c r="B18" s="305" t="s">
        <v>642</v>
      </c>
      <c r="C18" s="306" t="s">
        <v>624</v>
      </c>
      <c r="D18" s="322">
        <v>68</v>
      </c>
      <c r="E18" s="326">
        <v>37.9</v>
      </c>
      <c r="F18" s="324"/>
      <c r="G18" s="327"/>
      <c r="H18" s="324"/>
      <c r="I18" s="325"/>
    </row>
    <row r="19" spans="1:9" s="13" customFormat="1" ht="24" customHeight="1" x14ac:dyDescent="0.25">
      <c r="A19" s="304">
        <v>11</v>
      </c>
      <c r="B19" s="305" t="s">
        <v>622</v>
      </c>
      <c r="C19" s="306" t="s">
        <v>624</v>
      </c>
      <c r="D19" s="322">
        <v>40</v>
      </c>
      <c r="E19" s="326">
        <v>37.9</v>
      </c>
      <c r="F19" s="324"/>
      <c r="G19" s="327"/>
      <c r="H19" s="324"/>
      <c r="I19" s="325"/>
    </row>
    <row r="20" spans="1:9" s="13" customFormat="1" ht="24" customHeight="1" x14ac:dyDescent="0.25">
      <c r="A20" s="304">
        <v>12</v>
      </c>
      <c r="B20" s="300" t="s">
        <v>614</v>
      </c>
      <c r="C20" s="306" t="s">
        <v>624</v>
      </c>
      <c r="D20" s="319">
        <f>SUM(D16:D19)</f>
        <v>198</v>
      </c>
      <c r="E20" s="327">
        <v>9.65</v>
      </c>
      <c r="F20" s="324"/>
      <c r="G20" s="327"/>
      <c r="H20" s="324"/>
      <c r="I20" s="325"/>
    </row>
    <row r="21" spans="1:9" s="13" customFormat="1" ht="24" customHeight="1" x14ac:dyDescent="0.25">
      <c r="A21" s="304">
        <v>13</v>
      </c>
      <c r="B21" s="305" t="s">
        <v>645</v>
      </c>
      <c r="C21" s="306" t="s">
        <v>624</v>
      </c>
      <c r="D21" s="319">
        <v>10.5</v>
      </c>
      <c r="E21" s="327">
        <v>152.1</v>
      </c>
      <c r="F21" s="324"/>
      <c r="G21" s="327"/>
      <c r="H21" s="324"/>
      <c r="I21" s="325"/>
    </row>
    <row r="22" spans="1:9" s="13" customFormat="1" ht="24" customHeight="1" x14ac:dyDescent="0.25">
      <c r="A22" s="304"/>
      <c r="B22" s="305" t="s">
        <v>646</v>
      </c>
      <c r="C22" s="306" t="s">
        <v>624</v>
      </c>
      <c r="D22" s="319">
        <v>2.2799999999999998</v>
      </c>
      <c r="E22" s="327">
        <v>164.2</v>
      </c>
      <c r="F22" s="324"/>
      <c r="G22" s="327"/>
      <c r="H22" s="324"/>
      <c r="I22" s="325"/>
    </row>
    <row r="23" spans="1:9" s="13" customFormat="1" ht="24" customHeight="1" x14ac:dyDescent="0.25">
      <c r="A23" s="280"/>
      <c r="B23" s="302" t="s">
        <v>21</v>
      </c>
      <c r="C23" s="278"/>
      <c r="D23" s="319"/>
      <c r="E23" s="328"/>
      <c r="F23" s="329"/>
      <c r="G23" s="329"/>
      <c r="H23" s="329"/>
      <c r="I23" s="329"/>
    </row>
    <row r="24" spans="1:9" s="13" customFormat="1" ht="24" customHeight="1" x14ac:dyDescent="0.25">
      <c r="A24" s="310">
        <v>1</v>
      </c>
      <c r="B24" s="286" t="s">
        <v>644</v>
      </c>
      <c r="C24" s="281"/>
      <c r="D24" s="319"/>
      <c r="E24" s="328"/>
      <c r="F24" s="330"/>
      <c r="G24" s="327"/>
      <c r="H24" s="330"/>
      <c r="I24" s="330"/>
    </row>
    <row r="25" spans="1:9" s="13" customFormat="1" x14ac:dyDescent="0.25">
      <c r="A25" s="310">
        <v>2</v>
      </c>
      <c r="B25" s="311" t="s">
        <v>627</v>
      </c>
      <c r="C25" s="306" t="s">
        <v>19</v>
      </c>
      <c r="D25" s="318">
        <v>7</v>
      </c>
      <c r="E25" s="328">
        <v>17.2</v>
      </c>
      <c r="F25" s="331"/>
      <c r="G25" s="327"/>
      <c r="H25" s="331"/>
      <c r="I25" s="331"/>
    </row>
    <row r="26" spans="1:9" s="13" customFormat="1" x14ac:dyDescent="0.25">
      <c r="A26" s="310">
        <v>3</v>
      </c>
      <c r="B26" s="311" t="s">
        <v>659</v>
      </c>
      <c r="C26" s="306" t="s">
        <v>19</v>
      </c>
      <c r="D26" s="318">
        <v>5</v>
      </c>
      <c r="E26" s="328">
        <v>3.7</v>
      </c>
      <c r="F26" s="331"/>
      <c r="G26" s="327"/>
      <c r="H26" s="331"/>
      <c r="I26" s="331"/>
    </row>
    <row r="27" spans="1:9" s="13" customFormat="1" x14ac:dyDescent="0.25">
      <c r="A27" s="310">
        <v>4</v>
      </c>
      <c r="B27" s="311" t="s">
        <v>660</v>
      </c>
      <c r="C27" s="306" t="s">
        <v>19</v>
      </c>
      <c r="D27" s="318">
        <v>3</v>
      </c>
      <c r="E27" s="328">
        <v>3.7</v>
      </c>
      <c r="F27" s="331"/>
      <c r="G27" s="327"/>
      <c r="H27" s="331"/>
      <c r="I27" s="331"/>
    </row>
    <row r="28" spans="1:9" s="13" customFormat="1" x14ac:dyDescent="0.25">
      <c r="A28" s="310">
        <v>5</v>
      </c>
      <c r="B28" s="311" t="s">
        <v>625</v>
      </c>
      <c r="C28" s="306" t="s">
        <v>19</v>
      </c>
      <c r="D28" s="318">
        <v>1</v>
      </c>
      <c r="E28" s="328">
        <v>8.1</v>
      </c>
      <c r="F28" s="331"/>
      <c r="G28" s="327"/>
      <c r="H28" s="331"/>
      <c r="I28" s="331"/>
    </row>
    <row r="29" spans="1:9" s="13" customFormat="1" x14ac:dyDescent="0.25">
      <c r="A29" s="310">
        <v>6</v>
      </c>
      <c r="B29" s="311" t="s">
        <v>661</v>
      </c>
      <c r="C29" s="306" t="s">
        <v>19</v>
      </c>
      <c r="D29" s="318">
        <v>2</v>
      </c>
      <c r="E29" s="328">
        <v>8.1999999999999993</v>
      </c>
      <c r="F29" s="331"/>
      <c r="G29" s="327"/>
      <c r="H29" s="331"/>
      <c r="I29" s="331"/>
    </row>
    <row r="30" spans="1:9" s="13" customFormat="1" x14ac:dyDescent="0.25">
      <c r="A30" s="310">
        <v>7</v>
      </c>
      <c r="B30" s="311" t="s">
        <v>662</v>
      </c>
      <c r="C30" s="306" t="s">
        <v>19</v>
      </c>
      <c r="D30" s="318">
        <v>2</v>
      </c>
      <c r="E30" s="328">
        <v>3.65</v>
      </c>
      <c r="F30" s="331"/>
      <c r="G30" s="327"/>
      <c r="H30" s="331"/>
      <c r="I30" s="331"/>
    </row>
    <row r="31" spans="1:9" s="13" customFormat="1" x14ac:dyDescent="0.25">
      <c r="A31" s="310">
        <v>8</v>
      </c>
      <c r="B31" s="311" t="s">
        <v>663</v>
      </c>
      <c r="C31" s="306" t="s">
        <v>19</v>
      </c>
      <c r="D31" s="318">
        <v>2</v>
      </c>
      <c r="E31" s="328">
        <v>7.3</v>
      </c>
      <c r="F31" s="331"/>
      <c r="G31" s="327"/>
      <c r="H31" s="331"/>
      <c r="I31" s="331"/>
    </row>
    <row r="32" spans="1:9" s="13" customFormat="1" x14ac:dyDescent="0.25">
      <c r="A32" s="310">
        <v>9</v>
      </c>
      <c r="B32" s="311" t="s">
        <v>666</v>
      </c>
      <c r="C32" s="306" t="s">
        <v>623</v>
      </c>
      <c r="D32" s="318">
        <v>62</v>
      </c>
      <c r="E32" s="328">
        <v>1.05</v>
      </c>
      <c r="F32" s="331"/>
      <c r="G32" s="327"/>
      <c r="H32" s="331"/>
      <c r="I32" s="331"/>
    </row>
    <row r="33" spans="1:36" s="13" customFormat="1" x14ac:dyDescent="0.25">
      <c r="A33" s="310">
        <v>10</v>
      </c>
      <c r="B33" s="311" t="s">
        <v>667</v>
      </c>
      <c r="C33" s="306" t="s">
        <v>623</v>
      </c>
      <c r="D33" s="318">
        <v>21</v>
      </c>
      <c r="E33" s="328">
        <v>0.7</v>
      </c>
      <c r="F33" s="331"/>
      <c r="G33" s="327"/>
      <c r="H33" s="331"/>
      <c r="I33" s="331"/>
    </row>
    <row r="34" spans="1:36" s="13" customFormat="1" x14ac:dyDescent="0.25">
      <c r="A34" s="310">
        <v>11</v>
      </c>
      <c r="B34" s="312" t="s">
        <v>626</v>
      </c>
      <c r="C34" s="306" t="s">
        <v>623</v>
      </c>
      <c r="D34" s="318">
        <v>82</v>
      </c>
      <c r="E34" s="328">
        <v>0.75</v>
      </c>
      <c r="F34" s="331"/>
      <c r="G34" s="327"/>
      <c r="H34" s="331"/>
      <c r="I34" s="331"/>
    </row>
    <row r="35" spans="1:36" s="13" customFormat="1" ht="25.5" x14ac:dyDescent="0.25">
      <c r="A35" s="280">
        <v>12</v>
      </c>
      <c r="B35" s="313" t="s">
        <v>668</v>
      </c>
      <c r="C35" s="279" t="s">
        <v>19</v>
      </c>
      <c r="D35" s="319">
        <v>1</v>
      </c>
      <c r="E35" s="328">
        <v>815</v>
      </c>
      <c r="F35" s="331"/>
      <c r="G35" s="327"/>
      <c r="H35" s="331"/>
      <c r="I35" s="331"/>
    </row>
    <row r="36" spans="1:36" s="13" customFormat="1" ht="18.75" customHeight="1" x14ac:dyDescent="0.25">
      <c r="A36" s="280"/>
      <c r="B36" s="289" t="s">
        <v>30</v>
      </c>
      <c r="C36" s="297"/>
      <c r="D36" s="320"/>
      <c r="E36" s="332"/>
      <c r="F36" s="333"/>
      <c r="G36" s="333"/>
      <c r="H36" s="333"/>
      <c r="I36" s="333"/>
    </row>
    <row r="37" spans="1:36" s="36" customFormat="1" ht="24.75" customHeight="1" x14ac:dyDescent="0.2">
      <c r="A37" s="280">
        <v>1</v>
      </c>
      <c r="B37" s="287" t="s">
        <v>647</v>
      </c>
      <c r="C37" s="279"/>
      <c r="D37" s="320"/>
      <c r="E37" s="325"/>
      <c r="F37" s="325"/>
      <c r="G37" s="325"/>
      <c r="H37" s="325"/>
      <c r="I37" s="334"/>
      <c r="J37" s="28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34" customFormat="1" x14ac:dyDescent="0.25">
      <c r="A38" s="280">
        <v>2</v>
      </c>
      <c r="B38" s="314" t="s">
        <v>629</v>
      </c>
      <c r="C38" s="315" t="s">
        <v>623</v>
      </c>
      <c r="D38" s="318">
        <v>12</v>
      </c>
      <c r="E38" s="328">
        <v>1.9</v>
      </c>
      <c r="F38" s="330"/>
      <c r="G38" s="327"/>
      <c r="H38" s="330"/>
      <c r="I38" s="330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34" customFormat="1" x14ac:dyDescent="0.25">
      <c r="A39" s="280">
        <v>3</v>
      </c>
      <c r="B39" s="316" t="s">
        <v>630</v>
      </c>
      <c r="C39" s="315" t="s">
        <v>623</v>
      </c>
      <c r="D39" s="318">
        <v>12</v>
      </c>
      <c r="E39" s="328">
        <v>1.9</v>
      </c>
      <c r="F39" s="330"/>
      <c r="G39" s="325"/>
      <c r="H39" s="330"/>
      <c r="I39" s="330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34" customFormat="1" x14ac:dyDescent="0.25">
      <c r="A40" s="280">
        <v>4</v>
      </c>
      <c r="B40" s="316" t="s">
        <v>631</v>
      </c>
      <c r="C40" s="315" t="s">
        <v>19</v>
      </c>
      <c r="D40" s="318">
        <v>4</v>
      </c>
      <c r="E40" s="328">
        <v>0.45</v>
      </c>
      <c r="F40" s="330"/>
      <c r="G40" s="327"/>
      <c r="H40" s="330"/>
      <c r="I40" s="330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34" customFormat="1" x14ac:dyDescent="0.25">
      <c r="A41" s="280">
        <v>5</v>
      </c>
      <c r="B41" s="317" t="s">
        <v>632</v>
      </c>
      <c r="C41" s="315" t="s">
        <v>19</v>
      </c>
      <c r="D41" s="318">
        <v>11</v>
      </c>
      <c r="E41" s="328">
        <v>0.45</v>
      </c>
      <c r="F41" s="330"/>
      <c r="G41" s="327"/>
      <c r="H41" s="330"/>
      <c r="I41" s="33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34" customFormat="1" x14ac:dyDescent="0.25">
      <c r="A42" s="280">
        <v>6</v>
      </c>
      <c r="B42" s="317" t="s">
        <v>633</v>
      </c>
      <c r="C42" s="315" t="s">
        <v>19</v>
      </c>
      <c r="D42" s="318">
        <v>9</v>
      </c>
      <c r="E42" s="328">
        <v>0.45</v>
      </c>
      <c r="F42" s="330"/>
      <c r="G42" s="327"/>
      <c r="H42" s="330"/>
      <c r="I42" s="330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34" customFormat="1" x14ac:dyDescent="0.25">
      <c r="A43" s="280">
        <v>7</v>
      </c>
      <c r="B43" s="317" t="s">
        <v>634</v>
      </c>
      <c r="C43" s="315" t="s">
        <v>19</v>
      </c>
      <c r="D43" s="318">
        <v>7</v>
      </c>
      <c r="E43" s="328">
        <v>0.45</v>
      </c>
      <c r="F43" s="330"/>
      <c r="G43" s="327"/>
      <c r="H43" s="330"/>
      <c r="I43" s="33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34" customFormat="1" x14ac:dyDescent="0.25">
      <c r="A44" s="280">
        <v>8</v>
      </c>
      <c r="B44" s="317" t="s">
        <v>635</v>
      </c>
      <c r="C44" s="315" t="s">
        <v>19</v>
      </c>
      <c r="D44" s="318">
        <v>8</v>
      </c>
      <c r="E44" s="328">
        <v>8.1</v>
      </c>
      <c r="F44" s="330"/>
      <c r="G44" s="327"/>
      <c r="H44" s="330"/>
      <c r="I44" s="33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34" customFormat="1" x14ac:dyDescent="0.25">
      <c r="A45" s="280">
        <v>9</v>
      </c>
      <c r="B45" s="317" t="s">
        <v>643</v>
      </c>
      <c r="C45" s="315" t="s">
        <v>19</v>
      </c>
      <c r="D45" s="318">
        <v>3</v>
      </c>
      <c r="E45" s="328">
        <v>145</v>
      </c>
      <c r="F45" s="330"/>
      <c r="G45" s="327"/>
      <c r="H45" s="330"/>
      <c r="I45" s="330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34" customFormat="1" x14ac:dyDescent="0.25">
      <c r="A46" s="280">
        <v>10</v>
      </c>
      <c r="B46" s="317" t="s">
        <v>639</v>
      </c>
      <c r="C46" s="315" t="s">
        <v>19</v>
      </c>
      <c r="D46" s="318">
        <v>3</v>
      </c>
      <c r="E46" s="328">
        <v>74</v>
      </c>
      <c r="F46" s="330"/>
      <c r="G46" s="327"/>
      <c r="H46" s="330"/>
      <c r="I46" s="330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34" customFormat="1" x14ac:dyDescent="0.25">
      <c r="A47" s="280">
        <v>11</v>
      </c>
      <c r="B47" s="317" t="s">
        <v>637</v>
      </c>
      <c r="C47" s="315" t="s">
        <v>19</v>
      </c>
      <c r="D47" s="318">
        <v>1</v>
      </c>
      <c r="E47" s="328">
        <v>118</v>
      </c>
      <c r="F47" s="330"/>
      <c r="G47" s="327"/>
      <c r="H47" s="330"/>
      <c r="I47" s="330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34" customFormat="1" x14ac:dyDescent="0.25">
      <c r="A48" s="280">
        <v>12</v>
      </c>
      <c r="B48" s="317" t="s">
        <v>636</v>
      </c>
      <c r="C48" s="315" t="s">
        <v>19</v>
      </c>
      <c r="D48" s="318">
        <v>3</v>
      </c>
      <c r="E48" s="328">
        <v>2.2000000000000002</v>
      </c>
      <c r="F48" s="330"/>
      <c r="G48" s="327"/>
      <c r="H48" s="330"/>
      <c r="I48" s="330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34" customFormat="1" x14ac:dyDescent="0.25">
      <c r="A49" s="280">
        <v>13</v>
      </c>
      <c r="B49" s="317" t="s">
        <v>638</v>
      </c>
      <c r="C49" s="315" t="s">
        <v>19</v>
      </c>
      <c r="D49" s="318">
        <v>1</v>
      </c>
      <c r="E49" s="328">
        <v>2</v>
      </c>
      <c r="F49" s="330"/>
      <c r="G49" s="325"/>
      <c r="H49" s="330"/>
      <c r="I49" s="330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34" customFormat="1" x14ac:dyDescent="0.25">
      <c r="A50" s="280">
        <v>14</v>
      </c>
      <c r="B50" s="317" t="s">
        <v>648</v>
      </c>
      <c r="C50" s="315" t="s">
        <v>649</v>
      </c>
      <c r="D50" s="318">
        <v>1</v>
      </c>
      <c r="E50" s="328">
        <v>165</v>
      </c>
      <c r="F50" s="330"/>
      <c r="G50" s="327"/>
      <c r="H50" s="330"/>
      <c r="I50" s="330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34" customFormat="1" ht="25.5" x14ac:dyDescent="0.25">
      <c r="A51" s="280">
        <v>15</v>
      </c>
      <c r="B51" s="317" t="s">
        <v>669</v>
      </c>
      <c r="C51" s="315" t="s">
        <v>19</v>
      </c>
      <c r="D51" s="318">
        <v>1</v>
      </c>
      <c r="E51" s="328">
        <v>284</v>
      </c>
      <c r="F51" s="330"/>
      <c r="G51" s="327"/>
      <c r="H51" s="330"/>
      <c r="I51" s="330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34" customFormat="1" x14ac:dyDescent="0.25">
      <c r="A52" s="280">
        <v>16</v>
      </c>
      <c r="B52" s="317" t="s">
        <v>670</v>
      </c>
      <c r="C52" s="315" t="s">
        <v>16</v>
      </c>
      <c r="D52" s="318">
        <v>1</v>
      </c>
      <c r="E52" s="328">
        <v>503</v>
      </c>
      <c r="F52" s="330"/>
      <c r="G52" s="327"/>
      <c r="H52" s="330"/>
      <c r="I52" s="330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34" customFormat="1" x14ac:dyDescent="0.25">
      <c r="A53" s="280"/>
      <c r="B53" s="317" t="s">
        <v>640</v>
      </c>
      <c r="C53" s="315" t="s">
        <v>19</v>
      </c>
      <c r="D53" s="318">
        <v>2</v>
      </c>
      <c r="E53" s="328">
        <v>35</v>
      </c>
      <c r="F53" s="330"/>
      <c r="G53" s="325"/>
      <c r="H53" s="330"/>
      <c r="I53" s="330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34" customFormat="1" x14ac:dyDescent="0.25">
      <c r="A54" s="280"/>
      <c r="B54" s="289" t="s">
        <v>33</v>
      </c>
      <c r="C54" s="296"/>
      <c r="D54" s="321"/>
      <c r="E54" s="335"/>
      <c r="F54" s="336"/>
      <c r="G54" s="336"/>
      <c r="H54" s="336"/>
      <c r="I54" s="33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276" customFormat="1" ht="18.75" customHeight="1" x14ac:dyDescent="0.25">
      <c r="A55" s="280">
        <v>1</v>
      </c>
      <c r="B55" s="287" t="s">
        <v>650</v>
      </c>
      <c r="C55" s="296"/>
      <c r="D55" s="321"/>
      <c r="E55" s="335"/>
      <c r="F55" s="336"/>
      <c r="G55" s="336"/>
      <c r="H55" s="336"/>
      <c r="I55" s="336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276" customFormat="1" ht="18.75" customHeight="1" x14ac:dyDescent="0.25">
      <c r="A56" s="280">
        <v>2</v>
      </c>
      <c r="B56" s="317" t="s">
        <v>651</v>
      </c>
      <c r="C56" s="315" t="s">
        <v>32</v>
      </c>
      <c r="D56" s="318">
        <v>23</v>
      </c>
      <c r="E56" s="328">
        <v>17.3</v>
      </c>
      <c r="F56" s="330"/>
      <c r="G56" s="325"/>
      <c r="H56" s="330"/>
      <c r="I56" s="330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276" customFormat="1" ht="18.75" customHeight="1" x14ac:dyDescent="0.25">
      <c r="A57" s="280">
        <v>3</v>
      </c>
      <c r="B57" s="317" t="s">
        <v>652</v>
      </c>
      <c r="C57" s="315" t="s">
        <v>653</v>
      </c>
      <c r="D57" s="318">
        <v>0.4</v>
      </c>
      <c r="E57" s="328">
        <v>1555</v>
      </c>
      <c r="F57" s="330"/>
      <c r="G57" s="325"/>
      <c r="H57" s="330"/>
      <c r="I57" s="330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276" customFormat="1" ht="18.75" customHeight="1" x14ac:dyDescent="0.25">
      <c r="A58" s="280">
        <v>4</v>
      </c>
      <c r="B58" s="317" t="s">
        <v>654</v>
      </c>
      <c r="C58" s="315" t="s">
        <v>32</v>
      </c>
      <c r="D58" s="318">
        <v>11</v>
      </c>
      <c r="E58" s="328">
        <v>127</v>
      </c>
      <c r="F58" s="330"/>
      <c r="G58" s="325"/>
      <c r="H58" s="330"/>
      <c r="I58" s="330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276" customFormat="1" ht="18.75" customHeight="1" x14ac:dyDescent="0.25">
      <c r="A59" s="280">
        <v>5</v>
      </c>
      <c r="B59" s="317" t="s">
        <v>655</v>
      </c>
      <c r="C59" s="315" t="s">
        <v>32</v>
      </c>
      <c r="D59" s="318">
        <v>0.8</v>
      </c>
      <c r="E59" s="328">
        <v>685</v>
      </c>
      <c r="F59" s="330"/>
      <c r="G59" s="325"/>
      <c r="H59" s="330"/>
      <c r="I59" s="330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276" customFormat="1" ht="18.75" customHeight="1" x14ac:dyDescent="0.25">
      <c r="A60" s="280">
        <v>6</v>
      </c>
      <c r="B60" s="317" t="s">
        <v>664</v>
      </c>
      <c r="C60" s="315" t="s">
        <v>19</v>
      </c>
      <c r="D60" s="318">
        <v>1</v>
      </c>
      <c r="E60" s="341">
        <v>1085</v>
      </c>
      <c r="F60" s="342"/>
      <c r="G60" s="325"/>
      <c r="H60" s="342"/>
      <c r="I60" s="342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276" customFormat="1" ht="44.25" customHeight="1" x14ac:dyDescent="0.25">
      <c r="A61" s="280">
        <v>7</v>
      </c>
      <c r="B61" s="317" t="s">
        <v>665</v>
      </c>
      <c r="C61" s="315" t="s">
        <v>19</v>
      </c>
      <c r="D61" s="318">
        <v>1</v>
      </c>
      <c r="E61" s="341">
        <v>2240</v>
      </c>
      <c r="F61" s="342"/>
      <c r="G61" s="325"/>
      <c r="H61" s="342"/>
      <c r="I61" s="342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276" customFormat="1" x14ac:dyDescent="0.25">
      <c r="A62" s="280"/>
      <c r="B62" s="289" t="s">
        <v>75</v>
      </c>
      <c r="C62" s="315"/>
      <c r="D62" s="318"/>
      <c r="E62" s="328"/>
      <c r="F62" s="333"/>
      <c r="G62" s="340"/>
      <c r="H62" s="333"/>
      <c r="I62" s="333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76" customFormat="1" ht="18.75" customHeight="1" x14ac:dyDescent="0.25">
      <c r="A63" s="280"/>
      <c r="B63" s="289" t="s">
        <v>656</v>
      </c>
      <c r="C63" s="290"/>
      <c r="D63" s="322"/>
      <c r="E63" s="337"/>
      <c r="F63" s="332"/>
      <c r="G63" s="332"/>
      <c r="H63" s="332"/>
      <c r="I63" s="332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34" customFormat="1" ht="45" customHeight="1" x14ac:dyDescent="0.25">
      <c r="A64" s="280"/>
      <c r="B64" s="347" t="s">
        <v>671</v>
      </c>
      <c r="C64" s="348"/>
      <c r="D64" s="349"/>
      <c r="E64" s="350"/>
      <c r="F64" s="350"/>
      <c r="G64" s="350"/>
      <c r="H64" s="350"/>
      <c r="I64" s="351"/>
      <c r="J64" s="36"/>
      <c r="K64" s="291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20.100000000000001" customHeight="1" x14ac:dyDescent="0.25">
      <c r="A65" s="280"/>
      <c r="B65" s="289" t="s">
        <v>22</v>
      </c>
      <c r="C65" s="290"/>
      <c r="D65" s="339"/>
      <c r="E65" s="332"/>
      <c r="F65" s="332"/>
      <c r="G65" s="332"/>
      <c r="H65" s="338"/>
      <c r="I65" s="332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s="84" customFormat="1" ht="30.6" customHeight="1" x14ac:dyDescent="0.2">
      <c r="A66" s="280"/>
      <c r="B66" s="288" t="s">
        <v>611</v>
      </c>
      <c r="C66" s="290"/>
      <c r="D66" s="339" t="s">
        <v>672</v>
      </c>
      <c r="E66" s="332"/>
      <c r="F66" s="332"/>
      <c r="G66" s="332"/>
      <c r="H66" s="110"/>
      <c r="I66" s="337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s="84" customFormat="1" ht="20.100000000000001" customHeight="1" x14ac:dyDescent="0.2">
      <c r="A67" s="280"/>
      <c r="B67" s="289" t="s">
        <v>22</v>
      </c>
      <c r="C67" s="290"/>
      <c r="D67" s="339"/>
      <c r="E67" s="332"/>
      <c r="F67" s="332"/>
      <c r="G67" s="332"/>
      <c r="H67" s="332"/>
      <c r="I67" s="332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s="84" customFormat="1" ht="35.450000000000003" customHeight="1" x14ac:dyDescent="0.2">
      <c r="A68" s="280"/>
      <c r="B68" s="288" t="s">
        <v>612</v>
      </c>
      <c r="C68" s="290"/>
      <c r="D68" s="339" t="s">
        <v>672</v>
      </c>
      <c r="E68" s="332"/>
      <c r="F68" s="332"/>
      <c r="G68" s="332"/>
      <c r="H68" s="332"/>
      <c r="I68" s="337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s="84" customFormat="1" ht="20.100000000000001" customHeight="1" x14ac:dyDescent="0.2">
      <c r="A69" s="280"/>
      <c r="B69" s="289" t="s">
        <v>13</v>
      </c>
      <c r="C69" s="290"/>
      <c r="D69" s="339"/>
      <c r="E69" s="332"/>
      <c r="F69" s="332"/>
      <c r="G69" s="332"/>
      <c r="H69" s="332"/>
      <c r="I69" s="332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s="84" customFormat="1" ht="20.100000000000001" customHeight="1" x14ac:dyDescent="0.2">
      <c r="A70" s="280"/>
      <c r="B70" s="288" t="s">
        <v>613</v>
      </c>
      <c r="C70" s="290"/>
      <c r="D70" s="339">
        <v>0.18</v>
      </c>
      <c r="E70" s="332"/>
      <c r="F70" s="332"/>
      <c r="G70" s="332"/>
      <c r="H70" s="332"/>
      <c r="I70" s="337"/>
      <c r="J70" s="282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s="84" customFormat="1" ht="20.100000000000001" customHeight="1" x14ac:dyDescent="0.25">
      <c r="A71"/>
      <c r="B71" s="289" t="s">
        <v>13</v>
      </c>
      <c r="C71" s="290"/>
      <c r="D71" s="339"/>
      <c r="E71" s="332"/>
      <c r="F71" s="332"/>
      <c r="G71" s="332"/>
      <c r="H71" s="332"/>
      <c r="I71" s="332"/>
      <c r="J71" s="282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s="84" customFormat="1" ht="20.100000000000001" customHeight="1" x14ac:dyDescent="0.25">
      <c r="A72" s="18"/>
      <c r="B72"/>
      <c r="C72"/>
      <c r="D72" s="307"/>
      <c r="E72"/>
      <c r="F72"/>
      <c r="G72"/>
      <c r="H72"/>
      <c r="I72"/>
      <c r="J72" s="282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customFormat="1" x14ac:dyDescent="0.25">
      <c r="A73" s="18"/>
      <c r="B73" s="18"/>
      <c r="C73" s="18"/>
      <c r="D73" s="20"/>
      <c r="E73" s="20"/>
      <c r="F73" s="20"/>
      <c r="G73" s="20"/>
      <c r="H73" s="20"/>
      <c r="I73" s="18"/>
      <c r="J73" s="299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x14ac:dyDescent="0.25">
      <c r="B74" s="87" t="s">
        <v>673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x14ac:dyDescent="0.25"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x14ac:dyDescent="0.25"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x14ac:dyDescent="0.25"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x14ac:dyDescent="0.25"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x14ac:dyDescent="0.25"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x14ac:dyDescent="0.25">
      <c r="E80" s="18"/>
      <c r="F80" s="18"/>
      <c r="G80" s="18"/>
      <c r="H80" s="18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5:29" x14ac:dyDescent="0.25">
      <c r="E81" s="18"/>
      <c r="F81" s="18"/>
      <c r="G81" s="18"/>
      <c r="H81" s="18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5:29" x14ac:dyDescent="0.25">
      <c r="E82" s="18"/>
      <c r="F82" s="18"/>
      <c r="G82" s="18"/>
      <c r="H82" s="18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5:29" x14ac:dyDescent="0.25">
      <c r="E83" s="18"/>
      <c r="F83" s="18"/>
      <c r="G83" s="18"/>
      <c r="H83" s="18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5:29" x14ac:dyDescent="0.25">
      <c r="E84" s="18"/>
      <c r="F84" s="18"/>
      <c r="G84" s="18"/>
      <c r="H84" s="18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5:29" x14ac:dyDescent="0.25">
      <c r="E85" s="18"/>
      <c r="F85" s="18"/>
      <c r="G85" s="18"/>
      <c r="H85" s="18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5:29" x14ac:dyDescent="0.25">
      <c r="E86" s="18"/>
      <c r="F86" s="18"/>
      <c r="G86" s="18"/>
      <c r="H86" s="18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5:29" x14ac:dyDescent="0.25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</sheetData>
  <mergeCells count="11">
    <mergeCell ref="A2:H2"/>
    <mergeCell ref="E5:F5"/>
    <mergeCell ref="G5:H5"/>
    <mergeCell ref="I5:I6"/>
    <mergeCell ref="H3:I3"/>
    <mergeCell ref="A3:A5"/>
    <mergeCell ref="B4:B6"/>
    <mergeCell ref="C4:C6"/>
    <mergeCell ref="D4:D6"/>
    <mergeCell ref="E4:I4"/>
    <mergeCell ref="B3:F3"/>
  </mergeCells>
  <printOptions horizontalCentered="1"/>
  <pageMargins left="0.7" right="0.7" top="0.7" bottom="0.7" header="0.23622047244094499" footer="0.196850393700787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88"/>
  <sheetViews>
    <sheetView topLeftCell="A256" workbookViewId="0">
      <selection activeCell="R268" sqref="R268"/>
    </sheetView>
  </sheetViews>
  <sheetFormatPr defaultColWidth="9.140625" defaultRowHeight="15" x14ac:dyDescent="0.25"/>
  <cols>
    <col min="1" max="1" width="5.140625" style="87" customWidth="1"/>
    <col min="2" max="2" width="11" style="19" customWidth="1"/>
    <col min="3" max="3" width="46.140625" style="87" customWidth="1"/>
    <col min="4" max="4" width="8.28515625" style="87" customWidth="1"/>
    <col min="5" max="5" width="7.7109375" style="87" customWidth="1"/>
    <col min="6" max="6" width="7.42578125" style="87" customWidth="1"/>
    <col min="7" max="7" width="7.42578125" style="114" customWidth="1"/>
    <col min="8" max="8" width="8.42578125" style="114" customWidth="1"/>
    <col min="9" max="9" width="7.42578125" style="114" customWidth="1"/>
    <col min="10" max="10" width="8.7109375" style="114" customWidth="1"/>
    <col min="11" max="11" width="7.42578125" style="114" customWidth="1"/>
    <col min="12" max="12" width="8.140625" style="114" customWidth="1"/>
    <col min="13" max="13" width="9.42578125" style="87" customWidth="1"/>
    <col min="14" max="14" width="11.42578125" style="87" bestFit="1" customWidth="1"/>
    <col min="15" max="17" width="9.140625" style="87"/>
    <col min="18" max="18" width="11.42578125" style="87" bestFit="1" customWidth="1"/>
    <col min="19" max="16384" width="9.140625" style="87"/>
  </cols>
  <sheetData>
    <row r="1" spans="1:15" s="106" customFormat="1" x14ac:dyDescent="0.25">
      <c r="A1" s="359" t="s">
        <v>96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5" s="106" customForma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s="106" customFormat="1" ht="15.75" x14ac:dyDescent="0.25">
      <c r="A3" s="10"/>
      <c r="B3" s="122"/>
      <c r="C3" s="10"/>
      <c r="D3" s="10"/>
      <c r="E3" s="10"/>
      <c r="F3" s="10"/>
      <c r="G3" s="11"/>
      <c r="H3" s="11"/>
      <c r="I3" s="11"/>
      <c r="J3" s="11"/>
      <c r="K3" s="11"/>
      <c r="L3" s="11"/>
      <c r="M3" s="10"/>
    </row>
    <row r="4" spans="1:15" s="12" customFormat="1" x14ac:dyDescent="0.25">
      <c r="A4" s="360" t="s">
        <v>95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5" s="12" customFormat="1" x14ac:dyDescent="0.25">
      <c r="A5" s="360" t="s">
        <v>97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5" s="12" customFormat="1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5" s="12" customFormat="1" ht="15.75" x14ac:dyDescent="0.2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</row>
    <row r="8" spans="1:15" s="15" customFormat="1" ht="12.75" x14ac:dyDescent="0.25">
      <c r="A8" s="362" t="s">
        <v>98</v>
      </c>
      <c r="B8" s="362"/>
      <c r="C8" s="362"/>
      <c r="D8" s="362"/>
      <c r="E8" s="362"/>
      <c r="F8" s="362"/>
      <c r="G8" s="362"/>
      <c r="H8" s="14"/>
      <c r="J8" s="98">
        <f>M563/1000</f>
        <v>118.88735845920033</v>
      </c>
      <c r="K8" s="363" t="s">
        <v>35</v>
      </c>
      <c r="L8" s="363"/>
      <c r="M8" s="363"/>
    </row>
    <row r="9" spans="1:15" s="106" customFormat="1" x14ac:dyDescent="0.25">
      <c r="A9" s="362" t="s">
        <v>90</v>
      </c>
      <c r="B9" s="367"/>
      <c r="C9" s="367"/>
      <c r="D9" s="367"/>
      <c r="E9" s="367"/>
      <c r="F9" s="367"/>
      <c r="G9" s="367"/>
      <c r="H9" s="367"/>
      <c r="I9" s="107"/>
      <c r="J9" s="368" t="s">
        <v>5</v>
      </c>
      <c r="K9" s="368"/>
      <c r="L9" s="368"/>
      <c r="M9" s="368"/>
    </row>
    <row r="10" spans="1:15" s="106" customFormat="1" x14ac:dyDescent="0.25">
      <c r="A10" s="364" t="s">
        <v>1</v>
      </c>
      <c r="B10" s="369" t="s">
        <v>262</v>
      </c>
      <c r="C10" s="364" t="s">
        <v>6</v>
      </c>
      <c r="D10" s="370" t="s">
        <v>7</v>
      </c>
      <c r="E10" s="365" t="s">
        <v>263</v>
      </c>
      <c r="F10" s="366" t="s">
        <v>8</v>
      </c>
      <c r="G10" s="364" t="s">
        <v>9</v>
      </c>
      <c r="H10" s="364"/>
      <c r="I10" s="364"/>
      <c r="J10" s="364"/>
      <c r="K10" s="364"/>
      <c r="L10" s="364"/>
      <c r="M10" s="364"/>
      <c r="N10" s="108"/>
    </row>
    <row r="11" spans="1:15" s="106" customFormat="1" ht="20.25" customHeight="1" x14ac:dyDescent="0.25">
      <c r="A11" s="364"/>
      <c r="B11" s="369"/>
      <c r="C11" s="364"/>
      <c r="D11" s="370"/>
      <c r="E11" s="365"/>
      <c r="F11" s="366"/>
      <c r="G11" s="364" t="s">
        <v>10</v>
      </c>
      <c r="H11" s="364"/>
      <c r="I11" s="364" t="s">
        <v>11</v>
      </c>
      <c r="J11" s="364"/>
      <c r="K11" s="365" t="s">
        <v>12</v>
      </c>
      <c r="L11" s="365"/>
      <c r="M11" s="366" t="s">
        <v>13</v>
      </c>
      <c r="N11" s="108"/>
    </row>
    <row r="12" spans="1:15" s="106" customFormat="1" x14ac:dyDescent="0.25">
      <c r="A12" s="364"/>
      <c r="B12" s="369"/>
      <c r="C12" s="364"/>
      <c r="D12" s="370"/>
      <c r="E12" s="365"/>
      <c r="F12" s="366"/>
      <c r="G12" s="124" t="s">
        <v>14</v>
      </c>
      <c r="H12" s="124" t="s">
        <v>15</v>
      </c>
      <c r="I12" s="124" t="s">
        <v>14</v>
      </c>
      <c r="J12" s="124" t="s">
        <v>15</v>
      </c>
      <c r="K12" s="124" t="s">
        <v>14</v>
      </c>
      <c r="L12" s="124" t="s">
        <v>15</v>
      </c>
      <c r="M12" s="366"/>
      <c r="N12" s="108"/>
    </row>
    <row r="13" spans="1:15" s="2" customFormat="1" ht="12" x14ac:dyDescent="0.25">
      <c r="A13" s="26" t="s">
        <v>264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1"/>
    </row>
    <row r="14" spans="1:15" s="36" customFormat="1" ht="14.25" x14ac:dyDescent="0.2">
      <c r="A14" s="21"/>
      <c r="B14" s="126"/>
      <c r="C14" s="77" t="s">
        <v>99</v>
      </c>
      <c r="D14" s="35"/>
      <c r="E14" s="16"/>
      <c r="F14" s="127"/>
      <c r="G14" s="128"/>
      <c r="H14" s="128"/>
      <c r="I14" s="128"/>
      <c r="J14" s="128"/>
      <c r="K14" s="128"/>
      <c r="L14" s="128"/>
      <c r="M14" s="129"/>
      <c r="O14" s="130"/>
    </row>
    <row r="15" spans="1:15" s="36" customFormat="1" ht="24" x14ac:dyDescent="0.2">
      <c r="A15" s="21">
        <v>1</v>
      </c>
      <c r="B15" s="131" t="s">
        <v>265</v>
      </c>
      <c r="C15" s="65" t="s">
        <v>179</v>
      </c>
      <c r="D15" s="79" t="s">
        <v>17</v>
      </c>
      <c r="E15" s="16"/>
      <c r="F15" s="132">
        <v>658</v>
      </c>
      <c r="G15" s="133">
        <f>H15/F15</f>
        <v>0</v>
      </c>
      <c r="H15" s="133">
        <f>SUM(H16:H18)</f>
        <v>0</v>
      </c>
      <c r="I15" s="133">
        <f>J15/F15</f>
        <v>0.79999999999999993</v>
      </c>
      <c r="J15" s="133">
        <f>SUM(J16:J18)</f>
        <v>526.4</v>
      </c>
      <c r="K15" s="133">
        <f>L15/F15</f>
        <v>0</v>
      </c>
      <c r="L15" s="133">
        <f>SUM(L16:L18)</f>
        <v>0</v>
      </c>
      <c r="M15" s="132">
        <f>H15+J15+L15</f>
        <v>526.4</v>
      </c>
      <c r="O15" s="130"/>
    </row>
    <row r="16" spans="1:15" s="19" customFormat="1" ht="13.5" x14ac:dyDescent="0.25">
      <c r="A16" s="37"/>
      <c r="B16" s="134"/>
      <c r="C16" s="135" t="s">
        <v>266</v>
      </c>
      <c r="D16" s="136"/>
      <c r="E16" s="38"/>
      <c r="F16" s="137"/>
      <c r="G16" s="43"/>
      <c r="H16" s="43"/>
      <c r="I16" s="43"/>
      <c r="J16" s="43"/>
      <c r="K16" s="43"/>
      <c r="L16" s="138"/>
      <c r="M16" s="137"/>
      <c r="O16" s="139"/>
    </row>
    <row r="17" spans="1:15" s="44" customFormat="1" ht="12.75" x14ac:dyDescent="0.25">
      <c r="A17" s="140"/>
      <c r="B17" s="141"/>
      <c r="C17" s="142" t="s">
        <v>267</v>
      </c>
      <c r="D17" s="67" t="s">
        <v>268</v>
      </c>
      <c r="E17" s="38">
        <f>20/100</f>
        <v>0.2</v>
      </c>
      <c r="F17" s="143">
        <f>E17*F15</f>
        <v>131.6</v>
      </c>
      <c r="G17" s="144">
        <v>0</v>
      </c>
      <c r="H17" s="144">
        <f>F17*G17</f>
        <v>0</v>
      </c>
      <c r="I17" s="144">
        <f>3.2*1.25</f>
        <v>4</v>
      </c>
      <c r="J17" s="144">
        <f>F17*I17</f>
        <v>526.4</v>
      </c>
      <c r="K17" s="43">
        <v>0</v>
      </c>
      <c r="L17" s="43">
        <f>F17*K17</f>
        <v>0</v>
      </c>
      <c r="M17" s="43">
        <f>H17+J17+L17</f>
        <v>526.4</v>
      </c>
      <c r="O17" s="145"/>
    </row>
    <row r="18" spans="1:15" s="146" customFormat="1" x14ac:dyDescent="0.25">
      <c r="A18" s="45"/>
      <c r="B18" s="85"/>
      <c r="C18" s="142" t="s">
        <v>269</v>
      </c>
      <c r="D18" s="67" t="s">
        <v>18</v>
      </c>
      <c r="E18" s="38">
        <v>0</v>
      </c>
      <c r="F18" s="43">
        <f>F15*E18</f>
        <v>0</v>
      </c>
      <c r="G18" s="144">
        <v>0</v>
      </c>
      <c r="H18" s="144">
        <f>F18*G18</f>
        <v>0</v>
      </c>
      <c r="I18" s="144">
        <v>0</v>
      </c>
      <c r="J18" s="144">
        <f>F18*I18</f>
        <v>0</v>
      </c>
      <c r="K18" s="43">
        <v>3.2</v>
      </c>
      <c r="L18" s="43">
        <f>F18*K18</f>
        <v>0</v>
      </c>
      <c r="M18" s="43">
        <f>H18+J18+L18</f>
        <v>0</v>
      </c>
      <c r="O18" s="147"/>
    </row>
    <row r="19" spans="1:15" ht="15.75" thickBot="1" x14ac:dyDescent="0.3">
      <c r="A19" s="148"/>
      <c r="B19" s="149"/>
      <c r="C19" s="149"/>
      <c r="D19" s="150"/>
      <c r="E19" s="151"/>
      <c r="F19" s="152"/>
      <c r="G19" s="152"/>
      <c r="H19" s="152"/>
      <c r="I19" s="152"/>
      <c r="J19" s="152"/>
      <c r="K19" s="152"/>
      <c r="L19" s="152"/>
      <c r="M19" s="152"/>
      <c r="O19" s="153"/>
    </row>
    <row r="20" spans="1:15" s="36" customFormat="1" ht="24" x14ac:dyDescent="0.2">
      <c r="A20" s="21">
        <v>2</v>
      </c>
      <c r="B20" s="131" t="s">
        <v>265</v>
      </c>
      <c r="C20" s="65" t="s">
        <v>610</v>
      </c>
      <c r="D20" s="79" t="s">
        <v>17</v>
      </c>
      <c r="E20" s="16"/>
      <c r="F20" s="137">
        <f>112</f>
        <v>112</v>
      </c>
      <c r="G20" s="133">
        <f>H20/F20</f>
        <v>0</v>
      </c>
      <c r="H20" s="133">
        <f>SUM(H21:H23)</f>
        <v>0</v>
      </c>
      <c r="I20" s="133">
        <f>J20/F20</f>
        <v>1.5519999999999998</v>
      </c>
      <c r="J20" s="133">
        <f>SUM(J21:J23)</f>
        <v>173.82399999999998</v>
      </c>
      <c r="K20" s="133">
        <f>L20/F20</f>
        <v>0</v>
      </c>
      <c r="L20" s="133">
        <f>SUM(L21:L23)</f>
        <v>0</v>
      </c>
      <c r="M20" s="132">
        <f>H20+J20+L20</f>
        <v>173.82399999999998</v>
      </c>
      <c r="O20" s="130"/>
    </row>
    <row r="21" spans="1:15" s="19" customFormat="1" ht="13.5" x14ac:dyDescent="0.25">
      <c r="A21" s="37"/>
      <c r="B21" s="134"/>
      <c r="C21" s="135" t="s">
        <v>266</v>
      </c>
      <c r="D21" s="136"/>
      <c r="E21" s="38"/>
      <c r="F21" s="137"/>
      <c r="G21" s="43"/>
      <c r="H21" s="43"/>
      <c r="I21" s="43"/>
      <c r="J21" s="43"/>
      <c r="K21" s="43"/>
      <c r="L21" s="138"/>
      <c r="M21" s="137"/>
      <c r="O21" s="139"/>
    </row>
    <row r="22" spans="1:15" s="44" customFormat="1" ht="12.75" x14ac:dyDescent="0.25">
      <c r="A22" s="140"/>
      <c r="B22" s="141"/>
      <c r="C22" s="142" t="s">
        <v>267</v>
      </c>
      <c r="D22" s="67" t="s">
        <v>268</v>
      </c>
      <c r="E22" s="38">
        <f>38.8/100</f>
        <v>0.38799999999999996</v>
      </c>
      <c r="F22" s="143">
        <f>E22*F20</f>
        <v>43.455999999999996</v>
      </c>
      <c r="G22" s="144">
        <v>0</v>
      </c>
      <c r="H22" s="144">
        <f>F22*G22</f>
        <v>0</v>
      </c>
      <c r="I22" s="144">
        <f>3.2*1.25</f>
        <v>4</v>
      </c>
      <c r="J22" s="144">
        <f>F22*I22</f>
        <v>173.82399999999998</v>
      </c>
      <c r="K22" s="43">
        <v>0</v>
      </c>
      <c r="L22" s="43">
        <f>F22*K22</f>
        <v>0</v>
      </c>
      <c r="M22" s="43">
        <f>H22+J22+L22</f>
        <v>173.82399999999998</v>
      </c>
      <c r="O22" s="145"/>
    </row>
    <row r="23" spans="1:15" s="146" customFormat="1" x14ac:dyDescent="0.25">
      <c r="A23" s="45"/>
      <c r="B23" s="85"/>
      <c r="C23" s="142" t="s">
        <v>269</v>
      </c>
      <c r="D23" s="67" t="s">
        <v>18</v>
      </c>
      <c r="E23" s="38">
        <v>0</v>
      </c>
      <c r="F23" s="43">
        <f>F20*E23</f>
        <v>0</v>
      </c>
      <c r="G23" s="144">
        <v>0</v>
      </c>
      <c r="H23" s="144">
        <f>F23*G23</f>
        <v>0</v>
      </c>
      <c r="I23" s="144">
        <v>0</v>
      </c>
      <c r="J23" s="144">
        <f>F23*I23</f>
        <v>0</v>
      </c>
      <c r="K23" s="43">
        <v>3.2</v>
      </c>
      <c r="L23" s="43">
        <f>F23*K23</f>
        <v>0</v>
      </c>
      <c r="M23" s="43">
        <f>H23+J23+L23</f>
        <v>0</v>
      </c>
      <c r="O23" s="147"/>
    </row>
    <row r="24" spans="1:15" ht="15.75" thickBot="1" x14ac:dyDescent="0.3">
      <c r="A24" s="148"/>
      <c r="B24" s="149"/>
      <c r="C24" s="149"/>
      <c r="D24" s="150"/>
      <c r="E24" s="151"/>
      <c r="F24" s="152"/>
      <c r="G24" s="152"/>
      <c r="H24" s="152"/>
      <c r="I24" s="152"/>
      <c r="J24" s="152"/>
      <c r="K24" s="152"/>
      <c r="L24" s="152"/>
      <c r="M24" s="152"/>
      <c r="O24" s="153"/>
    </row>
    <row r="25" spans="1:15" s="36" customFormat="1" ht="24" x14ac:dyDescent="0.2">
      <c r="A25" s="21">
        <v>3</v>
      </c>
      <c r="B25" s="131" t="s">
        <v>270</v>
      </c>
      <c r="C25" s="65" t="s">
        <v>227</v>
      </c>
      <c r="D25" s="79" t="s">
        <v>17</v>
      </c>
      <c r="E25" s="16"/>
      <c r="F25" s="154">
        <f>770</f>
        <v>770</v>
      </c>
      <c r="G25" s="133">
        <f>H25/F25</f>
        <v>0</v>
      </c>
      <c r="H25" s="133">
        <f>SUM(H26:H28)</f>
        <v>0</v>
      </c>
      <c r="I25" s="133">
        <f>J25/F25</f>
        <v>0.79191299999999987</v>
      </c>
      <c r="J25" s="133">
        <f>SUM(J26:J28)</f>
        <v>609.77300999999989</v>
      </c>
      <c r="K25" s="133">
        <f>L25/F25</f>
        <v>3.2840319999999999E-2</v>
      </c>
      <c r="L25" s="133">
        <f>SUM(L26:L28)</f>
        <v>25.287046400000001</v>
      </c>
      <c r="M25" s="132">
        <f>H25+J25+L25</f>
        <v>635.06005639999989</v>
      </c>
      <c r="O25" s="130"/>
    </row>
    <row r="26" spans="1:15" s="19" customFormat="1" ht="13.5" x14ac:dyDescent="0.25">
      <c r="A26" s="37"/>
      <c r="B26" s="134"/>
      <c r="C26" s="135" t="s">
        <v>266</v>
      </c>
      <c r="D26" s="136"/>
      <c r="E26" s="38"/>
      <c r="F26" s="137"/>
      <c r="G26" s="43"/>
      <c r="H26" s="43"/>
      <c r="I26" s="43"/>
      <c r="J26" s="43"/>
      <c r="K26" s="43"/>
      <c r="L26" s="138"/>
      <c r="M26" s="137"/>
      <c r="O26" s="139"/>
    </row>
    <row r="27" spans="1:15" s="44" customFormat="1" ht="12.75" x14ac:dyDescent="0.25">
      <c r="A27" s="140"/>
      <c r="B27" s="141"/>
      <c r="C27" s="142" t="s">
        <v>271</v>
      </c>
      <c r="D27" s="67" t="s">
        <v>268</v>
      </c>
      <c r="E27" s="155">
        <f>E419*0.3</f>
        <v>0.19797824999999997</v>
      </c>
      <c r="F27" s="143">
        <f>E27*F25</f>
        <v>152.44325249999997</v>
      </c>
      <c r="G27" s="144">
        <v>0</v>
      </c>
      <c r="H27" s="144">
        <f>F27*G27</f>
        <v>0</v>
      </c>
      <c r="I27" s="144">
        <f>3.2*1.25</f>
        <v>4</v>
      </c>
      <c r="J27" s="144">
        <f>F27*I27</f>
        <v>609.77300999999989</v>
      </c>
      <c r="K27" s="43">
        <v>0</v>
      </c>
      <c r="L27" s="43">
        <f>F27*K27</f>
        <v>0</v>
      </c>
      <c r="M27" s="43">
        <f>H27+J27+L27</f>
        <v>609.77300999999989</v>
      </c>
      <c r="O27" s="145"/>
    </row>
    <row r="28" spans="1:15" s="146" customFormat="1" x14ac:dyDescent="0.25">
      <c r="A28" s="45"/>
      <c r="B28" s="85"/>
      <c r="C28" s="142" t="s">
        <v>272</v>
      </c>
      <c r="D28" s="67" t="s">
        <v>18</v>
      </c>
      <c r="E28" s="155">
        <f>E420*0.4</f>
        <v>1.02626E-2</v>
      </c>
      <c r="F28" s="43">
        <f>F25*E28</f>
        <v>7.9022019999999999</v>
      </c>
      <c r="G28" s="144">
        <v>0</v>
      </c>
      <c r="H28" s="144">
        <f>F28*G28</f>
        <v>0</v>
      </c>
      <c r="I28" s="144">
        <v>0</v>
      </c>
      <c r="J28" s="144">
        <f>F28*I28</f>
        <v>0</v>
      </c>
      <c r="K28" s="43">
        <v>3.2</v>
      </c>
      <c r="L28" s="43">
        <f>F28*K28</f>
        <v>25.287046400000001</v>
      </c>
      <c r="M28" s="43">
        <f>H28+J28+L28</f>
        <v>25.287046400000001</v>
      </c>
      <c r="O28" s="147"/>
    </row>
    <row r="29" spans="1:15" ht="15.75" thickBot="1" x14ac:dyDescent="0.3">
      <c r="A29" s="148"/>
      <c r="B29" s="149"/>
      <c r="C29" s="149"/>
      <c r="D29" s="150"/>
      <c r="E29" s="151"/>
      <c r="F29" s="152"/>
      <c r="G29" s="152"/>
      <c r="H29" s="152"/>
      <c r="I29" s="152"/>
      <c r="J29" s="152"/>
      <c r="K29" s="152"/>
      <c r="L29" s="152"/>
      <c r="M29" s="152"/>
      <c r="O29" s="153"/>
    </row>
    <row r="30" spans="1:15" s="36" customFormat="1" ht="24" x14ac:dyDescent="0.2">
      <c r="A30" s="21">
        <v>4</v>
      </c>
      <c r="B30" s="131" t="s">
        <v>273</v>
      </c>
      <c r="C30" s="65" t="s">
        <v>178</v>
      </c>
      <c r="D30" s="79" t="s">
        <v>32</v>
      </c>
      <c r="E30" s="16"/>
      <c r="F30" s="154">
        <v>21.2</v>
      </c>
      <c r="G30" s="133">
        <f>H30/F30</f>
        <v>0</v>
      </c>
      <c r="H30" s="133">
        <f>SUM(H31:H33)</f>
        <v>0</v>
      </c>
      <c r="I30" s="133">
        <f>J30/F30</f>
        <v>5.7280000000000006</v>
      </c>
      <c r="J30" s="133">
        <f>SUM(J31:J33)</f>
        <v>121.43360000000001</v>
      </c>
      <c r="K30" s="133">
        <f>L30/F30</f>
        <v>1.3824000000000003</v>
      </c>
      <c r="L30" s="133">
        <f>SUM(L31:L33)</f>
        <v>29.306880000000003</v>
      </c>
      <c r="M30" s="132">
        <f>H30+J30+L30</f>
        <v>150.74048000000002</v>
      </c>
      <c r="O30" s="130"/>
    </row>
    <row r="31" spans="1:15" s="19" customFormat="1" ht="13.5" x14ac:dyDescent="0.25">
      <c r="A31" s="37"/>
      <c r="B31" s="134"/>
      <c r="C31" s="135" t="s">
        <v>266</v>
      </c>
      <c r="D31" s="136"/>
      <c r="E31" s="38"/>
      <c r="F31" s="137"/>
      <c r="G31" s="43"/>
      <c r="H31" s="43"/>
      <c r="I31" s="43"/>
      <c r="J31" s="43"/>
      <c r="K31" s="43"/>
      <c r="L31" s="138"/>
      <c r="M31" s="137"/>
      <c r="O31" s="139"/>
    </row>
    <row r="32" spans="1:15" s="44" customFormat="1" ht="12.75" x14ac:dyDescent="0.25">
      <c r="A32" s="140"/>
      <c r="B32" s="141"/>
      <c r="C32" s="142" t="s">
        <v>274</v>
      </c>
      <c r="D32" s="67" t="s">
        <v>268</v>
      </c>
      <c r="E32" s="38">
        <f>3.58*0.4</f>
        <v>1.4320000000000002</v>
      </c>
      <c r="F32" s="143">
        <f>E32*F30</f>
        <v>30.358400000000003</v>
      </c>
      <c r="G32" s="144">
        <v>0</v>
      </c>
      <c r="H32" s="144">
        <f>F32*G32</f>
        <v>0</v>
      </c>
      <c r="I32" s="144">
        <f>3.2*1.25</f>
        <v>4</v>
      </c>
      <c r="J32" s="144">
        <f>F32*I32</f>
        <v>121.43360000000001</v>
      </c>
      <c r="K32" s="43">
        <v>0</v>
      </c>
      <c r="L32" s="43">
        <f>F32*K32</f>
        <v>0</v>
      </c>
      <c r="M32" s="43">
        <f>H32+J32+L32</f>
        <v>121.43360000000001</v>
      </c>
      <c r="O32" s="145"/>
    </row>
    <row r="33" spans="1:15" s="146" customFormat="1" x14ac:dyDescent="0.25">
      <c r="A33" s="45"/>
      <c r="B33" s="85"/>
      <c r="C33" s="142" t="s">
        <v>272</v>
      </c>
      <c r="D33" s="67" t="s">
        <v>18</v>
      </c>
      <c r="E33" s="38">
        <f>1.08*0.4</f>
        <v>0.43200000000000005</v>
      </c>
      <c r="F33" s="43">
        <f>F30*E33</f>
        <v>9.1584000000000003</v>
      </c>
      <c r="G33" s="144">
        <v>0</v>
      </c>
      <c r="H33" s="144">
        <f>F33*G33</f>
        <v>0</v>
      </c>
      <c r="I33" s="144">
        <v>0</v>
      </c>
      <c r="J33" s="144">
        <f>F33*I33</f>
        <v>0</v>
      </c>
      <c r="K33" s="43">
        <v>3.2</v>
      </c>
      <c r="L33" s="43">
        <f>F33*K33</f>
        <v>29.306880000000003</v>
      </c>
      <c r="M33" s="43">
        <f>H33+J33+L33</f>
        <v>29.306880000000003</v>
      </c>
      <c r="O33" s="147"/>
    </row>
    <row r="34" spans="1:15" ht="15.75" thickBot="1" x14ac:dyDescent="0.3">
      <c r="A34" s="148"/>
      <c r="B34" s="149"/>
      <c r="C34" s="149"/>
      <c r="D34" s="150"/>
      <c r="E34" s="151"/>
      <c r="F34" s="152"/>
      <c r="G34" s="152"/>
      <c r="H34" s="152"/>
      <c r="I34" s="152"/>
      <c r="J34" s="152"/>
      <c r="K34" s="152"/>
      <c r="L34" s="152"/>
      <c r="M34" s="152"/>
      <c r="O34" s="153"/>
    </row>
    <row r="35" spans="1:15" s="36" customFormat="1" ht="24" x14ac:dyDescent="0.2">
      <c r="A35" s="21">
        <v>5</v>
      </c>
      <c r="B35" s="131" t="s">
        <v>275</v>
      </c>
      <c r="C35" s="65" t="s">
        <v>181</v>
      </c>
      <c r="D35" s="79" t="s">
        <v>32</v>
      </c>
      <c r="E35" s="16"/>
      <c r="F35" s="154">
        <v>7.7</v>
      </c>
      <c r="G35" s="133">
        <f>H35/F35</f>
        <v>0</v>
      </c>
      <c r="H35" s="133">
        <f>SUM(H36:H38)</f>
        <v>0</v>
      </c>
      <c r="I35" s="133">
        <f>J35/F35</f>
        <v>20</v>
      </c>
      <c r="J35" s="133">
        <f>SUM(J36:J38)</f>
        <v>154</v>
      </c>
      <c r="K35" s="133">
        <f>L35/F35</f>
        <v>24.96</v>
      </c>
      <c r="L35" s="133">
        <f>SUM(L36:L38)</f>
        <v>192.19200000000001</v>
      </c>
      <c r="M35" s="132">
        <f>H35+J35+L35</f>
        <v>346.19200000000001</v>
      </c>
      <c r="O35" s="130"/>
    </row>
    <row r="36" spans="1:15" s="19" customFormat="1" ht="13.5" x14ac:dyDescent="0.25">
      <c r="A36" s="37"/>
      <c r="B36" s="134"/>
      <c r="C36" s="135" t="s">
        <v>266</v>
      </c>
      <c r="D36" s="136"/>
      <c r="E36" s="38"/>
      <c r="F36" s="137"/>
      <c r="G36" s="43"/>
      <c r="H36" s="43"/>
      <c r="I36" s="43"/>
      <c r="J36" s="43"/>
      <c r="K36" s="43"/>
      <c r="L36" s="138"/>
      <c r="M36" s="137"/>
      <c r="O36" s="139"/>
    </row>
    <row r="37" spans="1:15" s="44" customFormat="1" ht="12.75" x14ac:dyDescent="0.25">
      <c r="A37" s="140"/>
      <c r="B37" s="141"/>
      <c r="C37" s="142" t="s">
        <v>267</v>
      </c>
      <c r="D37" s="67" t="s">
        <v>268</v>
      </c>
      <c r="E37" s="38">
        <v>5</v>
      </c>
      <c r="F37" s="143">
        <f>E37*F35</f>
        <v>38.5</v>
      </c>
      <c r="G37" s="144">
        <v>0</v>
      </c>
      <c r="H37" s="144">
        <f>F37*G37</f>
        <v>0</v>
      </c>
      <c r="I37" s="144">
        <f>3.2*1.25</f>
        <v>4</v>
      </c>
      <c r="J37" s="144">
        <f>F37*I37</f>
        <v>154</v>
      </c>
      <c r="K37" s="43">
        <v>0</v>
      </c>
      <c r="L37" s="43">
        <f>F37*K37</f>
        <v>0</v>
      </c>
      <c r="M37" s="43">
        <f>H37+J37+L37</f>
        <v>154</v>
      </c>
      <c r="O37" s="145"/>
    </row>
    <row r="38" spans="1:15" s="146" customFormat="1" x14ac:dyDescent="0.25">
      <c r="A38" s="45"/>
      <c r="B38" s="85"/>
      <c r="C38" s="142" t="s">
        <v>269</v>
      </c>
      <c r="D38" s="67" t="s">
        <v>18</v>
      </c>
      <c r="E38" s="38">
        <v>7.8</v>
      </c>
      <c r="F38" s="43">
        <f>F35*E38</f>
        <v>60.06</v>
      </c>
      <c r="G38" s="144">
        <v>0</v>
      </c>
      <c r="H38" s="144">
        <f>F38*G38</f>
        <v>0</v>
      </c>
      <c r="I38" s="144">
        <v>0</v>
      </c>
      <c r="J38" s="144">
        <f>F38*I38</f>
        <v>0</v>
      </c>
      <c r="K38" s="43">
        <v>3.2</v>
      </c>
      <c r="L38" s="43">
        <f>F38*K38</f>
        <v>192.19200000000001</v>
      </c>
      <c r="M38" s="43">
        <f>H38+J38+L38</f>
        <v>192.19200000000001</v>
      </c>
      <c r="O38" s="147"/>
    </row>
    <row r="39" spans="1:15" ht="15.75" thickBot="1" x14ac:dyDescent="0.3">
      <c r="A39" s="148"/>
      <c r="B39" s="149"/>
      <c r="C39" s="149"/>
      <c r="D39" s="150"/>
      <c r="E39" s="151"/>
      <c r="F39" s="152"/>
      <c r="G39" s="152"/>
      <c r="H39" s="152"/>
      <c r="I39" s="152"/>
      <c r="J39" s="152"/>
      <c r="K39" s="152"/>
      <c r="L39" s="152"/>
      <c r="M39" s="152"/>
      <c r="O39" s="153"/>
    </row>
    <row r="40" spans="1:15" s="36" customFormat="1" ht="36" x14ac:dyDescent="0.2">
      <c r="A40" s="21">
        <v>6</v>
      </c>
      <c r="B40" s="131" t="s">
        <v>276</v>
      </c>
      <c r="C40" s="65" t="s">
        <v>251</v>
      </c>
      <c r="D40" s="79" t="s">
        <v>27</v>
      </c>
      <c r="E40" s="16"/>
      <c r="F40" s="137">
        <f>F15*0.03*1.8*0.15+F20*0.03*2</f>
        <v>12.049799999999999</v>
      </c>
      <c r="G40" s="133">
        <f>H40/F40</f>
        <v>0</v>
      </c>
      <c r="H40" s="133">
        <f>SUM(H41:H43)</f>
        <v>0</v>
      </c>
      <c r="I40" s="133">
        <f>J40/F40</f>
        <v>7.5</v>
      </c>
      <c r="J40" s="133">
        <f>SUM(J41:J43)</f>
        <v>90.373499999999993</v>
      </c>
      <c r="K40" s="133">
        <f>L40/F40</f>
        <v>7.56</v>
      </c>
      <c r="L40" s="133">
        <f>SUM(L41:L43)</f>
        <v>91.096487999999994</v>
      </c>
      <c r="M40" s="132">
        <f>H40+J40+L40</f>
        <v>181.469988</v>
      </c>
      <c r="O40" s="130"/>
    </row>
    <row r="41" spans="1:15" s="19" customFormat="1" ht="13.5" x14ac:dyDescent="0.25">
      <c r="A41" s="37"/>
      <c r="B41" s="134"/>
      <c r="C41" s="135" t="s">
        <v>266</v>
      </c>
      <c r="D41" s="136"/>
      <c r="E41" s="38"/>
      <c r="F41" s="137"/>
      <c r="G41" s="43"/>
      <c r="H41" s="43"/>
      <c r="I41" s="43"/>
      <c r="J41" s="43"/>
      <c r="K41" s="43"/>
      <c r="L41" s="138"/>
      <c r="M41" s="137"/>
      <c r="O41" s="139"/>
    </row>
    <row r="42" spans="1:15" s="44" customFormat="1" ht="12.75" x14ac:dyDescent="0.25">
      <c r="A42" s="140"/>
      <c r="B42" s="141" t="s">
        <v>277</v>
      </c>
      <c r="C42" s="142" t="s">
        <v>278</v>
      </c>
      <c r="D42" s="67" t="s">
        <v>27</v>
      </c>
      <c r="E42" s="38">
        <v>1</v>
      </c>
      <c r="F42" s="143">
        <f>E42*F40</f>
        <v>12.049799999999999</v>
      </c>
      <c r="G42" s="144">
        <v>0</v>
      </c>
      <c r="H42" s="144">
        <f>F42*G42</f>
        <v>0</v>
      </c>
      <c r="I42" s="144">
        <v>7.5</v>
      </c>
      <c r="J42" s="144">
        <f>F42*I42</f>
        <v>90.373499999999993</v>
      </c>
      <c r="K42" s="43">
        <v>0</v>
      </c>
      <c r="L42" s="43">
        <f>F42*K42</f>
        <v>0</v>
      </c>
      <c r="M42" s="43">
        <f>H42+J42+L42</f>
        <v>90.373499999999993</v>
      </c>
      <c r="O42" s="145"/>
    </row>
    <row r="43" spans="1:15" s="146" customFormat="1" x14ac:dyDescent="0.25">
      <c r="A43" s="45"/>
      <c r="B43" s="85"/>
      <c r="C43" s="142" t="s">
        <v>279</v>
      </c>
      <c r="D43" s="67" t="s">
        <v>27</v>
      </c>
      <c r="E43" s="38">
        <v>1</v>
      </c>
      <c r="F43" s="43">
        <f>F40*E43</f>
        <v>12.049799999999999</v>
      </c>
      <c r="G43" s="144">
        <v>0</v>
      </c>
      <c r="H43" s="144">
        <f>F43*G43</f>
        <v>0</v>
      </c>
      <c r="I43" s="144">
        <v>0</v>
      </c>
      <c r="J43" s="144">
        <f>F43*I43</f>
        <v>0</v>
      </c>
      <c r="K43" s="43">
        <v>7.56</v>
      </c>
      <c r="L43" s="43">
        <f>F43*K43</f>
        <v>91.096487999999994</v>
      </c>
      <c r="M43" s="43">
        <f>H43+J43+L43</f>
        <v>91.096487999999994</v>
      </c>
      <c r="O43" s="147"/>
    </row>
    <row r="44" spans="1:15" ht="15.75" thickBot="1" x14ac:dyDescent="0.3">
      <c r="A44" s="148"/>
      <c r="B44" s="149"/>
      <c r="C44" s="149"/>
      <c r="D44" s="150"/>
      <c r="E44" s="151"/>
      <c r="F44" s="152"/>
      <c r="G44" s="152"/>
      <c r="H44" s="152"/>
      <c r="I44" s="152"/>
      <c r="J44" s="152"/>
      <c r="K44" s="152"/>
      <c r="L44" s="152"/>
      <c r="M44" s="152"/>
      <c r="O44" s="153"/>
    </row>
    <row r="45" spans="1:15" s="34" customFormat="1" x14ac:dyDescent="0.25">
      <c r="A45" s="48"/>
      <c r="B45" s="156"/>
      <c r="C45" s="70" t="s">
        <v>21</v>
      </c>
      <c r="D45" s="49"/>
      <c r="E45" s="50"/>
      <c r="F45" s="157"/>
      <c r="G45" s="158"/>
      <c r="H45" s="159">
        <f>H40+H35+H30+H20+H15+H25</f>
        <v>0</v>
      </c>
      <c r="I45" s="159"/>
      <c r="J45" s="159">
        <f>J40+J35+J30+J20+J15+J25</f>
        <v>1675.8041099999998</v>
      </c>
      <c r="K45" s="159"/>
      <c r="L45" s="159">
        <f>L40+L35+L30+L20+L15+L25</f>
        <v>337.88241440000002</v>
      </c>
      <c r="M45" s="159">
        <f>M40+M35+M30+M20+M15+M25</f>
        <v>2013.6865243999998</v>
      </c>
      <c r="O45" s="153"/>
    </row>
    <row r="46" spans="1:15" s="36" customFormat="1" ht="14.25" x14ac:dyDescent="0.2">
      <c r="A46" s="21"/>
      <c r="B46" s="126"/>
      <c r="C46" s="77" t="s">
        <v>180</v>
      </c>
      <c r="D46" s="35"/>
      <c r="E46" s="16"/>
      <c r="F46" s="27"/>
      <c r="G46" s="17"/>
      <c r="H46" s="17"/>
      <c r="I46" s="17"/>
      <c r="J46" s="17"/>
      <c r="K46" s="17"/>
      <c r="L46" s="17"/>
      <c r="M46" s="16"/>
      <c r="O46" s="130"/>
    </row>
    <row r="47" spans="1:15" s="36" customFormat="1" ht="24" x14ac:dyDescent="0.2">
      <c r="A47" s="21">
        <v>1</v>
      </c>
      <c r="B47" s="131" t="s">
        <v>280</v>
      </c>
      <c r="C47" s="65" t="s">
        <v>165</v>
      </c>
      <c r="D47" s="67" t="s">
        <v>2</v>
      </c>
      <c r="E47" s="16"/>
      <c r="F47" s="31">
        <f>13*4</f>
        <v>52</v>
      </c>
      <c r="G47" s="133">
        <f>H47/F47</f>
        <v>0</v>
      </c>
      <c r="H47" s="133">
        <f>SUM(H48:H50)</f>
        <v>0</v>
      </c>
      <c r="I47" s="133">
        <f>J47/F47</f>
        <v>1.1591999999999998</v>
      </c>
      <c r="J47" s="133">
        <f>SUM(J48:J50)</f>
        <v>60.278399999999991</v>
      </c>
      <c r="K47" s="133">
        <f>L47/F47</f>
        <v>1.5788800000000003</v>
      </c>
      <c r="L47" s="133">
        <f>SUM(L48:L50)</f>
        <v>82.101760000000013</v>
      </c>
      <c r="M47" s="132">
        <f>H47+J47+L47</f>
        <v>142.38015999999999</v>
      </c>
      <c r="O47" s="130"/>
    </row>
    <row r="48" spans="1:15" s="19" customFormat="1" ht="22.5" x14ac:dyDescent="0.25">
      <c r="A48" s="37"/>
      <c r="B48" s="160" t="s">
        <v>281</v>
      </c>
      <c r="C48" s="135" t="s">
        <v>266</v>
      </c>
      <c r="D48" s="136"/>
      <c r="E48" s="38"/>
      <c r="F48" s="39"/>
      <c r="G48" s="38"/>
      <c r="H48" s="38"/>
      <c r="I48" s="38"/>
      <c r="J48" s="38"/>
      <c r="K48" s="38"/>
      <c r="L48" s="161"/>
      <c r="M48" s="39"/>
      <c r="O48" s="130"/>
    </row>
    <row r="49" spans="1:15" s="44" customFormat="1" ht="14.25" x14ac:dyDescent="0.2">
      <c r="A49" s="140"/>
      <c r="B49" s="141"/>
      <c r="C49" s="40" t="s">
        <v>282</v>
      </c>
      <c r="D49" s="67" t="s">
        <v>283</v>
      </c>
      <c r="E49" s="162">
        <f>25.2*1.15/100</f>
        <v>0.28979999999999995</v>
      </c>
      <c r="F49" s="41">
        <f>E49*F47</f>
        <v>15.069599999999998</v>
      </c>
      <c r="G49" s="42">
        <v>0</v>
      </c>
      <c r="H49" s="42">
        <f>F49*G49</f>
        <v>0</v>
      </c>
      <c r="I49" s="42">
        <f>3.2*1.25</f>
        <v>4</v>
      </c>
      <c r="J49" s="42">
        <f>F49*I49</f>
        <v>60.278399999999991</v>
      </c>
      <c r="K49" s="38">
        <v>0</v>
      </c>
      <c r="L49" s="38">
        <f>F49*K49</f>
        <v>0</v>
      </c>
      <c r="M49" s="43">
        <f>H49+J49+L49</f>
        <v>60.278399999999991</v>
      </c>
      <c r="O49" s="130"/>
    </row>
    <row r="50" spans="1:15" s="146" customFormat="1" x14ac:dyDescent="0.2">
      <c r="A50" s="45"/>
      <c r="B50" s="85"/>
      <c r="C50" s="142" t="s">
        <v>284</v>
      </c>
      <c r="D50" s="67" t="s">
        <v>18</v>
      </c>
      <c r="E50" s="163">
        <f>49.34/100</f>
        <v>0.49340000000000006</v>
      </c>
      <c r="F50" s="38">
        <f>F47*E50</f>
        <v>25.656800000000004</v>
      </c>
      <c r="G50" s="42">
        <v>0</v>
      </c>
      <c r="H50" s="42">
        <f>F50*G50</f>
        <v>0</v>
      </c>
      <c r="I50" s="42">
        <v>0</v>
      </c>
      <c r="J50" s="42">
        <f>F50*I50</f>
        <v>0</v>
      </c>
      <c r="K50" s="38">
        <v>3.2</v>
      </c>
      <c r="L50" s="38">
        <f>F50*K50</f>
        <v>82.101760000000013</v>
      </c>
      <c r="M50" s="43">
        <f>H50+J50+L50</f>
        <v>82.101760000000013</v>
      </c>
      <c r="O50" s="130"/>
    </row>
    <row r="51" spans="1:15" ht="15.75" thickBot="1" x14ac:dyDescent="0.3">
      <c r="A51" s="148"/>
      <c r="B51" s="149"/>
      <c r="C51" s="149"/>
      <c r="D51" s="150"/>
      <c r="E51" s="151"/>
      <c r="F51" s="151"/>
      <c r="G51" s="151"/>
      <c r="H51" s="151"/>
      <c r="I51" s="151"/>
      <c r="J51" s="151"/>
      <c r="K51" s="151"/>
      <c r="L51" s="151"/>
      <c r="M51" s="152"/>
      <c r="O51" s="130"/>
    </row>
    <row r="52" spans="1:15" s="36" customFormat="1" ht="24" x14ac:dyDescent="0.2">
      <c r="A52" s="21">
        <v>2</v>
      </c>
      <c r="B52" s="131" t="s">
        <v>285</v>
      </c>
      <c r="C52" s="65" t="s">
        <v>228</v>
      </c>
      <c r="D52" s="79" t="s">
        <v>27</v>
      </c>
      <c r="E52" s="16"/>
      <c r="F52" s="30">
        <v>0.33600000000000002</v>
      </c>
      <c r="G52" s="133">
        <f>H52/F52</f>
        <v>1736.5215932203389</v>
      </c>
      <c r="H52" s="133">
        <f>SUM(H53:H60)</f>
        <v>583.47125532203393</v>
      </c>
      <c r="I52" s="133">
        <f>J52/F52</f>
        <v>450</v>
      </c>
      <c r="J52" s="133">
        <f>SUM(J53:J60)</f>
        <v>151.20000000000002</v>
      </c>
      <c r="K52" s="133">
        <f>L52/F52</f>
        <v>8.8448799999999981</v>
      </c>
      <c r="L52" s="133">
        <f>SUM(L53:L60)</f>
        <v>2.9718796799999994</v>
      </c>
      <c r="M52" s="133">
        <f>SUM(M53:M60)</f>
        <v>737.643135002034</v>
      </c>
      <c r="O52" s="130"/>
    </row>
    <row r="53" spans="1:15" s="19" customFormat="1" x14ac:dyDescent="0.25">
      <c r="A53" s="37"/>
      <c r="B53" s="134"/>
      <c r="C53" s="135" t="s">
        <v>266</v>
      </c>
      <c r="D53" s="136"/>
      <c r="E53" s="38"/>
      <c r="F53" s="39"/>
      <c r="G53" s="38"/>
      <c r="H53" s="38"/>
      <c r="I53" s="38"/>
      <c r="J53" s="38"/>
      <c r="K53" s="38"/>
      <c r="L53" s="161"/>
      <c r="M53" s="39"/>
      <c r="O53" s="130"/>
    </row>
    <row r="54" spans="1:15" s="44" customFormat="1" ht="14.25" x14ac:dyDescent="0.2">
      <c r="A54" s="140"/>
      <c r="B54" s="141" t="s">
        <v>277</v>
      </c>
      <c r="C54" s="142" t="s">
        <v>278</v>
      </c>
      <c r="D54" s="67" t="s">
        <v>27</v>
      </c>
      <c r="E54" s="164">
        <v>1</v>
      </c>
      <c r="F54" s="41">
        <f>E54*F52</f>
        <v>0.33600000000000002</v>
      </c>
      <c r="G54" s="42">
        <v>0</v>
      </c>
      <c r="H54" s="42">
        <f t="shared" ref="H54:H60" si="0">F54*G54</f>
        <v>0</v>
      </c>
      <c r="I54" s="42">
        <f>360*1.25</f>
        <v>450</v>
      </c>
      <c r="J54" s="42">
        <f>F54*I54</f>
        <v>151.20000000000002</v>
      </c>
      <c r="K54" s="38">
        <v>0</v>
      </c>
      <c r="L54" s="38">
        <f t="shared" ref="L54:L60" si="1">F54*K54</f>
        <v>0</v>
      </c>
      <c r="M54" s="43">
        <f t="shared" ref="M54:M60" si="2">H54+J54+L54</f>
        <v>151.20000000000002</v>
      </c>
      <c r="O54" s="130"/>
    </row>
    <row r="55" spans="1:15" s="146" customFormat="1" x14ac:dyDescent="0.2">
      <c r="A55" s="45"/>
      <c r="B55" s="85"/>
      <c r="C55" s="142" t="s">
        <v>286</v>
      </c>
      <c r="D55" s="67" t="s">
        <v>18</v>
      </c>
      <c r="E55" s="38">
        <f>2.09*1.15*1.15</f>
        <v>2.7640249999999993</v>
      </c>
      <c r="F55" s="38">
        <f>F52*E55</f>
        <v>0.92871239999999977</v>
      </c>
      <c r="G55" s="42">
        <v>0</v>
      </c>
      <c r="H55" s="42">
        <f t="shared" si="0"/>
        <v>0</v>
      </c>
      <c r="I55" s="42">
        <v>0</v>
      </c>
      <c r="J55" s="42">
        <f t="shared" ref="J55:J60" si="3">F55*I55</f>
        <v>0</v>
      </c>
      <c r="K55" s="38">
        <v>3.2</v>
      </c>
      <c r="L55" s="38">
        <f t="shared" si="1"/>
        <v>2.9718796799999994</v>
      </c>
      <c r="M55" s="43">
        <f t="shared" si="2"/>
        <v>2.9718796799999994</v>
      </c>
      <c r="O55" s="130"/>
    </row>
    <row r="56" spans="1:15" s="44" customFormat="1" ht="14.25" x14ac:dyDescent="0.2">
      <c r="A56" s="165"/>
      <c r="B56" s="29" t="s">
        <v>287</v>
      </c>
      <c r="C56" s="166" t="s">
        <v>288</v>
      </c>
      <c r="D56" s="167" t="s">
        <v>27</v>
      </c>
      <c r="E56" s="168">
        <v>1</v>
      </c>
      <c r="F56" s="169">
        <f>E56*F52</f>
        <v>0.33600000000000002</v>
      </c>
      <c r="G56" s="170">
        <v>1720</v>
      </c>
      <c r="H56" s="170">
        <f t="shared" si="0"/>
        <v>577.92000000000007</v>
      </c>
      <c r="I56" s="42">
        <v>0</v>
      </c>
      <c r="J56" s="42">
        <f t="shared" si="3"/>
        <v>0</v>
      </c>
      <c r="K56" s="38">
        <v>0</v>
      </c>
      <c r="L56" s="38">
        <f t="shared" si="1"/>
        <v>0</v>
      </c>
      <c r="M56" s="43">
        <f t="shared" si="2"/>
        <v>577.92000000000007</v>
      </c>
      <c r="O56" s="130"/>
    </row>
    <row r="57" spans="1:15" s="44" customFormat="1" ht="25.5" x14ac:dyDescent="0.2">
      <c r="A57" s="165"/>
      <c r="B57" s="29" t="s">
        <v>289</v>
      </c>
      <c r="C57" s="166" t="s">
        <v>290</v>
      </c>
      <c r="D57" s="167" t="s">
        <v>291</v>
      </c>
      <c r="E57" s="171">
        <v>0.6</v>
      </c>
      <c r="F57" s="172">
        <f>E57*F52</f>
        <v>0.2016</v>
      </c>
      <c r="G57" s="170">
        <v>1.65</v>
      </c>
      <c r="H57" s="170">
        <f t="shared" si="0"/>
        <v>0.33263999999999999</v>
      </c>
      <c r="I57" s="42">
        <v>0</v>
      </c>
      <c r="J57" s="42">
        <f t="shared" si="3"/>
        <v>0</v>
      </c>
      <c r="K57" s="38">
        <v>0</v>
      </c>
      <c r="L57" s="38">
        <f t="shared" si="1"/>
        <v>0</v>
      </c>
      <c r="M57" s="43">
        <f t="shared" si="2"/>
        <v>0.33263999999999999</v>
      </c>
      <c r="O57" s="130"/>
    </row>
    <row r="58" spans="1:15" s="44" customFormat="1" ht="14.25" x14ac:dyDescent="0.2">
      <c r="A58" s="165"/>
      <c r="B58" s="29"/>
      <c r="C58" s="166" t="s">
        <v>292</v>
      </c>
      <c r="D58" s="167" t="s">
        <v>291</v>
      </c>
      <c r="E58" s="171">
        <v>0.15</v>
      </c>
      <c r="F58" s="172">
        <f>F52*E58</f>
        <v>5.04E-2</v>
      </c>
      <c r="G58" s="170">
        <f>5/1.18</f>
        <v>4.2372881355932206</v>
      </c>
      <c r="H58" s="170">
        <f t="shared" si="0"/>
        <v>0.21355932203389832</v>
      </c>
      <c r="I58" s="42">
        <v>0</v>
      </c>
      <c r="J58" s="42">
        <f t="shared" si="3"/>
        <v>0</v>
      </c>
      <c r="K58" s="38">
        <v>0</v>
      </c>
      <c r="L58" s="38">
        <f t="shared" si="1"/>
        <v>0</v>
      </c>
      <c r="M58" s="43">
        <f t="shared" si="2"/>
        <v>0.21355932203389832</v>
      </c>
      <c r="O58" s="130"/>
    </row>
    <row r="59" spans="1:15" s="44" customFormat="1" ht="14.25" x14ac:dyDescent="0.2">
      <c r="A59" s="165"/>
      <c r="B59" s="29" t="s">
        <v>293</v>
      </c>
      <c r="C59" s="166" t="s">
        <v>294</v>
      </c>
      <c r="D59" s="167" t="s">
        <v>291</v>
      </c>
      <c r="E59" s="171">
        <v>2</v>
      </c>
      <c r="F59" s="172">
        <f>F52*E59</f>
        <v>0.67200000000000004</v>
      </c>
      <c r="G59" s="170">
        <v>3</v>
      </c>
      <c r="H59" s="170">
        <f t="shared" si="0"/>
        <v>2.016</v>
      </c>
      <c r="I59" s="42">
        <v>0</v>
      </c>
      <c r="J59" s="42">
        <f t="shared" si="3"/>
        <v>0</v>
      </c>
      <c r="K59" s="38">
        <v>0</v>
      </c>
      <c r="L59" s="38">
        <f t="shared" si="1"/>
        <v>0</v>
      </c>
      <c r="M59" s="43">
        <f t="shared" si="2"/>
        <v>2.016</v>
      </c>
      <c r="O59" s="130"/>
    </row>
    <row r="60" spans="1:15" x14ac:dyDescent="0.25">
      <c r="A60" s="29"/>
      <c r="B60" s="124"/>
      <c r="C60" s="142" t="s">
        <v>295</v>
      </c>
      <c r="D60" s="67" t="s">
        <v>18</v>
      </c>
      <c r="E60" s="78">
        <v>2.78</v>
      </c>
      <c r="F60" s="38">
        <f>F52*E60</f>
        <v>0.93408000000000002</v>
      </c>
      <c r="G60" s="78">
        <v>3.2</v>
      </c>
      <c r="H60" s="42">
        <f t="shared" si="0"/>
        <v>2.9890560000000002</v>
      </c>
      <c r="I60" s="42">
        <v>0</v>
      </c>
      <c r="J60" s="164">
        <f t="shared" si="3"/>
        <v>0</v>
      </c>
      <c r="K60" s="38">
        <v>0</v>
      </c>
      <c r="L60" s="38">
        <f t="shared" si="1"/>
        <v>0</v>
      </c>
      <c r="M60" s="43">
        <f t="shared" si="2"/>
        <v>2.9890560000000002</v>
      </c>
      <c r="O60" s="130"/>
    </row>
    <row r="61" spans="1:15" ht="15.75" thickBot="1" x14ac:dyDescent="0.3">
      <c r="A61" s="148"/>
      <c r="B61" s="149"/>
      <c r="C61" s="149"/>
      <c r="D61" s="150"/>
      <c r="E61" s="151"/>
      <c r="F61" s="151"/>
      <c r="G61" s="151"/>
      <c r="H61" s="151"/>
      <c r="I61" s="151"/>
      <c r="J61" s="151"/>
      <c r="K61" s="151"/>
      <c r="L61" s="151"/>
      <c r="M61" s="152"/>
      <c r="O61" s="130"/>
    </row>
    <row r="62" spans="1:15" s="36" customFormat="1" ht="24.75" x14ac:dyDescent="0.2">
      <c r="A62" s="21">
        <v>3</v>
      </c>
      <c r="B62" s="131" t="s">
        <v>276</v>
      </c>
      <c r="C62" s="65" t="s">
        <v>183</v>
      </c>
      <c r="D62" s="79" t="s">
        <v>27</v>
      </c>
      <c r="E62" s="16"/>
      <c r="F62" s="30">
        <v>1.036</v>
      </c>
      <c r="G62" s="133">
        <f>H62/F62</f>
        <v>16.521593220338982</v>
      </c>
      <c r="H62" s="133">
        <f>SUM(H63:H71)</f>
        <v>17.116370576271187</v>
      </c>
      <c r="I62" s="133">
        <f>J62/F62</f>
        <v>450</v>
      </c>
      <c r="J62" s="133">
        <f>SUM(J63:J71)</f>
        <v>466.2</v>
      </c>
      <c r="K62" s="133">
        <f>L62/F62</f>
        <v>63.918408749999998</v>
      </c>
      <c r="L62" s="133">
        <f>SUM(L63:L71)</f>
        <v>66.219471464999998</v>
      </c>
      <c r="M62" s="133">
        <f>SUM(M63:M71)</f>
        <v>549.53584204127117</v>
      </c>
      <c r="O62" s="130"/>
    </row>
    <row r="63" spans="1:15" s="19" customFormat="1" x14ac:dyDescent="0.25">
      <c r="A63" s="37"/>
      <c r="B63" s="134"/>
      <c r="C63" s="135" t="s">
        <v>266</v>
      </c>
      <c r="D63" s="136"/>
      <c r="E63" s="38"/>
      <c r="F63" s="39"/>
      <c r="G63" s="38"/>
      <c r="H63" s="38"/>
      <c r="I63" s="38"/>
      <c r="J63" s="38"/>
      <c r="K63" s="38"/>
      <c r="L63" s="161"/>
      <c r="M63" s="39"/>
      <c r="O63" s="130"/>
    </row>
    <row r="64" spans="1:15" s="44" customFormat="1" ht="14.25" x14ac:dyDescent="0.2">
      <c r="A64" s="140"/>
      <c r="B64" s="141" t="s">
        <v>277</v>
      </c>
      <c r="C64" s="142" t="s">
        <v>278</v>
      </c>
      <c r="D64" s="67" t="s">
        <v>27</v>
      </c>
      <c r="E64" s="164">
        <v>1</v>
      </c>
      <c r="F64" s="41">
        <f>E64*F62</f>
        <v>1.036</v>
      </c>
      <c r="G64" s="42">
        <v>0</v>
      </c>
      <c r="H64" s="42">
        <f>F64*G64</f>
        <v>0</v>
      </c>
      <c r="I64" s="42">
        <f>360*1.25</f>
        <v>450</v>
      </c>
      <c r="J64" s="42">
        <f>F64*I64</f>
        <v>466.2</v>
      </c>
      <c r="K64" s="38">
        <v>0</v>
      </c>
      <c r="L64" s="38">
        <f t="shared" ref="L64:L71" si="4">F64*K64</f>
        <v>0</v>
      </c>
      <c r="M64" s="43">
        <f>H64+J64+L64</f>
        <v>466.2</v>
      </c>
      <c r="O64" s="130"/>
    </row>
    <row r="65" spans="1:15" s="146" customFormat="1" x14ac:dyDescent="0.2">
      <c r="A65" s="45"/>
      <c r="B65" s="29" t="s">
        <v>296</v>
      </c>
      <c r="C65" s="142" t="s">
        <v>297</v>
      </c>
      <c r="D65" s="67" t="s">
        <v>298</v>
      </c>
      <c r="E65" s="38">
        <f>(0.6+0.75)*1.15*1.15</f>
        <v>1.7853749999999999</v>
      </c>
      <c r="F65" s="38">
        <f>F62*E65</f>
        <v>1.8496485</v>
      </c>
      <c r="G65" s="42">
        <v>0</v>
      </c>
      <c r="H65" s="42">
        <f t="shared" ref="H65:H71" si="5">F65*G65</f>
        <v>0</v>
      </c>
      <c r="I65" s="42">
        <v>0</v>
      </c>
      <c r="J65" s="42">
        <f t="shared" ref="J65:J71" si="6">F65*I65</f>
        <v>0</v>
      </c>
      <c r="K65" s="163">
        <f>200*1.25/8</f>
        <v>31.25</v>
      </c>
      <c r="L65" s="38">
        <f t="shared" si="4"/>
        <v>57.801515625</v>
      </c>
      <c r="M65" s="43">
        <f t="shared" ref="M65:M71" si="7">H65+J65+L65</f>
        <v>57.801515625</v>
      </c>
      <c r="O65" s="130"/>
    </row>
    <row r="66" spans="1:15" s="146" customFormat="1" x14ac:dyDescent="0.2">
      <c r="A66" s="45"/>
      <c r="B66" s="85"/>
      <c r="C66" s="142" t="s">
        <v>286</v>
      </c>
      <c r="D66" s="67" t="s">
        <v>18</v>
      </c>
      <c r="E66" s="38">
        <f>1.92*1.15*1.15</f>
        <v>2.5391999999999997</v>
      </c>
      <c r="F66" s="38">
        <f>F62*E66</f>
        <v>2.6306111999999997</v>
      </c>
      <c r="G66" s="42">
        <v>0</v>
      </c>
      <c r="H66" s="42">
        <f t="shared" si="5"/>
        <v>0</v>
      </c>
      <c r="I66" s="42">
        <v>0</v>
      </c>
      <c r="J66" s="42">
        <f t="shared" si="6"/>
        <v>0</v>
      </c>
      <c r="K66" s="38">
        <v>3.2</v>
      </c>
      <c r="L66" s="38">
        <f t="shared" si="4"/>
        <v>8.4179558399999994</v>
      </c>
      <c r="M66" s="43">
        <f t="shared" si="7"/>
        <v>8.4179558399999994</v>
      </c>
      <c r="O66" s="130"/>
    </row>
    <row r="67" spans="1:15" s="44" customFormat="1" ht="25.5" x14ac:dyDescent="0.2">
      <c r="A67" s="165"/>
      <c r="B67" s="29" t="s">
        <v>299</v>
      </c>
      <c r="C67" s="166" t="s">
        <v>300</v>
      </c>
      <c r="D67" s="167" t="s">
        <v>27</v>
      </c>
      <c r="E67" s="168">
        <v>0</v>
      </c>
      <c r="F67" s="172">
        <f>E67*F62</f>
        <v>0</v>
      </c>
      <c r="G67" s="170">
        <v>2340</v>
      </c>
      <c r="H67" s="170">
        <f>F67*G67</f>
        <v>0</v>
      </c>
      <c r="I67" s="42">
        <v>0</v>
      </c>
      <c r="J67" s="42">
        <f t="shared" si="6"/>
        <v>0</v>
      </c>
      <c r="K67" s="38">
        <v>0</v>
      </c>
      <c r="L67" s="38">
        <f t="shared" si="4"/>
        <v>0</v>
      </c>
      <c r="M67" s="43">
        <f>H67+J67+L67</f>
        <v>0</v>
      </c>
      <c r="O67" s="130"/>
    </row>
    <row r="68" spans="1:15" s="44" customFormat="1" ht="25.5" x14ac:dyDescent="0.2">
      <c r="A68" s="165"/>
      <c r="B68" s="29" t="s">
        <v>289</v>
      </c>
      <c r="C68" s="166" t="s">
        <v>290</v>
      </c>
      <c r="D68" s="167" t="s">
        <v>291</v>
      </c>
      <c r="E68" s="171">
        <v>0.6</v>
      </c>
      <c r="F68" s="172">
        <f>E68*F62</f>
        <v>0.62160000000000004</v>
      </c>
      <c r="G68" s="170">
        <v>1.65</v>
      </c>
      <c r="H68" s="170">
        <f t="shared" si="5"/>
        <v>1.0256400000000001</v>
      </c>
      <c r="I68" s="42">
        <v>0</v>
      </c>
      <c r="J68" s="42">
        <f t="shared" si="6"/>
        <v>0</v>
      </c>
      <c r="K68" s="38">
        <v>0</v>
      </c>
      <c r="L68" s="38">
        <f t="shared" si="4"/>
        <v>0</v>
      </c>
      <c r="M68" s="43">
        <f t="shared" si="7"/>
        <v>1.0256400000000001</v>
      </c>
      <c r="O68" s="130"/>
    </row>
    <row r="69" spans="1:15" s="44" customFormat="1" ht="14.25" x14ac:dyDescent="0.2">
      <c r="A69" s="165"/>
      <c r="B69" s="29"/>
      <c r="C69" s="166" t="s">
        <v>292</v>
      </c>
      <c r="D69" s="167" t="s">
        <v>291</v>
      </c>
      <c r="E69" s="171">
        <v>0.15</v>
      </c>
      <c r="F69" s="172">
        <f>F62*E69</f>
        <v>0.15540000000000001</v>
      </c>
      <c r="G69" s="170">
        <f>5/1.18</f>
        <v>4.2372881355932206</v>
      </c>
      <c r="H69" s="170">
        <f t="shared" si="5"/>
        <v>0.65847457627118655</v>
      </c>
      <c r="I69" s="42">
        <v>0</v>
      </c>
      <c r="J69" s="42">
        <f t="shared" si="6"/>
        <v>0</v>
      </c>
      <c r="K69" s="38">
        <v>0</v>
      </c>
      <c r="L69" s="38">
        <f t="shared" si="4"/>
        <v>0</v>
      </c>
      <c r="M69" s="43">
        <f t="shared" si="7"/>
        <v>0.65847457627118655</v>
      </c>
      <c r="O69" s="130"/>
    </row>
    <row r="70" spans="1:15" s="44" customFormat="1" ht="14.25" x14ac:dyDescent="0.2">
      <c r="A70" s="165"/>
      <c r="B70" s="29" t="s">
        <v>293</v>
      </c>
      <c r="C70" s="166" t="s">
        <v>294</v>
      </c>
      <c r="D70" s="167" t="s">
        <v>291</v>
      </c>
      <c r="E70" s="171">
        <v>2</v>
      </c>
      <c r="F70" s="172">
        <f>F62*E70</f>
        <v>2.0720000000000001</v>
      </c>
      <c r="G70" s="170">
        <v>3</v>
      </c>
      <c r="H70" s="170">
        <f t="shared" si="5"/>
        <v>6.2160000000000002</v>
      </c>
      <c r="I70" s="42">
        <v>0</v>
      </c>
      <c r="J70" s="42">
        <f t="shared" si="6"/>
        <v>0</v>
      </c>
      <c r="K70" s="38">
        <v>0</v>
      </c>
      <c r="L70" s="38">
        <f t="shared" si="4"/>
        <v>0</v>
      </c>
      <c r="M70" s="43">
        <f t="shared" si="7"/>
        <v>6.2160000000000002</v>
      </c>
      <c r="O70" s="130"/>
    </row>
    <row r="71" spans="1:15" x14ac:dyDescent="0.25">
      <c r="A71" s="29"/>
      <c r="B71" s="124"/>
      <c r="C71" s="142" t="s">
        <v>295</v>
      </c>
      <c r="D71" s="67" t="s">
        <v>18</v>
      </c>
      <c r="E71" s="78">
        <v>2.78</v>
      </c>
      <c r="F71" s="38">
        <f>F62*E71</f>
        <v>2.88008</v>
      </c>
      <c r="G71" s="78">
        <v>3.2</v>
      </c>
      <c r="H71" s="42">
        <f t="shared" si="5"/>
        <v>9.2162559999999996</v>
      </c>
      <c r="I71" s="42">
        <v>0</v>
      </c>
      <c r="J71" s="164">
        <f t="shared" si="6"/>
        <v>0</v>
      </c>
      <c r="K71" s="38">
        <v>0</v>
      </c>
      <c r="L71" s="38">
        <f t="shared" si="4"/>
        <v>0</v>
      </c>
      <c r="M71" s="43">
        <f t="shared" si="7"/>
        <v>9.2162559999999996</v>
      </c>
      <c r="O71" s="130"/>
    </row>
    <row r="72" spans="1:15" ht="15.75" thickBot="1" x14ac:dyDescent="0.3">
      <c r="A72" s="148"/>
      <c r="B72" s="149"/>
      <c r="C72" s="149"/>
      <c r="D72" s="150"/>
      <c r="E72" s="151"/>
      <c r="F72" s="151"/>
      <c r="G72" s="151"/>
      <c r="H72" s="151"/>
      <c r="I72" s="151"/>
      <c r="J72" s="151"/>
      <c r="K72" s="151"/>
      <c r="L72" s="151"/>
      <c r="M72" s="152"/>
      <c r="O72" s="130"/>
    </row>
    <row r="73" spans="1:15" s="36" customFormat="1" ht="24.75" x14ac:dyDescent="0.2">
      <c r="A73" s="21">
        <v>4</v>
      </c>
      <c r="B73" s="131" t="s">
        <v>276</v>
      </c>
      <c r="C73" s="65" t="s">
        <v>182</v>
      </c>
      <c r="D73" s="79" t="s">
        <v>27</v>
      </c>
      <c r="E73" s="16"/>
      <c r="F73" s="30">
        <v>0.38600000000000001</v>
      </c>
      <c r="G73" s="133">
        <f>H73/F73</f>
        <v>16.521593220338982</v>
      </c>
      <c r="H73" s="133">
        <f>SUM(H74:H82)</f>
        <v>6.3773349830508472</v>
      </c>
      <c r="I73" s="133">
        <f>J73/F73</f>
        <v>450.00000000000006</v>
      </c>
      <c r="J73" s="133">
        <f>SUM(J74:J82)</f>
        <v>173.70000000000002</v>
      </c>
      <c r="K73" s="133">
        <f>L73/F73</f>
        <v>63.918408749999998</v>
      </c>
      <c r="L73" s="133">
        <f>SUM(L74:L82)</f>
        <v>24.6725057775</v>
      </c>
      <c r="M73" s="133">
        <f>SUM(M74:M82)</f>
        <v>204.74984076055085</v>
      </c>
      <c r="O73" s="130"/>
    </row>
    <row r="74" spans="1:15" s="19" customFormat="1" x14ac:dyDescent="0.25">
      <c r="A74" s="37"/>
      <c r="B74" s="134"/>
      <c r="C74" s="135" t="s">
        <v>266</v>
      </c>
      <c r="D74" s="136"/>
      <c r="E74" s="38"/>
      <c r="F74" s="39"/>
      <c r="G74" s="38"/>
      <c r="H74" s="38"/>
      <c r="I74" s="38"/>
      <c r="J74" s="38"/>
      <c r="K74" s="38"/>
      <c r="L74" s="161"/>
      <c r="M74" s="39"/>
      <c r="O74" s="130"/>
    </row>
    <row r="75" spans="1:15" s="44" customFormat="1" ht="14.25" x14ac:dyDescent="0.2">
      <c r="A75" s="140"/>
      <c r="B75" s="173" t="s">
        <v>277</v>
      </c>
      <c r="C75" s="142" t="s">
        <v>278</v>
      </c>
      <c r="D75" s="67" t="s">
        <v>27</v>
      </c>
      <c r="E75" s="164">
        <v>1</v>
      </c>
      <c r="F75" s="41">
        <f>E75*F73</f>
        <v>0.38600000000000001</v>
      </c>
      <c r="G75" s="42">
        <v>0</v>
      </c>
      <c r="H75" s="42">
        <f>F75*G75</f>
        <v>0</v>
      </c>
      <c r="I75" s="42">
        <f>360*1.25</f>
        <v>450</v>
      </c>
      <c r="J75" s="42">
        <f>F75*I75</f>
        <v>173.70000000000002</v>
      </c>
      <c r="K75" s="38">
        <v>0</v>
      </c>
      <c r="L75" s="38">
        <f>F75*K75</f>
        <v>0</v>
      </c>
      <c r="M75" s="43">
        <f t="shared" ref="M75:M82" si="8">H75+J75+L75</f>
        <v>173.70000000000002</v>
      </c>
      <c r="O75" s="130"/>
    </row>
    <row r="76" spans="1:15" s="146" customFormat="1" x14ac:dyDescent="0.2">
      <c r="A76" s="45"/>
      <c r="B76" s="29" t="s">
        <v>296</v>
      </c>
      <c r="C76" s="142" t="s">
        <v>297</v>
      </c>
      <c r="D76" s="67" t="s">
        <v>298</v>
      </c>
      <c r="E76" s="38">
        <f>(0.6+0.75)*1.15*1.15</f>
        <v>1.7853749999999999</v>
      </c>
      <c r="F76" s="38">
        <f>F73*E76</f>
        <v>0.68915475000000004</v>
      </c>
      <c r="G76" s="42">
        <v>0</v>
      </c>
      <c r="H76" s="42">
        <f t="shared" ref="H76:H82" si="9">F76*G76</f>
        <v>0</v>
      </c>
      <c r="I76" s="42">
        <v>0</v>
      </c>
      <c r="J76" s="42">
        <f t="shared" ref="J76:J82" si="10">F76*I76</f>
        <v>0</v>
      </c>
      <c r="K76" s="163">
        <f>200*1.25/8</f>
        <v>31.25</v>
      </c>
      <c r="L76" s="38">
        <f t="shared" ref="L76:L82" si="11">F76*K76</f>
        <v>21.536085937500001</v>
      </c>
      <c r="M76" s="43">
        <f t="shared" si="8"/>
        <v>21.536085937500001</v>
      </c>
      <c r="O76" s="130"/>
    </row>
    <row r="77" spans="1:15" s="146" customFormat="1" x14ac:dyDescent="0.2">
      <c r="A77" s="45"/>
      <c r="B77" s="85"/>
      <c r="C77" s="142" t="s">
        <v>286</v>
      </c>
      <c r="D77" s="67" t="s">
        <v>18</v>
      </c>
      <c r="E77" s="38">
        <f>1.92*1.15*1.15</f>
        <v>2.5391999999999997</v>
      </c>
      <c r="F77" s="38">
        <f>F73*E77</f>
        <v>0.98013119999999987</v>
      </c>
      <c r="G77" s="42">
        <v>0</v>
      </c>
      <c r="H77" s="42">
        <f t="shared" si="9"/>
        <v>0</v>
      </c>
      <c r="I77" s="42">
        <v>0</v>
      </c>
      <c r="J77" s="42">
        <f t="shared" si="10"/>
        <v>0</v>
      </c>
      <c r="K77" s="38">
        <v>3.2</v>
      </c>
      <c r="L77" s="38">
        <f t="shared" si="11"/>
        <v>3.1364198399999998</v>
      </c>
      <c r="M77" s="43">
        <f t="shared" si="8"/>
        <v>3.1364198399999998</v>
      </c>
      <c r="O77" s="130"/>
    </row>
    <row r="78" spans="1:15" s="44" customFormat="1" ht="25.5" x14ac:dyDescent="0.2">
      <c r="A78" s="165"/>
      <c r="B78" s="29" t="s">
        <v>299</v>
      </c>
      <c r="C78" s="166" t="s">
        <v>300</v>
      </c>
      <c r="D78" s="167" t="s">
        <v>27</v>
      </c>
      <c r="E78" s="168">
        <v>0</v>
      </c>
      <c r="F78" s="172">
        <f>E78*F73</f>
        <v>0</v>
      </c>
      <c r="G78" s="170">
        <v>2340</v>
      </c>
      <c r="H78" s="170">
        <f>F78*G78</f>
        <v>0</v>
      </c>
      <c r="I78" s="42">
        <v>0</v>
      </c>
      <c r="J78" s="42">
        <f t="shared" si="10"/>
        <v>0</v>
      </c>
      <c r="K78" s="38">
        <v>0</v>
      </c>
      <c r="L78" s="38">
        <f t="shared" si="11"/>
        <v>0</v>
      </c>
      <c r="M78" s="43">
        <f>H78+J78+L78</f>
        <v>0</v>
      </c>
      <c r="O78" s="130"/>
    </row>
    <row r="79" spans="1:15" s="44" customFormat="1" ht="25.5" x14ac:dyDescent="0.2">
      <c r="A79" s="165"/>
      <c r="B79" s="29" t="s">
        <v>289</v>
      </c>
      <c r="C79" s="166" t="s">
        <v>290</v>
      </c>
      <c r="D79" s="167" t="s">
        <v>291</v>
      </c>
      <c r="E79" s="171">
        <v>0.6</v>
      </c>
      <c r="F79" s="172">
        <f>E79*F73</f>
        <v>0.2316</v>
      </c>
      <c r="G79" s="170">
        <v>1.65</v>
      </c>
      <c r="H79" s="170">
        <f t="shared" si="9"/>
        <v>0.38213999999999998</v>
      </c>
      <c r="I79" s="42">
        <v>0</v>
      </c>
      <c r="J79" s="42">
        <f t="shared" si="10"/>
        <v>0</v>
      </c>
      <c r="K79" s="38">
        <v>0</v>
      </c>
      <c r="L79" s="38">
        <f t="shared" si="11"/>
        <v>0</v>
      </c>
      <c r="M79" s="43">
        <f t="shared" si="8"/>
        <v>0.38213999999999998</v>
      </c>
      <c r="O79" s="130"/>
    </row>
    <row r="80" spans="1:15" s="44" customFormat="1" ht="14.25" x14ac:dyDescent="0.2">
      <c r="A80" s="165"/>
      <c r="B80" s="29"/>
      <c r="C80" s="166" t="s">
        <v>292</v>
      </c>
      <c r="D80" s="167" t="s">
        <v>291</v>
      </c>
      <c r="E80" s="171">
        <v>0.15</v>
      </c>
      <c r="F80" s="172">
        <f>F73*E80</f>
        <v>5.79E-2</v>
      </c>
      <c r="G80" s="170">
        <f>5/1.18</f>
        <v>4.2372881355932206</v>
      </c>
      <c r="H80" s="170">
        <f t="shared" si="9"/>
        <v>0.24533898305084748</v>
      </c>
      <c r="I80" s="42">
        <v>0</v>
      </c>
      <c r="J80" s="42">
        <f t="shared" si="10"/>
        <v>0</v>
      </c>
      <c r="K80" s="38">
        <v>0</v>
      </c>
      <c r="L80" s="38">
        <f t="shared" si="11"/>
        <v>0</v>
      </c>
      <c r="M80" s="43">
        <f t="shared" si="8"/>
        <v>0.24533898305084748</v>
      </c>
      <c r="O80" s="130"/>
    </row>
    <row r="81" spans="1:15" s="44" customFormat="1" ht="14.25" x14ac:dyDescent="0.2">
      <c r="A81" s="165"/>
      <c r="B81" s="29" t="s">
        <v>293</v>
      </c>
      <c r="C81" s="166" t="s">
        <v>294</v>
      </c>
      <c r="D81" s="167" t="s">
        <v>291</v>
      </c>
      <c r="E81" s="171">
        <v>2</v>
      </c>
      <c r="F81" s="172">
        <f>F73*E81</f>
        <v>0.77200000000000002</v>
      </c>
      <c r="G81" s="170">
        <v>3</v>
      </c>
      <c r="H81" s="170">
        <f t="shared" si="9"/>
        <v>2.3159999999999998</v>
      </c>
      <c r="I81" s="42">
        <v>0</v>
      </c>
      <c r="J81" s="42">
        <f t="shared" si="10"/>
        <v>0</v>
      </c>
      <c r="K81" s="38">
        <v>0</v>
      </c>
      <c r="L81" s="38">
        <f t="shared" si="11"/>
        <v>0</v>
      </c>
      <c r="M81" s="43">
        <f t="shared" si="8"/>
        <v>2.3159999999999998</v>
      </c>
      <c r="O81" s="130"/>
    </row>
    <row r="82" spans="1:15" x14ac:dyDescent="0.25">
      <c r="A82" s="29"/>
      <c r="B82" s="124"/>
      <c r="C82" s="142" t="s">
        <v>295</v>
      </c>
      <c r="D82" s="67" t="s">
        <v>18</v>
      </c>
      <c r="E82" s="78">
        <v>2.78</v>
      </c>
      <c r="F82" s="38">
        <f>F73*E82</f>
        <v>1.07308</v>
      </c>
      <c r="G82" s="78">
        <v>3.2</v>
      </c>
      <c r="H82" s="42">
        <f t="shared" si="9"/>
        <v>3.4338560000000005</v>
      </c>
      <c r="I82" s="42">
        <v>0</v>
      </c>
      <c r="J82" s="164">
        <f t="shared" si="10"/>
        <v>0</v>
      </c>
      <c r="K82" s="38">
        <v>0</v>
      </c>
      <c r="L82" s="38">
        <f t="shared" si="11"/>
        <v>0</v>
      </c>
      <c r="M82" s="43">
        <f t="shared" si="8"/>
        <v>3.4338560000000005</v>
      </c>
      <c r="O82" s="130"/>
    </row>
    <row r="83" spans="1:15" ht="15.75" thickBot="1" x14ac:dyDescent="0.3">
      <c r="A83" s="148"/>
      <c r="B83" s="149"/>
      <c r="C83" s="149"/>
      <c r="D83" s="150"/>
      <c r="E83" s="151"/>
      <c r="F83" s="151"/>
      <c r="G83" s="151"/>
      <c r="H83" s="151"/>
      <c r="I83" s="151"/>
      <c r="J83" s="151"/>
      <c r="K83" s="151"/>
      <c r="L83" s="151"/>
      <c r="M83" s="152"/>
      <c r="O83" s="130"/>
    </row>
    <row r="84" spans="1:15" s="36" customFormat="1" ht="24.75" x14ac:dyDescent="0.2">
      <c r="A84" s="21">
        <v>5</v>
      </c>
      <c r="B84" s="131" t="s">
        <v>276</v>
      </c>
      <c r="C84" s="65" t="s">
        <v>223</v>
      </c>
      <c r="D84" s="79" t="s">
        <v>27</v>
      </c>
      <c r="E84" s="16"/>
      <c r="F84" s="30">
        <v>0.41499999999999998</v>
      </c>
      <c r="G84" s="133">
        <f>H84/F84</f>
        <v>16.521593220338982</v>
      </c>
      <c r="H84" s="133">
        <f>SUM(H85:H93)</f>
        <v>6.8564611864406775</v>
      </c>
      <c r="I84" s="133">
        <f>J84/F84</f>
        <v>450</v>
      </c>
      <c r="J84" s="133">
        <f>SUM(J85:J93)</f>
        <v>186.75</v>
      </c>
      <c r="K84" s="133">
        <f>L84/F84</f>
        <v>63.918408749999998</v>
      </c>
      <c r="L84" s="133">
        <f>SUM(L85:L93)</f>
        <v>26.526139631249997</v>
      </c>
      <c r="M84" s="133">
        <f>SUM(M85:M93)</f>
        <v>220.1326008176907</v>
      </c>
      <c r="O84" s="130"/>
    </row>
    <row r="85" spans="1:15" s="19" customFormat="1" x14ac:dyDescent="0.25">
      <c r="A85" s="37"/>
      <c r="B85" s="134"/>
      <c r="C85" s="135" t="s">
        <v>266</v>
      </c>
      <c r="D85" s="136"/>
      <c r="E85" s="38"/>
      <c r="F85" s="39"/>
      <c r="G85" s="38"/>
      <c r="H85" s="38"/>
      <c r="I85" s="38"/>
      <c r="J85" s="38"/>
      <c r="K85" s="38"/>
      <c r="L85" s="161"/>
      <c r="M85" s="39"/>
      <c r="O85" s="130"/>
    </row>
    <row r="86" spans="1:15" s="44" customFormat="1" ht="14.25" x14ac:dyDescent="0.2">
      <c r="A86" s="140"/>
      <c r="B86" s="173" t="s">
        <v>277</v>
      </c>
      <c r="C86" s="142" t="s">
        <v>278</v>
      </c>
      <c r="D86" s="67" t="s">
        <v>27</v>
      </c>
      <c r="E86" s="164">
        <v>1</v>
      </c>
      <c r="F86" s="41">
        <f>E86*F84</f>
        <v>0.41499999999999998</v>
      </c>
      <c r="G86" s="42">
        <v>0</v>
      </c>
      <c r="H86" s="42">
        <f>F86*G86</f>
        <v>0</v>
      </c>
      <c r="I86" s="42">
        <f>360*1.25</f>
        <v>450</v>
      </c>
      <c r="J86" s="42">
        <f>F86*I86</f>
        <v>186.75</v>
      </c>
      <c r="K86" s="38">
        <v>0</v>
      </c>
      <c r="L86" s="38">
        <f>F86*K86</f>
        <v>0</v>
      </c>
      <c r="M86" s="43">
        <f>H86+J86+L86</f>
        <v>186.75</v>
      </c>
      <c r="O86" s="130"/>
    </row>
    <row r="87" spans="1:15" s="146" customFormat="1" x14ac:dyDescent="0.2">
      <c r="A87" s="45"/>
      <c r="B87" s="29" t="s">
        <v>296</v>
      </c>
      <c r="C87" s="142" t="s">
        <v>297</v>
      </c>
      <c r="D87" s="67" t="s">
        <v>298</v>
      </c>
      <c r="E87" s="38">
        <f>(0.6+0.75)*1.15*1.15</f>
        <v>1.7853749999999999</v>
      </c>
      <c r="F87" s="38">
        <f>F84*E87</f>
        <v>0.74093062499999995</v>
      </c>
      <c r="G87" s="42">
        <v>0</v>
      </c>
      <c r="H87" s="42">
        <f>F87*G87</f>
        <v>0</v>
      </c>
      <c r="I87" s="42">
        <v>0</v>
      </c>
      <c r="J87" s="42">
        <f>F87*I87</f>
        <v>0</v>
      </c>
      <c r="K87" s="163">
        <f>200*1.25/8</f>
        <v>31.25</v>
      </c>
      <c r="L87" s="38">
        <f>F87*K87</f>
        <v>23.154082031249999</v>
      </c>
      <c r="M87" s="43">
        <f>H87+J87+L87</f>
        <v>23.154082031249999</v>
      </c>
      <c r="O87" s="130"/>
    </row>
    <row r="88" spans="1:15" s="146" customFormat="1" x14ac:dyDescent="0.2">
      <c r="A88" s="45"/>
      <c r="B88" s="85"/>
      <c r="C88" s="142" t="s">
        <v>286</v>
      </c>
      <c r="D88" s="67" t="s">
        <v>18</v>
      </c>
      <c r="E88" s="38">
        <f>1.92*1.15*1.15</f>
        <v>2.5391999999999997</v>
      </c>
      <c r="F88" s="38">
        <f>F84*E88</f>
        <v>1.0537679999999998</v>
      </c>
      <c r="G88" s="42">
        <v>0</v>
      </c>
      <c r="H88" s="42">
        <f t="shared" ref="H88:H93" si="12">F88*G88</f>
        <v>0</v>
      </c>
      <c r="I88" s="42">
        <v>0</v>
      </c>
      <c r="J88" s="42">
        <f t="shared" ref="J88:J93" si="13">F88*I88</f>
        <v>0</v>
      </c>
      <c r="K88" s="38">
        <v>3.2</v>
      </c>
      <c r="L88" s="38">
        <f t="shared" ref="L88:L93" si="14">F88*K88</f>
        <v>3.3720575999999998</v>
      </c>
      <c r="M88" s="43">
        <f t="shared" ref="M88:M93" si="15">H88+J88+L88</f>
        <v>3.3720575999999998</v>
      </c>
      <c r="O88" s="130"/>
    </row>
    <row r="89" spans="1:15" s="44" customFormat="1" ht="25.5" x14ac:dyDescent="0.2">
      <c r="A89" s="165"/>
      <c r="B89" s="29" t="s">
        <v>299</v>
      </c>
      <c r="C89" s="166" t="s">
        <v>300</v>
      </c>
      <c r="D89" s="167" t="s">
        <v>27</v>
      </c>
      <c r="E89" s="168">
        <v>0</v>
      </c>
      <c r="F89" s="172">
        <f>F84*E89</f>
        <v>0</v>
      </c>
      <c r="G89" s="170">
        <v>2340</v>
      </c>
      <c r="H89" s="170">
        <f>F89*G89</f>
        <v>0</v>
      </c>
      <c r="I89" s="42">
        <v>0</v>
      </c>
      <c r="J89" s="42">
        <f t="shared" si="13"/>
        <v>0</v>
      </c>
      <c r="K89" s="38">
        <v>0</v>
      </c>
      <c r="L89" s="38">
        <f t="shared" si="14"/>
        <v>0</v>
      </c>
      <c r="M89" s="43">
        <f>H89+J89+L89</f>
        <v>0</v>
      </c>
      <c r="O89" s="130"/>
    </row>
    <row r="90" spans="1:15" s="44" customFormat="1" ht="25.5" x14ac:dyDescent="0.2">
      <c r="A90" s="165"/>
      <c r="B90" s="29" t="s">
        <v>289</v>
      </c>
      <c r="C90" s="166" t="s">
        <v>290</v>
      </c>
      <c r="D90" s="167" t="s">
        <v>291</v>
      </c>
      <c r="E90" s="171">
        <v>0.6</v>
      </c>
      <c r="F90" s="172">
        <f>E90*F84</f>
        <v>0.24899999999999997</v>
      </c>
      <c r="G90" s="170">
        <v>1.65</v>
      </c>
      <c r="H90" s="170">
        <f t="shared" si="12"/>
        <v>0.41084999999999994</v>
      </c>
      <c r="I90" s="42">
        <v>0</v>
      </c>
      <c r="J90" s="42">
        <f t="shared" si="13"/>
        <v>0</v>
      </c>
      <c r="K90" s="38">
        <v>0</v>
      </c>
      <c r="L90" s="38">
        <f t="shared" si="14"/>
        <v>0</v>
      </c>
      <c r="M90" s="43">
        <f t="shared" si="15"/>
        <v>0.41084999999999994</v>
      </c>
      <c r="O90" s="130"/>
    </row>
    <row r="91" spans="1:15" s="44" customFormat="1" ht="14.25" x14ac:dyDescent="0.2">
      <c r="A91" s="165"/>
      <c r="B91" s="29"/>
      <c r="C91" s="166" t="s">
        <v>292</v>
      </c>
      <c r="D91" s="167" t="s">
        <v>291</v>
      </c>
      <c r="E91" s="171">
        <v>0.15</v>
      </c>
      <c r="F91" s="172">
        <f>F84*E91</f>
        <v>6.2249999999999993E-2</v>
      </c>
      <c r="G91" s="170">
        <f>5/1.18</f>
        <v>4.2372881355932206</v>
      </c>
      <c r="H91" s="170">
        <f t="shared" si="12"/>
        <v>0.26377118644067793</v>
      </c>
      <c r="I91" s="42">
        <v>0</v>
      </c>
      <c r="J91" s="42">
        <f t="shared" si="13"/>
        <v>0</v>
      </c>
      <c r="K91" s="38">
        <v>0</v>
      </c>
      <c r="L91" s="38">
        <f t="shared" si="14"/>
        <v>0</v>
      </c>
      <c r="M91" s="43">
        <f t="shared" si="15"/>
        <v>0.26377118644067793</v>
      </c>
      <c r="O91" s="130"/>
    </row>
    <row r="92" spans="1:15" s="44" customFormat="1" ht="14.25" x14ac:dyDescent="0.2">
      <c r="A92" s="165"/>
      <c r="B92" s="29" t="s">
        <v>293</v>
      </c>
      <c r="C92" s="166" t="s">
        <v>294</v>
      </c>
      <c r="D92" s="167" t="s">
        <v>291</v>
      </c>
      <c r="E92" s="171">
        <v>2</v>
      </c>
      <c r="F92" s="172">
        <f>F84*E92</f>
        <v>0.83</v>
      </c>
      <c r="G92" s="170">
        <v>3</v>
      </c>
      <c r="H92" s="170">
        <f t="shared" si="12"/>
        <v>2.4899999999999998</v>
      </c>
      <c r="I92" s="42">
        <v>0</v>
      </c>
      <c r="J92" s="42">
        <f t="shared" si="13"/>
        <v>0</v>
      </c>
      <c r="K92" s="38">
        <v>0</v>
      </c>
      <c r="L92" s="38">
        <f t="shared" si="14"/>
        <v>0</v>
      </c>
      <c r="M92" s="43">
        <f t="shared" si="15"/>
        <v>2.4899999999999998</v>
      </c>
      <c r="O92" s="130"/>
    </row>
    <row r="93" spans="1:15" x14ac:dyDescent="0.25">
      <c r="A93" s="29"/>
      <c r="B93" s="124"/>
      <c r="C93" s="142" t="s">
        <v>295</v>
      </c>
      <c r="D93" s="67" t="s">
        <v>18</v>
      </c>
      <c r="E93" s="78">
        <v>2.78</v>
      </c>
      <c r="F93" s="38">
        <f>F84*E93</f>
        <v>1.1536999999999999</v>
      </c>
      <c r="G93" s="78">
        <v>3.2</v>
      </c>
      <c r="H93" s="42">
        <f t="shared" si="12"/>
        <v>3.69184</v>
      </c>
      <c r="I93" s="42">
        <v>0</v>
      </c>
      <c r="J93" s="164">
        <f t="shared" si="13"/>
        <v>0</v>
      </c>
      <c r="K93" s="38">
        <v>0</v>
      </c>
      <c r="L93" s="38">
        <f t="shared" si="14"/>
        <v>0</v>
      </c>
      <c r="M93" s="43">
        <f t="shared" si="15"/>
        <v>3.69184</v>
      </c>
      <c r="O93" s="130"/>
    </row>
    <row r="94" spans="1:15" ht="15.75" thickBot="1" x14ac:dyDescent="0.3">
      <c r="A94" s="148"/>
      <c r="B94" s="149"/>
      <c r="C94" s="149"/>
      <c r="D94" s="150"/>
      <c r="E94" s="151"/>
      <c r="F94" s="151"/>
      <c r="G94" s="151"/>
      <c r="H94" s="151"/>
      <c r="I94" s="151"/>
      <c r="J94" s="151"/>
      <c r="K94" s="151"/>
      <c r="L94" s="151"/>
      <c r="M94" s="152"/>
      <c r="O94" s="130"/>
    </row>
    <row r="95" spans="1:15" s="36" customFormat="1" ht="36" x14ac:dyDescent="0.2">
      <c r="A95" s="21">
        <v>6</v>
      </c>
      <c r="B95" s="131" t="s">
        <v>301</v>
      </c>
      <c r="C95" s="65" t="s">
        <v>184</v>
      </c>
      <c r="D95" s="79" t="s">
        <v>27</v>
      </c>
      <c r="E95" s="16"/>
      <c r="F95" s="30">
        <f>(442+442+308+292+86+2116)/1000</f>
        <v>3.6859999999999999</v>
      </c>
      <c r="G95" s="133">
        <f>H95/F95</f>
        <v>16.561</v>
      </c>
      <c r="H95" s="133">
        <f>SUM(H96:H104)</f>
        <v>61.043846000000002</v>
      </c>
      <c r="I95" s="133">
        <f>J95/F95</f>
        <v>625</v>
      </c>
      <c r="J95" s="133">
        <f>SUM(J96:J104)</f>
        <v>2303.75</v>
      </c>
      <c r="K95" s="133">
        <f>L95/F95</f>
        <v>76.929163749999987</v>
      </c>
      <c r="L95" s="133">
        <f>SUM(L96:L104)</f>
        <v>283.56089758249993</v>
      </c>
      <c r="M95" s="133">
        <f>SUM(M96:M104)</f>
        <v>2648.3547435824999</v>
      </c>
      <c r="O95" s="130"/>
    </row>
    <row r="96" spans="1:15" s="19" customFormat="1" x14ac:dyDescent="0.25">
      <c r="A96" s="37"/>
      <c r="B96" s="134"/>
      <c r="C96" s="135" t="s">
        <v>266</v>
      </c>
      <c r="D96" s="136"/>
      <c r="E96" s="38"/>
      <c r="F96" s="39"/>
      <c r="G96" s="38"/>
      <c r="H96" s="38"/>
      <c r="I96" s="38"/>
      <c r="J96" s="38"/>
      <c r="K96" s="38"/>
      <c r="L96" s="161"/>
      <c r="M96" s="39"/>
      <c r="O96" s="130"/>
    </row>
    <row r="97" spans="1:15" s="44" customFormat="1" ht="14.25" x14ac:dyDescent="0.2">
      <c r="A97" s="140"/>
      <c r="B97" s="173" t="s">
        <v>277</v>
      </c>
      <c r="C97" s="142" t="s">
        <v>278</v>
      </c>
      <c r="D97" s="67" t="s">
        <v>27</v>
      </c>
      <c r="E97" s="164">
        <v>1</v>
      </c>
      <c r="F97" s="41">
        <f>E97*F95</f>
        <v>3.6859999999999999</v>
      </c>
      <c r="G97" s="42">
        <v>0</v>
      </c>
      <c r="H97" s="42">
        <f>F97*G97</f>
        <v>0</v>
      </c>
      <c r="I97" s="42">
        <f>500*1.25</f>
        <v>625</v>
      </c>
      <c r="J97" s="42">
        <f>F97*I97</f>
        <v>2303.75</v>
      </c>
      <c r="K97" s="38">
        <v>0</v>
      </c>
      <c r="L97" s="38">
        <f>F97*K97</f>
        <v>0</v>
      </c>
      <c r="M97" s="43">
        <f>H97+J97+L97</f>
        <v>2303.75</v>
      </c>
      <c r="O97" s="130"/>
    </row>
    <row r="98" spans="1:15" s="146" customFormat="1" x14ac:dyDescent="0.2">
      <c r="A98" s="45"/>
      <c r="B98" s="29" t="s">
        <v>296</v>
      </c>
      <c r="C98" s="142" t="s">
        <v>297</v>
      </c>
      <c r="D98" s="67" t="s">
        <v>298</v>
      </c>
      <c r="E98" s="38">
        <f>(0.74+0.89)*1.15*1.15</f>
        <v>2.1556749999999996</v>
      </c>
      <c r="F98" s="38">
        <f>F95*E98</f>
        <v>7.945818049999998</v>
      </c>
      <c r="G98" s="42">
        <v>0</v>
      </c>
      <c r="H98" s="42">
        <f>F98*G98</f>
        <v>0</v>
      </c>
      <c r="I98" s="42">
        <v>0</v>
      </c>
      <c r="J98" s="42">
        <f>F98*I98</f>
        <v>0</v>
      </c>
      <c r="K98" s="163">
        <f>200*1.25/8</f>
        <v>31.25</v>
      </c>
      <c r="L98" s="38">
        <f>F98*K98</f>
        <v>248.30681406249994</v>
      </c>
      <c r="M98" s="43">
        <f>H98+J98+L98</f>
        <v>248.30681406249994</v>
      </c>
      <c r="O98" s="130"/>
    </row>
    <row r="99" spans="1:15" s="146" customFormat="1" x14ac:dyDescent="0.2">
      <c r="A99" s="45"/>
      <c r="B99" s="85"/>
      <c r="C99" s="142" t="s">
        <v>302</v>
      </c>
      <c r="D99" s="67" t="s">
        <v>18</v>
      </c>
      <c r="E99" s="164">
        <f>2.26*1.15*1.15</f>
        <v>2.9888499999999993</v>
      </c>
      <c r="F99" s="38">
        <f>F95*E99</f>
        <v>11.016901099999997</v>
      </c>
      <c r="G99" s="42">
        <v>0</v>
      </c>
      <c r="H99" s="42">
        <f t="shared" ref="H99:H104" si="16">F99*G99</f>
        <v>0</v>
      </c>
      <c r="I99" s="42">
        <v>0</v>
      </c>
      <c r="J99" s="42">
        <f t="shared" ref="J99:J104" si="17">F99*I99</f>
        <v>0</v>
      </c>
      <c r="K99" s="38">
        <v>3.2</v>
      </c>
      <c r="L99" s="38">
        <f t="shared" ref="L99:L104" si="18">F99*K99</f>
        <v>35.254083519999988</v>
      </c>
      <c r="M99" s="43">
        <f t="shared" ref="M99:M104" si="19">H99+J99+L99</f>
        <v>35.254083519999988</v>
      </c>
      <c r="O99" s="130"/>
    </row>
    <row r="100" spans="1:15" s="44" customFormat="1" ht="25.5" x14ac:dyDescent="0.2">
      <c r="A100" s="165"/>
      <c r="B100" s="29" t="s">
        <v>303</v>
      </c>
      <c r="C100" s="166" t="s">
        <v>304</v>
      </c>
      <c r="D100" s="167" t="s">
        <v>27</v>
      </c>
      <c r="E100" s="168">
        <v>0</v>
      </c>
      <c r="F100" s="172">
        <f>(327+442+442+308+292+86+124+40+58)/1000*E100</f>
        <v>0</v>
      </c>
      <c r="G100" s="174">
        <v>2260</v>
      </c>
      <c r="H100" s="170">
        <f t="shared" si="16"/>
        <v>0</v>
      </c>
      <c r="I100" s="42">
        <v>0</v>
      </c>
      <c r="J100" s="42">
        <f t="shared" si="17"/>
        <v>0</v>
      </c>
      <c r="K100" s="38">
        <v>0</v>
      </c>
      <c r="L100" s="38">
        <f t="shared" si="18"/>
        <v>0</v>
      </c>
      <c r="M100" s="43">
        <f t="shared" si="19"/>
        <v>0</v>
      </c>
      <c r="O100" s="130"/>
    </row>
    <row r="101" spans="1:15" s="44" customFormat="1" ht="25.5" x14ac:dyDescent="0.2">
      <c r="A101" s="165"/>
      <c r="B101" s="29" t="s">
        <v>289</v>
      </c>
      <c r="C101" s="166" t="s">
        <v>290</v>
      </c>
      <c r="D101" s="167" t="s">
        <v>291</v>
      </c>
      <c r="E101" s="171">
        <v>0.1</v>
      </c>
      <c r="F101" s="172">
        <f>E101*F95</f>
        <v>0.36860000000000004</v>
      </c>
      <c r="G101" s="170">
        <v>1.65</v>
      </c>
      <c r="H101" s="170">
        <f t="shared" si="16"/>
        <v>0.60819000000000001</v>
      </c>
      <c r="I101" s="42">
        <v>0</v>
      </c>
      <c r="J101" s="42">
        <f t="shared" si="17"/>
        <v>0</v>
      </c>
      <c r="K101" s="38">
        <v>0</v>
      </c>
      <c r="L101" s="38">
        <f t="shared" si="18"/>
        <v>0</v>
      </c>
      <c r="M101" s="43">
        <f t="shared" si="19"/>
        <v>0.60819000000000001</v>
      </c>
      <c r="O101" s="130"/>
    </row>
    <row r="102" spans="1:15" s="44" customFormat="1" ht="14.25" x14ac:dyDescent="0.2">
      <c r="A102" s="165"/>
      <c r="B102" s="29"/>
      <c r="C102" s="166" t="s">
        <v>292</v>
      </c>
      <c r="D102" s="167" t="s">
        <v>291</v>
      </c>
      <c r="E102" s="171"/>
      <c r="F102" s="172">
        <f>F95*E102</f>
        <v>0</v>
      </c>
      <c r="G102" s="170">
        <f>5/1.18</f>
        <v>4.2372881355932206</v>
      </c>
      <c r="H102" s="170">
        <f t="shared" si="16"/>
        <v>0</v>
      </c>
      <c r="I102" s="42">
        <v>0</v>
      </c>
      <c r="J102" s="42">
        <f t="shared" si="17"/>
        <v>0</v>
      </c>
      <c r="K102" s="38">
        <v>0</v>
      </c>
      <c r="L102" s="38">
        <f t="shared" si="18"/>
        <v>0</v>
      </c>
      <c r="M102" s="43">
        <f t="shared" si="19"/>
        <v>0</v>
      </c>
      <c r="O102" s="130"/>
    </row>
    <row r="103" spans="1:15" s="44" customFormat="1" ht="14.25" x14ac:dyDescent="0.2">
      <c r="A103" s="165"/>
      <c r="B103" s="29" t="s">
        <v>293</v>
      </c>
      <c r="C103" s="166" t="s">
        <v>294</v>
      </c>
      <c r="D103" s="167" t="s">
        <v>291</v>
      </c>
      <c r="E103" s="171">
        <v>2.5</v>
      </c>
      <c r="F103" s="172">
        <f>F95*E103</f>
        <v>9.2149999999999999</v>
      </c>
      <c r="G103" s="170">
        <v>3</v>
      </c>
      <c r="H103" s="170">
        <f t="shared" si="16"/>
        <v>27.645</v>
      </c>
      <c r="I103" s="42">
        <v>0</v>
      </c>
      <c r="J103" s="42">
        <f t="shared" si="17"/>
        <v>0</v>
      </c>
      <c r="K103" s="38">
        <v>0</v>
      </c>
      <c r="L103" s="38">
        <f t="shared" si="18"/>
        <v>0</v>
      </c>
      <c r="M103" s="43">
        <f t="shared" si="19"/>
        <v>27.645</v>
      </c>
      <c r="O103" s="130"/>
    </row>
    <row r="104" spans="1:15" x14ac:dyDescent="0.25">
      <c r="A104" s="29"/>
      <c r="B104" s="124"/>
      <c r="C104" s="142" t="s">
        <v>295</v>
      </c>
      <c r="D104" s="67" t="s">
        <v>18</v>
      </c>
      <c r="E104" s="29">
        <v>2.78</v>
      </c>
      <c r="F104" s="38">
        <f>F95*E104</f>
        <v>10.247079999999999</v>
      </c>
      <c r="G104" s="78">
        <v>3.2</v>
      </c>
      <c r="H104" s="42">
        <f t="shared" si="16"/>
        <v>32.790655999999998</v>
      </c>
      <c r="I104" s="42">
        <v>0</v>
      </c>
      <c r="J104" s="164">
        <f t="shared" si="17"/>
        <v>0</v>
      </c>
      <c r="K104" s="38">
        <v>0</v>
      </c>
      <c r="L104" s="38">
        <f t="shared" si="18"/>
        <v>0</v>
      </c>
      <c r="M104" s="43">
        <f t="shared" si="19"/>
        <v>32.790655999999998</v>
      </c>
      <c r="O104" s="130"/>
    </row>
    <row r="105" spans="1:15" ht="15.75" thickBot="1" x14ac:dyDescent="0.3">
      <c r="A105" s="148"/>
      <c r="B105" s="149"/>
      <c r="C105" s="149"/>
      <c r="D105" s="150"/>
      <c r="E105" s="151"/>
      <c r="F105" s="151"/>
      <c r="G105" s="151"/>
      <c r="H105" s="151"/>
      <c r="I105" s="151"/>
      <c r="J105" s="151"/>
      <c r="K105" s="151"/>
      <c r="L105" s="151"/>
      <c r="M105" s="152"/>
      <c r="O105" s="130"/>
    </row>
    <row r="106" spans="1:15" s="36" customFormat="1" ht="37.5" x14ac:dyDescent="0.2">
      <c r="A106" s="21">
        <v>7</v>
      </c>
      <c r="B106" s="131" t="s">
        <v>301</v>
      </c>
      <c r="C106" s="65" t="s">
        <v>229</v>
      </c>
      <c r="D106" s="79" t="s">
        <v>27</v>
      </c>
      <c r="E106" s="16"/>
      <c r="F106" s="30">
        <f>F111+F112</f>
        <v>6.0660000000000007</v>
      </c>
      <c r="G106" s="133">
        <f>H106/F106</f>
        <v>2256.7983887240357</v>
      </c>
      <c r="H106" s="133">
        <f>SUM(H107:H116)</f>
        <v>13689.739026000001</v>
      </c>
      <c r="I106" s="133">
        <f>J106/F106</f>
        <v>625</v>
      </c>
      <c r="J106" s="133">
        <f>SUM(J107:J116)</f>
        <v>3791.2500000000005</v>
      </c>
      <c r="K106" s="133">
        <f>L106/F106</f>
        <v>76.929163749999987</v>
      </c>
      <c r="L106" s="133">
        <f>SUM(L107:L116)</f>
        <v>466.6523073075</v>
      </c>
      <c r="M106" s="133">
        <f>SUM(M107:M116)</f>
        <v>17947.6413333075</v>
      </c>
      <c r="O106" s="130"/>
    </row>
    <row r="107" spans="1:15" s="19" customFormat="1" x14ac:dyDescent="0.25">
      <c r="A107" s="37"/>
      <c r="B107" s="134"/>
      <c r="C107" s="135" t="s">
        <v>266</v>
      </c>
      <c r="D107" s="136"/>
      <c r="E107" s="38"/>
      <c r="F107" s="39"/>
      <c r="G107" s="38"/>
      <c r="H107" s="38"/>
      <c r="I107" s="38"/>
      <c r="J107" s="38"/>
      <c r="K107" s="38"/>
      <c r="L107" s="161"/>
      <c r="M107" s="39"/>
      <c r="O107" s="130"/>
    </row>
    <row r="108" spans="1:15" s="44" customFormat="1" ht="14.25" x14ac:dyDescent="0.2">
      <c r="A108" s="140"/>
      <c r="B108" s="173" t="s">
        <v>277</v>
      </c>
      <c r="C108" s="142" t="s">
        <v>278</v>
      </c>
      <c r="D108" s="67" t="s">
        <v>27</v>
      </c>
      <c r="E108" s="164">
        <v>1</v>
      </c>
      <c r="F108" s="41">
        <f>E108*F106</f>
        <v>6.0660000000000007</v>
      </c>
      <c r="G108" s="42">
        <v>0</v>
      </c>
      <c r="H108" s="42">
        <f>F108*G108</f>
        <v>0</v>
      </c>
      <c r="I108" s="42">
        <f>500*1.25</f>
        <v>625</v>
      </c>
      <c r="J108" s="42">
        <f>F108*I108</f>
        <v>3791.2500000000005</v>
      </c>
      <c r="K108" s="38">
        <v>0</v>
      </c>
      <c r="L108" s="38">
        <f>F108*K108</f>
        <v>0</v>
      </c>
      <c r="M108" s="43">
        <f>H108+J108+L108</f>
        <v>3791.2500000000005</v>
      </c>
      <c r="O108" s="130"/>
    </row>
    <row r="109" spans="1:15" s="146" customFormat="1" x14ac:dyDescent="0.2">
      <c r="A109" s="45"/>
      <c r="B109" s="29" t="s">
        <v>296</v>
      </c>
      <c r="C109" s="142" t="s">
        <v>297</v>
      </c>
      <c r="D109" s="67" t="s">
        <v>298</v>
      </c>
      <c r="E109" s="38">
        <f>(0.74+0.89)*1.15*1.15</f>
        <v>2.1556749999999996</v>
      </c>
      <c r="F109" s="38">
        <f>F106*E109</f>
        <v>13.076324549999999</v>
      </c>
      <c r="G109" s="42">
        <v>0</v>
      </c>
      <c r="H109" s="42">
        <f>F109*G109</f>
        <v>0</v>
      </c>
      <c r="I109" s="42">
        <v>0</v>
      </c>
      <c r="J109" s="42">
        <f>F109*I109</f>
        <v>0</v>
      </c>
      <c r="K109" s="163">
        <f>200*1.25/8</f>
        <v>31.25</v>
      </c>
      <c r="L109" s="38">
        <f>F109*K109</f>
        <v>408.63514218749998</v>
      </c>
      <c r="M109" s="43">
        <f>H109+J109+L109</f>
        <v>408.63514218749998</v>
      </c>
      <c r="O109" s="130"/>
    </row>
    <row r="110" spans="1:15" s="146" customFormat="1" x14ac:dyDescent="0.2">
      <c r="A110" s="45"/>
      <c r="B110" s="85"/>
      <c r="C110" s="142" t="s">
        <v>302</v>
      </c>
      <c r="D110" s="67" t="s">
        <v>18</v>
      </c>
      <c r="E110" s="164">
        <f>2.26*1.15*1.15</f>
        <v>2.9888499999999993</v>
      </c>
      <c r="F110" s="38">
        <f>F106*E110</f>
        <v>18.130364099999998</v>
      </c>
      <c r="G110" s="42">
        <v>0</v>
      </c>
      <c r="H110" s="42">
        <f t="shared" ref="H110:H116" si="20">F110*G110</f>
        <v>0</v>
      </c>
      <c r="I110" s="42">
        <v>0</v>
      </c>
      <c r="J110" s="42">
        <f t="shared" ref="J110:J116" si="21">F110*I110</f>
        <v>0</v>
      </c>
      <c r="K110" s="38">
        <v>3.2</v>
      </c>
      <c r="L110" s="38">
        <f t="shared" ref="L110:L116" si="22">F110*K110</f>
        <v>58.017165119999994</v>
      </c>
      <c r="M110" s="43">
        <f t="shared" ref="M110:M116" si="23">H110+J110+L110</f>
        <v>58.017165119999994</v>
      </c>
      <c r="O110" s="130"/>
    </row>
    <row r="111" spans="1:15" s="44" customFormat="1" ht="14.25" x14ac:dyDescent="0.2">
      <c r="A111" s="165"/>
      <c r="B111" s="29" t="s">
        <v>303</v>
      </c>
      <c r="C111" s="166" t="s">
        <v>305</v>
      </c>
      <c r="D111" s="167" t="s">
        <v>27</v>
      </c>
      <c r="E111" s="171">
        <v>1</v>
      </c>
      <c r="F111" s="169">
        <f>E111*5844/1000</f>
        <v>5.8440000000000003</v>
      </c>
      <c r="G111" s="174">
        <v>2260</v>
      </c>
      <c r="H111" s="170">
        <f t="shared" si="20"/>
        <v>13207.44</v>
      </c>
      <c r="I111" s="42">
        <v>0</v>
      </c>
      <c r="J111" s="42">
        <f t="shared" si="21"/>
        <v>0</v>
      </c>
      <c r="K111" s="38">
        <v>0</v>
      </c>
      <c r="L111" s="38">
        <f t="shared" si="22"/>
        <v>0</v>
      </c>
      <c r="M111" s="43">
        <f t="shared" si="23"/>
        <v>13207.44</v>
      </c>
      <c r="O111" s="130"/>
    </row>
    <row r="112" spans="1:15" s="44" customFormat="1" ht="14.25" x14ac:dyDescent="0.2">
      <c r="A112" s="165"/>
      <c r="B112" s="29" t="s">
        <v>287</v>
      </c>
      <c r="C112" s="166" t="s">
        <v>306</v>
      </c>
      <c r="D112" s="167" t="s">
        <v>27</v>
      </c>
      <c r="E112" s="171">
        <v>1</v>
      </c>
      <c r="F112" s="169">
        <f>E112*(124+40+58)/1000</f>
        <v>0.222</v>
      </c>
      <c r="G112" s="170">
        <v>1720</v>
      </c>
      <c r="H112" s="170">
        <f>F112*G112</f>
        <v>381.84000000000003</v>
      </c>
      <c r="I112" s="42">
        <v>0</v>
      </c>
      <c r="J112" s="42">
        <f t="shared" si="21"/>
        <v>0</v>
      </c>
      <c r="K112" s="38">
        <v>0</v>
      </c>
      <c r="L112" s="38">
        <f t="shared" si="22"/>
        <v>0</v>
      </c>
      <c r="M112" s="43">
        <f>H112+J112+L112</f>
        <v>381.84000000000003</v>
      </c>
      <c r="O112" s="130"/>
    </row>
    <row r="113" spans="1:15" s="44" customFormat="1" ht="25.5" x14ac:dyDescent="0.2">
      <c r="A113" s="165"/>
      <c r="B113" s="29" t="s">
        <v>289</v>
      </c>
      <c r="C113" s="166" t="s">
        <v>290</v>
      </c>
      <c r="D113" s="167" t="s">
        <v>291</v>
      </c>
      <c r="E113" s="171">
        <v>0.1</v>
      </c>
      <c r="F113" s="172">
        <f>E113*F106</f>
        <v>0.60660000000000014</v>
      </c>
      <c r="G113" s="170">
        <v>1.65</v>
      </c>
      <c r="H113" s="170">
        <f t="shared" si="20"/>
        <v>1.0008900000000003</v>
      </c>
      <c r="I113" s="42">
        <v>0</v>
      </c>
      <c r="J113" s="42">
        <f t="shared" si="21"/>
        <v>0</v>
      </c>
      <c r="K113" s="38">
        <v>0</v>
      </c>
      <c r="L113" s="38">
        <f t="shared" si="22"/>
        <v>0</v>
      </c>
      <c r="M113" s="43">
        <f t="shared" si="23"/>
        <v>1.0008900000000003</v>
      </c>
      <c r="O113" s="130"/>
    </row>
    <row r="114" spans="1:15" s="44" customFormat="1" ht="14.25" x14ac:dyDescent="0.2">
      <c r="A114" s="165"/>
      <c r="B114" s="29"/>
      <c r="C114" s="166" t="s">
        <v>292</v>
      </c>
      <c r="D114" s="167" t="s">
        <v>291</v>
      </c>
      <c r="E114" s="171"/>
      <c r="F114" s="172">
        <f>F106*E114</f>
        <v>0</v>
      </c>
      <c r="G114" s="170">
        <f>5/1.18</f>
        <v>4.2372881355932206</v>
      </c>
      <c r="H114" s="170">
        <f t="shared" si="20"/>
        <v>0</v>
      </c>
      <c r="I114" s="42">
        <v>0</v>
      </c>
      <c r="J114" s="42">
        <f t="shared" si="21"/>
        <v>0</v>
      </c>
      <c r="K114" s="38">
        <v>0</v>
      </c>
      <c r="L114" s="38">
        <f t="shared" si="22"/>
        <v>0</v>
      </c>
      <c r="M114" s="43">
        <f t="shared" si="23"/>
        <v>0</v>
      </c>
      <c r="O114" s="130"/>
    </row>
    <row r="115" spans="1:15" s="44" customFormat="1" ht="14.25" x14ac:dyDescent="0.2">
      <c r="A115" s="165"/>
      <c r="B115" s="29" t="s">
        <v>293</v>
      </c>
      <c r="C115" s="166" t="s">
        <v>294</v>
      </c>
      <c r="D115" s="167" t="s">
        <v>291</v>
      </c>
      <c r="E115" s="171">
        <v>2.5</v>
      </c>
      <c r="F115" s="172">
        <f>F106*E115</f>
        <v>15.165000000000003</v>
      </c>
      <c r="G115" s="170">
        <v>3</v>
      </c>
      <c r="H115" s="170">
        <f t="shared" si="20"/>
        <v>45.495000000000005</v>
      </c>
      <c r="I115" s="42">
        <v>0</v>
      </c>
      <c r="J115" s="42">
        <f t="shared" si="21"/>
        <v>0</v>
      </c>
      <c r="K115" s="38">
        <v>0</v>
      </c>
      <c r="L115" s="38">
        <f t="shared" si="22"/>
        <v>0</v>
      </c>
      <c r="M115" s="43">
        <f t="shared" si="23"/>
        <v>45.495000000000005</v>
      </c>
      <c r="O115" s="130"/>
    </row>
    <row r="116" spans="1:15" x14ac:dyDescent="0.25">
      <c r="A116" s="29"/>
      <c r="B116" s="124"/>
      <c r="C116" s="142" t="s">
        <v>295</v>
      </c>
      <c r="D116" s="67" t="s">
        <v>18</v>
      </c>
      <c r="E116" s="29">
        <v>2.78</v>
      </c>
      <c r="F116" s="38">
        <f>F106*E116</f>
        <v>16.863479999999999</v>
      </c>
      <c r="G116" s="78">
        <v>3.2</v>
      </c>
      <c r="H116" s="42">
        <f t="shared" si="20"/>
        <v>53.963135999999999</v>
      </c>
      <c r="I116" s="42">
        <v>0</v>
      </c>
      <c r="J116" s="164">
        <f t="shared" si="21"/>
        <v>0</v>
      </c>
      <c r="K116" s="38">
        <v>0</v>
      </c>
      <c r="L116" s="38">
        <f t="shared" si="22"/>
        <v>0</v>
      </c>
      <c r="M116" s="43">
        <f t="shared" si="23"/>
        <v>53.963135999999999</v>
      </c>
      <c r="O116" s="130"/>
    </row>
    <row r="117" spans="1:15" ht="15.75" thickBot="1" x14ac:dyDescent="0.3">
      <c r="A117" s="148"/>
      <c r="B117" s="149"/>
      <c r="C117" s="149"/>
      <c r="D117" s="150"/>
      <c r="E117" s="151"/>
      <c r="F117" s="151"/>
      <c r="G117" s="151"/>
      <c r="H117" s="151"/>
      <c r="I117" s="151"/>
      <c r="J117" s="151"/>
      <c r="K117" s="151"/>
      <c r="L117" s="151"/>
      <c r="M117" s="152"/>
      <c r="O117" s="130"/>
    </row>
    <row r="118" spans="1:15" s="36" customFormat="1" ht="24" x14ac:dyDescent="0.2">
      <c r="A118" s="21">
        <v>8</v>
      </c>
      <c r="B118" s="131" t="s">
        <v>301</v>
      </c>
      <c r="C118" s="65" t="s">
        <v>185</v>
      </c>
      <c r="D118" s="79" t="s">
        <v>27</v>
      </c>
      <c r="E118" s="16"/>
      <c r="F118" s="30">
        <v>1.079</v>
      </c>
      <c r="G118" s="133">
        <f>H118/F118</f>
        <v>31.391508474576273</v>
      </c>
      <c r="H118" s="133">
        <f>SUM(H119:H127)</f>
        <v>33.871437644067797</v>
      </c>
      <c r="I118" s="133">
        <f>J118/F118</f>
        <v>450</v>
      </c>
      <c r="J118" s="133">
        <f>SUM(J119:J127)</f>
        <v>485.54999999999995</v>
      </c>
      <c r="K118" s="133">
        <f>L118/F118</f>
        <v>76.929163749999987</v>
      </c>
      <c r="L118" s="133">
        <f>SUM(L119:L127)</f>
        <v>83.00656768624998</v>
      </c>
      <c r="M118" s="133">
        <f>SUM(M119:M127)</f>
        <v>602.42800533031766</v>
      </c>
      <c r="O118" s="130"/>
    </row>
    <row r="119" spans="1:15" s="19" customFormat="1" x14ac:dyDescent="0.25">
      <c r="A119" s="37"/>
      <c r="B119" s="134"/>
      <c r="C119" s="135" t="s">
        <v>266</v>
      </c>
      <c r="D119" s="136"/>
      <c r="E119" s="38"/>
      <c r="F119" s="39"/>
      <c r="G119" s="38"/>
      <c r="H119" s="38"/>
      <c r="I119" s="38"/>
      <c r="J119" s="38"/>
      <c r="K119" s="38"/>
      <c r="L119" s="161"/>
      <c r="M119" s="39"/>
      <c r="O119" s="130"/>
    </row>
    <row r="120" spans="1:15" s="44" customFormat="1" ht="14.25" x14ac:dyDescent="0.2">
      <c r="A120" s="140"/>
      <c r="B120" s="173" t="s">
        <v>277</v>
      </c>
      <c r="C120" s="142" t="s">
        <v>278</v>
      </c>
      <c r="D120" s="67" t="s">
        <v>27</v>
      </c>
      <c r="E120" s="164">
        <v>1</v>
      </c>
      <c r="F120" s="41">
        <f>E120*F118</f>
        <v>1.079</v>
      </c>
      <c r="G120" s="42">
        <v>0</v>
      </c>
      <c r="H120" s="42">
        <f>F120*G120</f>
        <v>0</v>
      </c>
      <c r="I120" s="42">
        <f>360*1.25</f>
        <v>450</v>
      </c>
      <c r="J120" s="42">
        <f>F120*I120</f>
        <v>485.54999999999995</v>
      </c>
      <c r="K120" s="38">
        <v>0</v>
      </c>
      <c r="L120" s="38">
        <f>F120*K120</f>
        <v>0</v>
      </c>
      <c r="M120" s="43">
        <f>H120+J120+L120</f>
        <v>485.54999999999995</v>
      </c>
      <c r="O120" s="130"/>
    </row>
    <row r="121" spans="1:15" s="146" customFormat="1" x14ac:dyDescent="0.2">
      <c r="A121" s="45"/>
      <c r="B121" s="29" t="s">
        <v>296</v>
      </c>
      <c r="C121" s="142" t="s">
        <v>297</v>
      </c>
      <c r="D121" s="67" t="s">
        <v>298</v>
      </c>
      <c r="E121" s="38">
        <f>(0.74+0.89)*1.15*1.15</f>
        <v>2.1556749999999996</v>
      </c>
      <c r="F121" s="38">
        <f>F118*E121</f>
        <v>2.3259733249999996</v>
      </c>
      <c r="G121" s="42">
        <v>0</v>
      </c>
      <c r="H121" s="42">
        <f>F121*G121</f>
        <v>0</v>
      </c>
      <c r="I121" s="42">
        <v>0</v>
      </c>
      <c r="J121" s="42">
        <f>F121*I121</f>
        <v>0</v>
      </c>
      <c r="K121" s="163">
        <f>200*1.25/8</f>
        <v>31.25</v>
      </c>
      <c r="L121" s="38">
        <f>F121*K121</f>
        <v>72.686666406249984</v>
      </c>
      <c r="M121" s="43">
        <f>H121+J121+L121</f>
        <v>72.686666406249984</v>
      </c>
      <c r="O121" s="130"/>
    </row>
    <row r="122" spans="1:15" s="146" customFormat="1" x14ac:dyDescent="0.2">
      <c r="A122" s="45"/>
      <c r="B122" s="85"/>
      <c r="C122" s="142" t="s">
        <v>302</v>
      </c>
      <c r="D122" s="67" t="s">
        <v>18</v>
      </c>
      <c r="E122" s="164">
        <f>2.26*1.15*1.15</f>
        <v>2.9888499999999993</v>
      </c>
      <c r="F122" s="38">
        <f>F118*E122</f>
        <v>3.2249691499999993</v>
      </c>
      <c r="G122" s="42">
        <v>0</v>
      </c>
      <c r="H122" s="42">
        <f t="shared" ref="H122:H127" si="24">F122*G122</f>
        <v>0</v>
      </c>
      <c r="I122" s="42">
        <v>0</v>
      </c>
      <c r="J122" s="42">
        <f t="shared" ref="J122:J127" si="25">F122*I122</f>
        <v>0</v>
      </c>
      <c r="K122" s="38">
        <v>3.2</v>
      </c>
      <c r="L122" s="38">
        <f t="shared" ref="L122:L127" si="26">F122*K122</f>
        <v>10.319901279999998</v>
      </c>
      <c r="M122" s="43">
        <f t="shared" ref="M122:M127" si="27">H122+J122+L122</f>
        <v>10.319901279999998</v>
      </c>
      <c r="O122" s="130"/>
    </row>
    <row r="123" spans="1:15" s="44" customFormat="1" ht="14.25" x14ac:dyDescent="0.2">
      <c r="A123" s="165"/>
      <c r="B123" s="29" t="s">
        <v>303</v>
      </c>
      <c r="C123" s="166" t="s">
        <v>307</v>
      </c>
      <c r="D123" s="167" t="s">
        <v>27</v>
      </c>
      <c r="E123" s="168">
        <v>0</v>
      </c>
      <c r="F123" s="169">
        <f>F118*E123</f>
        <v>0</v>
      </c>
      <c r="G123" s="174">
        <v>2260</v>
      </c>
      <c r="H123" s="170">
        <f t="shared" si="24"/>
        <v>0</v>
      </c>
      <c r="I123" s="42">
        <v>0</v>
      </c>
      <c r="J123" s="42">
        <f t="shared" si="25"/>
        <v>0</v>
      </c>
      <c r="K123" s="38">
        <v>0</v>
      </c>
      <c r="L123" s="38">
        <f t="shared" si="26"/>
        <v>0</v>
      </c>
      <c r="M123" s="43">
        <f t="shared" si="27"/>
        <v>0</v>
      </c>
      <c r="O123" s="130"/>
    </row>
    <row r="124" spans="1:15" s="44" customFormat="1" ht="25.5" x14ac:dyDescent="0.2">
      <c r="A124" s="165"/>
      <c r="B124" s="29" t="s">
        <v>289</v>
      </c>
      <c r="C124" s="166" t="s">
        <v>290</v>
      </c>
      <c r="D124" s="167" t="s">
        <v>291</v>
      </c>
      <c r="E124" s="171">
        <v>0.1</v>
      </c>
      <c r="F124" s="172">
        <f>E124*F118</f>
        <v>0.1079</v>
      </c>
      <c r="G124" s="170">
        <v>1.65</v>
      </c>
      <c r="H124" s="170">
        <f t="shared" si="24"/>
        <v>0.17803499999999997</v>
      </c>
      <c r="I124" s="42">
        <v>0</v>
      </c>
      <c r="J124" s="42">
        <f t="shared" si="25"/>
        <v>0</v>
      </c>
      <c r="K124" s="38">
        <v>0</v>
      </c>
      <c r="L124" s="38">
        <f t="shared" si="26"/>
        <v>0</v>
      </c>
      <c r="M124" s="43">
        <f t="shared" si="27"/>
        <v>0.17803499999999997</v>
      </c>
      <c r="O124" s="130"/>
    </row>
    <row r="125" spans="1:15" s="44" customFormat="1" ht="14.25" x14ac:dyDescent="0.2">
      <c r="A125" s="165"/>
      <c r="B125" s="29"/>
      <c r="C125" s="166" t="s">
        <v>292</v>
      </c>
      <c r="D125" s="167" t="s">
        <v>291</v>
      </c>
      <c r="E125" s="171">
        <v>3.5</v>
      </c>
      <c r="F125" s="172">
        <f>F118*E125</f>
        <v>3.7765</v>
      </c>
      <c r="G125" s="170">
        <f>5/1.18</f>
        <v>4.2372881355932206</v>
      </c>
      <c r="H125" s="170">
        <f t="shared" si="24"/>
        <v>16.002118644067796</v>
      </c>
      <c r="I125" s="42">
        <v>0</v>
      </c>
      <c r="J125" s="42">
        <f t="shared" si="25"/>
        <v>0</v>
      </c>
      <c r="K125" s="38">
        <v>0</v>
      </c>
      <c r="L125" s="38">
        <f t="shared" si="26"/>
        <v>0</v>
      </c>
      <c r="M125" s="43">
        <f t="shared" si="27"/>
        <v>16.002118644067796</v>
      </c>
      <c r="O125" s="130"/>
    </row>
    <row r="126" spans="1:15" s="44" customFormat="1" ht="14.25" x14ac:dyDescent="0.2">
      <c r="A126" s="165"/>
      <c r="B126" s="29" t="s">
        <v>293</v>
      </c>
      <c r="C126" s="166" t="s">
        <v>294</v>
      </c>
      <c r="D126" s="167" t="s">
        <v>291</v>
      </c>
      <c r="E126" s="171">
        <v>2.5</v>
      </c>
      <c r="F126" s="172">
        <f>F118*E126</f>
        <v>2.6974999999999998</v>
      </c>
      <c r="G126" s="170">
        <v>3</v>
      </c>
      <c r="H126" s="170">
        <f t="shared" si="24"/>
        <v>8.0924999999999994</v>
      </c>
      <c r="I126" s="42">
        <v>0</v>
      </c>
      <c r="J126" s="42">
        <f t="shared" si="25"/>
        <v>0</v>
      </c>
      <c r="K126" s="38">
        <v>0</v>
      </c>
      <c r="L126" s="38">
        <f t="shared" si="26"/>
        <v>0</v>
      </c>
      <c r="M126" s="43">
        <f t="shared" si="27"/>
        <v>8.0924999999999994</v>
      </c>
      <c r="O126" s="130"/>
    </row>
    <row r="127" spans="1:15" x14ac:dyDescent="0.25">
      <c r="A127" s="29"/>
      <c r="B127" s="124"/>
      <c r="C127" s="142" t="s">
        <v>295</v>
      </c>
      <c r="D127" s="67" t="s">
        <v>18</v>
      </c>
      <c r="E127" s="29">
        <v>2.78</v>
      </c>
      <c r="F127" s="38">
        <f>F118*E127</f>
        <v>2.9996199999999997</v>
      </c>
      <c r="G127" s="78">
        <v>3.2</v>
      </c>
      <c r="H127" s="42">
        <f t="shared" si="24"/>
        <v>9.5987840000000002</v>
      </c>
      <c r="I127" s="42">
        <v>0</v>
      </c>
      <c r="J127" s="164">
        <f t="shared" si="25"/>
        <v>0</v>
      </c>
      <c r="K127" s="38">
        <v>0</v>
      </c>
      <c r="L127" s="38">
        <f t="shared" si="26"/>
        <v>0</v>
      </c>
      <c r="M127" s="43">
        <f t="shared" si="27"/>
        <v>9.5987840000000002</v>
      </c>
      <c r="O127" s="130"/>
    </row>
    <row r="128" spans="1:15" ht="15.75" thickBot="1" x14ac:dyDescent="0.3">
      <c r="A128" s="148"/>
      <c r="B128" s="149"/>
      <c r="C128" s="149"/>
      <c r="D128" s="150"/>
      <c r="E128" s="151"/>
      <c r="F128" s="151"/>
      <c r="G128" s="151"/>
      <c r="H128" s="151"/>
      <c r="I128" s="151"/>
      <c r="J128" s="151"/>
      <c r="K128" s="151"/>
      <c r="L128" s="151"/>
      <c r="M128" s="152"/>
      <c r="O128" s="130"/>
    </row>
    <row r="129" spans="1:15" s="36" customFormat="1" ht="24" x14ac:dyDescent="0.2">
      <c r="A129" s="21">
        <v>9</v>
      </c>
      <c r="B129" s="131" t="s">
        <v>301</v>
      </c>
      <c r="C129" s="65" t="s">
        <v>186</v>
      </c>
      <c r="D129" s="79" t="s">
        <v>27</v>
      </c>
      <c r="E129" s="16"/>
      <c r="F129" s="30">
        <f>0.676/7*2</f>
        <v>0.19314285714285714</v>
      </c>
      <c r="G129" s="133">
        <f>H129/F129</f>
        <v>31.391508474576273</v>
      </c>
      <c r="H129" s="133">
        <f>SUM(H130:H138)</f>
        <v>6.0630456368038743</v>
      </c>
      <c r="I129" s="133">
        <f>J129/F129</f>
        <v>450</v>
      </c>
      <c r="J129" s="133">
        <f>SUM(J130:J138)</f>
        <v>86.914285714285711</v>
      </c>
      <c r="K129" s="133">
        <f>L129/F129</f>
        <v>76.929163749999987</v>
      </c>
      <c r="L129" s="133">
        <f>SUM(L130:L138)</f>
        <v>14.858318484285711</v>
      </c>
      <c r="M129" s="133">
        <f>SUM(M130:M138)</f>
        <v>107.83564983537531</v>
      </c>
      <c r="O129" s="130"/>
    </row>
    <row r="130" spans="1:15" s="19" customFormat="1" x14ac:dyDescent="0.25">
      <c r="A130" s="37"/>
      <c r="B130" s="134"/>
      <c r="C130" s="135" t="s">
        <v>266</v>
      </c>
      <c r="D130" s="136"/>
      <c r="E130" s="38"/>
      <c r="F130" s="39"/>
      <c r="G130" s="38"/>
      <c r="H130" s="38"/>
      <c r="I130" s="38"/>
      <c r="J130" s="38"/>
      <c r="K130" s="38"/>
      <c r="L130" s="161"/>
      <c r="M130" s="39"/>
      <c r="O130" s="130"/>
    </row>
    <row r="131" spans="1:15" s="44" customFormat="1" ht="14.25" x14ac:dyDescent="0.2">
      <c r="A131" s="140"/>
      <c r="B131" s="173" t="s">
        <v>277</v>
      </c>
      <c r="C131" s="142" t="s">
        <v>278</v>
      </c>
      <c r="D131" s="67" t="s">
        <v>27</v>
      </c>
      <c r="E131" s="164">
        <v>1</v>
      </c>
      <c r="F131" s="41">
        <f>E131*F129</f>
        <v>0.19314285714285714</v>
      </c>
      <c r="G131" s="42">
        <v>0</v>
      </c>
      <c r="H131" s="42">
        <f>F131*G131</f>
        <v>0</v>
      </c>
      <c r="I131" s="42">
        <f>360*1.25</f>
        <v>450</v>
      </c>
      <c r="J131" s="42">
        <f>F131*I131</f>
        <v>86.914285714285711</v>
      </c>
      <c r="K131" s="38">
        <v>0</v>
      </c>
      <c r="L131" s="38">
        <f>F131*K131</f>
        <v>0</v>
      </c>
      <c r="M131" s="43">
        <f>H131+J131+L131</f>
        <v>86.914285714285711</v>
      </c>
      <c r="O131" s="130"/>
    </row>
    <row r="132" spans="1:15" s="146" customFormat="1" x14ac:dyDescent="0.2">
      <c r="A132" s="45"/>
      <c r="B132" s="29" t="s">
        <v>296</v>
      </c>
      <c r="C132" s="142" t="s">
        <v>297</v>
      </c>
      <c r="D132" s="67" t="s">
        <v>298</v>
      </c>
      <c r="E132" s="38">
        <f>(0.74+0.89)*1.15*1.15</f>
        <v>2.1556749999999996</v>
      </c>
      <c r="F132" s="38">
        <f>F129*E132</f>
        <v>0.41635322857142848</v>
      </c>
      <c r="G132" s="42">
        <v>0</v>
      </c>
      <c r="H132" s="42">
        <f>F132*G132</f>
        <v>0</v>
      </c>
      <c r="I132" s="42">
        <v>0</v>
      </c>
      <c r="J132" s="42">
        <f>F132*I132</f>
        <v>0</v>
      </c>
      <c r="K132" s="163">
        <f>200*1.25/8</f>
        <v>31.25</v>
      </c>
      <c r="L132" s="38">
        <f>F132*K132</f>
        <v>13.01103839285714</v>
      </c>
      <c r="M132" s="43">
        <f>H132+J132+L132</f>
        <v>13.01103839285714</v>
      </c>
      <c r="O132" s="130"/>
    </row>
    <row r="133" spans="1:15" s="146" customFormat="1" x14ac:dyDescent="0.2">
      <c r="A133" s="45"/>
      <c r="B133" s="85"/>
      <c r="C133" s="142" t="s">
        <v>302</v>
      </c>
      <c r="D133" s="67" t="s">
        <v>18</v>
      </c>
      <c r="E133" s="164">
        <f>2.26*1.15*1.15</f>
        <v>2.9888499999999993</v>
      </c>
      <c r="F133" s="38">
        <f>F129*E133</f>
        <v>0.57727502857142843</v>
      </c>
      <c r="G133" s="42">
        <v>0</v>
      </c>
      <c r="H133" s="42">
        <f t="shared" ref="H133:H138" si="28">F133*G133</f>
        <v>0</v>
      </c>
      <c r="I133" s="42">
        <v>0</v>
      </c>
      <c r="J133" s="42">
        <f t="shared" ref="J133:J138" si="29">F133*I133</f>
        <v>0</v>
      </c>
      <c r="K133" s="38">
        <v>3.2</v>
      </c>
      <c r="L133" s="38">
        <f t="shared" ref="L133:L138" si="30">F133*K133</f>
        <v>1.847280091428571</v>
      </c>
      <c r="M133" s="43">
        <f t="shared" ref="M133:M138" si="31">H133+J133+L133</f>
        <v>1.847280091428571</v>
      </c>
      <c r="O133" s="130"/>
    </row>
    <row r="134" spans="1:15" s="44" customFormat="1" ht="14.25" x14ac:dyDescent="0.2">
      <c r="A134" s="165"/>
      <c r="B134" s="29" t="s">
        <v>303</v>
      </c>
      <c r="C134" s="166" t="s">
        <v>307</v>
      </c>
      <c r="D134" s="167" t="s">
        <v>27</v>
      </c>
      <c r="E134" s="168">
        <v>0</v>
      </c>
      <c r="F134" s="172">
        <f>F129*E134</f>
        <v>0</v>
      </c>
      <c r="G134" s="174">
        <v>2260</v>
      </c>
      <c r="H134" s="170">
        <f t="shared" si="28"/>
        <v>0</v>
      </c>
      <c r="I134" s="42">
        <v>0</v>
      </c>
      <c r="J134" s="42">
        <f t="shared" si="29"/>
        <v>0</v>
      </c>
      <c r="K134" s="38">
        <v>0</v>
      </c>
      <c r="L134" s="38">
        <f t="shared" si="30"/>
        <v>0</v>
      </c>
      <c r="M134" s="43">
        <f t="shared" si="31"/>
        <v>0</v>
      </c>
      <c r="O134" s="130"/>
    </row>
    <row r="135" spans="1:15" s="44" customFormat="1" ht="25.5" x14ac:dyDescent="0.2">
      <c r="A135" s="165"/>
      <c r="B135" s="29" t="s">
        <v>289</v>
      </c>
      <c r="C135" s="166" t="s">
        <v>290</v>
      </c>
      <c r="D135" s="167" t="s">
        <v>291</v>
      </c>
      <c r="E135" s="171">
        <v>0.1</v>
      </c>
      <c r="F135" s="172">
        <f>E135*F129</f>
        <v>1.9314285714285714E-2</v>
      </c>
      <c r="G135" s="170">
        <v>1.65</v>
      </c>
      <c r="H135" s="170">
        <f t="shared" si="28"/>
        <v>3.1868571428571427E-2</v>
      </c>
      <c r="I135" s="42">
        <v>0</v>
      </c>
      <c r="J135" s="42">
        <f t="shared" si="29"/>
        <v>0</v>
      </c>
      <c r="K135" s="38">
        <v>0</v>
      </c>
      <c r="L135" s="38">
        <f t="shared" si="30"/>
        <v>0</v>
      </c>
      <c r="M135" s="43">
        <f t="shared" si="31"/>
        <v>3.1868571428571427E-2</v>
      </c>
      <c r="O135" s="130"/>
    </row>
    <row r="136" spans="1:15" s="44" customFormat="1" ht="14.25" x14ac:dyDescent="0.2">
      <c r="A136" s="165"/>
      <c r="B136" s="29"/>
      <c r="C136" s="166" t="s">
        <v>292</v>
      </c>
      <c r="D136" s="167" t="s">
        <v>291</v>
      </c>
      <c r="E136" s="171">
        <v>3.5</v>
      </c>
      <c r="F136" s="172">
        <f>F129*E136</f>
        <v>0.67600000000000005</v>
      </c>
      <c r="G136" s="170">
        <f>5/1.18</f>
        <v>4.2372881355932206</v>
      </c>
      <c r="H136" s="170">
        <f t="shared" si="28"/>
        <v>2.8644067796610173</v>
      </c>
      <c r="I136" s="42">
        <v>0</v>
      </c>
      <c r="J136" s="42">
        <f t="shared" si="29"/>
        <v>0</v>
      </c>
      <c r="K136" s="38">
        <v>0</v>
      </c>
      <c r="L136" s="38">
        <f t="shared" si="30"/>
        <v>0</v>
      </c>
      <c r="M136" s="43">
        <f t="shared" si="31"/>
        <v>2.8644067796610173</v>
      </c>
      <c r="O136" s="130"/>
    </row>
    <row r="137" spans="1:15" s="44" customFormat="1" ht="14.25" x14ac:dyDescent="0.2">
      <c r="A137" s="165"/>
      <c r="B137" s="29" t="s">
        <v>293</v>
      </c>
      <c r="C137" s="166" t="s">
        <v>294</v>
      </c>
      <c r="D137" s="167" t="s">
        <v>291</v>
      </c>
      <c r="E137" s="171">
        <v>2.5</v>
      </c>
      <c r="F137" s="172">
        <f>F129*E137</f>
        <v>0.48285714285714287</v>
      </c>
      <c r="G137" s="170">
        <v>3</v>
      </c>
      <c r="H137" s="170">
        <f t="shared" si="28"/>
        <v>1.4485714285714286</v>
      </c>
      <c r="I137" s="42">
        <v>0</v>
      </c>
      <c r="J137" s="42">
        <f t="shared" si="29"/>
        <v>0</v>
      </c>
      <c r="K137" s="38">
        <v>0</v>
      </c>
      <c r="L137" s="38">
        <f t="shared" si="30"/>
        <v>0</v>
      </c>
      <c r="M137" s="43">
        <f t="shared" si="31"/>
        <v>1.4485714285714286</v>
      </c>
      <c r="O137" s="130"/>
    </row>
    <row r="138" spans="1:15" x14ac:dyDescent="0.25">
      <c r="A138" s="29"/>
      <c r="B138" s="124"/>
      <c r="C138" s="142" t="s">
        <v>295</v>
      </c>
      <c r="D138" s="67" t="s">
        <v>18</v>
      </c>
      <c r="E138" s="29">
        <v>2.78</v>
      </c>
      <c r="F138" s="38">
        <f>F129*E138</f>
        <v>0.53693714285714278</v>
      </c>
      <c r="G138" s="78">
        <v>3.2</v>
      </c>
      <c r="H138" s="42">
        <f t="shared" si="28"/>
        <v>1.718198857142857</v>
      </c>
      <c r="I138" s="42">
        <v>0</v>
      </c>
      <c r="J138" s="164">
        <f t="shared" si="29"/>
        <v>0</v>
      </c>
      <c r="K138" s="38">
        <v>0</v>
      </c>
      <c r="L138" s="38">
        <f t="shared" si="30"/>
        <v>0</v>
      </c>
      <c r="M138" s="43">
        <f t="shared" si="31"/>
        <v>1.718198857142857</v>
      </c>
      <c r="O138" s="130"/>
    </row>
    <row r="139" spans="1:15" ht="15.75" thickBot="1" x14ac:dyDescent="0.3">
      <c r="A139" s="148"/>
      <c r="B139" s="149"/>
      <c r="C139" s="149"/>
      <c r="D139" s="150"/>
      <c r="E139" s="151"/>
      <c r="F139" s="151"/>
      <c r="G139" s="151"/>
      <c r="H139" s="151"/>
      <c r="I139" s="151"/>
      <c r="J139" s="151"/>
      <c r="K139" s="151"/>
      <c r="L139" s="151"/>
      <c r="M139" s="152"/>
      <c r="O139" s="130"/>
    </row>
    <row r="140" spans="1:15" s="36" customFormat="1" ht="24" x14ac:dyDescent="0.2">
      <c r="A140" s="21">
        <v>10</v>
      </c>
      <c r="B140" s="131" t="s">
        <v>301</v>
      </c>
      <c r="C140" s="65" t="s">
        <v>187</v>
      </c>
      <c r="D140" s="79" t="s">
        <v>27</v>
      </c>
      <c r="E140" s="16"/>
      <c r="F140" s="27">
        <f>1.338/14*4</f>
        <v>0.38228571428571428</v>
      </c>
      <c r="G140" s="133">
        <f>H140/F140</f>
        <v>31.39150847457627</v>
      </c>
      <c r="H140" s="133">
        <f>SUM(H141:H149)</f>
        <v>12.000525239709443</v>
      </c>
      <c r="I140" s="133">
        <f>J140/F140</f>
        <v>450.00000000000006</v>
      </c>
      <c r="J140" s="133">
        <f>SUM(J141:J149)</f>
        <v>172.02857142857144</v>
      </c>
      <c r="K140" s="133">
        <f>L140/F140</f>
        <v>76.929163749999987</v>
      </c>
      <c r="L140" s="133">
        <f>SUM(L141:L149)</f>
        <v>29.408920313571421</v>
      </c>
      <c r="M140" s="133">
        <f>SUM(M141:M149)</f>
        <v>213.43801698185229</v>
      </c>
      <c r="O140" s="130"/>
    </row>
    <row r="141" spans="1:15" s="19" customFormat="1" x14ac:dyDescent="0.25">
      <c r="A141" s="37"/>
      <c r="B141" s="134"/>
      <c r="C141" s="135" t="s">
        <v>266</v>
      </c>
      <c r="D141" s="136"/>
      <c r="E141" s="38"/>
      <c r="F141" s="39"/>
      <c r="G141" s="38"/>
      <c r="H141" s="38"/>
      <c r="I141" s="38"/>
      <c r="J141" s="38"/>
      <c r="K141" s="38"/>
      <c r="L141" s="161"/>
      <c r="M141" s="39"/>
      <c r="O141" s="130"/>
    </row>
    <row r="142" spans="1:15" s="44" customFormat="1" ht="14.25" x14ac:dyDescent="0.2">
      <c r="A142" s="140"/>
      <c r="B142" s="173" t="s">
        <v>277</v>
      </c>
      <c r="C142" s="142" t="s">
        <v>278</v>
      </c>
      <c r="D142" s="67" t="s">
        <v>27</v>
      </c>
      <c r="E142" s="164">
        <v>1</v>
      </c>
      <c r="F142" s="41">
        <f>E142*F140</f>
        <v>0.38228571428571428</v>
      </c>
      <c r="G142" s="42">
        <v>0</v>
      </c>
      <c r="H142" s="42">
        <f>F142*G142</f>
        <v>0</v>
      </c>
      <c r="I142" s="42">
        <f>360*1.25</f>
        <v>450</v>
      </c>
      <c r="J142" s="42">
        <f>F142*I142</f>
        <v>172.02857142857144</v>
      </c>
      <c r="K142" s="38">
        <v>0</v>
      </c>
      <c r="L142" s="38">
        <f>F142*K142</f>
        <v>0</v>
      </c>
      <c r="M142" s="43">
        <f>H142+J142+L142</f>
        <v>172.02857142857144</v>
      </c>
      <c r="O142" s="130"/>
    </row>
    <row r="143" spans="1:15" s="146" customFormat="1" x14ac:dyDescent="0.2">
      <c r="A143" s="45"/>
      <c r="B143" s="29" t="s">
        <v>296</v>
      </c>
      <c r="C143" s="142" t="s">
        <v>297</v>
      </c>
      <c r="D143" s="67" t="s">
        <v>298</v>
      </c>
      <c r="E143" s="38">
        <f>(0.74+0.89)*1.15*1.15</f>
        <v>2.1556749999999996</v>
      </c>
      <c r="F143" s="38">
        <f>F140*E143</f>
        <v>0.82408375714285698</v>
      </c>
      <c r="G143" s="42">
        <v>0</v>
      </c>
      <c r="H143" s="42">
        <f>F143*G143</f>
        <v>0</v>
      </c>
      <c r="I143" s="42">
        <v>0</v>
      </c>
      <c r="J143" s="42">
        <f>F143*I143</f>
        <v>0</v>
      </c>
      <c r="K143" s="163">
        <f>200*1.25/8</f>
        <v>31.25</v>
      </c>
      <c r="L143" s="38">
        <f>F143*K143</f>
        <v>25.752617410714279</v>
      </c>
      <c r="M143" s="43">
        <f>H143+J143+L143</f>
        <v>25.752617410714279</v>
      </c>
      <c r="O143" s="130"/>
    </row>
    <row r="144" spans="1:15" s="146" customFormat="1" x14ac:dyDescent="0.2">
      <c r="A144" s="45"/>
      <c r="B144" s="85"/>
      <c r="C144" s="142" t="s">
        <v>302</v>
      </c>
      <c r="D144" s="67" t="s">
        <v>18</v>
      </c>
      <c r="E144" s="164">
        <f>2.26*1.15*1.15</f>
        <v>2.9888499999999993</v>
      </c>
      <c r="F144" s="38">
        <f>F140*E144</f>
        <v>1.1425946571428569</v>
      </c>
      <c r="G144" s="42">
        <v>0</v>
      </c>
      <c r="H144" s="42">
        <f t="shared" ref="H144:H149" si="32">F144*G144</f>
        <v>0</v>
      </c>
      <c r="I144" s="42">
        <v>0</v>
      </c>
      <c r="J144" s="42">
        <f t="shared" ref="J144:J149" si="33">F144*I144</f>
        <v>0</v>
      </c>
      <c r="K144" s="38">
        <v>3.2</v>
      </c>
      <c r="L144" s="38">
        <f t="shared" ref="L144:L149" si="34">F144*K144</f>
        <v>3.6563029028571421</v>
      </c>
      <c r="M144" s="43">
        <f t="shared" ref="M144:M149" si="35">H144+J144+L144</f>
        <v>3.6563029028571421</v>
      </c>
      <c r="O144" s="130"/>
    </row>
    <row r="145" spans="1:15" s="44" customFormat="1" ht="25.5" x14ac:dyDescent="0.2">
      <c r="A145" s="165"/>
      <c r="B145" s="29" t="s">
        <v>303</v>
      </c>
      <c r="C145" s="166" t="s">
        <v>308</v>
      </c>
      <c r="D145" s="167" t="s">
        <v>27</v>
      </c>
      <c r="E145" s="175">
        <v>0</v>
      </c>
      <c r="F145" s="169">
        <f>F140*E145</f>
        <v>0</v>
      </c>
      <c r="G145" s="174">
        <v>2260</v>
      </c>
      <c r="H145" s="170">
        <f t="shared" si="32"/>
        <v>0</v>
      </c>
      <c r="I145" s="42">
        <v>0</v>
      </c>
      <c r="J145" s="42">
        <f t="shared" si="33"/>
        <v>0</v>
      </c>
      <c r="K145" s="38">
        <v>0</v>
      </c>
      <c r="L145" s="38">
        <f t="shared" si="34"/>
        <v>0</v>
      </c>
      <c r="M145" s="43">
        <f t="shared" si="35"/>
        <v>0</v>
      </c>
      <c r="O145" s="130"/>
    </row>
    <row r="146" spans="1:15" s="44" customFormat="1" ht="25.5" x14ac:dyDescent="0.2">
      <c r="A146" s="165"/>
      <c r="B146" s="29" t="s">
        <v>289</v>
      </c>
      <c r="C146" s="166" t="s">
        <v>290</v>
      </c>
      <c r="D146" s="167" t="s">
        <v>291</v>
      </c>
      <c r="E146" s="171">
        <v>0.1</v>
      </c>
      <c r="F146" s="172">
        <f>E146*F140</f>
        <v>3.8228571428571431E-2</v>
      </c>
      <c r="G146" s="170">
        <v>1.65</v>
      </c>
      <c r="H146" s="170">
        <f t="shared" si="32"/>
        <v>6.3077142857142859E-2</v>
      </c>
      <c r="I146" s="42">
        <v>0</v>
      </c>
      <c r="J146" s="42">
        <f t="shared" si="33"/>
        <v>0</v>
      </c>
      <c r="K146" s="38">
        <v>0</v>
      </c>
      <c r="L146" s="38">
        <f t="shared" si="34"/>
        <v>0</v>
      </c>
      <c r="M146" s="43">
        <f t="shared" si="35"/>
        <v>6.3077142857142859E-2</v>
      </c>
      <c r="O146" s="130"/>
    </row>
    <row r="147" spans="1:15" s="44" customFormat="1" ht="14.25" x14ac:dyDescent="0.2">
      <c r="A147" s="165"/>
      <c r="B147" s="29"/>
      <c r="C147" s="166" t="s">
        <v>292</v>
      </c>
      <c r="D147" s="167" t="s">
        <v>291</v>
      </c>
      <c r="E147" s="171">
        <v>3.5</v>
      </c>
      <c r="F147" s="172">
        <f>F140*E147</f>
        <v>1.3380000000000001</v>
      </c>
      <c r="G147" s="170">
        <f>5/1.18</f>
        <v>4.2372881355932206</v>
      </c>
      <c r="H147" s="170">
        <f t="shared" si="32"/>
        <v>5.6694915254237293</v>
      </c>
      <c r="I147" s="42">
        <v>0</v>
      </c>
      <c r="J147" s="42">
        <f t="shared" si="33"/>
        <v>0</v>
      </c>
      <c r="K147" s="38">
        <v>0</v>
      </c>
      <c r="L147" s="38">
        <f t="shared" si="34"/>
        <v>0</v>
      </c>
      <c r="M147" s="43">
        <f t="shared" si="35"/>
        <v>5.6694915254237293</v>
      </c>
      <c r="O147" s="130"/>
    </row>
    <row r="148" spans="1:15" s="44" customFormat="1" ht="14.25" x14ac:dyDescent="0.2">
      <c r="A148" s="165"/>
      <c r="B148" s="29" t="s">
        <v>293</v>
      </c>
      <c r="C148" s="166" t="s">
        <v>294</v>
      </c>
      <c r="D148" s="167" t="s">
        <v>291</v>
      </c>
      <c r="E148" s="171">
        <v>2.5</v>
      </c>
      <c r="F148" s="172">
        <f>F140*E148</f>
        <v>0.95571428571428574</v>
      </c>
      <c r="G148" s="170">
        <v>3</v>
      </c>
      <c r="H148" s="170">
        <f t="shared" si="32"/>
        <v>2.8671428571428574</v>
      </c>
      <c r="I148" s="42">
        <v>0</v>
      </c>
      <c r="J148" s="42">
        <f t="shared" si="33"/>
        <v>0</v>
      </c>
      <c r="K148" s="38">
        <v>0</v>
      </c>
      <c r="L148" s="38">
        <f t="shared" si="34"/>
        <v>0</v>
      </c>
      <c r="M148" s="43">
        <f t="shared" si="35"/>
        <v>2.8671428571428574</v>
      </c>
      <c r="O148" s="130"/>
    </row>
    <row r="149" spans="1:15" x14ac:dyDescent="0.25">
      <c r="A149" s="29"/>
      <c r="B149" s="124"/>
      <c r="C149" s="142" t="s">
        <v>295</v>
      </c>
      <c r="D149" s="67" t="s">
        <v>18</v>
      </c>
      <c r="E149" s="29">
        <v>2.78</v>
      </c>
      <c r="F149" s="38">
        <f>F140*E149</f>
        <v>1.0627542857142855</v>
      </c>
      <c r="G149" s="78">
        <v>3.2</v>
      </c>
      <c r="H149" s="42">
        <f t="shared" si="32"/>
        <v>3.400813714285714</v>
      </c>
      <c r="I149" s="42">
        <v>0</v>
      </c>
      <c r="J149" s="164">
        <f t="shared" si="33"/>
        <v>0</v>
      </c>
      <c r="K149" s="38">
        <v>0</v>
      </c>
      <c r="L149" s="38">
        <f t="shared" si="34"/>
        <v>0</v>
      </c>
      <c r="M149" s="43">
        <f t="shared" si="35"/>
        <v>3.400813714285714</v>
      </c>
      <c r="O149" s="130"/>
    </row>
    <row r="150" spans="1:15" ht="15.75" thickBot="1" x14ac:dyDescent="0.3">
      <c r="A150" s="148"/>
      <c r="B150" s="149"/>
      <c r="C150" s="149"/>
      <c r="D150" s="150"/>
      <c r="E150" s="151"/>
      <c r="F150" s="151"/>
      <c r="G150" s="151"/>
      <c r="H150" s="151"/>
      <c r="I150" s="151"/>
      <c r="J150" s="151"/>
      <c r="K150" s="151"/>
      <c r="L150" s="151"/>
      <c r="M150" s="152"/>
      <c r="O150" s="130"/>
    </row>
    <row r="151" spans="1:15" s="36" customFormat="1" ht="24.75" x14ac:dyDescent="0.2">
      <c r="A151" s="21">
        <v>11</v>
      </c>
      <c r="B151" s="131" t="s">
        <v>309</v>
      </c>
      <c r="C151" s="65" t="s">
        <v>188</v>
      </c>
      <c r="D151" s="79" t="s">
        <v>27</v>
      </c>
      <c r="E151" s="16"/>
      <c r="F151" s="31">
        <v>5.45</v>
      </c>
      <c r="G151" s="133">
        <f>H151/F151</f>
        <v>28.020576271186442</v>
      </c>
      <c r="H151" s="133">
        <f>SUM(H152:H160)</f>
        <v>152.71214067796612</v>
      </c>
      <c r="I151" s="133">
        <f>J151/F151</f>
        <v>450</v>
      </c>
      <c r="J151" s="133">
        <f>SUM(J152:J160)</f>
        <v>2452.5</v>
      </c>
      <c r="K151" s="133">
        <f>L151/F151</f>
        <v>73.206326249999989</v>
      </c>
      <c r="L151" s="133">
        <f>SUM(L152:L160)</f>
        <v>398.97447806249994</v>
      </c>
      <c r="M151" s="133">
        <f>SUM(M152:M160)</f>
        <v>3004.1866187404662</v>
      </c>
      <c r="O151" s="130"/>
    </row>
    <row r="152" spans="1:15" s="19" customFormat="1" x14ac:dyDescent="0.25">
      <c r="A152" s="37"/>
      <c r="B152" s="134"/>
      <c r="C152" s="135" t="s">
        <v>266</v>
      </c>
      <c r="D152" s="136"/>
      <c r="E152" s="38"/>
      <c r="F152" s="39"/>
      <c r="G152" s="38"/>
      <c r="H152" s="38"/>
      <c r="I152" s="38"/>
      <c r="J152" s="38"/>
      <c r="K152" s="38"/>
      <c r="L152" s="161"/>
      <c r="M152" s="39"/>
      <c r="O152" s="130"/>
    </row>
    <row r="153" spans="1:15" s="44" customFormat="1" ht="14.25" x14ac:dyDescent="0.2">
      <c r="A153" s="140"/>
      <c r="B153" s="173" t="s">
        <v>277</v>
      </c>
      <c r="C153" s="142" t="s">
        <v>278</v>
      </c>
      <c r="D153" s="67" t="s">
        <v>27</v>
      </c>
      <c r="E153" s="164">
        <v>1</v>
      </c>
      <c r="F153" s="41">
        <f>E153*F151</f>
        <v>5.45</v>
      </c>
      <c r="G153" s="42">
        <v>0</v>
      </c>
      <c r="H153" s="42">
        <f>F153*G153</f>
        <v>0</v>
      </c>
      <c r="I153" s="42">
        <f>360*1.25</f>
        <v>450</v>
      </c>
      <c r="J153" s="42">
        <f>F153*I153</f>
        <v>2452.5</v>
      </c>
      <c r="K153" s="38">
        <v>0</v>
      </c>
      <c r="L153" s="38">
        <f>F153*K153</f>
        <v>0</v>
      </c>
      <c r="M153" s="43">
        <f>H153+J153+L153</f>
        <v>2452.5</v>
      </c>
      <c r="O153" s="130"/>
    </row>
    <row r="154" spans="1:15" s="146" customFormat="1" x14ac:dyDescent="0.2">
      <c r="A154" s="45"/>
      <c r="B154" s="29" t="s">
        <v>296</v>
      </c>
      <c r="C154" s="142" t="s">
        <v>297</v>
      </c>
      <c r="D154" s="67" t="s">
        <v>298</v>
      </c>
      <c r="E154" s="38">
        <f>(0.31+1.02)*1.15*1.15</f>
        <v>1.7589249999999996</v>
      </c>
      <c r="F154" s="38">
        <f>F151*E154</f>
        <v>9.5861412499999989</v>
      </c>
      <c r="G154" s="42">
        <v>0</v>
      </c>
      <c r="H154" s="42">
        <f>F154*G154</f>
        <v>0</v>
      </c>
      <c r="I154" s="42">
        <v>0</v>
      </c>
      <c r="J154" s="42">
        <f>F154*I154</f>
        <v>0</v>
      </c>
      <c r="K154" s="163">
        <f>200*1.25/8</f>
        <v>31.25</v>
      </c>
      <c r="L154" s="38">
        <f>F154*K154</f>
        <v>299.56691406249996</v>
      </c>
      <c r="M154" s="43">
        <f>H154+J154+L154</f>
        <v>299.56691406249996</v>
      </c>
      <c r="O154" s="130"/>
    </row>
    <row r="155" spans="1:15" s="146" customFormat="1" x14ac:dyDescent="0.2">
      <c r="A155" s="45"/>
      <c r="B155" s="85"/>
      <c r="C155" s="142" t="s">
        <v>302</v>
      </c>
      <c r="D155" s="67" t="s">
        <v>18</v>
      </c>
      <c r="E155" s="164">
        <f>4.31*1.15*1.15</f>
        <v>5.6999749999999985</v>
      </c>
      <c r="F155" s="38">
        <f>F151*E155</f>
        <v>31.064863749999994</v>
      </c>
      <c r="G155" s="42">
        <v>0</v>
      </c>
      <c r="H155" s="42">
        <f t="shared" ref="H155:H160" si="36">F155*G155</f>
        <v>0</v>
      </c>
      <c r="I155" s="42">
        <v>0</v>
      </c>
      <c r="J155" s="42">
        <f t="shared" ref="J155:J160" si="37">F155*I155</f>
        <v>0</v>
      </c>
      <c r="K155" s="38">
        <v>3.2</v>
      </c>
      <c r="L155" s="38">
        <f t="shared" ref="L155:L160" si="38">F155*K155</f>
        <v>99.407563999999979</v>
      </c>
      <c r="M155" s="43">
        <f t="shared" ref="M155:M160" si="39">H155+J155+L155</f>
        <v>99.407563999999979</v>
      </c>
      <c r="O155" s="130"/>
    </row>
    <row r="156" spans="1:15" s="44" customFormat="1" ht="25.5" x14ac:dyDescent="0.2">
      <c r="A156" s="165"/>
      <c r="B156" s="29" t="s">
        <v>310</v>
      </c>
      <c r="C156" s="166" t="s">
        <v>311</v>
      </c>
      <c r="D156" s="167" t="s">
        <v>27</v>
      </c>
      <c r="E156" s="168">
        <v>0</v>
      </c>
      <c r="F156" s="172">
        <f>F151*E156</f>
        <v>0</v>
      </c>
      <c r="G156" s="174">
        <v>2520</v>
      </c>
      <c r="H156" s="170">
        <f t="shared" si="36"/>
        <v>0</v>
      </c>
      <c r="I156" s="42">
        <v>0</v>
      </c>
      <c r="J156" s="42">
        <f t="shared" si="37"/>
        <v>0</v>
      </c>
      <c r="K156" s="38">
        <v>0</v>
      </c>
      <c r="L156" s="38">
        <f t="shared" si="38"/>
        <v>0</v>
      </c>
      <c r="M156" s="43">
        <f t="shared" si="39"/>
        <v>0</v>
      </c>
      <c r="O156" s="130"/>
    </row>
    <row r="157" spans="1:15" s="44" customFormat="1" ht="25.5" x14ac:dyDescent="0.2">
      <c r="A157" s="165"/>
      <c r="B157" s="29" t="s">
        <v>289</v>
      </c>
      <c r="C157" s="166" t="s">
        <v>290</v>
      </c>
      <c r="D157" s="167" t="s">
        <v>291</v>
      </c>
      <c r="E157" s="171">
        <v>1</v>
      </c>
      <c r="F157" s="172">
        <f>E157*F151</f>
        <v>5.45</v>
      </c>
      <c r="G157" s="170">
        <v>1.65</v>
      </c>
      <c r="H157" s="170">
        <f t="shared" si="36"/>
        <v>8.9924999999999997</v>
      </c>
      <c r="I157" s="42">
        <v>0</v>
      </c>
      <c r="J157" s="42">
        <f t="shared" si="37"/>
        <v>0</v>
      </c>
      <c r="K157" s="38">
        <v>0</v>
      </c>
      <c r="L157" s="38">
        <f t="shared" si="38"/>
        <v>0</v>
      </c>
      <c r="M157" s="43">
        <f t="shared" si="39"/>
        <v>8.9924999999999997</v>
      </c>
      <c r="O157" s="130"/>
    </row>
    <row r="158" spans="1:15" s="44" customFormat="1" ht="14.25" x14ac:dyDescent="0.2">
      <c r="A158" s="165"/>
      <c r="B158" s="29"/>
      <c r="C158" s="166" t="s">
        <v>292</v>
      </c>
      <c r="D158" s="167" t="s">
        <v>291</v>
      </c>
      <c r="E158" s="171">
        <v>2</v>
      </c>
      <c r="F158" s="172">
        <f>F151*E158</f>
        <v>10.9</v>
      </c>
      <c r="G158" s="170">
        <f>5/1.18</f>
        <v>4.2372881355932206</v>
      </c>
      <c r="H158" s="170">
        <f t="shared" si="36"/>
        <v>46.186440677966104</v>
      </c>
      <c r="I158" s="42">
        <v>0</v>
      </c>
      <c r="J158" s="42">
        <f t="shared" si="37"/>
        <v>0</v>
      </c>
      <c r="K158" s="38">
        <v>0</v>
      </c>
      <c r="L158" s="38">
        <f t="shared" si="38"/>
        <v>0</v>
      </c>
      <c r="M158" s="43">
        <f t="shared" si="39"/>
        <v>46.186440677966104</v>
      </c>
      <c r="O158" s="130"/>
    </row>
    <row r="159" spans="1:15" s="44" customFormat="1" ht="14.25" x14ac:dyDescent="0.2">
      <c r="A159" s="165"/>
      <c r="B159" s="29" t="s">
        <v>293</v>
      </c>
      <c r="C159" s="166" t="s">
        <v>294</v>
      </c>
      <c r="D159" s="167" t="s">
        <v>291</v>
      </c>
      <c r="E159" s="171">
        <v>3</v>
      </c>
      <c r="F159" s="172">
        <f>F151*E159</f>
        <v>16.350000000000001</v>
      </c>
      <c r="G159" s="170">
        <v>3</v>
      </c>
      <c r="H159" s="170">
        <f t="shared" si="36"/>
        <v>49.050000000000004</v>
      </c>
      <c r="I159" s="42">
        <v>0</v>
      </c>
      <c r="J159" s="42">
        <f t="shared" si="37"/>
        <v>0</v>
      </c>
      <c r="K159" s="38">
        <v>0</v>
      </c>
      <c r="L159" s="38">
        <f t="shared" si="38"/>
        <v>0</v>
      </c>
      <c r="M159" s="43">
        <f t="shared" si="39"/>
        <v>49.050000000000004</v>
      </c>
      <c r="O159" s="130"/>
    </row>
    <row r="160" spans="1:15" x14ac:dyDescent="0.25">
      <c r="A160" s="29"/>
      <c r="B160" s="124"/>
      <c r="C160" s="142" t="s">
        <v>295</v>
      </c>
      <c r="D160" s="67" t="s">
        <v>18</v>
      </c>
      <c r="E160" s="29">
        <v>2.78</v>
      </c>
      <c r="F160" s="38">
        <f>F151*E160</f>
        <v>15.151</v>
      </c>
      <c r="G160" s="78">
        <v>3.2</v>
      </c>
      <c r="H160" s="42">
        <f t="shared" si="36"/>
        <v>48.483200000000004</v>
      </c>
      <c r="I160" s="42">
        <v>0</v>
      </c>
      <c r="J160" s="164">
        <f t="shared" si="37"/>
        <v>0</v>
      </c>
      <c r="K160" s="38">
        <v>0</v>
      </c>
      <c r="L160" s="38">
        <f t="shared" si="38"/>
        <v>0</v>
      </c>
      <c r="M160" s="43">
        <f t="shared" si="39"/>
        <v>48.483200000000004</v>
      </c>
      <c r="O160" s="130"/>
    </row>
    <row r="161" spans="1:15" ht="15.75" thickBot="1" x14ac:dyDescent="0.3">
      <c r="A161" s="148"/>
      <c r="B161" s="149"/>
      <c r="C161" s="149"/>
      <c r="D161" s="150"/>
      <c r="E161" s="151"/>
      <c r="F161" s="151"/>
      <c r="G161" s="151"/>
      <c r="H161" s="151"/>
      <c r="I161" s="151"/>
      <c r="J161" s="151"/>
      <c r="K161" s="151"/>
      <c r="L161" s="151"/>
      <c r="M161" s="152"/>
      <c r="O161" s="130"/>
    </row>
    <row r="162" spans="1:15" s="36" customFormat="1" ht="36" x14ac:dyDescent="0.2">
      <c r="A162" s="21">
        <v>12</v>
      </c>
      <c r="B162" s="131" t="s">
        <v>312</v>
      </c>
      <c r="C162" s="65" t="s">
        <v>189</v>
      </c>
      <c r="D162" s="79" t="s">
        <v>27</v>
      </c>
      <c r="E162" s="16"/>
      <c r="F162" s="27">
        <v>2.1774</v>
      </c>
      <c r="G162" s="133">
        <f>H162/F162</f>
        <v>19.819220338983051</v>
      </c>
      <c r="H162" s="133">
        <f>SUM(H163:H171)</f>
        <v>43.154370366101695</v>
      </c>
      <c r="I162" s="133">
        <f>J162/F162</f>
        <v>450</v>
      </c>
      <c r="J162" s="133">
        <f>SUM(J163:J171)</f>
        <v>979.83</v>
      </c>
      <c r="K162" s="133">
        <f>L162/F162</f>
        <v>4.0203999999999986</v>
      </c>
      <c r="L162" s="133">
        <f>SUM(L163:L171)</f>
        <v>8.754018959999998</v>
      </c>
      <c r="M162" s="133">
        <f>SUM(M163:M171)</f>
        <v>1031.7383893261017</v>
      </c>
      <c r="O162" s="130"/>
    </row>
    <row r="163" spans="1:15" s="19" customFormat="1" x14ac:dyDescent="0.25">
      <c r="A163" s="37"/>
      <c r="B163" s="134"/>
      <c r="C163" s="135" t="s">
        <v>266</v>
      </c>
      <c r="D163" s="136"/>
      <c r="E163" s="38"/>
      <c r="F163" s="39"/>
      <c r="G163" s="38"/>
      <c r="H163" s="38"/>
      <c r="I163" s="38"/>
      <c r="J163" s="38"/>
      <c r="K163" s="38"/>
      <c r="L163" s="161"/>
      <c r="M163" s="39"/>
      <c r="O163" s="130"/>
    </row>
    <row r="164" spans="1:15" s="44" customFormat="1" ht="14.25" x14ac:dyDescent="0.2">
      <c r="A164" s="140"/>
      <c r="B164" s="173" t="s">
        <v>277</v>
      </c>
      <c r="C164" s="142" t="s">
        <v>278</v>
      </c>
      <c r="D164" s="67" t="s">
        <v>27</v>
      </c>
      <c r="E164" s="164">
        <v>1</v>
      </c>
      <c r="F164" s="41">
        <f>E164*F162</f>
        <v>2.1774</v>
      </c>
      <c r="G164" s="42">
        <v>0</v>
      </c>
      <c r="H164" s="42">
        <f>F164*G164</f>
        <v>0</v>
      </c>
      <c r="I164" s="42">
        <f>360*1.25</f>
        <v>450</v>
      </c>
      <c r="J164" s="42">
        <f>F164*I164</f>
        <v>979.83</v>
      </c>
      <c r="K164" s="38">
        <v>0</v>
      </c>
      <c r="L164" s="38">
        <f>F164*K164</f>
        <v>0</v>
      </c>
      <c r="M164" s="43">
        <f>H164+J164+L164</f>
        <v>979.83</v>
      </c>
      <c r="O164" s="130"/>
    </row>
    <row r="165" spans="1:15" s="146" customFormat="1" x14ac:dyDescent="0.2">
      <c r="A165" s="45"/>
      <c r="B165" s="29" t="s">
        <v>296</v>
      </c>
      <c r="C165" s="142" t="s">
        <v>297</v>
      </c>
      <c r="D165" s="67" t="s">
        <v>298</v>
      </c>
      <c r="E165" s="38"/>
      <c r="F165" s="38">
        <f>F162*E165</f>
        <v>0</v>
      </c>
      <c r="G165" s="42">
        <v>0</v>
      </c>
      <c r="H165" s="42">
        <f>F165*G165</f>
        <v>0</v>
      </c>
      <c r="I165" s="42">
        <v>0</v>
      </c>
      <c r="J165" s="42">
        <f>F165*I165</f>
        <v>0</v>
      </c>
      <c r="K165" s="163">
        <f>200*1.25/8</f>
        <v>31.25</v>
      </c>
      <c r="L165" s="38">
        <f>F165*K165</f>
        <v>0</v>
      </c>
      <c r="M165" s="43">
        <f>H165+J165+L165</f>
        <v>0</v>
      </c>
      <c r="O165" s="130"/>
    </row>
    <row r="166" spans="1:15" s="146" customFormat="1" x14ac:dyDescent="0.2">
      <c r="A166" s="45"/>
      <c r="B166" s="85"/>
      <c r="C166" s="142" t="s">
        <v>302</v>
      </c>
      <c r="D166" s="67" t="s">
        <v>18</v>
      </c>
      <c r="E166" s="164">
        <f>0.95*1.15*1.15</f>
        <v>1.2563749999999996</v>
      </c>
      <c r="F166" s="38">
        <f>F162*E166</f>
        <v>2.7356309249999993</v>
      </c>
      <c r="G166" s="42">
        <v>0</v>
      </c>
      <c r="H166" s="42">
        <f t="shared" ref="H166:H171" si="40">F166*G166</f>
        <v>0</v>
      </c>
      <c r="I166" s="42">
        <v>0</v>
      </c>
      <c r="J166" s="42">
        <f t="shared" ref="J166:J171" si="41">F166*I166</f>
        <v>0</v>
      </c>
      <c r="K166" s="38">
        <v>3.2</v>
      </c>
      <c r="L166" s="38">
        <f t="shared" ref="L166:L171" si="42">F166*K166</f>
        <v>8.754018959999998</v>
      </c>
      <c r="M166" s="43">
        <f t="shared" ref="M166:M171" si="43">H166+J166+L166</f>
        <v>8.754018959999998</v>
      </c>
      <c r="O166" s="130"/>
    </row>
    <row r="167" spans="1:15" s="44" customFormat="1" ht="27" x14ac:dyDescent="0.2">
      <c r="A167" s="165"/>
      <c r="B167" s="29" t="s">
        <v>313</v>
      </c>
      <c r="C167" s="176" t="s">
        <v>314</v>
      </c>
      <c r="D167" s="167" t="s">
        <v>27</v>
      </c>
      <c r="E167" s="168">
        <v>0</v>
      </c>
      <c r="F167" s="172">
        <f>(2169)/1000*E167</f>
        <v>0</v>
      </c>
      <c r="G167" s="174">
        <v>1650</v>
      </c>
      <c r="H167" s="170">
        <f t="shared" si="40"/>
        <v>0</v>
      </c>
      <c r="I167" s="42">
        <v>0</v>
      </c>
      <c r="J167" s="42">
        <f t="shared" si="41"/>
        <v>0</v>
      </c>
      <c r="K167" s="38">
        <v>0</v>
      </c>
      <c r="L167" s="38">
        <f t="shared" si="42"/>
        <v>0</v>
      </c>
      <c r="M167" s="43">
        <f t="shared" si="43"/>
        <v>0</v>
      </c>
      <c r="O167" s="130"/>
    </row>
    <row r="168" spans="1:15" s="44" customFormat="1" ht="14.25" x14ac:dyDescent="0.2">
      <c r="A168" s="165"/>
      <c r="B168" s="29"/>
      <c r="C168" s="166" t="s">
        <v>315</v>
      </c>
      <c r="D168" s="167" t="s">
        <v>291</v>
      </c>
      <c r="E168" s="171"/>
      <c r="F168" s="172">
        <f>0.6*E168</f>
        <v>0</v>
      </c>
      <c r="G168" s="170">
        <v>4.24</v>
      </c>
      <c r="H168" s="170">
        <f t="shared" si="40"/>
        <v>0</v>
      </c>
      <c r="I168" s="42">
        <v>0</v>
      </c>
      <c r="J168" s="42">
        <f t="shared" si="41"/>
        <v>0</v>
      </c>
      <c r="K168" s="38">
        <v>0</v>
      </c>
      <c r="L168" s="38">
        <f t="shared" si="42"/>
        <v>0</v>
      </c>
      <c r="M168" s="43">
        <f t="shared" si="43"/>
        <v>0</v>
      </c>
      <c r="O168" s="130"/>
    </row>
    <row r="169" spans="1:15" s="44" customFormat="1" ht="25.5" x14ac:dyDescent="0.2">
      <c r="A169" s="165"/>
      <c r="B169" s="29" t="s">
        <v>289</v>
      </c>
      <c r="C169" s="166" t="s">
        <v>290</v>
      </c>
      <c r="D169" s="167" t="s">
        <v>291</v>
      </c>
      <c r="E169" s="171">
        <v>0.2</v>
      </c>
      <c r="F169" s="172">
        <f>E169*F162</f>
        <v>0.43548000000000003</v>
      </c>
      <c r="G169" s="170">
        <v>1.65</v>
      </c>
      <c r="H169" s="170">
        <f t="shared" si="40"/>
        <v>0.71854200000000001</v>
      </c>
      <c r="I169" s="42">
        <v>0</v>
      </c>
      <c r="J169" s="42">
        <f t="shared" si="41"/>
        <v>0</v>
      </c>
      <c r="K169" s="38">
        <v>0</v>
      </c>
      <c r="L169" s="38">
        <f t="shared" si="42"/>
        <v>0</v>
      </c>
      <c r="M169" s="43">
        <f t="shared" si="43"/>
        <v>0.71854200000000001</v>
      </c>
      <c r="O169" s="130"/>
    </row>
    <row r="170" spans="1:15" s="44" customFormat="1" ht="14.25" x14ac:dyDescent="0.2">
      <c r="A170" s="165"/>
      <c r="B170" s="29"/>
      <c r="C170" s="166" t="s">
        <v>292</v>
      </c>
      <c r="D170" s="167" t="s">
        <v>291</v>
      </c>
      <c r="E170" s="168">
        <v>2.5</v>
      </c>
      <c r="F170" s="172">
        <f>F162*E170</f>
        <v>5.4435000000000002</v>
      </c>
      <c r="G170" s="170">
        <f>5/1.18</f>
        <v>4.2372881355932206</v>
      </c>
      <c r="H170" s="170">
        <f t="shared" si="40"/>
        <v>23.065677966101696</v>
      </c>
      <c r="I170" s="42">
        <v>0</v>
      </c>
      <c r="J170" s="42">
        <f t="shared" si="41"/>
        <v>0</v>
      </c>
      <c r="K170" s="38">
        <v>0</v>
      </c>
      <c r="L170" s="38">
        <f t="shared" si="42"/>
        <v>0</v>
      </c>
      <c r="M170" s="43">
        <f t="shared" si="43"/>
        <v>23.065677966101696</v>
      </c>
      <c r="O170" s="130"/>
    </row>
    <row r="171" spans="1:15" x14ac:dyDescent="0.25">
      <c r="A171" s="29"/>
      <c r="B171" s="124"/>
      <c r="C171" s="142" t="s">
        <v>295</v>
      </c>
      <c r="D171" s="67" t="s">
        <v>18</v>
      </c>
      <c r="E171" s="29">
        <v>2.78</v>
      </c>
      <c r="F171" s="38">
        <f>F162*E171</f>
        <v>6.053172</v>
      </c>
      <c r="G171" s="78">
        <v>3.2</v>
      </c>
      <c r="H171" s="42">
        <f t="shared" si="40"/>
        <v>19.3701504</v>
      </c>
      <c r="I171" s="42">
        <v>0</v>
      </c>
      <c r="J171" s="164">
        <f t="shared" si="41"/>
        <v>0</v>
      </c>
      <c r="K171" s="38">
        <v>0</v>
      </c>
      <c r="L171" s="38">
        <f t="shared" si="42"/>
        <v>0</v>
      </c>
      <c r="M171" s="43">
        <f t="shared" si="43"/>
        <v>19.3701504</v>
      </c>
      <c r="O171" s="130"/>
    </row>
    <row r="172" spans="1:15" ht="15.75" thickBot="1" x14ac:dyDescent="0.3">
      <c r="A172" s="148"/>
      <c r="B172" s="149"/>
      <c r="C172" s="149"/>
      <c r="D172" s="150"/>
      <c r="E172" s="148"/>
      <c r="F172" s="151"/>
      <c r="G172" s="151"/>
      <c r="H172" s="151"/>
      <c r="I172" s="151"/>
      <c r="J172" s="151"/>
      <c r="K172" s="151"/>
      <c r="L172" s="151"/>
      <c r="M172" s="152"/>
      <c r="O172" s="130"/>
    </row>
    <row r="173" spans="1:15" s="36" customFormat="1" ht="36" x14ac:dyDescent="0.2">
      <c r="A173" s="21">
        <v>13</v>
      </c>
      <c r="B173" s="131" t="s">
        <v>312</v>
      </c>
      <c r="C173" s="65" t="s">
        <v>190</v>
      </c>
      <c r="D173" s="79" t="s">
        <v>27</v>
      </c>
      <c r="E173" s="16"/>
      <c r="F173" s="27">
        <v>0.89839999999999998</v>
      </c>
      <c r="G173" s="133">
        <f>H173/F173</f>
        <v>19.819220338983051</v>
      </c>
      <c r="H173" s="133">
        <f>SUM(H174:H182)</f>
        <v>17.805587552542374</v>
      </c>
      <c r="I173" s="133">
        <f>J173/F173</f>
        <v>450</v>
      </c>
      <c r="J173" s="133">
        <f>SUM(J174:J182)</f>
        <v>404.28</v>
      </c>
      <c r="K173" s="133">
        <f>L173/F173</f>
        <v>4.0203999999999986</v>
      </c>
      <c r="L173" s="133">
        <f>SUM(L174:L182)</f>
        <v>3.6119273599999988</v>
      </c>
      <c r="M173" s="133">
        <f>SUM(M174:M182)</f>
        <v>425.69751491254232</v>
      </c>
      <c r="O173" s="130"/>
    </row>
    <row r="174" spans="1:15" s="19" customFormat="1" x14ac:dyDescent="0.25">
      <c r="A174" s="37"/>
      <c r="B174" s="134"/>
      <c r="C174" s="135" t="s">
        <v>266</v>
      </c>
      <c r="D174" s="136"/>
      <c r="E174" s="38"/>
      <c r="F174" s="39"/>
      <c r="G174" s="38"/>
      <c r="H174" s="38"/>
      <c r="I174" s="38"/>
      <c r="J174" s="38"/>
      <c r="K174" s="38"/>
      <c r="L174" s="161"/>
      <c r="M174" s="39"/>
      <c r="O174" s="130"/>
    </row>
    <row r="175" spans="1:15" s="44" customFormat="1" ht="14.25" x14ac:dyDescent="0.2">
      <c r="A175" s="140"/>
      <c r="B175" s="173" t="s">
        <v>277</v>
      </c>
      <c r="C175" s="142" t="s">
        <v>278</v>
      </c>
      <c r="D175" s="67" t="s">
        <v>27</v>
      </c>
      <c r="E175" s="164">
        <v>1</v>
      </c>
      <c r="F175" s="41">
        <f>E175*F173</f>
        <v>0.89839999999999998</v>
      </c>
      <c r="G175" s="42">
        <v>0</v>
      </c>
      <c r="H175" s="42">
        <f>F175*G175</f>
        <v>0</v>
      </c>
      <c r="I175" s="42">
        <f>360*1.25</f>
        <v>450</v>
      </c>
      <c r="J175" s="42">
        <f>F175*I175</f>
        <v>404.28</v>
      </c>
      <c r="K175" s="38">
        <v>0</v>
      </c>
      <c r="L175" s="38">
        <f>F175*K175</f>
        <v>0</v>
      </c>
      <c r="M175" s="43">
        <f>H175+J175+L175</f>
        <v>404.28</v>
      </c>
      <c r="O175" s="130"/>
    </row>
    <row r="176" spans="1:15" s="146" customFormat="1" x14ac:dyDescent="0.2">
      <c r="A176" s="45"/>
      <c r="B176" s="29" t="s">
        <v>296</v>
      </c>
      <c r="C176" s="142" t="s">
        <v>297</v>
      </c>
      <c r="D176" s="67" t="s">
        <v>298</v>
      </c>
      <c r="E176" s="38"/>
      <c r="F176" s="38">
        <f>F173*E176</f>
        <v>0</v>
      </c>
      <c r="G176" s="42">
        <v>0</v>
      </c>
      <c r="H176" s="42">
        <f>F176*G176</f>
        <v>0</v>
      </c>
      <c r="I176" s="42">
        <v>0</v>
      </c>
      <c r="J176" s="42">
        <f>F176*I176</f>
        <v>0</v>
      </c>
      <c r="K176" s="163">
        <f>200*1.25/8</f>
        <v>31.25</v>
      </c>
      <c r="L176" s="38">
        <f>F176*K176</f>
        <v>0</v>
      </c>
      <c r="M176" s="43">
        <f>H176+J176+L176</f>
        <v>0</v>
      </c>
      <c r="O176" s="130"/>
    </row>
    <row r="177" spans="1:15" s="146" customFormat="1" x14ac:dyDescent="0.2">
      <c r="A177" s="45"/>
      <c r="B177" s="85"/>
      <c r="C177" s="142" t="s">
        <v>302</v>
      </c>
      <c r="D177" s="67" t="s">
        <v>18</v>
      </c>
      <c r="E177" s="164">
        <f>0.95*1.15*1.15</f>
        <v>1.2563749999999996</v>
      </c>
      <c r="F177" s="38">
        <f>F173*E177</f>
        <v>1.1287272999999995</v>
      </c>
      <c r="G177" s="42">
        <v>0</v>
      </c>
      <c r="H177" s="42">
        <f t="shared" ref="H177:H182" si="44">F177*G177</f>
        <v>0</v>
      </c>
      <c r="I177" s="42">
        <v>0</v>
      </c>
      <c r="J177" s="42">
        <f t="shared" ref="J177:J182" si="45">F177*I177</f>
        <v>0</v>
      </c>
      <c r="K177" s="38">
        <v>3.2</v>
      </c>
      <c r="L177" s="38">
        <f t="shared" ref="L177:L182" si="46">F177*K177</f>
        <v>3.6119273599999988</v>
      </c>
      <c r="M177" s="43">
        <f t="shared" ref="M177:M182" si="47">H177+J177+L177</f>
        <v>3.6119273599999988</v>
      </c>
      <c r="O177" s="130"/>
    </row>
    <row r="178" spans="1:15" s="44" customFormat="1" ht="27" x14ac:dyDescent="0.2">
      <c r="A178" s="165"/>
      <c r="B178" s="29" t="s">
        <v>313</v>
      </c>
      <c r="C178" s="176" t="s">
        <v>314</v>
      </c>
      <c r="D178" s="167" t="s">
        <v>27</v>
      </c>
      <c r="E178" s="168">
        <v>0</v>
      </c>
      <c r="F178" s="172">
        <f>(896)/1000*E178</f>
        <v>0</v>
      </c>
      <c r="G178" s="174">
        <v>1650</v>
      </c>
      <c r="H178" s="170">
        <f t="shared" si="44"/>
        <v>0</v>
      </c>
      <c r="I178" s="42">
        <v>0</v>
      </c>
      <c r="J178" s="42">
        <f t="shared" si="45"/>
        <v>0</v>
      </c>
      <c r="K178" s="38">
        <v>0</v>
      </c>
      <c r="L178" s="38">
        <f t="shared" si="46"/>
        <v>0</v>
      </c>
      <c r="M178" s="43">
        <f t="shared" si="47"/>
        <v>0</v>
      </c>
      <c r="O178" s="130"/>
    </row>
    <row r="179" spans="1:15" s="44" customFormat="1" ht="14.25" x14ac:dyDescent="0.2">
      <c r="A179" s="165"/>
      <c r="B179" s="29"/>
      <c r="C179" s="166" t="s">
        <v>315</v>
      </c>
      <c r="D179" s="167" t="s">
        <v>291</v>
      </c>
      <c r="E179" s="171"/>
      <c r="F179" s="172">
        <f>0.6*E179</f>
        <v>0</v>
      </c>
      <c r="G179" s="170">
        <v>4.24</v>
      </c>
      <c r="H179" s="170">
        <f t="shared" si="44"/>
        <v>0</v>
      </c>
      <c r="I179" s="42">
        <v>0</v>
      </c>
      <c r="J179" s="42">
        <f t="shared" si="45"/>
        <v>0</v>
      </c>
      <c r="K179" s="38">
        <v>0</v>
      </c>
      <c r="L179" s="38">
        <f t="shared" si="46"/>
        <v>0</v>
      </c>
      <c r="M179" s="43">
        <f t="shared" si="47"/>
        <v>0</v>
      </c>
      <c r="O179" s="130"/>
    </row>
    <row r="180" spans="1:15" s="44" customFormat="1" ht="25.5" x14ac:dyDescent="0.2">
      <c r="A180" s="165"/>
      <c r="B180" s="29" t="s">
        <v>289</v>
      </c>
      <c r="C180" s="166" t="s">
        <v>290</v>
      </c>
      <c r="D180" s="167" t="s">
        <v>291</v>
      </c>
      <c r="E180" s="171">
        <v>0.2</v>
      </c>
      <c r="F180" s="172">
        <f>E180*F173</f>
        <v>0.17968000000000001</v>
      </c>
      <c r="G180" s="170">
        <v>1.65</v>
      </c>
      <c r="H180" s="170">
        <f t="shared" si="44"/>
        <v>0.29647200000000001</v>
      </c>
      <c r="I180" s="42">
        <v>0</v>
      </c>
      <c r="J180" s="42">
        <f t="shared" si="45"/>
        <v>0</v>
      </c>
      <c r="K180" s="38">
        <v>0</v>
      </c>
      <c r="L180" s="38">
        <f t="shared" si="46"/>
        <v>0</v>
      </c>
      <c r="M180" s="43">
        <f t="shared" si="47"/>
        <v>0.29647200000000001</v>
      </c>
      <c r="O180" s="130"/>
    </row>
    <row r="181" spans="1:15" s="44" customFormat="1" ht="14.25" x14ac:dyDescent="0.2">
      <c r="A181" s="165"/>
      <c r="B181" s="29"/>
      <c r="C181" s="166" t="s">
        <v>292</v>
      </c>
      <c r="D181" s="167" t="s">
        <v>291</v>
      </c>
      <c r="E181" s="168">
        <v>2.5</v>
      </c>
      <c r="F181" s="172">
        <f>F173*E181</f>
        <v>2.246</v>
      </c>
      <c r="G181" s="170">
        <f>5/1.18</f>
        <v>4.2372881355932206</v>
      </c>
      <c r="H181" s="170">
        <f t="shared" si="44"/>
        <v>9.5169491525423737</v>
      </c>
      <c r="I181" s="42">
        <v>0</v>
      </c>
      <c r="J181" s="42">
        <f t="shared" si="45"/>
        <v>0</v>
      </c>
      <c r="K181" s="38">
        <v>0</v>
      </c>
      <c r="L181" s="38">
        <f t="shared" si="46"/>
        <v>0</v>
      </c>
      <c r="M181" s="43">
        <f t="shared" si="47"/>
        <v>9.5169491525423737</v>
      </c>
      <c r="O181" s="130"/>
    </row>
    <row r="182" spans="1:15" x14ac:dyDescent="0.25">
      <c r="A182" s="29"/>
      <c r="B182" s="124"/>
      <c r="C182" s="142" t="s">
        <v>295</v>
      </c>
      <c r="D182" s="67" t="s">
        <v>18</v>
      </c>
      <c r="E182" s="29">
        <v>2.78</v>
      </c>
      <c r="F182" s="38">
        <f>F173*E182</f>
        <v>2.4975519999999998</v>
      </c>
      <c r="G182" s="78">
        <v>3.2</v>
      </c>
      <c r="H182" s="42">
        <f t="shared" si="44"/>
        <v>7.9921663999999994</v>
      </c>
      <c r="I182" s="42">
        <v>0</v>
      </c>
      <c r="J182" s="164">
        <f t="shared" si="45"/>
        <v>0</v>
      </c>
      <c r="K182" s="38">
        <v>0</v>
      </c>
      <c r="L182" s="38">
        <f t="shared" si="46"/>
        <v>0</v>
      </c>
      <c r="M182" s="43">
        <f t="shared" si="47"/>
        <v>7.9921663999999994</v>
      </c>
      <c r="O182" s="130"/>
    </row>
    <row r="183" spans="1:15" ht="15.75" thickBot="1" x14ac:dyDescent="0.3">
      <c r="A183" s="148"/>
      <c r="B183" s="149"/>
      <c r="C183" s="149"/>
      <c r="D183" s="150"/>
      <c r="E183" s="148"/>
      <c r="F183" s="151"/>
      <c r="G183" s="151"/>
      <c r="H183" s="151"/>
      <c r="I183" s="151"/>
      <c r="J183" s="151"/>
      <c r="K183" s="151"/>
      <c r="L183" s="151"/>
      <c r="M183" s="152"/>
      <c r="O183" s="130"/>
    </row>
    <row r="184" spans="1:15" s="36" customFormat="1" ht="36" x14ac:dyDescent="0.2">
      <c r="A184" s="21">
        <v>14</v>
      </c>
      <c r="B184" s="131" t="s">
        <v>312</v>
      </c>
      <c r="C184" s="65" t="s">
        <v>191</v>
      </c>
      <c r="D184" s="79" t="s">
        <v>27</v>
      </c>
      <c r="E184" s="16"/>
      <c r="F184" s="27">
        <v>3.2198000000000002</v>
      </c>
      <c r="G184" s="133">
        <f>H184/F184</f>
        <v>19.819220338983047</v>
      </c>
      <c r="H184" s="133">
        <f>SUM(H185:H193)</f>
        <v>63.813925647457623</v>
      </c>
      <c r="I184" s="133">
        <f>J184/F184</f>
        <v>450</v>
      </c>
      <c r="J184" s="133">
        <f>SUM(J185:J193)</f>
        <v>1448.91</v>
      </c>
      <c r="K184" s="133">
        <f>L184/F184</f>
        <v>4.0203999999999986</v>
      </c>
      <c r="L184" s="133">
        <f>SUM(L185:L193)</f>
        <v>12.944883919999995</v>
      </c>
      <c r="M184" s="133">
        <f>SUM(M185:M193)</f>
        <v>1525.6688095674576</v>
      </c>
      <c r="O184" s="130"/>
    </row>
    <row r="185" spans="1:15" s="19" customFormat="1" x14ac:dyDescent="0.25">
      <c r="A185" s="37"/>
      <c r="B185" s="134"/>
      <c r="C185" s="135" t="s">
        <v>266</v>
      </c>
      <c r="D185" s="136"/>
      <c r="E185" s="38"/>
      <c r="F185" s="39"/>
      <c r="G185" s="38"/>
      <c r="H185" s="38"/>
      <c r="I185" s="38"/>
      <c r="J185" s="38"/>
      <c r="K185" s="38"/>
      <c r="L185" s="161"/>
      <c r="M185" s="39"/>
      <c r="O185" s="130"/>
    </row>
    <row r="186" spans="1:15" s="44" customFormat="1" ht="14.25" x14ac:dyDescent="0.2">
      <c r="A186" s="140"/>
      <c r="B186" s="173" t="s">
        <v>277</v>
      </c>
      <c r="C186" s="142" t="s">
        <v>278</v>
      </c>
      <c r="D186" s="67" t="s">
        <v>27</v>
      </c>
      <c r="E186" s="164">
        <v>1</v>
      </c>
      <c r="F186" s="41">
        <f>E186*F184</f>
        <v>3.2198000000000002</v>
      </c>
      <c r="G186" s="42">
        <v>0</v>
      </c>
      <c r="H186" s="42">
        <f>F186*G186</f>
        <v>0</v>
      </c>
      <c r="I186" s="42">
        <f>360*1.25</f>
        <v>450</v>
      </c>
      <c r="J186" s="42">
        <f>F186*I186</f>
        <v>1448.91</v>
      </c>
      <c r="K186" s="38">
        <v>0</v>
      </c>
      <c r="L186" s="38">
        <f>F186*K186</f>
        <v>0</v>
      </c>
      <c r="M186" s="43">
        <f>H186+J186+L186</f>
        <v>1448.91</v>
      </c>
      <c r="O186" s="130"/>
    </row>
    <row r="187" spans="1:15" s="146" customFormat="1" x14ac:dyDescent="0.2">
      <c r="A187" s="45"/>
      <c r="B187" s="29" t="s">
        <v>296</v>
      </c>
      <c r="C187" s="142" t="s">
        <v>297</v>
      </c>
      <c r="D187" s="67" t="s">
        <v>298</v>
      </c>
      <c r="E187" s="38"/>
      <c r="F187" s="38">
        <f>F184*E187</f>
        <v>0</v>
      </c>
      <c r="G187" s="42">
        <v>0</v>
      </c>
      <c r="H187" s="42">
        <f>F187*G187</f>
        <v>0</v>
      </c>
      <c r="I187" s="42">
        <v>0</v>
      </c>
      <c r="J187" s="42">
        <f>F187*I187</f>
        <v>0</v>
      </c>
      <c r="K187" s="163">
        <f>200*1.25/8</f>
        <v>31.25</v>
      </c>
      <c r="L187" s="38">
        <f>F187*K187</f>
        <v>0</v>
      </c>
      <c r="M187" s="43">
        <f>H187+J187+L187</f>
        <v>0</v>
      </c>
      <c r="O187" s="130"/>
    </row>
    <row r="188" spans="1:15" s="146" customFormat="1" x14ac:dyDescent="0.2">
      <c r="A188" s="45"/>
      <c r="B188" s="85"/>
      <c r="C188" s="142" t="s">
        <v>302</v>
      </c>
      <c r="D188" s="67" t="s">
        <v>18</v>
      </c>
      <c r="E188" s="164">
        <f>0.95*1.15*1.15</f>
        <v>1.2563749999999996</v>
      </c>
      <c r="F188" s="38">
        <f>F184*E188</f>
        <v>4.0452762249999985</v>
      </c>
      <c r="G188" s="42">
        <v>0</v>
      </c>
      <c r="H188" s="42">
        <f t="shared" ref="H188:H193" si="48">F188*G188</f>
        <v>0</v>
      </c>
      <c r="I188" s="42">
        <v>0</v>
      </c>
      <c r="J188" s="42">
        <f t="shared" ref="J188:J193" si="49">F188*I188</f>
        <v>0</v>
      </c>
      <c r="K188" s="38">
        <v>3.2</v>
      </c>
      <c r="L188" s="38">
        <f t="shared" ref="L188:L193" si="50">F188*K188</f>
        <v>12.944883919999995</v>
      </c>
      <c r="M188" s="43">
        <f t="shared" ref="M188:M193" si="51">H188+J188+L188</f>
        <v>12.944883919999995</v>
      </c>
      <c r="O188" s="130"/>
    </row>
    <row r="189" spans="1:15" s="44" customFormat="1" ht="27" x14ac:dyDescent="0.2">
      <c r="A189" s="165"/>
      <c r="B189" s="29" t="s">
        <v>313</v>
      </c>
      <c r="C189" s="176" t="s">
        <v>314</v>
      </c>
      <c r="D189" s="167" t="s">
        <v>27</v>
      </c>
      <c r="E189" s="171">
        <v>0</v>
      </c>
      <c r="F189" s="172">
        <f>(3204)/1000*E189</f>
        <v>0</v>
      </c>
      <c r="G189" s="174">
        <v>1650</v>
      </c>
      <c r="H189" s="170">
        <f t="shared" si="48"/>
        <v>0</v>
      </c>
      <c r="I189" s="42">
        <v>0</v>
      </c>
      <c r="J189" s="42">
        <f t="shared" si="49"/>
        <v>0</v>
      </c>
      <c r="K189" s="38">
        <v>0</v>
      </c>
      <c r="L189" s="38">
        <f t="shared" si="50"/>
        <v>0</v>
      </c>
      <c r="M189" s="43">
        <f t="shared" si="51"/>
        <v>0</v>
      </c>
      <c r="O189" s="130"/>
    </row>
    <row r="190" spans="1:15" s="44" customFormat="1" ht="14.25" x14ac:dyDescent="0.2">
      <c r="A190" s="165"/>
      <c r="B190" s="29"/>
      <c r="C190" s="166" t="s">
        <v>315</v>
      </c>
      <c r="D190" s="167" t="s">
        <v>291</v>
      </c>
      <c r="E190" s="171"/>
      <c r="F190" s="172">
        <f>0.6*E190</f>
        <v>0</v>
      </c>
      <c r="G190" s="170">
        <v>4.24</v>
      </c>
      <c r="H190" s="170">
        <f t="shared" si="48"/>
        <v>0</v>
      </c>
      <c r="I190" s="42">
        <v>0</v>
      </c>
      <c r="J190" s="42">
        <f t="shared" si="49"/>
        <v>0</v>
      </c>
      <c r="K190" s="38">
        <v>0</v>
      </c>
      <c r="L190" s="38">
        <f t="shared" si="50"/>
        <v>0</v>
      </c>
      <c r="M190" s="43">
        <f t="shared" si="51"/>
        <v>0</v>
      </c>
      <c r="O190" s="130"/>
    </row>
    <row r="191" spans="1:15" s="44" customFormat="1" ht="25.5" x14ac:dyDescent="0.2">
      <c r="A191" s="165"/>
      <c r="B191" s="29" t="s">
        <v>289</v>
      </c>
      <c r="C191" s="166" t="s">
        <v>290</v>
      </c>
      <c r="D191" s="167" t="s">
        <v>291</v>
      </c>
      <c r="E191" s="171">
        <v>0.2</v>
      </c>
      <c r="F191" s="172">
        <f>E191*F184</f>
        <v>0.64396000000000009</v>
      </c>
      <c r="G191" s="170">
        <v>1.65</v>
      </c>
      <c r="H191" s="170">
        <f t="shared" si="48"/>
        <v>1.0625340000000001</v>
      </c>
      <c r="I191" s="42">
        <v>0</v>
      </c>
      <c r="J191" s="42">
        <f t="shared" si="49"/>
        <v>0</v>
      </c>
      <c r="K191" s="38">
        <v>0</v>
      </c>
      <c r="L191" s="38">
        <f t="shared" si="50"/>
        <v>0</v>
      </c>
      <c r="M191" s="43">
        <f t="shared" si="51"/>
        <v>1.0625340000000001</v>
      </c>
      <c r="O191" s="130"/>
    </row>
    <row r="192" spans="1:15" s="44" customFormat="1" ht="14.25" x14ac:dyDescent="0.2">
      <c r="A192" s="165"/>
      <c r="B192" s="29"/>
      <c r="C192" s="166" t="s">
        <v>292</v>
      </c>
      <c r="D192" s="167" t="s">
        <v>291</v>
      </c>
      <c r="E192" s="168">
        <v>2.5</v>
      </c>
      <c r="F192" s="172">
        <f>F184*E192</f>
        <v>8.0495000000000001</v>
      </c>
      <c r="G192" s="170">
        <f>5/1.18</f>
        <v>4.2372881355932206</v>
      </c>
      <c r="H192" s="170">
        <f t="shared" si="48"/>
        <v>34.108050847457626</v>
      </c>
      <c r="I192" s="42">
        <v>0</v>
      </c>
      <c r="J192" s="42">
        <f t="shared" si="49"/>
        <v>0</v>
      </c>
      <c r="K192" s="38">
        <v>0</v>
      </c>
      <c r="L192" s="38">
        <f t="shared" si="50"/>
        <v>0</v>
      </c>
      <c r="M192" s="43">
        <f t="shared" si="51"/>
        <v>34.108050847457626</v>
      </c>
      <c r="O192" s="130"/>
    </row>
    <row r="193" spans="1:15" x14ac:dyDescent="0.25">
      <c r="A193" s="29"/>
      <c r="B193" s="124"/>
      <c r="C193" s="142" t="s">
        <v>295</v>
      </c>
      <c r="D193" s="67" t="s">
        <v>18</v>
      </c>
      <c r="E193" s="29">
        <v>2.78</v>
      </c>
      <c r="F193" s="38">
        <f>F184*E193</f>
        <v>8.9510439999999996</v>
      </c>
      <c r="G193" s="78">
        <v>3.2</v>
      </c>
      <c r="H193" s="42">
        <f t="shared" si="48"/>
        <v>28.643340800000001</v>
      </c>
      <c r="I193" s="42">
        <v>0</v>
      </c>
      <c r="J193" s="164">
        <f t="shared" si="49"/>
        <v>0</v>
      </c>
      <c r="K193" s="38">
        <v>0</v>
      </c>
      <c r="L193" s="38">
        <f t="shared" si="50"/>
        <v>0</v>
      </c>
      <c r="M193" s="43">
        <f t="shared" si="51"/>
        <v>28.643340800000001</v>
      </c>
      <c r="O193" s="130"/>
    </row>
    <row r="194" spans="1:15" ht="15.75" thickBot="1" x14ac:dyDescent="0.3">
      <c r="A194" s="148"/>
      <c r="B194" s="149"/>
      <c r="C194" s="149"/>
      <c r="D194" s="150"/>
      <c r="E194" s="148"/>
      <c r="F194" s="151"/>
      <c r="G194" s="151"/>
      <c r="H194" s="151"/>
      <c r="I194" s="151"/>
      <c r="J194" s="151"/>
      <c r="K194" s="151"/>
      <c r="L194" s="151"/>
      <c r="M194" s="152"/>
      <c r="O194" s="130"/>
    </row>
    <row r="195" spans="1:15" s="36" customFormat="1" ht="36" x14ac:dyDescent="0.2">
      <c r="A195" s="21">
        <v>15</v>
      </c>
      <c r="B195" s="131" t="s">
        <v>312</v>
      </c>
      <c r="C195" s="65" t="s">
        <v>192</v>
      </c>
      <c r="D195" s="79" t="s">
        <v>27</v>
      </c>
      <c r="E195" s="16"/>
      <c r="F195" s="27">
        <v>0.2656</v>
      </c>
      <c r="G195" s="133">
        <f>H195/F195</f>
        <v>19.819220338983051</v>
      </c>
      <c r="H195" s="133">
        <f>SUM(H196:H204)</f>
        <v>5.2639849220338988</v>
      </c>
      <c r="I195" s="133">
        <f>J195/F195</f>
        <v>375</v>
      </c>
      <c r="J195" s="133">
        <f>SUM(J196:J204)</f>
        <v>99.6</v>
      </c>
      <c r="K195" s="133">
        <f>L195/F195</f>
        <v>4.0203999999999995</v>
      </c>
      <c r="L195" s="133">
        <f>SUM(L196:L204)</f>
        <v>1.0678182399999998</v>
      </c>
      <c r="M195" s="133">
        <f>SUM(M196:M204)</f>
        <v>105.93180316203389</v>
      </c>
      <c r="O195" s="130"/>
    </row>
    <row r="196" spans="1:15" s="19" customFormat="1" x14ac:dyDescent="0.25">
      <c r="A196" s="37"/>
      <c r="B196" s="134"/>
      <c r="C196" s="135" t="s">
        <v>266</v>
      </c>
      <c r="D196" s="136"/>
      <c r="E196" s="38"/>
      <c r="F196" s="39"/>
      <c r="G196" s="38"/>
      <c r="H196" s="38"/>
      <c r="I196" s="38"/>
      <c r="J196" s="38"/>
      <c r="K196" s="38"/>
      <c r="L196" s="161"/>
      <c r="M196" s="39"/>
      <c r="O196" s="130"/>
    </row>
    <row r="197" spans="1:15" s="44" customFormat="1" ht="14.25" x14ac:dyDescent="0.2">
      <c r="A197" s="140"/>
      <c r="B197" s="173" t="s">
        <v>277</v>
      </c>
      <c r="C197" s="142" t="s">
        <v>278</v>
      </c>
      <c r="D197" s="67" t="s">
        <v>27</v>
      </c>
      <c r="E197" s="164">
        <v>1</v>
      </c>
      <c r="F197" s="41">
        <f>E197*F195</f>
        <v>0.2656</v>
      </c>
      <c r="G197" s="42">
        <v>0</v>
      </c>
      <c r="H197" s="42">
        <f>F197*G197</f>
        <v>0</v>
      </c>
      <c r="I197" s="42">
        <f>300*1.25</f>
        <v>375</v>
      </c>
      <c r="J197" s="42">
        <f>F197*I197</f>
        <v>99.6</v>
      </c>
      <c r="K197" s="38">
        <v>0</v>
      </c>
      <c r="L197" s="38">
        <f>F197*K197</f>
        <v>0</v>
      </c>
      <c r="M197" s="43">
        <f t="shared" ref="M197:M204" si="52">H197+J197+L197</f>
        <v>99.6</v>
      </c>
      <c r="O197" s="130"/>
    </row>
    <row r="198" spans="1:15" s="146" customFormat="1" x14ac:dyDescent="0.2">
      <c r="A198" s="45"/>
      <c r="B198" s="29" t="s">
        <v>296</v>
      </c>
      <c r="C198" s="142" t="s">
        <v>297</v>
      </c>
      <c r="D198" s="67" t="s">
        <v>298</v>
      </c>
      <c r="E198" s="38"/>
      <c r="F198" s="38">
        <f>F195*E198</f>
        <v>0</v>
      </c>
      <c r="G198" s="42">
        <v>0</v>
      </c>
      <c r="H198" s="42">
        <f>F198*G198</f>
        <v>0</v>
      </c>
      <c r="I198" s="42">
        <v>0</v>
      </c>
      <c r="J198" s="42">
        <f>F198*I198</f>
        <v>0</v>
      </c>
      <c r="K198" s="163">
        <f>200*1.25/8</f>
        <v>31.25</v>
      </c>
      <c r="L198" s="38">
        <f>F198*K198</f>
        <v>0</v>
      </c>
      <c r="M198" s="43">
        <f t="shared" si="52"/>
        <v>0</v>
      </c>
      <c r="O198" s="130"/>
    </row>
    <row r="199" spans="1:15" s="146" customFormat="1" x14ac:dyDescent="0.2">
      <c r="A199" s="45"/>
      <c r="B199" s="85"/>
      <c r="C199" s="142" t="s">
        <v>302</v>
      </c>
      <c r="D199" s="67" t="s">
        <v>18</v>
      </c>
      <c r="E199" s="164">
        <f>0.95*1.15*1.15</f>
        <v>1.2563749999999996</v>
      </c>
      <c r="F199" s="38">
        <f>F195*E199</f>
        <v>0.33369319999999991</v>
      </c>
      <c r="G199" s="42">
        <v>0</v>
      </c>
      <c r="H199" s="42">
        <f t="shared" ref="H199:H204" si="53">F199*G199</f>
        <v>0</v>
      </c>
      <c r="I199" s="42">
        <v>0</v>
      </c>
      <c r="J199" s="42">
        <f t="shared" ref="J199:J204" si="54">F199*I199</f>
        <v>0</v>
      </c>
      <c r="K199" s="38">
        <v>3.2</v>
      </c>
      <c r="L199" s="38">
        <f t="shared" ref="L199:L204" si="55">F199*K199</f>
        <v>1.0678182399999998</v>
      </c>
      <c r="M199" s="43">
        <f t="shared" si="52"/>
        <v>1.0678182399999998</v>
      </c>
      <c r="O199" s="130"/>
    </row>
    <row r="200" spans="1:15" s="44" customFormat="1" ht="14.25" x14ac:dyDescent="0.2">
      <c r="A200" s="165"/>
      <c r="B200" s="29" t="s">
        <v>316</v>
      </c>
      <c r="C200" s="166" t="s">
        <v>317</v>
      </c>
      <c r="D200" s="167" t="s">
        <v>318</v>
      </c>
      <c r="E200" s="168">
        <v>0</v>
      </c>
      <c r="F200" s="38">
        <f>167/12*8/1000*E200</f>
        <v>0</v>
      </c>
      <c r="G200" s="170">
        <v>1325</v>
      </c>
      <c r="H200" s="170">
        <f t="shared" si="53"/>
        <v>0</v>
      </c>
      <c r="I200" s="42">
        <v>0</v>
      </c>
      <c r="J200" s="42">
        <f t="shared" si="54"/>
        <v>0</v>
      </c>
      <c r="K200" s="38">
        <v>0</v>
      </c>
      <c r="L200" s="38">
        <f t="shared" si="55"/>
        <v>0</v>
      </c>
      <c r="M200" s="43">
        <f t="shared" si="52"/>
        <v>0</v>
      </c>
      <c r="O200" s="130"/>
    </row>
    <row r="201" spans="1:15" s="44" customFormat="1" ht="14.25" x14ac:dyDescent="0.2">
      <c r="A201" s="165"/>
      <c r="B201" s="29"/>
      <c r="C201" s="166" t="s">
        <v>315</v>
      </c>
      <c r="D201" s="167" t="s">
        <v>291</v>
      </c>
      <c r="E201" s="171"/>
      <c r="F201" s="172">
        <f>0.6*E201</f>
        <v>0</v>
      </c>
      <c r="G201" s="170">
        <v>4.24</v>
      </c>
      <c r="H201" s="170">
        <f t="shared" si="53"/>
        <v>0</v>
      </c>
      <c r="I201" s="42">
        <v>0</v>
      </c>
      <c r="J201" s="42">
        <f t="shared" si="54"/>
        <v>0</v>
      </c>
      <c r="K201" s="38">
        <v>0</v>
      </c>
      <c r="L201" s="38">
        <f t="shared" si="55"/>
        <v>0</v>
      </c>
      <c r="M201" s="43">
        <f t="shared" si="52"/>
        <v>0</v>
      </c>
      <c r="O201" s="130"/>
    </row>
    <row r="202" spans="1:15" s="44" customFormat="1" ht="25.5" x14ac:dyDescent="0.2">
      <c r="A202" s="165"/>
      <c r="B202" s="29" t="s">
        <v>289</v>
      </c>
      <c r="C202" s="166" t="s">
        <v>290</v>
      </c>
      <c r="D202" s="167" t="s">
        <v>291</v>
      </c>
      <c r="E202" s="171">
        <v>0.2</v>
      </c>
      <c r="F202" s="172">
        <f>E202*F195</f>
        <v>5.3120000000000001E-2</v>
      </c>
      <c r="G202" s="170">
        <v>1.65</v>
      </c>
      <c r="H202" s="170">
        <f t="shared" si="53"/>
        <v>8.764799999999999E-2</v>
      </c>
      <c r="I202" s="42">
        <v>0</v>
      </c>
      <c r="J202" s="42">
        <f t="shared" si="54"/>
        <v>0</v>
      </c>
      <c r="K202" s="38">
        <v>0</v>
      </c>
      <c r="L202" s="38">
        <f t="shared" si="55"/>
        <v>0</v>
      </c>
      <c r="M202" s="43">
        <f t="shared" si="52"/>
        <v>8.764799999999999E-2</v>
      </c>
      <c r="O202" s="130"/>
    </row>
    <row r="203" spans="1:15" s="44" customFormat="1" ht="14.25" x14ac:dyDescent="0.2">
      <c r="A203" s="165"/>
      <c r="B203" s="29"/>
      <c r="C203" s="166" t="s">
        <v>292</v>
      </c>
      <c r="D203" s="167" t="s">
        <v>291</v>
      </c>
      <c r="E203" s="168">
        <v>2.5</v>
      </c>
      <c r="F203" s="172">
        <f>F195*E203</f>
        <v>0.66400000000000003</v>
      </c>
      <c r="G203" s="170">
        <f>5/1.18</f>
        <v>4.2372881355932206</v>
      </c>
      <c r="H203" s="170">
        <f t="shared" si="53"/>
        <v>2.8135593220338988</v>
      </c>
      <c r="I203" s="42">
        <v>0</v>
      </c>
      <c r="J203" s="42">
        <f t="shared" si="54"/>
        <v>0</v>
      </c>
      <c r="K203" s="38">
        <v>0</v>
      </c>
      <c r="L203" s="38">
        <f t="shared" si="55"/>
        <v>0</v>
      </c>
      <c r="M203" s="43">
        <f t="shared" si="52"/>
        <v>2.8135593220338988</v>
      </c>
      <c r="O203" s="130"/>
    </row>
    <row r="204" spans="1:15" x14ac:dyDescent="0.25">
      <c r="A204" s="29"/>
      <c r="B204" s="124"/>
      <c r="C204" s="142" t="s">
        <v>295</v>
      </c>
      <c r="D204" s="67" t="s">
        <v>18</v>
      </c>
      <c r="E204" s="29">
        <v>2.78</v>
      </c>
      <c r="F204" s="38">
        <f>F195*E204</f>
        <v>0.73836799999999991</v>
      </c>
      <c r="G204" s="78">
        <v>3.2</v>
      </c>
      <c r="H204" s="42">
        <f t="shared" si="53"/>
        <v>2.3627775999999998</v>
      </c>
      <c r="I204" s="42">
        <v>0</v>
      </c>
      <c r="J204" s="164">
        <f t="shared" si="54"/>
        <v>0</v>
      </c>
      <c r="K204" s="38">
        <v>0</v>
      </c>
      <c r="L204" s="38">
        <f t="shared" si="55"/>
        <v>0</v>
      </c>
      <c r="M204" s="43">
        <f t="shared" si="52"/>
        <v>2.3627775999999998</v>
      </c>
      <c r="O204" s="130"/>
    </row>
    <row r="205" spans="1:15" ht="15.75" thickBot="1" x14ac:dyDescent="0.3">
      <c r="A205" s="148"/>
      <c r="B205" s="149"/>
      <c r="C205" s="149"/>
      <c r="D205" s="150"/>
      <c r="E205" s="148"/>
      <c r="F205" s="151"/>
      <c r="G205" s="151"/>
      <c r="H205" s="151"/>
      <c r="I205" s="151"/>
      <c r="J205" s="151"/>
      <c r="K205" s="151"/>
      <c r="L205" s="151"/>
      <c r="M205" s="152"/>
      <c r="O205" s="130"/>
    </row>
    <row r="206" spans="1:15" s="36" customFormat="1" ht="36" x14ac:dyDescent="0.2">
      <c r="A206" s="21">
        <v>16</v>
      </c>
      <c r="B206" s="131" t="s">
        <v>312</v>
      </c>
      <c r="C206" s="65" t="s">
        <v>193</v>
      </c>
      <c r="D206" s="79" t="s">
        <v>27</v>
      </c>
      <c r="E206" s="16"/>
      <c r="F206" s="27">
        <v>9.7600000000000006E-2</v>
      </c>
      <c r="G206" s="133">
        <f>H206/F206</f>
        <v>19.819220338983051</v>
      </c>
      <c r="H206" s="133">
        <f>SUM(H207:H215)</f>
        <v>1.9343559050847459</v>
      </c>
      <c r="I206" s="133">
        <f>J206/F206</f>
        <v>375</v>
      </c>
      <c r="J206" s="133">
        <f>SUM(J207:J215)</f>
        <v>36.6</v>
      </c>
      <c r="K206" s="133">
        <f>L206/F206</f>
        <v>4.0203999999999986</v>
      </c>
      <c r="L206" s="133">
        <f>SUM(L207:L215)</f>
        <v>0.39239103999999991</v>
      </c>
      <c r="M206" s="133">
        <f>SUM(M207:M215)</f>
        <v>38.926746945084744</v>
      </c>
      <c r="O206" s="130"/>
    </row>
    <row r="207" spans="1:15" s="19" customFormat="1" x14ac:dyDescent="0.25">
      <c r="A207" s="37"/>
      <c r="B207" s="134"/>
      <c r="C207" s="135" t="s">
        <v>266</v>
      </c>
      <c r="D207" s="136"/>
      <c r="E207" s="38"/>
      <c r="F207" s="39"/>
      <c r="G207" s="38"/>
      <c r="H207" s="38"/>
      <c r="I207" s="38"/>
      <c r="J207" s="38"/>
      <c r="K207" s="38"/>
      <c r="L207" s="161"/>
      <c r="M207" s="39"/>
      <c r="O207" s="130"/>
    </row>
    <row r="208" spans="1:15" s="44" customFormat="1" ht="14.25" x14ac:dyDescent="0.2">
      <c r="A208" s="140"/>
      <c r="B208" s="173" t="s">
        <v>277</v>
      </c>
      <c r="C208" s="142" t="s">
        <v>278</v>
      </c>
      <c r="D208" s="67" t="s">
        <v>27</v>
      </c>
      <c r="E208" s="164">
        <v>1</v>
      </c>
      <c r="F208" s="41">
        <f>E208*F206</f>
        <v>9.7600000000000006E-2</v>
      </c>
      <c r="G208" s="42">
        <v>0</v>
      </c>
      <c r="H208" s="42">
        <f>F208*G208</f>
        <v>0</v>
      </c>
      <c r="I208" s="42">
        <f>300*1.25</f>
        <v>375</v>
      </c>
      <c r="J208" s="42">
        <f>F208*I208</f>
        <v>36.6</v>
      </c>
      <c r="K208" s="38">
        <v>0</v>
      </c>
      <c r="L208" s="38">
        <f>F208*K208</f>
        <v>0</v>
      </c>
      <c r="M208" s="43">
        <f>H208+J208+L208</f>
        <v>36.6</v>
      </c>
      <c r="O208" s="130"/>
    </row>
    <row r="209" spans="1:15" s="146" customFormat="1" x14ac:dyDescent="0.2">
      <c r="A209" s="45"/>
      <c r="B209" s="29" t="s">
        <v>296</v>
      </c>
      <c r="C209" s="142" t="s">
        <v>297</v>
      </c>
      <c r="D209" s="67" t="s">
        <v>298</v>
      </c>
      <c r="E209" s="38"/>
      <c r="F209" s="38">
        <f>F206*E209</f>
        <v>0</v>
      </c>
      <c r="G209" s="42">
        <v>0</v>
      </c>
      <c r="H209" s="42">
        <f>F209*G209</f>
        <v>0</v>
      </c>
      <c r="I209" s="42">
        <v>0</v>
      </c>
      <c r="J209" s="42">
        <f>F209*I209</f>
        <v>0</v>
      </c>
      <c r="K209" s="163">
        <f>200*1.25/8</f>
        <v>31.25</v>
      </c>
      <c r="L209" s="38">
        <f>F209*K209</f>
        <v>0</v>
      </c>
      <c r="M209" s="43">
        <f>H209+J209+L209</f>
        <v>0</v>
      </c>
      <c r="O209" s="130"/>
    </row>
    <row r="210" spans="1:15" s="146" customFormat="1" x14ac:dyDescent="0.2">
      <c r="A210" s="45"/>
      <c r="B210" s="85"/>
      <c r="C210" s="142" t="s">
        <v>302</v>
      </c>
      <c r="D210" s="67" t="s">
        <v>18</v>
      </c>
      <c r="E210" s="164">
        <f>0.95*1.15*1.15</f>
        <v>1.2563749999999996</v>
      </c>
      <c r="F210" s="38">
        <f>F206*E210</f>
        <v>0.12262219999999997</v>
      </c>
      <c r="G210" s="42">
        <v>0</v>
      </c>
      <c r="H210" s="42">
        <f t="shared" ref="H210:H215" si="56">F210*G210</f>
        <v>0</v>
      </c>
      <c r="I210" s="42">
        <v>0</v>
      </c>
      <c r="J210" s="42">
        <f t="shared" ref="J210:J215" si="57">F210*I210</f>
        <v>0</v>
      </c>
      <c r="K210" s="38">
        <v>3.2</v>
      </c>
      <c r="L210" s="38">
        <f t="shared" ref="L210:L215" si="58">F210*K210</f>
        <v>0.39239103999999991</v>
      </c>
      <c r="M210" s="43">
        <f t="shared" ref="M210:M215" si="59">H210+J210+L210</f>
        <v>0.39239103999999991</v>
      </c>
      <c r="O210" s="130"/>
    </row>
    <row r="211" spans="1:15" s="44" customFormat="1" ht="14.25" x14ac:dyDescent="0.2">
      <c r="A211" s="165"/>
      <c r="B211" s="29" t="s">
        <v>316</v>
      </c>
      <c r="C211" s="166" t="s">
        <v>317</v>
      </c>
      <c r="D211" s="167" t="s">
        <v>318</v>
      </c>
      <c r="E211" s="168">
        <v>0</v>
      </c>
      <c r="F211" s="38">
        <f>97/1000*E211</f>
        <v>0</v>
      </c>
      <c r="G211" s="170">
        <v>1325</v>
      </c>
      <c r="H211" s="170">
        <f t="shared" si="56"/>
        <v>0</v>
      </c>
      <c r="I211" s="42">
        <v>0</v>
      </c>
      <c r="J211" s="42">
        <f t="shared" si="57"/>
        <v>0</v>
      </c>
      <c r="K211" s="38">
        <v>0</v>
      </c>
      <c r="L211" s="38">
        <f t="shared" si="58"/>
        <v>0</v>
      </c>
      <c r="M211" s="43">
        <f t="shared" si="59"/>
        <v>0</v>
      </c>
      <c r="O211" s="130"/>
    </row>
    <row r="212" spans="1:15" s="44" customFormat="1" ht="14.25" x14ac:dyDescent="0.2">
      <c r="A212" s="165"/>
      <c r="B212" s="29"/>
      <c r="C212" s="166" t="s">
        <v>315</v>
      </c>
      <c r="D212" s="167" t="s">
        <v>291</v>
      </c>
      <c r="E212" s="171"/>
      <c r="F212" s="172">
        <f>0.6*E212</f>
        <v>0</v>
      </c>
      <c r="G212" s="170">
        <v>4.24</v>
      </c>
      <c r="H212" s="170">
        <f t="shared" si="56"/>
        <v>0</v>
      </c>
      <c r="I212" s="42">
        <v>0</v>
      </c>
      <c r="J212" s="42">
        <f t="shared" si="57"/>
        <v>0</v>
      </c>
      <c r="K212" s="38">
        <v>0</v>
      </c>
      <c r="L212" s="38">
        <f t="shared" si="58"/>
        <v>0</v>
      </c>
      <c r="M212" s="43">
        <f t="shared" si="59"/>
        <v>0</v>
      </c>
      <c r="O212" s="130"/>
    </row>
    <row r="213" spans="1:15" s="44" customFormat="1" ht="25.5" x14ac:dyDescent="0.2">
      <c r="A213" s="165"/>
      <c r="B213" s="29" t="s">
        <v>289</v>
      </c>
      <c r="C213" s="166" t="s">
        <v>290</v>
      </c>
      <c r="D213" s="167" t="s">
        <v>291</v>
      </c>
      <c r="E213" s="171">
        <v>0.2</v>
      </c>
      <c r="F213" s="172">
        <f>E213*F206</f>
        <v>1.9520000000000003E-2</v>
      </c>
      <c r="G213" s="170">
        <v>1.65</v>
      </c>
      <c r="H213" s="170">
        <f t="shared" si="56"/>
        <v>3.2208000000000001E-2</v>
      </c>
      <c r="I213" s="42">
        <v>0</v>
      </c>
      <c r="J213" s="42">
        <f t="shared" si="57"/>
        <v>0</v>
      </c>
      <c r="K213" s="38">
        <v>0</v>
      </c>
      <c r="L213" s="38">
        <f t="shared" si="58"/>
        <v>0</v>
      </c>
      <c r="M213" s="43">
        <f t="shared" si="59"/>
        <v>3.2208000000000001E-2</v>
      </c>
      <c r="O213" s="130"/>
    </row>
    <row r="214" spans="1:15" s="44" customFormat="1" ht="14.25" x14ac:dyDescent="0.2">
      <c r="A214" s="165"/>
      <c r="B214" s="29"/>
      <c r="C214" s="166" t="s">
        <v>292</v>
      </c>
      <c r="D214" s="167" t="s">
        <v>291</v>
      </c>
      <c r="E214" s="168">
        <v>2.5</v>
      </c>
      <c r="F214" s="172">
        <f>F206*E214</f>
        <v>0.24400000000000002</v>
      </c>
      <c r="G214" s="170">
        <f>5/1.18</f>
        <v>4.2372881355932206</v>
      </c>
      <c r="H214" s="170">
        <f t="shared" si="56"/>
        <v>1.0338983050847459</v>
      </c>
      <c r="I214" s="42">
        <v>0</v>
      </c>
      <c r="J214" s="42">
        <f t="shared" si="57"/>
        <v>0</v>
      </c>
      <c r="K214" s="38">
        <v>0</v>
      </c>
      <c r="L214" s="38">
        <f t="shared" si="58"/>
        <v>0</v>
      </c>
      <c r="M214" s="43">
        <f t="shared" si="59"/>
        <v>1.0338983050847459</v>
      </c>
      <c r="O214" s="130"/>
    </row>
    <row r="215" spans="1:15" x14ac:dyDescent="0.25">
      <c r="A215" s="29"/>
      <c r="B215" s="124"/>
      <c r="C215" s="142" t="s">
        <v>295</v>
      </c>
      <c r="D215" s="67" t="s">
        <v>18</v>
      </c>
      <c r="E215" s="29">
        <v>2.78</v>
      </c>
      <c r="F215" s="38">
        <f>F206*E215</f>
        <v>0.27132800000000001</v>
      </c>
      <c r="G215" s="78">
        <v>3.2</v>
      </c>
      <c r="H215" s="42">
        <f t="shared" si="56"/>
        <v>0.86824960000000007</v>
      </c>
      <c r="I215" s="42">
        <v>0</v>
      </c>
      <c r="J215" s="164">
        <f t="shared" si="57"/>
        <v>0</v>
      </c>
      <c r="K215" s="38">
        <v>0</v>
      </c>
      <c r="L215" s="38">
        <f t="shared" si="58"/>
        <v>0</v>
      </c>
      <c r="M215" s="43">
        <f t="shared" si="59"/>
        <v>0.86824960000000007</v>
      </c>
      <c r="O215" s="130"/>
    </row>
    <row r="216" spans="1:15" ht="15.75" thickBot="1" x14ac:dyDescent="0.3">
      <c r="A216" s="148"/>
      <c r="B216" s="149"/>
      <c r="C216" s="149"/>
      <c r="D216" s="150"/>
      <c r="E216" s="148"/>
      <c r="F216" s="151"/>
      <c r="G216" s="151"/>
      <c r="H216" s="151"/>
      <c r="I216" s="151"/>
      <c r="J216" s="151"/>
      <c r="K216" s="151"/>
      <c r="L216" s="151"/>
      <c r="M216" s="152"/>
      <c r="O216" s="130"/>
    </row>
    <row r="217" spans="1:15" s="36" customFormat="1" ht="36" x14ac:dyDescent="0.2">
      <c r="A217" s="21">
        <v>17</v>
      </c>
      <c r="B217" s="131" t="s">
        <v>312</v>
      </c>
      <c r="C217" s="65" t="s">
        <v>194</v>
      </c>
      <c r="D217" s="79" t="s">
        <v>27</v>
      </c>
      <c r="E217" s="16"/>
      <c r="F217" s="27">
        <v>5.9299999999999999E-2</v>
      </c>
      <c r="G217" s="133">
        <f>H217/F217</f>
        <v>19.819220338983047</v>
      </c>
      <c r="H217" s="133">
        <f>SUM(H218:H226)</f>
        <v>1.1752797661016947</v>
      </c>
      <c r="I217" s="133">
        <f>J217/F217</f>
        <v>375</v>
      </c>
      <c r="J217" s="133">
        <f>SUM(J218:J226)</f>
        <v>22.237500000000001</v>
      </c>
      <c r="K217" s="133">
        <f>L217/F217</f>
        <v>4.0203999999999986</v>
      </c>
      <c r="L217" s="133">
        <f>SUM(L218:L226)</f>
        <v>0.23840971999999991</v>
      </c>
      <c r="M217" s="133">
        <f>SUM(M218:M226)</f>
        <v>23.651189486101696</v>
      </c>
      <c r="O217" s="130"/>
    </row>
    <row r="218" spans="1:15" s="19" customFormat="1" x14ac:dyDescent="0.25">
      <c r="A218" s="37"/>
      <c r="B218" s="134"/>
      <c r="C218" s="135" t="s">
        <v>266</v>
      </c>
      <c r="D218" s="136"/>
      <c r="E218" s="38"/>
      <c r="F218" s="39"/>
      <c r="G218" s="38"/>
      <c r="H218" s="38"/>
      <c r="I218" s="38"/>
      <c r="J218" s="38"/>
      <c r="K218" s="38"/>
      <c r="L218" s="161"/>
      <c r="M218" s="39"/>
      <c r="O218" s="130"/>
    </row>
    <row r="219" spans="1:15" s="44" customFormat="1" ht="14.25" x14ac:dyDescent="0.2">
      <c r="A219" s="140"/>
      <c r="B219" s="173" t="s">
        <v>277</v>
      </c>
      <c r="C219" s="142" t="s">
        <v>278</v>
      </c>
      <c r="D219" s="67" t="s">
        <v>27</v>
      </c>
      <c r="E219" s="164">
        <v>1</v>
      </c>
      <c r="F219" s="41">
        <f>E219*F217</f>
        <v>5.9299999999999999E-2</v>
      </c>
      <c r="G219" s="42">
        <v>0</v>
      </c>
      <c r="H219" s="42">
        <f>F219*G219</f>
        <v>0</v>
      </c>
      <c r="I219" s="42">
        <f>300*1.25</f>
        <v>375</v>
      </c>
      <c r="J219" s="42">
        <f>F219*I219</f>
        <v>22.237500000000001</v>
      </c>
      <c r="K219" s="38">
        <v>0</v>
      </c>
      <c r="L219" s="38">
        <f>F219*K219</f>
        <v>0</v>
      </c>
      <c r="M219" s="43">
        <f t="shared" ref="M219:M226" si="60">H219+J219+L219</f>
        <v>22.237500000000001</v>
      </c>
      <c r="O219" s="130"/>
    </row>
    <row r="220" spans="1:15" s="146" customFormat="1" x14ac:dyDescent="0.2">
      <c r="A220" s="45"/>
      <c r="B220" s="29" t="s">
        <v>296</v>
      </c>
      <c r="C220" s="142" t="s">
        <v>297</v>
      </c>
      <c r="D220" s="67" t="s">
        <v>298</v>
      </c>
      <c r="E220" s="38"/>
      <c r="F220" s="38">
        <f>F217*E220</f>
        <v>0</v>
      </c>
      <c r="G220" s="42">
        <v>0</v>
      </c>
      <c r="H220" s="42">
        <f>F220*G220</f>
        <v>0</v>
      </c>
      <c r="I220" s="42">
        <v>0</v>
      </c>
      <c r="J220" s="42">
        <f>F220*I220</f>
        <v>0</v>
      </c>
      <c r="K220" s="163">
        <f>200*1.25/8</f>
        <v>31.25</v>
      </c>
      <c r="L220" s="38">
        <f>F220*K220</f>
        <v>0</v>
      </c>
      <c r="M220" s="43">
        <f t="shared" si="60"/>
        <v>0</v>
      </c>
      <c r="O220" s="130"/>
    </row>
    <row r="221" spans="1:15" s="146" customFormat="1" x14ac:dyDescent="0.2">
      <c r="A221" s="45"/>
      <c r="B221" s="85"/>
      <c r="C221" s="142" t="s">
        <v>302</v>
      </c>
      <c r="D221" s="67" t="s">
        <v>18</v>
      </c>
      <c r="E221" s="164">
        <f>0.95*1.15*1.15</f>
        <v>1.2563749999999996</v>
      </c>
      <c r="F221" s="38">
        <f>F217*E221</f>
        <v>7.4503037499999966E-2</v>
      </c>
      <c r="G221" s="42">
        <v>0</v>
      </c>
      <c r="H221" s="42">
        <f t="shared" ref="H221:H226" si="61">F221*G221</f>
        <v>0</v>
      </c>
      <c r="I221" s="42">
        <v>0</v>
      </c>
      <c r="J221" s="42">
        <f t="shared" ref="J221:J226" si="62">F221*I221</f>
        <v>0</v>
      </c>
      <c r="K221" s="38">
        <v>3.2</v>
      </c>
      <c r="L221" s="38">
        <f t="shared" ref="L221:L226" si="63">F221*K221</f>
        <v>0.23840971999999991</v>
      </c>
      <c r="M221" s="43">
        <f t="shared" si="60"/>
        <v>0.23840971999999991</v>
      </c>
      <c r="O221" s="130"/>
    </row>
    <row r="222" spans="1:15" s="44" customFormat="1" ht="14.25" x14ac:dyDescent="0.2">
      <c r="A222" s="165"/>
      <c r="B222" s="29" t="s">
        <v>316</v>
      </c>
      <c r="C222" s="166" t="s">
        <v>319</v>
      </c>
      <c r="D222" s="167" t="s">
        <v>318</v>
      </c>
      <c r="E222" s="168">
        <v>0</v>
      </c>
      <c r="F222" s="38">
        <f>59/1000*E222</f>
        <v>0</v>
      </c>
      <c r="G222" s="170">
        <v>1325</v>
      </c>
      <c r="H222" s="170">
        <f t="shared" si="61"/>
        <v>0</v>
      </c>
      <c r="I222" s="42">
        <v>0</v>
      </c>
      <c r="J222" s="42">
        <f t="shared" si="62"/>
        <v>0</v>
      </c>
      <c r="K222" s="38">
        <v>0</v>
      </c>
      <c r="L222" s="38">
        <f t="shared" si="63"/>
        <v>0</v>
      </c>
      <c r="M222" s="43">
        <f t="shared" si="60"/>
        <v>0</v>
      </c>
      <c r="O222" s="130"/>
    </row>
    <row r="223" spans="1:15" s="44" customFormat="1" ht="14.25" x14ac:dyDescent="0.2">
      <c r="A223" s="165"/>
      <c r="B223" s="29"/>
      <c r="C223" s="166" t="s">
        <v>315</v>
      </c>
      <c r="D223" s="167" t="s">
        <v>291</v>
      </c>
      <c r="E223" s="171"/>
      <c r="F223" s="172">
        <f>0.6*E223</f>
        <v>0</v>
      </c>
      <c r="G223" s="170">
        <v>4.24</v>
      </c>
      <c r="H223" s="170">
        <f t="shared" si="61"/>
        <v>0</v>
      </c>
      <c r="I223" s="42">
        <v>0</v>
      </c>
      <c r="J223" s="42">
        <f t="shared" si="62"/>
        <v>0</v>
      </c>
      <c r="K223" s="38">
        <v>0</v>
      </c>
      <c r="L223" s="38">
        <f t="shared" si="63"/>
        <v>0</v>
      </c>
      <c r="M223" s="43">
        <f t="shared" si="60"/>
        <v>0</v>
      </c>
      <c r="O223" s="130"/>
    </row>
    <row r="224" spans="1:15" s="44" customFormat="1" ht="25.5" x14ac:dyDescent="0.2">
      <c r="A224" s="165"/>
      <c r="B224" s="29" t="s">
        <v>289</v>
      </c>
      <c r="C224" s="166" t="s">
        <v>290</v>
      </c>
      <c r="D224" s="167" t="s">
        <v>291</v>
      </c>
      <c r="E224" s="171">
        <v>0.2</v>
      </c>
      <c r="F224" s="172">
        <f>E224*F217</f>
        <v>1.1860000000000001E-2</v>
      </c>
      <c r="G224" s="170">
        <v>1.65</v>
      </c>
      <c r="H224" s="170">
        <f t="shared" si="61"/>
        <v>1.9569E-2</v>
      </c>
      <c r="I224" s="42">
        <v>0</v>
      </c>
      <c r="J224" s="42">
        <f t="shared" si="62"/>
        <v>0</v>
      </c>
      <c r="K224" s="38">
        <v>0</v>
      </c>
      <c r="L224" s="38">
        <f t="shared" si="63"/>
        <v>0</v>
      </c>
      <c r="M224" s="43">
        <f t="shared" si="60"/>
        <v>1.9569E-2</v>
      </c>
      <c r="O224" s="130"/>
    </row>
    <row r="225" spans="1:15" s="44" customFormat="1" ht="14.25" x14ac:dyDescent="0.2">
      <c r="A225" s="165"/>
      <c r="B225" s="29"/>
      <c r="C225" s="166" t="s">
        <v>292</v>
      </c>
      <c r="D225" s="167" t="s">
        <v>291</v>
      </c>
      <c r="E225" s="168">
        <v>2.5</v>
      </c>
      <c r="F225" s="172">
        <f>F217*E225</f>
        <v>0.14824999999999999</v>
      </c>
      <c r="G225" s="170">
        <f>5/1.18</f>
        <v>4.2372881355932206</v>
      </c>
      <c r="H225" s="170">
        <f t="shared" si="61"/>
        <v>0.62817796610169496</v>
      </c>
      <c r="I225" s="42">
        <v>0</v>
      </c>
      <c r="J225" s="42">
        <f t="shared" si="62"/>
        <v>0</v>
      </c>
      <c r="K225" s="38">
        <v>0</v>
      </c>
      <c r="L225" s="38">
        <f t="shared" si="63"/>
        <v>0</v>
      </c>
      <c r="M225" s="43">
        <f t="shared" si="60"/>
        <v>0.62817796610169496</v>
      </c>
      <c r="O225" s="130"/>
    </row>
    <row r="226" spans="1:15" x14ac:dyDescent="0.25">
      <c r="A226" s="29"/>
      <c r="B226" s="124"/>
      <c r="C226" s="142" t="s">
        <v>295</v>
      </c>
      <c r="D226" s="67" t="s">
        <v>18</v>
      </c>
      <c r="E226" s="29">
        <v>2.78</v>
      </c>
      <c r="F226" s="38">
        <f>F217*E226</f>
        <v>0.16485399999999997</v>
      </c>
      <c r="G226" s="78">
        <v>3.2</v>
      </c>
      <c r="H226" s="42">
        <f t="shared" si="61"/>
        <v>0.52753279999999991</v>
      </c>
      <c r="I226" s="42">
        <v>0</v>
      </c>
      <c r="J226" s="164">
        <f t="shared" si="62"/>
        <v>0</v>
      </c>
      <c r="K226" s="38">
        <v>0</v>
      </c>
      <c r="L226" s="38">
        <f t="shared" si="63"/>
        <v>0</v>
      </c>
      <c r="M226" s="43">
        <f t="shared" si="60"/>
        <v>0.52753279999999991</v>
      </c>
      <c r="O226" s="130"/>
    </row>
    <row r="227" spans="1:15" ht="15.75" thickBot="1" x14ac:dyDescent="0.3">
      <c r="A227" s="148"/>
      <c r="B227" s="149"/>
      <c r="C227" s="149"/>
      <c r="D227" s="150"/>
      <c r="E227" s="148"/>
      <c r="F227" s="151"/>
      <c r="G227" s="151"/>
      <c r="H227" s="151"/>
      <c r="I227" s="151"/>
      <c r="J227" s="151"/>
      <c r="K227" s="151"/>
      <c r="L227" s="151"/>
      <c r="M227" s="152"/>
      <c r="O227" s="130"/>
    </row>
    <row r="228" spans="1:15" s="36" customFormat="1" ht="36" x14ac:dyDescent="0.2">
      <c r="A228" s="21">
        <v>18</v>
      </c>
      <c r="B228" s="131" t="s">
        <v>312</v>
      </c>
      <c r="C228" s="65" t="s">
        <v>230</v>
      </c>
      <c r="D228" s="79" t="s">
        <v>27</v>
      </c>
      <c r="E228" s="16"/>
      <c r="F228" s="30">
        <f>168/12*8/1000</f>
        <v>0.112</v>
      </c>
      <c r="G228" s="133">
        <f>H228/F228</f>
        <v>19.819220338983051</v>
      </c>
      <c r="H228" s="133">
        <f>SUM(H229:H237)</f>
        <v>2.2197526779661017</v>
      </c>
      <c r="I228" s="133">
        <f>J228/F228</f>
        <v>375</v>
      </c>
      <c r="J228" s="133">
        <f>SUM(J229:J237)</f>
        <v>42</v>
      </c>
      <c r="K228" s="133">
        <f>L228/F228</f>
        <v>4.0203999999999986</v>
      </c>
      <c r="L228" s="133">
        <f>SUM(L229:L237)</f>
        <v>0.45028479999999987</v>
      </c>
      <c r="M228" s="133">
        <f>SUM(M229:M237)</f>
        <v>44.670037477966105</v>
      </c>
      <c r="O228" s="130"/>
    </row>
    <row r="229" spans="1:15" s="19" customFormat="1" x14ac:dyDescent="0.25">
      <c r="A229" s="37"/>
      <c r="B229" s="134"/>
      <c r="C229" s="135" t="s">
        <v>266</v>
      </c>
      <c r="D229" s="134"/>
      <c r="E229" s="38"/>
      <c r="F229" s="39"/>
      <c r="G229" s="38"/>
      <c r="H229" s="38"/>
      <c r="I229" s="38"/>
      <c r="J229" s="38"/>
      <c r="K229" s="38"/>
      <c r="L229" s="161"/>
      <c r="M229" s="39"/>
      <c r="O229" s="130"/>
    </row>
    <row r="230" spans="1:15" s="44" customFormat="1" ht="14.25" x14ac:dyDescent="0.2">
      <c r="A230" s="140"/>
      <c r="B230" s="173" t="s">
        <v>277</v>
      </c>
      <c r="C230" s="142" t="s">
        <v>278</v>
      </c>
      <c r="D230" s="67" t="s">
        <v>27</v>
      </c>
      <c r="E230" s="164">
        <v>1</v>
      </c>
      <c r="F230" s="41">
        <f>E230*F228</f>
        <v>0.112</v>
      </c>
      <c r="G230" s="42">
        <v>0</v>
      </c>
      <c r="H230" s="42">
        <f>F230*G230</f>
        <v>0</v>
      </c>
      <c r="I230" s="42">
        <f>300*1.25</f>
        <v>375</v>
      </c>
      <c r="J230" s="42">
        <f>F230*I230</f>
        <v>42</v>
      </c>
      <c r="K230" s="38">
        <v>0</v>
      </c>
      <c r="L230" s="38">
        <f>F230*K230</f>
        <v>0</v>
      </c>
      <c r="M230" s="43">
        <f>H230+J230+L230</f>
        <v>42</v>
      </c>
      <c r="O230" s="130"/>
    </row>
    <row r="231" spans="1:15" s="146" customFormat="1" x14ac:dyDescent="0.2">
      <c r="A231" s="45"/>
      <c r="B231" s="29" t="s">
        <v>296</v>
      </c>
      <c r="C231" s="142" t="s">
        <v>297</v>
      </c>
      <c r="D231" s="67" t="s">
        <v>298</v>
      </c>
      <c r="E231" s="38"/>
      <c r="F231" s="38">
        <f>F228*E231</f>
        <v>0</v>
      </c>
      <c r="G231" s="42">
        <v>0</v>
      </c>
      <c r="H231" s="42">
        <f>F231*G231</f>
        <v>0</v>
      </c>
      <c r="I231" s="42">
        <v>0</v>
      </c>
      <c r="J231" s="42">
        <f>F231*I231</f>
        <v>0</v>
      </c>
      <c r="K231" s="163">
        <f>200*1.25/8</f>
        <v>31.25</v>
      </c>
      <c r="L231" s="38">
        <f>F231*K231</f>
        <v>0</v>
      </c>
      <c r="M231" s="43">
        <f>H231+J231+L231</f>
        <v>0</v>
      </c>
      <c r="O231" s="130"/>
    </row>
    <row r="232" spans="1:15" s="146" customFormat="1" x14ac:dyDescent="0.2">
      <c r="A232" s="45"/>
      <c r="B232" s="85"/>
      <c r="C232" s="142" t="s">
        <v>302</v>
      </c>
      <c r="D232" s="67" t="s">
        <v>18</v>
      </c>
      <c r="E232" s="164">
        <f>0.95*1.15*1.15</f>
        <v>1.2563749999999996</v>
      </c>
      <c r="F232" s="38">
        <f>F228*E232</f>
        <v>0.14071399999999995</v>
      </c>
      <c r="G232" s="42">
        <v>0</v>
      </c>
      <c r="H232" s="42">
        <f t="shared" ref="H232:H237" si="64">F232*G232</f>
        <v>0</v>
      </c>
      <c r="I232" s="42">
        <v>0</v>
      </c>
      <c r="J232" s="42">
        <f t="shared" ref="J232:J237" si="65">F232*I232</f>
        <v>0</v>
      </c>
      <c r="K232" s="38">
        <v>3.2</v>
      </c>
      <c r="L232" s="38">
        <f t="shared" ref="L232:L237" si="66">F232*K232</f>
        <v>0.45028479999999987</v>
      </c>
      <c r="M232" s="43">
        <f t="shared" ref="M232:M237" si="67">H232+J232+L232</f>
        <v>0.45028479999999987</v>
      </c>
      <c r="O232" s="130"/>
    </row>
    <row r="233" spans="1:15" s="44" customFormat="1" ht="14.25" x14ac:dyDescent="0.2">
      <c r="A233" s="165"/>
      <c r="B233" s="29" t="s">
        <v>316</v>
      </c>
      <c r="C233" s="166" t="s">
        <v>319</v>
      </c>
      <c r="D233" s="177" t="s">
        <v>318</v>
      </c>
      <c r="E233" s="168">
        <v>0</v>
      </c>
      <c r="F233" s="38">
        <f>167/12*8/1000*E233</f>
        <v>0</v>
      </c>
      <c r="G233" s="170">
        <v>1325</v>
      </c>
      <c r="H233" s="170">
        <f t="shared" si="64"/>
        <v>0</v>
      </c>
      <c r="I233" s="42">
        <v>0</v>
      </c>
      <c r="J233" s="42">
        <f t="shared" si="65"/>
        <v>0</v>
      </c>
      <c r="K233" s="38">
        <v>0</v>
      </c>
      <c r="L233" s="38">
        <f t="shared" si="66"/>
        <v>0</v>
      </c>
      <c r="M233" s="43">
        <f t="shared" si="67"/>
        <v>0</v>
      </c>
      <c r="O233" s="130"/>
    </row>
    <row r="234" spans="1:15" s="44" customFormat="1" ht="14.25" x14ac:dyDescent="0.2">
      <c r="A234" s="165"/>
      <c r="B234" s="29"/>
      <c r="C234" s="166" t="s">
        <v>315</v>
      </c>
      <c r="D234" s="167" t="s">
        <v>291</v>
      </c>
      <c r="E234" s="171"/>
      <c r="F234" s="172">
        <f>0.6*E234</f>
        <v>0</v>
      </c>
      <c r="G234" s="170">
        <v>4.24</v>
      </c>
      <c r="H234" s="170">
        <f t="shared" si="64"/>
        <v>0</v>
      </c>
      <c r="I234" s="42">
        <v>0</v>
      </c>
      <c r="J234" s="42">
        <f t="shared" si="65"/>
        <v>0</v>
      </c>
      <c r="K234" s="38">
        <v>0</v>
      </c>
      <c r="L234" s="38">
        <f t="shared" si="66"/>
        <v>0</v>
      </c>
      <c r="M234" s="43">
        <f t="shared" si="67"/>
        <v>0</v>
      </c>
      <c r="O234" s="130"/>
    </row>
    <row r="235" spans="1:15" s="44" customFormat="1" ht="25.5" x14ac:dyDescent="0.2">
      <c r="A235" s="165"/>
      <c r="B235" s="29" t="s">
        <v>289</v>
      </c>
      <c r="C235" s="166" t="s">
        <v>290</v>
      </c>
      <c r="D235" s="167" t="s">
        <v>291</v>
      </c>
      <c r="E235" s="171">
        <v>0.2</v>
      </c>
      <c r="F235" s="172">
        <f>E235*F228</f>
        <v>2.2400000000000003E-2</v>
      </c>
      <c r="G235" s="170">
        <v>1.65</v>
      </c>
      <c r="H235" s="170">
        <f t="shared" si="64"/>
        <v>3.6960000000000007E-2</v>
      </c>
      <c r="I235" s="42">
        <v>0</v>
      </c>
      <c r="J235" s="42">
        <f t="shared" si="65"/>
        <v>0</v>
      </c>
      <c r="K235" s="38">
        <v>0</v>
      </c>
      <c r="L235" s="38">
        <f t="shared" si="66"/>
        <v>0</v>
      </c>
      <c r="M235" s="43">
        <f t="shared" si="67"/>
        <v>3.6960000000000007E-2</v>
      </c>
      <c r="O235" s="130"/>
    </row>
    <row r="236" spans="1:15" s="44" customFormat="1" ht="14.25" x14ac:dyDescent="0.2">
      <c r="A236" s="165"/>
      <c r="B236" s="29"/>
      <c r="C236" s="166" t="s">
        <v>292</v>
      </c>
      <c r="D236" s="167" t="s">
        <v>291</v>
      </c>
      <c r="E236" s="168">
        <v>2.5</v>
      </c>
      <c r="F236" s="172">
        <f>F228*E236</f>
        <v>0.28000000000000003</v>
      </c>
      <c r="G236" s="170">
        <f>5/1.18</f>
        <v>4.2372881355932206</v>
      </c>
      <c r="H236" s="170">
        <f t="shared" si="64"/>
        <v>1.1864406779661019</v>
      </c>
      <c r="I236" s="42">
        <v>0</v>
      </c>
      <c r="J236" s="42">
        <f t="shared" si="65"/>
        <v>0</v>
      </c>
      <c r="K236" s="38">
        <v>0</v>
      </c>
      <c r="L236" s="38">
        <f t="shared" si="66"/>
        <v>0</v>
      </c>
      <c r="M236" s="43">
        <f t="shared" si="67"/>
        <v>1.1864406779661019</v>
      </c>
      <c r="O236" s="130"/>
    </row>
    <row r="237" spans="1:15" x14ac:dyDescent="0.25">
      <c r="A237" s="29"/>
      <c r="B237" s="124"/>
      <c r="C237" s="142" t="s">
        <v>295</v>
      </c>
      <c r="D237" s="67" t="s">
        <v>18</v>
      </c>
      <c r="E237" s="29">
        <v>2.78</v>
      </c>
      <c r="F237" s="38">
        <f>F228*E237</f>
        <v>0.31135999999999997</v>
      </c>
      <c r="G237" s="78">
        <v>3.2</v>
      </c>
      <c r="H237" s="42">
        <f t="shared" si="64"/>
        <v>0.9963519999999999</v>
      </c>
      <c r="I237" s="42">
        <v>0</v>
      </c>
      <c r="J237" s="164">
        <f t="shared" si="65"/>
        <v>0</v>
      </c>
      <c r="K237" s="38">
        <v>0</v>
      </c>
      <c r="L237" s="38">
        <f t="shared" si="66"/>
        <v>0</v>
      </c>
      <c r="M237" s="43">
        <f t="shared" si="67"/>
        <v>0.9963519999999999</v>
      </c>
      <c r="O237" s="130"/>
    </row>
    <row r="238" spans="1:15" ht="15.75" thickBot="1" x14ac:dyDescent="0.3">
      <c r="A238" s="148"/>
      <c r="B238" s="149"/>
      <c r="C238" s="149"/>
      <c r="D238" s="178"/>
      <c r="E238" s="148"/>
      <c r="F238" s="151"/>
      <c r="G238" s="151"/>
      <c r="H238" s="151"/>
      <c r="I238" s="151"/>
      <c r="J238" s="151"/>
      <c r="K238" s="151"/>
      <c r="L238" s="151"/>
      <c r="M238" s="152"/>
      <c r="O238" s="130"/>
    </row>
    <row r="239" spans="1:15" s="36" customFormat="1" ht="36" x14ac:dyDescent="0.2">
      <c r="A239" s="21">
        <v>19</v>
      </c>
      <c r="B239" s="131" t="s">
        <v>312</v>
      </c>
      <c r="C239" s="65" t="s">
        <v>195</v>
      </c>
      <c r="D239" s="79" t="s">
        <v>27</v>
      </c>
      <c r="E239" s="16"/>
      <c r="F239" s="27">
        <v>8.8499999999999995E-2</v>
      </c>
      <c r="G239" s="133">
        <f>H239/F239</f>
        <v>19.819220338983055</v>
      </c>
      <c r="H239" s="133">
        <f>SUM(H240:H248)</f>
        <v>1.7540010000000001</v>
      </c>
      <c r="I239" s="133">
        <f>J239/F239</f>
        <v>375</v>
      </c>
      <c r="J239" s="133">
        <f>SUM(J240:J248)</f>
        <v>33.1875</v>
      </c>
      <c r="K239" s="133">
        <f>L239/F239</f>
        <v>4.0203999999999986</v>
      </c>
      <c r="L239" s="133">
        <f>SUM(L240:L248)</f>
        <v>0.35580539999999988</v>
      </c>
      <c r="M239" s="133">
        <f>SUM(M240:M248)</f>
        <v>35.297306399999997</v>
      </c>
      <c r="O239" s="130"/>
    </row>
    <row r="240" spans="1:15" s="19" customFormat="1" x14ac:dyDescent="0.25">
      <c r="A240" s="37"/>
      <c r="B240" s="134"/>
      <c r="C240" s="135" t="s">
        <v>266</v>
      </c>
      <c r="D240" s="134"/>
      <c r="E240" s="38"/>
      <c r="F240" s="39"/>
      <c r="G240" s="38"/>
      <c r="H240" s="38"/>
      <c r="I240" s="38"/>
      <c r="J240" s="38"/>
      <c r="K240" s="38"/>
      <c r="L240" s="161"/>
      <c r="M240" s="39"/>
      <c r="O240" s="130"/>
    </row>
    <row r="241" spans="1:15" s="44" customFormat="1" ht="14.25" x14ac:dyDescent="0.2">
      <c r="A241" s="140"/>
      <c r="B241" s="173" t="s">
        <v>277</v>
      </c>
      <c r="C241" s="142" t="s">
        <v>278</v>
      </c>
      <c r="D241" s="67" t="s">
        <v>27</v>
      </c>
      <c r="E241" s="164">
        <v>1</v>
      </c>
      <c r="F241" s="41">
        <f>E241*F239</f>
        <v>8.8499999999999995E-2</v>
      </c>
      <c r="G241" s="42">
        <v>0</v>
      </c>
      <c r="H241" s="42">
        <f>F241*G241</f>
        <v>0</v>
      </c>
      <c r="I241" s="42">
        <f>300*1.25</f>
        <v>375</v>
      </c>
      <c r="J241" s="42">
        <f>F241*I241</f>
        <v>33.1875</v>
      </c>
      <c r="K241" s="38">
        <v>0</v>
      </c>
      <c r="L241" s="38">
        <f>F241*K241</f>
        <v>0</v>
      </c>
      <c r="M241" s="43">
        <f>H241+J241+L241</f>
        <v>33.1875</v>
      </c>
      <c r="O241" s="130"/>
    </row>
    <row r="242" spans="1:15" s="146" customFormat="1" x14ac:dyDescent="0.2">
      <c r="A242" s="45"/>
      <c r="B242" s="29" t="s">
        <v>296</v>
      </c>
      <c r="C242" s="142" t="s">
        <v>297</v>
      </c>
      <c r="D242" s="67" t="s">
        <v>298</v>
      </c>
      <c r="E242" s="38"/>
      <c r="F242" s="38">
        <f>F239*E242</f>
        <v>0</v>
      </c>
      <c r="G242" s="42">
        <v>0</v>
      </c>
      <c r="H242" s="42">
        <f>F242*G242</f>
        <v>0</v>
      </c>
      <c r="I242" s="42">
        <v>0</v>
      </c>
      <c r="J242" s="42">
        <f>F242*I242</f>
        <v>0</v>
      </c>
      <c r="K242" s="163">
        <f>200*1.25/8</f>
        <v>31.25</v>
      </c>
      <c r="L242" s="38">
        <f>F242*K242</f>
        <v>0</v>
      </c>
      <c r="M242" s="43">
        <f>H242+J242+L242</f>
        <v>0</v>
      </c>
      <c r="O242" s="130"/>
    </row>
    <row r="243" spans="1:15" s="146" customFormat="1" x14ac:dyDescent="0.2">
      <c r="A243" s="45"/>
      <c r="B243" s="85"/>
      <c r="C243" s="142" t="s">
        <v>302</v>
      </c>
      <c r="D243" s="67" t="s">
        <v>18</v>
      </c>
      <c r="E243" s="164">
        <f>0.95*1.15*1.15</f>
        <v>1.2563749999999996</v>
      </c>
      <c r="F243" s="38">
        <f>F239*E243</f>
        <v>0.11118918749999995</v>
      </c>
      <c r="G243" s="42">
        <v>0</v>
      </c>
      <c r="H243" s="42">
        <f t="shared" ref="H243:H248" si="68">F243*G243</f>
        <v>0</v>
      </c>
      <c r="I243" s="42">
        <v>0</v>
      </c>
      <c r="J243" s="42">
        <f t="shared" ref="J243:J248" si="69">F243*I243</f>
        <v>0</v>
      </c>
      <c r="K243" s="38">
        <v>3.2</v>
      </c>
      <c r="L243" s="38">
        <f t="shared" ref="L243:L248" si="70">F243*K243</f>
        <v>0.35580539999999988</v>
      </c>
      <c r="M243" s="43">
        <f t="shared" ref="M243:M248" si="71">H243+J243+L243</f>
        <v>0.35580539999999988</v>
      </c>
      <c r="O243" s="130"/>
    </row>
    <row r="244" spans="1:15" s="44" customFormat="1" ht="14.25" x14ac:dyDescent="0.2">
      <c r="A244" s="165"/>
      <c r="B244" s="29" t="s">
        <v>316</v>
      </c>
      <c r="C244" s="166" t="s">
        <v>319</v>
      </c>
      <c r="D244" s="177" t="s">
        <v>318</v>
      </c>
      <c r="E244" s="168">
        <v>0</v>
      </c>
      <c r="F244" s="38">
        <f>88/1000*E244</f>
        <v>0</v>
      </c>
      <c r="G244" s="170">
        <v>1325</v>
      </c>
      <c r="H244" s="170">
        <f t="shared" si="68"/>
        <v>0</v>
      </c>
      <c r="I244" s="42">
        <v>0</v>
      </c>
      <c r="J244" s="42">
        <f t="shared" si="69"/>
        <v>0</v>
      </c>
      <c r="K244" s="38">
        <v>0</v>
      </c>
      <c r="L244" s="38">
        <f t="shared" si="70"/>
        <v>0</v>
      </c>
      <c r="M244" s="43">
        <f t="shared" si="71"/>
        <v>0</v>
      </c>
      <c r="O244" s="130"/>
    </row>
    <row r="245" spans="1:15" s="44" customFormat="1" ht="14.25" x14ac:dyDescent="0.2">
      <c r="A245" s="165"/>
      <c r="B245" s="29"/>
      <c r="C245" s="166" t="s">
        <v>315</v>
      </c>
      <c r="D245" s="167" t="s">
        <v>291</v>
      </c>
      <c r="E245" s="171"/>
      <c r="F245" s="172">
        <f>0.6*E245</f>
        <v>0</v>
      </c>
      <c r="G245" s="170">
        <v>4.24</v>
      </c>
      <c r="H245" s="170">
        <f t="shared" si="68"/>
        <v>0</v>
      </c>
      <c r="I245" s="42">
        <v>0</v>
      </c>
      <c r="J245" s="42">
        <f t="shared" si="69"/>
        <v>0</v>
      </c>
      <c r="K245" s="38">
        <v>0</v>
      </c>
      <c r="L245" s="38">
        <f t="shared" si="70"/>
        <v>0</v>
      </c>
      <c r="M245" s="43">
        <f t="shared" si="71"/>
        <v>0</v>
      </c>
      <c r="O245" s="130"/>
    </row>
    <row r="246" spans="1:15" s="44" customFormat="1" ht="25.5" x14ac:dyDescent="0.2">
      <c r="A246" s="165"/>
      <c r="B246" s="29" t="s">
        <v>289</v>
      </c>
      <c r="C246" s="166" t="s">
        <v>290</v>
      </c>
      <c r="D246" s="167" t="s">
        <v>291</v>
      </c>
      <c r="E246" s="171">
        <v>0.2</v>
      </c>
      <c r="F246" s="172">
        <f>E246*F239</f>
        <v>1.77E-2</v>
      </c>
      <c r="G246" s="170">
        <v>1.65</v>
      </c>
      <c r="H246" s="170">
        <f t="shared" si="68"/>
        <v>2.9204999999999998E-2</v>
      </c>
      <c r="I246" s="42">
        <v>0</v>
      </c>
      <c r="J246" s="42">
        <f t="shared" si="69"/>
        <v>0</v>
      </c>
      <c r="K246" s="38">
        <v>0</v>
      </c>
      <c r="L246" s="38">
        <f t="shared" si="70"/>
        <v>0</v>
      </c>
      <c r="M246" s="43">
        <f t="shared" si="71"/>
        <v>2.9204999999999998E-2</v>
      </c>
      <c r="O246" s="130"/>
    </row>
    <row r="247" spans="1:15" s="44" customFormat="1" ht="14.25" x14ac:dyDescent="0.2">
      <c r="A247" s="165"/>
      <c r="B247" s="29"/>
      <c r="C247" s="166" t="s">
        <v>292</v>
      </c>
      <c r="D247" s="167" t="s">
        <v>291</v>
      </c>
      <c r="E247" s="168">
        <v>2.5</v>
      </c>
      <c r="F247" s="172">
        <f>F239*E247</f>
        <v>0.22125</v>
      </c>
      <c r="G247" s="170">
        <f>5/1.18</f>
        <v>4.2372881355932206</v>
      </c>
      <c r="H247" s="170">
        <f t="shared" si="68"/>
        <v>0.93750000000000011</v>
      </c>
      <c r="I247" s="42">
        <v>0</v>
      </c>
      <c r="J247" s="42">
        <f t="shared" si="69"/>
        <v>0</v>
      </c>
      <c r="K247" s="38">
        <v>0</v>
      </c>
      <c r="L247" s="38">
        <f t="shared" si="70"/>
        <v>0</v>
      </c>
      <c r="M247" s="43">
        <f t="shared" si="71"/>
        <v>0.93750000000000011</v>
      </c>
      <c r="O247" s="130"/>
    </row>
    <row r="248" spans="1:15" x14ac:dyDescent="0.25">
      <c r="A248" s="29"/>
      <c r="B248" s="124"/>
      <c r="C248" s="142" t="s">
        <v>295</v>
      </c>
      <c r="D248" s="67" t="s">
        <v>18</v>
      </c>
      <c r="E248" s="29">
        <v>2.78</v>
      </c>
      <c r="F248" s="38">
        <f>F239*E248</f>
        <v>0.24602999999999997</v>
      </c>
      <c r="G248" s="78">
        <v>3.2</v>
      </c>
      <c r="H248" s="42">
        <f t="shared" si="68"/>
        <v>0.787296</v>
      </c>
      <c r="I248" s="42">
        <v>0</v>
      </c>
      <c r="J248" s="164">
        <f t="shared" si="69"/>
        <v>0</v>
      </c>
      <c r="K248" s="38">
        <v>0</v>
      </c>
      <c r="L248" s="38">
        <f t="shared" si="70"/>
        <v>0</v>
      </c>
      <c r="M248" s="43">
        <f t="shared" si="71"/>
        <v>0.787296</v>
      </c>
      <c r="O248" s="130"/>
    </row>
    <row r="249" spans="1:15" ht="15.75" thickBot="1" x14ac:dyDescent="0.3">
      <c r="A249" s="148"/>
      <c r="B249" s="149"/>
      <c r="C249" s="149"/>
      <c r="D249" s="178"/>
      <c r="E249" s="148"/>
      <c r="F249" s="151"/>
      <c r="G249" s="151"/>
      <c r="H249" s="151"/>
      <c r="I249" s="151"/>
      <c r="J249" s="151"/>
      <c r="K249" s="151"/>
      <c r="L249" s="151"/>
      <c r="M249" s="152"/>
      <c r="O249" s="130"/>
    </row>
    <row r="250" spans="1:15" s="36" customFormat="1" ht="24" x14ac:dyDescent="0.2">
      <c r="A250" s="21">
        <v>20</v>
      </c>
      <c r="B250" s="131" t="s">
        <v>285</v>
      </c>
      <c r="C250" s="65" t="s">
        <v>196</v>
      </c>
      <c r="D250" s="79" t="s">
        <v>27</v>
      </c>
      <c r="E250" s="16"/>
      <c r="F250" s="30">
        <v>0.62900199999999995</v>
      </c>
      <c r="G250" s="133">
        <f>H250/F250</f>
        <v>82.939220338983048</v>
      </c>
      <c r="H250" s="133">
        <f>SUM(H251:H260)</f>
        <v>52.168935471661015</v>
      </c>
      <c r="I250" s="133">
        <f>J250/F250</f>
        <v>250</v>
      </c>
      <c r="J250" s="133">
        <f>SUM(J251:J260)</f>
        <v>157.25049999999999</v>
      </c>
      <c r="K250" s="133">
        <f>L250/F250</f>
        <v>8.8448799999999981</v>
      </c>
      <c r="L250" s="133">
        <f>SUM(L251:L260)</f>
        <v>5.5634472097599987</v>
      </c>
      <c r="M250" s="133">
        <f>SUM(M251:M260)</f>
        <v>214.98288268142102</v>
      </c>
      <c r="O250" s="130"/>
    </row>
    <row r="251" spans="1:15" s="19" customFormat="1" x14ac:dyDescent="0.25">
      <c r="A251" s="37"/>
      <c r="B251" s="134"/>
      <c r="C251" s="135" t="s">
        <v>266</v>
      </c>
      <c r="D251" s="134"/>
      <c r="E251" s="38"/>
      <c r="F251" s="39"/>
      <c r="G251" s="38"/>
      <c r="H251" s="38"/>
      <c r="I251" s="38"/>
      <c r="J251" s="38"/>
      <c r="K251" s="38"/>
      <c r="L251" s="161"/>
      <c r="M251" s="39"/>
      <c r="O251" s="130"/>
    </row>
    <row r="252" spans="1:15" s="44" customFormat="1" ht="14.25" x14ac:dyDescent="0.2">
      <c r="A252" s="140"/>
      <c r="B252" s="173" t="s">
        <v>277</v>
      </c>
      <c r="C252" s="142" t="s">
        <v>278</v>
      </c>
      <c r="D252" s="67" t="s">
        <v>27</v>
      </c>
      <c r="E252" s="164">
        <v>1</v>
      </c>
      <c r="F252" s="41">
        <f>E252*F250</f>
        <v>0.62900199999999995</v>
      </c>
      <c r="G252" s="42">
        <v>0</v>
      </c>
      <c r="H252" s="42">
        <f>F252*G252</f>
        <v>0</v>
      </c>
      <c r="I252" s="42">
        <f>200*1.25</f>
        <v>250</v>
      </c>
      <c r="J252" s="42">
        <f>F252*I252</f>
        <v>157.25049999999999</v>
      </c>
      <c r="K252" s="38">
        <v>0</v>
      </c>
      <c r="L252" s="38">
        <f>F252*K252</f>
        <v>0</v>
      </c>
      <c r="M252" s="43">
        <f>H252+J252+L252</f>
        <v>157.25049999999999</v>
      </c>
      <c r="O252" s="130"/>
    </row>
    <row r="253" spans="1:15" s="146" customFormat="1" x14ac:dyDescent="0.2">
      <c r="A253" s="45"/>
      <c r="B253" s="29" t="s">
        <v>296</v>
      </c>
      <c r="C253" s="142" t="s">
        <v>297</v>
      </c>
      <c r="D253" s="67" t="s">
        <v>298</v>
      </c>
      <c r="E253" s="38"/>
      <c r="F253" s="38">
        <f>F250*E253</f>
        <v>0</v>
      </c>
      <c r="G253" s="42">
        <v>0</v>
      </c>
      <c r="H253" s="42">
        <f>F253*G253</f>
        <v>0</v>
      </c>
      <c r="I253" s="42">
        <v>0</v>
      </c>
      <c r="J253" s="42">
        <f>F253*I253</f>
        <v>0</v>
      </c>
      <c r="K253" s="163">
        <f>200*1.25/8</f>
        <v>31.25</v>
      </c>
      <c r="L253" s="38">
        <f>F253*K253</f>
        <v>0</v>
      </c>
      <c r="M253" s="43">
        <f>H253+J253+L253</f>
        <v>0</v>
      </c>
      <c r="O253" s="130"/>
    </row>
    <row r="254" spans="1:15" s="146" customFormat="1" x14ac:dyDescent="0.2">
      <c r="A254" s="45"/>
      <c r="B254" s="85"/>
      <c r="C254" s="142" t="s">
        <v>302</v>
      </c>
      <c r="D254" s="67" t="s">
        <v>18</v>
      </c>
      <c r="E254" s="164">
        <f>2.09*1.15*1.15</f>
        <v>2.7640249999999993</v>
      </c>
      <c r="F254" s="164">
        <f>F250*E254</f>
        <v>1.7385772530499994</v>
      </c>
      <c r="G254" s="42">
        <v>0</v>
      </c>
      <c r="H254" s="42">
        <f t="shared" ref="H254:H260" si="72">F254*G254</f>
        <v>0</v>
      </c>
      <c r="I254" s="42">
        <v>0</v>
      </c>
      <c r="J254" s="42">
        <f t="shared" ref="J254:J260" si="73">F254*I254</f>
        <v>0</v>
      </c>
      <c r="K254" s="38">
        <v>3.2</v>
      </c>
      <c r="L254" s="38">
        <f t="shared" ref="L254:L260" si="74">F254*K254</f>
        <v>5.5634472097599987</v>
      </c>
      <c r="M254" s="43">
        <f t="shared" ref="M254:M260" si="75">H254+J254+L254</f>
        <v>5.5634472097599987</v>
      </c>
      <c r="O254" s="130"/>
    </row>
    <row r="255" spans="1:15" s="44" customFormat="1" ht="27" x14ac:dyDescent="0.2">
      <c r="A255" s="165"/>
      <c r="B255" s="29" t="s">
        <v>313</v>
      </c>
      <c r="C255" s="176" t="s">
        <v>314</v>
      </c>
      <c r="D255" s="167" t="s">
        <v>27</v>
      </c>
      <c r="E255" s="168">
        <v>0</v>
      </c>
      <c r="F255" s="179">
        <f>(278+148+138+65)/1000*E255</f>
        <v>0</v>
      </c>
      <c r="G255" s="170">
        <v>1650</v>
      </c>
      <c r="H255" s="170">
        <f t="shared" si="72"/>
        <v>0</v>
      </c>
      <c r="I255" s="42">
        <v>0</v>
      </c>
      <c r="J255" s="42">
        <f t="shared" si="73"/>
        <v>0</v>
      </c>
      <c r="K255" s="38">
        <v>0</v>
      </c>
      <c r="L255" s="38">
        <f t="shared" si="74"/>
        <v>0</v>
      </c>
      <c r="M255" s="43">
        <f t="shared" si="75"/>
        <v>0</v>
      </c>
      <c r="O255" s="130"/>
    </row>
    <row r="256" spans="1:15" s="44" customFormat="1" ht="25.5" x14ac:dyDescent="0.2">
      <c r="A256" s="165"/>
      <c r="B256" s="29" t="s">
        <v>289</v>
      </c>
      <c r="C256" s="166" t="s">
        <v>320</v>
      </c>
      <c r="D256" s="167" t="s">
        <v>27</v>
      </c>
      <c r="E256" s="168">
        <v>0</v>
      </c>
      <c r="F256" s="179">
        <f>2/1000*E256</f>
        <v>0</v>
      </c>
      <c r="G256" s="170">
        <v>1650</v>
      </c>
      <c r="H256" s="170">
        <f t="shared" si="72"/>
        <v>0</v>
      </c>
      <c r="I256" s="42">
        <v>0</v>
      </c>
      <c r="J256" s="42">
        <f t="shared" si="73"/>
        <v>0</v>
      </c>
      <c r="K256" s="38">
        <v>0</v>
      </c>
      <c r="L256" s="38">
        <f t="shared" si="74"/>
        <v>0</v>
      </c>
      <c r="M256" s="43">
        <f t="shared" si="75"/>
        <v>0</v>
      </c>
      <c r="O256" s="130"/>
    </row>
    <row r="257" spans="1:18" s="44" customFormat="1" ht="25.5" x14ac:dyDescent="0.2">
      <c r="A257" s="165"/>
      <c r="B257" s="29" t="s">
        <v>289</v>
      </c>
      <c r="C257" s="166" t="s">
        <v>290</v>
      </c>
      <c r="D257" s="167" t="s">
        <v>291</v>
      </c>
      <c r="E257" s="171">
        <v>27</v>
      </c>
      <c r="F257" s="172">
        <f>E257*F250</f>
        <v>16.983053999999999</v>
      </c>
      <c r="G257" s="170">
        <v>1.65</v>
      </c>
      <c r="H257" s="170">
        <f t="shared" si="72"/>
        <v>28.022039099999997</v>
      </c>
      <c r="I257" s="42">
        <v>0</v>
      </c>
      <c r="J257" s="42">
        <f t="shared" si="73"/>
        <v>0</v>
      </c>
      <c r="K257" s="38">
        <v>0</v>
      </c>
      <c r="L257" s="38">
        <f t="shared" si="74"/>
        <v>0</v>
      </c>
      <c r="M257" s="43">
        <f t="shared" si="75"/>
        <v>28.022039099999997</v>
      </c>
      <c r="O257" s="130"/>
    </row>
    <row r="258" spans="1:18" s="44" customFormat="1" ht="14.25" x14ac:dyDescent="0.2">
      <c r="A258" s="165"/>
      <c r="B258" s="29" t="s">
        <v>293</v>
      </c>
      <c r="C258" s="166" t="s">
        <v>294</v>
      </c>
      <c r="D258" s="177" t="s">
        <v>321</v>
      </c>
      <c r="E258" s="171">
        <v>6.3</v>
      </c>
      <c r="F258" s="179">
        <f>F250*E258</f>
        <v>3.9627125999999997</v>
      </c>
      <c r="G258" s="170">
        <v>3</v>
      </c>
      <c r="H258" s="170">
        <f t="shared" si="72"/>
        <v>11.888137799999999</v>
      </c>
      <c r="I258" s="42">
        <v>0</v>
      </c>
      <c r="J258" s="42">
        <f t="shared" si="73"/>
        <v>0</v>
      </c>
      <c r="K258" s="38">
        <v>0</v>
      </c>
      <c r="L258" s="38">
        <f t="shared" si="74"/>
        <v>0</v>
      </c>
      <c r="M258" s="43">
        <f t="shared" si="75"/>
        <v>11.888137799999999</v>
      </c>
      <c r="O258" s="130"/>
    </row>
    <row r="259" spans="1:18" s="44" customFormat="1" ht="14.25" x14ac:dyDescent="0.2">
      <c r="A259" s="165"/>
      <c r="B259" s="29"/>
      <c r="C259" s="166" t="s">
        <v>292</v>
      </c>
      <c r="D259" s="167" t="s">
        <v>291</v>
      </c>
      <c r="E259" s="168">
        <v>2.5</v>
      </c>
      <c r="F259" s="179">
        <f>F250*E259</f>
        <v>1.5725049999999998</v>
      </c>
      <c r="G259" s="170">
        <f>5/1.18</f>
        <v>4.2372881355932206</v>
      </c>
      <c r="H259" s="170">
        <f t="shared" si="72"/>
        <v>6.6631567796610165</v>
      </c>
      <c r="I259" s="42">
        <v>0</v>
      </c>
      <c r="J259" s="42">
        <f t="shared" si="73"/>
        <v>0</v>
      </c>
      <c r="K259" s="38">
        <v>0</v>
      </c>
      <c r="L259" s="38">
        <f t="shared" si="74"/>
        <v>0</v>
      </c>
      <c r="M259" s="43">
        <f t="shared" si="75"/>
        <v>6.6631567796610165</v>
      </c>
      <c r="O259" s="130"/>
    </row>
    <row r="260" spans="1:18" x14ac:dyDescent="0.25">
      <c r="A260" s="29"/>
      <c r="B260" s="124"/>
      <c r="C260" s="142" t="s">
        <v>295</v>
      </c>
      <c r="D260" s="67" t="s">
        <v>18</v>
      </c>
      <c r="E260" s="29">
        <v>2.78</v>
      </c>
      <c r="F260" s="164">
        <f>F250*E260</f>
        <v>1.7486255599999998</v>
      </c>
      <c r="G260" s="78">
        <v>3.2</v>
      </c>
      <c r="H260" s="42">
        <f t="shared" si="72"/>
        <v>5.5956017920000001</v>
      </c>
      <c r="I260" s="42">
        <v>0</v>
      </c>
      <c r="J260" s="164">
        <f t="shared" si="73"/>
        <v>0</v>
      </c>
      <c r="K260" s="38">
        <v>0</v>
      </c>
      <c r="L260" s="38">
        <f t="shared" si="74"/>
        <v>0</v>
      </c>
      <c r="M260" s="43">
        <f t="shared" si="75"/>
        <v>5.5956017920000001</v>
      </c>
      <c r="O260" s="130"/>
    </row>
    <row r="261" spans="1:18" ht="15.75" thickBot="1" x14ac:dyDescent="0.3">
      <c r="A261" s="148"/>
      <c r="B261" s="149"/>
      <c r="C261" s="149"/>
      <c r="D261" s="178"/>
      <c r="E261" s="148"/>
      <c r="F261" s="148"/>
      <c r="G261" s="151"/>
      <c r="H261" s="151"/>
      <c r="I261" s="151"/>
      <c r="J261" s="151"/>
      <c r="K261" s="151"/>
      <c r="L261" s="151"/>
      <c r="M261" s="152"/>
      <c r="O261" s="130"/>
    </row>
    <row r="262" spans="1:18" s="36" customFormat="1" ht="36" x14ac:dyDescent="0.2">
      <c r="A262" s="21">
        <v>21</v>
      </c>
      <c r="B262" s="131" t="s">
        <v>285</v>
      </c>
      <c r="C262" s="65" t="s">
        <v>249</v>
      </c>
      <c r="D262" s="79" t="s">
        <v>27</v>
      </c>
      <c r="E262" s="16"/>
      <c r="F262" s="30">
        <v>1.3939999999999999</v>
      </c>
      <c r="G262" s="133">
        <f>H262/F262</f>
        <v>454.18922033898298</v>
      </c>
      <c r="H262" s="133">
        <f>SUM(H263:H271)</f>
        <v>633.13977315254226</v>
      </c>
      <c r="I262" s="133">
        <f>J262/F262</f>
        <v>450</v>
      </c>
      <c r="J262" s="133">
        <f>SUM(J263:J271)</f>
        <v>627.29999999999995</v>
      </c>
      <c r="K262" s="133">
        <f>L262/F262</f>
        <v>8.8448799999999999</v>
      </c>
      <c r="L262" s="133">
        <f>SUM(L263:L271)</f>
        <v>12.329762719999998</v>
      </c>
      <c r="M262" s="133">
        <f>SUM(M263:M271)</f>
        <v>1272.7695358725421</v>
      </c>
      <c r="O262" s="130"/>
    </row>
    <row r="263" spans="1:18" s="19" customFormat="1" x14ac:dyDescent="0.25">
      <c r="A263" s="37"/>
      <c r="B263" s="134"/>
      <c r="C263" s="135" t="s">
        <v>266</v>
      </c>
      <c r="D263" s="134"/>
      <c r="E263" s="38"/>
      <c r="F263" s="39"/>
      <c r="G263" s="38"/>
      <c r="H263" s="38"/>
      <c r="I263" s="38"/>
      <c r="J263" s="38"/>
      <c r="K263" s="38"/>
      <c r="L263" s="161"/>
      <c r="M263" s="39"/>
      <c r="O263" s="130"/>
    </row>
    <row r="264" spans="1:18" s="44" customFormat="1" ht="14.25" x14ac:dyDescent="0.2">
      <c r="A264" s="140"/>
      <c r="B264" s="173" t="s">
        <v>277</v>
      </c>
      <c r="C264" s="142" t="s">
        <v>278</v>
      </c>
      <c r="D264" s="67" t="s">
        <v>27</v>
      </c>
      <c r="E264" s="164">
        <v>1</v>
      </c>
      <c r="F264" s="41">
        <f>E264*F262</f>
        <v>1.3939999999999999</v>
      </c>
      <c r="G264" s="42">
        <v>0</v>
      </c>
      <c r="H264" s="42">
        <f>F264*G264</f>
        <v>0</v>
      </c>
      <c r="I264" s="42">
        <f>360*1.25</f>
        <v>450</v>
      </c>
      <c r="J264" s="42">
        <f>F264*I264</f>
        <v>627.29999999999995</v>
      </c>
      <c r="K264" s="38">
        <v>0</v>
      </c>
      <c r="L264" s="38">
        <f>F264*K264</f>
        <v>0</v>
      </c>
      <c r="M264" s="43">
        <f>H264+J264+L264</f>
        <v>627.29999999999995</v>
      </c>
      <c r="O264" s="130"/>
    </row>
    <row r="265" spans="1:18" s="146" customFormat="1" x14ac:dyDescent="0.2">
      <c r="A265" s="45"/>
      <c r="B265" s="29" t="s">
        <v>296</v>
      </c>
      <c r="C265" s="142" t="s">
        <v>297</v>
      </c>
      <c r="D265" s="67" t="s">
        <v>298</v>
      </c>
      <c r="E265" s="38"/>
      <c r="F265" s="38">
        <f>F262*E265</f>
        <v>0</v>
      </c>
      <c r="G265" s="42">
        <v>0</v>
      </c>
      <c r="H265" s="42">
        <f>F265*G265</f>
        <v>0</v>
      </c>
      <c r="I265" s="42">
        <v>0</v>
      </c>
      <c r="J265" s="42">
        <f>F265*I265</f>
        <v>0</v>
      </c>
      <c r="K265" s="163">
        <f>200*1.25/8</f>
        <v>31.25</v>
      </c>
      <c r="L265" s="38">
        <f>F265*K265</f>
        <v>0</v>
      </c>
      <c r="M265" s="43">
        <f>H265+J265+L265</f>
        <v>0</v>
      </c>
      <c r="O265" s="130"/>
    </row>
    <row r="266" spans="1:18" s="146" customFormat="1" x14ac:dyDescent="0.2">
      <c r="A266" s="45"/>
      <c r="B266" s="85"/>
      <c r="C266" s="142" t="s">
        <v>302</v>
      </c>
      <c r="D266" s="67" t="s">
        <v>18</v>
      </c>
      <c r="E266" s="164">
        <f>2.09*1.15*1.15</f>
        <v>2.7640249999999993</v>
      </c>
      <c r="F266" s="164">
        <f>F262*E266</f>
        <v>3.8530508499999989</v>
      </c>
      <c r="G266" s="42">
        <v>0</v>
      </c>
      <c r="H266" s="42">
        <f t="shared" ref="H266:H271" si="76">F266*G266</f>
        <v>0</v>
      </c>
      <c r="I266" s="42">
        <v>0</v>
      </c>
      <c r="J266" s="42">
        <f t="shared" ref="J266:J271" si="77">F266*I266</f>
        <v>0</v>
      </c>
      <c r="K266" s="38">
        <v>3.2</v>
      </c>
      <c r="L266" s="38">
        <f t="shared" ref="L266:L271" si="78">F266*K266</f>
        <v>12.329762719999998</v>
      </c>
      <c r="M266" s="43">
        <f t="shared" ref="M266:M271" si="79">H266+J266+L266</f>
        <v>12.329762719999998</v>
      </c>
      <c r="O266" s="130"/>
    </row>
    <row r="267" spans="1:18" s="44" customFormat="1" ht="14.25" x14ac:dyDescent="0.2">
      <c r="A267" s="165"/>
      <c r="B267" s="29" t="s">
        <v>313</v>
      </c>
      <c r="C267" s="176" t="s">
        <v>322</v>
      </c>
      <c r="D267" s="167" t="s">
        <v>27</v>
      </c>
      <c r="E267" s="168">
        <f>0.225</f>
        <v>0.22500000000000001</v>
      </c>
      <c r="F267" s="180">
        <f>(769+625)/1000*E267</f>
        <v>0.31364999999999998</v>
      </c>
      <c r="G267" s="170">
        <v>1650</v>
      </c>
      <c r="H267" s="170">
        <f t="shared" si="76"/>
        <v>517.52249999999992</v>
      </c>
      <c r="I267" s="42">
        <v>0</v>
      </c>
      <c r="J267" s="42">
        <f t="shared" si="77"/>
        <v>0</v>
      </c>
      <c r="K267" s="38">
        <v>0</v>
      </c>
      <c r="L267" s="38">
        <f t="shared" si="78"/>
        <v>0</v>
      </c>
      <c r="M267" s="43">
        <f t="shared" si="79"/>
        <v>517.52249999999992</v>
      </c>
      <c r="O267" s="130"/>
    </row>
    <row r="268" spans="1:18" s="44" customFormat="1" ht="25.5" x14ac:dyDescent="0.2">
      <c r="A268" s="165"/>
      <c r="B268" s="29" t="s">
        <v>289</v>
      </c>
      <c r="C268" s="166" t="s">
        <v>290</v>
      </c>
      <c r="D268" s="167" t="s">
        <v>291</v>
      </c>
      <c r="E268" s="171">
        <v>27</v>
      </c>
      <c r="F268" s="172">
        <f>E268*F262</f>
        <v>37.637999999999998</v>
      </c>
      <c r="G268" s="170">
        <v>1.65</v>
      </c>
      <c r="H268" s="170">
        <f t="shared" si="76"/>
        <v>62.102699999999992</v>
      </c>
      <c r="I268" s="42">
        <v>0</v>
      </c>
      <c r="J268" s="42">
        <f t="shared" si="77"/>
        <v>0</v>
      </c>
      <c r="K268" s="38">
        <v>0</v>
      </c>
      <c r="L268" s="38">
        <f t="shared" si="78"/>
        <v>0</v>
      </c>
      <c r="M268" s="43">
        <f t="shared" si="79"/>
        <v>62.102699999999992</v>
      </c>
      <c r="O268" s="130"/>
      <c r="Q268" s="277">
        <f>SUM(H268:H271)</f>
        <v>115.61727315254237</v>
      </c>
      <c r="R268" s="44">
        <f>Q268*0.8</f>
        <v>92.493818522033905</v>
      </c>
    </row>
    <row r="269" spans="1:18" s="44" customFormat="1" ht="14.25" x14ac:dyDescent="0.2">
      <c r="A269" s="165"/>
      <c r="B269" s="29" t="s">
        <v>293</v>
      </c>
      <c r="C269" s="166" t="s">
        <v>294</v>
      </c>
      <c r="D269" s="177" t="s">
        <v>321</v>
      </c>
      <c r="E269" s="171">
        <v>6.3</v>
      </c>
      <c r="F269" s="179">
        <f>F262*E269</f>
        <v>8.7821999999999996</v>
      </c>
      <c r="G269" s="170">
        <v>3</v>
      </c>
      <c r="H269" s="170">
        <f t="shared" si="76"/>
        <v>26.346599999999999</v>
      </c>
      <c r="I269" s="42">
        <v>0</v>
      </c>
      <c r="J269" s="42">
        <f t="shared" si="77"/>
        <v>0</v>
      </c>
      <c r="K269" s="38">
        <v>0</v>
      </c>
      <c r="L269" s="38">
        <f t="shared" si="78"/>
        <v>0</v>
      </c>
      <c r="M269" s="43">
        <f t="shared" si="79"/>
        <v>26.346599999999999</v>
      </c>
      <c r="O269" s="130"/>
    </row>
    <row r="270" spans="1:18" s="44" customFormat="1" ht="14.25" x14ac:dyDescent="0.2">
      <c r="A270" s="165"/>
      <c r="B270" s="29"/>
      <c r="C270" s="166" t="s">
        <v>292</v>
      </c>
      <c r="D270" s="167" t="s">
        <v>291</v>
      </c>
      <c r="E270" s="168">
        <v>2.5</v>
      </c>
      <c r="F270" s="179">
        <f>F262*E270</f>
        <v>3.4849999999999999</v>
      </c>
      <c r="G270" s="170">
        <f>5/1.18</f>
        <v>4.2372881355932206</v>
      </c>
      <c r="H270" s="170">
        <f t="shared" si="76"/>
        <v>14.766949152542374</v>
      </c>
      <c r="I270" s="42">
        <v>0</v>
      </c>
      <c r="J270" s="42">
        <f t="shared" si="77"/>
        <v>0</v>
      </c>
      <c r="K270" s="38">
        <v>0</v>
      </c>
      <c r="L270" s="38">
        <f t="shared" si="78"/>
        <v>0</v>
      </c>
      <c r="M270" s="43">
        <f t="shared" si="79"/>
        <v>14.766949152542374</v>
      </c>
      <c r="O270" s="130"/>
    </row>
    <row r="271" spans="1:18" x14ac:dyDescent="0.25">
      <c r="A271" s="29"/>
      <c r="B271" s="124"/>
      <c r="C271" s="142" t="s">
        <v>295</v>
      </c>
      <c r="D271" s="67" t="s">
        <v>18</v>
      </c>
      <c r="E271" s="29">
        <v>2.78</v>
      </c>
      <c r="F271" s="164">
        <f>F262*E271</f>
        <v>3.8753199999999994</v>
      </c>
      <c r="G271" s="78">
        <v>3.2</v>
      </c>
      <c r="H271" s="42">
        <f t="shared" si="76"/>
        <v>12.401024</v>
      </c>
      <c r="I271" s="42">
        <v>0</v>
      </c>
      <c r="J271" s="164">
        <f t="shared" si="77"/>
        <v>0</v>
      </c>
      <c r="K271" s="38">
        <v>0</v>
      </c>
      <c r="L271" s="38">
        <f t="shared" si="78"/>
        <v>0</v>
      </c>
      <c r="M271" s="43">
        <f t="shared" si="79"/>
        <v>12.401024</v>
      </c>
      <c r="O271" s="130"/>
    </row>
    <row r="272" spans="1:18" ht="15.75" thickBot="1" x14ac:dyDescent="0.3">
      <c r="A272" s="148"/>
      <c r="B272" s="149"/>
      <c r="C272" s="149"/>
      <c r="D272" s="178"/>
      <c r="E272" s="148"/>
      <c r="F272" s="148"/>
      <c r="G272" s="151"/>
      <c r="H272" s="151"/>
      <c r="I272" s="151"/>
      <c r="J272" s="151"/>
      <c r="K272" s="151"/>
      <c r="L272" s="151"/>
      <c r="M272" s="152"/>
      <c r="O272" s="130"/>
    </row>
    <row r="273" spans="1:15" s="36" customFormat="1" ht="24" x14ac:dyDescent="0.2">
      <c r="A273" s="21">
        <v>22</v>
      </c>
      <c r="B273" s="131" t="s">
        <v>285</v>
      </c>
      <c r="C273" s="65" t="s">
        <v>231</v>
      </c>
      <c r="D273" s="79" t="s">
        <v>27</v>
      </c>
      <c r="E273" s="16"/>
      <c r="F273" s="30">
        <f>F278+F279+F280+F281</f>
        <v>0.80800000000000005</v>
      </c>
      <c r="G273" s="133">
        <f>H273/F273</f>
        <v>1783.6792773955358</v>
      </c>
      <c r="H273" s="133">
        <f>SUM(H274:H285)</f>
        <v>1441.212856135593</v>
      </c>
      <c r="I273" s="133">
        <f>J273/F273</f>
        <v>625</v>
      </c>
      <c r="J273" s="133">
        <f>SUM(J274:J285)</f>
        <v>505.00000000000006</v>
      </c>
      <c r="K273" s="133">
        <f>L273/F273</f>
        <v>6.6880000000000006</v>
      </c>
      <c r="L273" s="133">
        <f>SUM(L274:L285)</f>
        <v>5.4039040000000007</v>
      </c>
      <c r="M273" s="133">
        <f>SUM(M274:M285)</f>
        <v>1951.616760135593</v>
      </c>
      <c r="O273" s="130"/>
    </row>
    <row r="274" spans="1:15" s="19" customFormat="1" x14ac:dyDescent="0.25">
      <c r="A274" s="37"/>
      <c r="B274" s="134"/>
      <c r="C274" s="135" t="s">
        <v>266</v>
      </c>
      <c r="D274" s="134"/>
      <c r="E274" s="38"/>
      <c r="F274" s="39"/>
      <c r="G274" s="38"/>
      <c r="H274" s="38"/>
      <c r="I274" s="38"/>
      <c r="J274" s="38"/>
      <c r="K274" s="38"/>
      <c r="L274" s="161"/>
      <c r="M274" s="39"/>
      <c r="O274" s="130"/>
    </row>
    <row r="275" spans="1:15" s="44" customFormat="1" ht="14.25" x14ac:dyDescent="0.2">
      <c r="A275" s="140"/>
      <c r="B275" s="173" t="s">
        <v>277</v>
      </c>
      <c r="C275" s="142" t="s">
        <v>278</v>
      </c>
      <c r="D275" s="67" t="s">
        <v>27</v>
      </c>
      <c r="E275" s="164">
        <v>1</v>
      </c>
      <c r="F275" s="41">
        <f>E275*F273</f>
        <v>0.80800000000000005</v>
      </c>
      <c r="G275" s="42">
        <v>0</v>
      </c>
      <c r="H275" s="42">
        <f>F275*G275</f>
        <v>0</v>
      </c>
      <c r="I275" s="42">
        <f>500*1.25</f>
        <v>625</v>
      </c>
      <c r="J275" s="42">
        <f>F275*I275</f>
        <v>505.00000000000006</v>
      </c>
      <c r="K275" s="38">
        <v>0</v>
      </c>
      <c r="L275" s="38">
        <f>F275*K275</f>
        <v>0</v>
      </c>
      <c r="M275" s="43">
        <f>H275+J275+L275</f>
        <v>505.00000000000006</v>
      </c>
      <c r="O275" s="130"/>
    </row>
    <row r="276" spans="1:15" s="146" customFormat="1" x14ac:dyDescent="0.2">
      <c r="A276" s="45"/>
      <c r="B276" s="29" t="s">
        <v>296</v>
      </c>
      <c r="C276" s="142" t="s">
        <v>297</v>
      </c>
      <c r="D276" s="67" t="s">
        <v>298</v>
      </c>
      <c r="E276" s="38"/>
      <c r="F276" s="38">
        <f>F273*E276</f>
        <v>0</v>
      </c>
      <c r="G276" s="42">
        <v>0</v>
      </c>
      <c r="H276" s="42">
        <f>F276*G276</f>
        <v>0</v>
      </c>
      <c r="I276" s="42">
        <v>0</v>
      </c>
      <c r="J276" s="42">
        <f>F276*I276</f>
        <v>0</v>
      </c>
      <c r="K276" s="163">
        <f>200*1.25/8</f>
        <v>31.25</v>
      </c>
      <c r="L276" s="38">
        <f>F276*K276</f>
        <v>0</v>
      </c>
      <c r="M276" s="43">
        <f>H276+J276+L276</f>
        <v>0</v>
      </c>
      <c r="O276" s="130"/>
    </row>
    <row r="277" spans="1:15" s="146" customFormat="1" x14ac:dyDescent="0.2">
      <c r="A277" s="45"/>
      <c r="B277" s="85"/>
      <c r="C277" s="142" t="s">
        <v>302</v>
      </c>
      <c r="D277" s="67" t="s">
        <v>18</v>
      </c>
      <c r="E277" s="164">
        <v>2.09</v>
      </c>
      <c r="F277" s="164">
        <f>F273*E277</f>
        <v>1.68872</v>
      </c>
      <c r="G277" s="42">
        <v>0</v>
      </c>
      <c r="H277" s="42">
        <f t="shared" ref="H277:H285" si="80">F277*G277</f>
        <v>0</v>
      </c>
      <c r="I277" s="42">
        <v>0</v>
      </c>
      <c r="J277" s="42">
        <f t="shared" ref="J277:J285" si="81">F277*I277</f>
        <v>0</v>
      </c>
      <c r="K277" s="38">
        <v>3.2</v>
      </c>
      <c r="L277" s="38">
        <f t="shared" ref="L277:L285" si="82">F277*K277</f>
        <v>5.4039040000000007</v>
      </c>
      <c r="M277" s="43">
        <f t="shared" ref="M277:M285" si="83">H277+J277+L277</f>
        <v>5.4039040000000007</v>
      </c>
      <c r="O277" s="130"/>
    </row>
    <row r="278" spans="1:15" s="44" customFormat="1" ht="14.25" x14ac:dyDescent="0.2">
      <c r="A278" s="165"/>
      <c r="B278" s="29" t="s">
        <v>313</v>
      </c>
      <c r="C278" s="176" t="s">
        <v>323</v>
      </c>
      <c r="D278" s="167" t="s">
        <v>27</v>
      </c>
      <c r="E278" s="171">
        <v>1</v>
      </c>
      <c r="F278" s="180">
        <f>(17+188+411+140)/1000*E278</f>
        <v>0.75600000000000001</v>
      </c>
      <c r="G278" s="170">
        <v>1650</v>
      </c>
      <c r="H278" s="170">
        <f t="shared" si="80"/>
        <v>1247.4000000000001</v>
      </c>
      <c r="I278" s="42">
        <v>0</v>
      </c>
      <c r="J278" s="42">
        <f t="shared" si="81"/>
        <v>0</v>
      </c>
      <c r="K278" s="38">
        <v>0</v>
      </c>
      <c r="L278" s="38">
        <f t="shared" si="82"/>
        <v>0</v>
      </c>
      <c r="M278" s="43">
        <f t="shared" si="83"/>
        <v>1247.4000000000001</v>
      </c>
      <c r="O278" s="130"/>
    </row>
    <row r="279" spans="1:15" s="44" customFormat="1" ht="14.25" x14ac:dyDescent="0.2">
      <c r="A279" s="165"/>
      <c r="B279" s="29" t="s">
        <v>289</v>
      </c>
      <c r="C279" s="176" t="s">
        <v>324</v>
      </c>
      <c r="D279" s="167" t="s">
        <v>27</v>
      </c>
      <c r="E279" s="171">
        <v>1</v>
      </c>
      <c r="F279" s="180">
        <f>(2)/1000*E279</f>
        <v>2E-3</v>
      </c>
      <c r="G279" s="170">
        <v>1650</v>
      </c>
      <c r="H279" s="170">
        <f t="shared" si="80"/>
        <v>3.3000000000000003</v>
      </c>
      <c r="I279" s="42">
        <v>0</v>
      </c>
      <c r="J279" s="42">
        <f t="shared" si="81"/>
        <v>0</v>
      </c>
      <c r="K279" s="38">
        <v>0</v>
      </c>
      <c r="L279" s="38">
        <f t="shared" si="82"/>
        <v>0</v>
      </c>
      <c r="M279" s="43">
        <f t="shared" si="83"/>
        <v>3.3000000000000003</v>
      </c>
      <c r="O279" s="130"/>
    </row>
    <row r="280" spans="1:15" s="44" customFormat="1" ht="14.25" x14ac:dyDescent="0.2">
      <c r="A280" s="165"/>
      <c r="B280" s="29" t="s">
        <v>325</v>
      </c>
      <c r="C280" s="166" t="s">
        <v>326</v>
      </c>
      <c r="D280" s="167" t="s">
        <v>27</v>
      </c>
      <c r="E280" s="171">
        <v>1</v>
      </c>
      <c r="F280" s="169">
        <f>E280*(30+8)/1000</f>
        <v>3.7999999999999999E-2</v>
      </c>
      <c r="G280" s="170">
        <v>1690</v>
      </c>
      <c r="H280" s="170">
        <f>F280*G280</f>
        <v>64.22</v>
      </c>
      <c r="I280" s="42">
        <v>0</v>
      </c>
      <c r="J280" s="42">
        <f t="shared" si="81"/>
        <v>0</v>
      </c>
      <c r="K280" s="38">
        <v>0</v>
      </c>
      <c r="L280" s="38">
        <f t="shared" si="82"/>
        <v>0</v>
      </c>
      <c r="M280" s="43">
        <f>H280+J280+L280</f>
        <v>64.22</v>
      </c>
      <c r="O280" s="130"/>
    </row>
    <row r="281" spans="1:15" s="44" customFormat="1" ht="14.25" x14ac:dyDescent="0.2">
      <c r="A281" s="165"/>
      <c r="B281" s="29" t="s">
        <v>327</v>
      </c>
      <c r="C281" s="166" t="s">
        <v>328</v>
      </c>
      <c r="D281" s="167" t="s">
        <v>27</v>
      </c>
      <c r="E281" s="171">
        <v>1</v>
      </c>
      <c r="F281" s="169">
        <f>E281*(12)/1000</f>
        <v>1.2E-2</v>
      </c>
      <c r="G281" s="170">
        <f>2800</f>
        <v>2800</v>
      </c>
      <c r="H281" s="170">
        <f>F281*G281</f>
        <v>33.6</v>
      </c>
      <c r="I281" s="42">
        <v>0</v>
      </c>
      <c r="J281" s="42">
        <f t="shared" si="81"/>
        <v>0</v>
      </c>
      <c r="K281" s="38">
        <v>0</v>
      </c>
      <c r="L281" s="38">
        <f t="shared" si="82"/>
        <v>0</v>
      </c>
      <c r="M281" s="43">
        <f>H281+J281+L281</f>
        <v>33.6</v>
      </c>
      <c r="O281" s="130"/>
    </row>
    <row r="282" spans="1:15" s="44" customFormat="1" ht="25.5" x14ac:dyDescent="0.2">
      <c r="A282" s="165"/>
      <c r="B282" s="29" t="s">
        <v>289</v>
      </c>
      <c r="C282" s="166" t="s">
        <v>290</v>
      </c>
      <c r="D282" s="167" t="s">
        <v>291</v>
      </c>
      <c r="E282" s="171">
        <v>27</v>
      </c>
      <c r="F282" s="172">
        <f>E282*F273</f>
        <v>21.816000000000003</v>
      </c>
      <c r="G282" s="170">
        <v>1.65</v>
      </c>
      <c r="H282" s="170">
        <f t="shared" si="80"/>
        <v>35.996400000000001</v>
      </c>
      <c r="I282" s="42">
        <v>0</v>
      </c>
      <c r="J282" s="42">
        <f t="shared" si="81"/>
        <v>0</v>
      </c>
      <c r="K282" s="38">
        <v>0</v>
      </c>
      <c r="L282" s="38">
        <f t="shared" si="82"/>
        <v>0</v>
      </c>
      <c r="M282" s="43">
        <f t="shared" si="83"/>
        <v>35.996400000000001</v>
      </c>
      <c r="O282" s="130"/>
    </row>
    <row r="283" spans="1:15" s="44" customFormat="1" ht="14.25" x14ac:dyDescent="0.2">
      <c r="A283" s="165"/>
      <c r="B283" s="29" t="s">
        <v>293</v>
      </c>
      <c r="C283" s="166" t="s">
        <v>294</v>
      </c>
      <c r="D283" s="177" t="s">
        <v>321</v>
      </c>
      <c r="E283" s="171">
        <v>6.3</v>
      </c>
      <c r="F283" s="179">
        <f>F273*E283</f>
        <v>5.0903999999999998</v>
      </c>
      <c r="G283" s="170">
        <v>3</v>
      </c>
      <c r="H283" s="170">
        <f t="shared" si="80"/>
        <v>15.2712</v>
      </c>
      <c r="I283" s="42">
        <v>0</v>
      </c>
      <c r="J283" s="42">
        <f t="shared" si="81"/>
        <v>0</v>
      </c>
      <c r="K283" s="38">
        <v>0</v>
      </c>
      <c r="L283" s="38">
        <f t="shared" si="82"/>
        <v>0</v>
      </c>
      <c r="M283" s="43">
        <f t="shared" si="83"/>
        <v>15.2712</v>
      </c>
      <c r="O283" s="130"/>
    </row>
    <row r="284" spans="1:15" s="44" customFormat="1" ht="14.25" x14ac:dyDescent="0.2">
      <c r="A284" s="165"/>
      <c r="B284" s="29"/>
      <c r="C284" s="166" t="s">
        <v>292</v>
      </c>
      <c r="D284" s="167" t="s">
        <v>291</v>
      </c>
      <c r="E284" s="171">
        <v>10</v>
      </c>
      <c r="F284" s="179">
        <f>F273*E284</f>
        <v>8.08</v>
      </c>
      <c r="G284" s="170">
        <f>5/1.18</f>
        <v>4.2372881355932206</v>
      </c>
      <c r="H284" s="170">
        <f t="shared" si="80"/>
        <v>34.237288135593225</v>
      </c>
      <c r="I284" s="42">
        <v>0</v>
      </c>
      <c r="J284" s="42">
        <f t="shared" si="81"/>
        <v>0</v>
      </c>
      <c r="K284" s="38">
        <v>0</v>
      </c>
      <c r="L284" s="38">
        <f t="shared" si="82"/>
        <v>0</v>
      </c>
      <c r="M284" s="43">
        <f t="shared" si="83"/>
        <v>34.237288135593225</v>
      </c>
      <c r="O284" s="130"/>
    </row>
    <row r="285" spans="1:15" x14ac:dyDescent="0.25">
      <c r="A285" s="29"/>
      <c r="B285" s="124"/>
      <c r="C285" s="142" t="s">
        <v>295</v>
      </c>
      <c r="D285" s="67" t="s">
        <v>18</v>
      </c>
      <c r="E285" s="29">
        <v>2.78</v>
      </c>
      <c r="F285" s="164">
        <f>F273*E285</f>
        <v>2.2462399999999998</v>
      </c>
      <c r="G285" s="78">
        <v>3.2</v>
      </c>
      <c r="H285" s="42">
        <f t="shared" si="80"/>
        <v>7.1879679999999997</v>
      </c>
      <c r="I285" s="42">
        <v>0</v>
      </c>
      <c r="J285" s="164">
        <f t="shared" si="81"/>
        <v>0</v>
      </c>
      <c r="K285" s="38">
        <v>0</v>
      </c>
      <c r="L285" s="38">
        <f t="shared" si="82"/>
        <v>0</v>
      </c>
      <c r="M285" s="43">
        <f t="shared" si="83"/>
        <v>7.1879679999999997</v>
      </c>
      <c r="O285" s="130"/>
    </row>
    <row r="286" spans="1:15" ht="15.75" thickBot="1" x14ac:dyDescent="0.3">
      <c r="A286" s="148"/>
      <c r="B286" s="149"/>
      <c r="C286" s="149"/>
      <c r="D286" s="178"/>
      <c r="E286" s="148"/>
      <c r="F286" s="148"/>
      <c r="G286" s="151"/>
      <c r="H286" s="151"/>
      <c r="I286" s="151"/>
      <c r="J286" s="151"/>
      <c r="K286" s="151"/>
      <c r="L286" s="151"/>
      <c r="M286" s="152"/>
      <c r="O286" s="130"/>
    </row>
    <row r="287" spans="1:15" s="36" customFormat="1" ht="24" x14ac:dyDescent="0.2">
      <c r="A287" s="21">
        <v>23</v>
      </c>
      <c r="B287" s="131" t="s">
        <v>329</v>
      </c>
      <c r="C287" s="65" t="s">
        <v>250</v>
      </c>
      <c r="D287" s="79" t="s">
        <v>27</v>
      </c>
      <c r="E287" s="16"/>
      <c r="F287" s="31">
        <f>F52+F62+F73+F84+F95+F106+F118+F129+F140+F151+F162+F173+F184+F195+F206+F217+F228+F239+F250+F262+F273</f>
        <v>28.779030571428567</v>
      </c>
      <c r="G287" s="133">
        <f>H287/F287</f>
        <v>34.14</v>
      </c>
      <c r="H287" s="133">
        <f>SUM(H288:H292)</f>
        <v>982.51610370857122</v>
      </c>
      <c r="I287" s="133">
        <f>J287/F287</f>
        <v>41.4</v>
      </c>
      <c r="J287" s="133">
        <f>SUM(J288:J292)</f>
        <v>1191.4518656571427</v>
      </c>
      <c r="K287" s="133">
        <f>L287/F287</f>
        <v>0</v>
      </c>
      <c r="L287" s="133">
        <f>SUM(L288:L292)</f>
        <v>0</v>
      </c>
      <c r="M287" s="133">
        <f>SUM(M288:M292)</f>
        <v>2173.9679693657135</v>
      </c>
      <c r="O287" s="130"/>
    </row>
    <row r="288" spans="1:15" s="19" customFormat="1" x14ac:dyDescent="0.25">
      <c r="A288" s="37"/>
      <c r="B288" s="134"/>
      <c r="C288" s="135" t="s">
        <v>266</v>
      </c>
      <c r="D288" s="134"/>
      <c r="E288" s="38"/>
      <c r="F288" s="39"/>
      <c r="G288" s="38"/>
      <c r="H288" s="38"/>
      <c r="I288" s="38"/>
      <c r="J288" s="38"/>
      <c r="K288" s="38"/>
      <c r="L288" s="161"/>
      <c r="M288" s="39"/>
      <c r="O288" s="130"/>
    </row>
    <row r="289" spans="1:18" s="44" customFormat="1" ht="14.25" x14ac:dyDescent="0.2">
      <c r="A289" s="140"/>
      <c r="B289" s="141"/>
      <c r="C289" s="142" t="s">
        <v>330</v>
      </c>
      <c r="D289" s="67" t="s">
        <v>268</v>
      </c>
      <c r="E289" s="162">
        <f>10*0.6*1.15</f>
        <v>6.8999999999999995</v>
      </c>
      <c r="F289" s="181">
        <f>E289*F287</f>
        <v>198.5753109428571</v>
      </c>
      <c r="G289" s="42">
        <v>0</v>
      </c>
      <c r="H289" s="42">
        <f>F289*G289</f>
        <v>0</v>
      </c>
      <c r="I289" s="182">
        <f>4.8*1.25</f>
        <v>6</v>
      </c>
      <c r="J289" s="42">
        <f>F289*I289</f>
        <v>1191.4518656571427</v>
      </c>
      <c r="K289" s="38">
        <v>0</v>
      </c>
      <c r="L289" s="38">
        <f>F289*K289</f>
        <v>0</v>
      </c>
      <c r="M289" s="43">
        <f>H289+J289+L289</f>
        <v>1191.4518656571427</v>
      </c>
      <c r="O289" s="130"/>
    </row>
    <row r="290" spans="1:18" s="146" customFormat="1" x14ac:dyDescent="0.2">
      <c r="A290" s="45"/>
      <c r="B290" s="85"/>
      <c r="C290" s="142" t="s">
        <v>302</v>
      </c>
      <c r="D290" s="67" t="s">
        <v>18</v>
      </c>
      <c r="E290" s="164">
        <v>0</v>
      </c>
      <c r="F290" s="164">
        <f>F287*E290</f>
        <v>0</v>
      </c>
      <c r="G290" s="42">
        <v>0</v>
      </c>
      <c r="H290" s="42">
        <f>F290*G290</f>
        <v>0</v>
      </c>
      <c r="I290" s="42">
        <v>0</v>
      </c>
      <c r="J290" s="42">
        <f>F290*I290</f>
        <v>0</v>
      </c>
      <c r="K290" s="38">
        <v>3.2</v>
      </c>
      <c r="L290" s="38">
        <f>F290*K290</f>
        <v>0</v>
      </c>
      <c r="M290" s="43">
        <f>H290+J290+L290</f>
        <v>0</v>
      </c>
      <c r="O290" s="130"/>
    </row>
    <row r="291" spans="1:18" s="44" customFormat="1" ht="14.25" x14ac:dyDescent="0.2">
      <c r="A291" s="165"/>
      <c r="B291" s="29" t="s">
        <v>331</v>
      </c>
      <c r="C291" s="166" t="s">
        <v>332</v>
      </c>
      <c r="D291" s="167" t="s">
        <v>291</v>
      </c>
      <c r="E291" s="168">
        <f>8.2*0.6</f>
        <v>4.919999999999999</v>
      </c>
      <c r="F291" s="180">
        <f>F287*E291</f>
        <v>141.59283041142854</v>
      </c>
      <c r="G291" s="170">
        <v>6.9</v>
      </c>
      <c r="H291" s="170">
        <f>F291*G291</f>
        <v>976.9905298388569</v>
      </c>
      <c r="I291" s="42">
        <v>0</v>
      </c>
      <c r="J291" s="42">
        <f>F291*I291</f>
        <v>0</v>
      </c>
      <c r="K291" s="38">
        <v>0</v>
      </c>
      <c r="L291" s="38">
        <f>F291*K291</f>
        <v>0</v>
      </c>
      <c r="M291" s="43">
        <f>H291+J291+L291</f>
        <v>976.9905298388569</v>
      </c>
      <c r="O291" s="130"/>
    </row>
    <row r="292" spans="1:18" x14ac:dyDescent="0.25">
      <c r="A292" s="29"/>
      <c r="B292" s="124"/>
      <c r="C292" s="142" t="s">
        <v>295</v>
      </c>
      <c r="D292" s="67" t="s">
        <v>18</v>
      </c>
      <c r="E292" s="29">
        <v>0.06</v>
      </c>
      <c r="F292" s="164">
        <f>F287*E292</f>
        <v>1.7267418342857139</v>
      </c>
      <c r="G292" s="78">
        <v>3.2</v>
      </c>
      <c r="H292" s="42">
        <f>F292*G292</f>
        <v>5.5255738697142851</v>
      </c>
      <c r="I292" s="42">
        <v>0</v>
      </c>
      <c r="J292" s="164">
        <f>F292*I292</f>
        <v>0</v>
      </c>
      <c r="K292" s="38">
        <v>0</v>
      </c>
      <c r="L292" s="38">
        <f>F292*K292</f>
        <v>0</v>
      </c>
      <c r="M292" s="43">
        <f>H292+J292+L292</f>
        <v>5.5255738697142851</v>
      </c>
      <c r="O292" s="130"/>
      <c r="P292" s="87">
        <f>G292*E292</f>
        <v>0.192</v>
      </c>
      <c r="Q292" s="87">
        <f>P292*F287</f>
        <v>5.5255738697142851</v>
      </c>
      <c r="R292" s="87">
        <f>Q292/F291</f>
        <v>3.9024390243902446E-2</v>
      </c>
    </row>
    <row r="293" spans="1:18" ht="15.75" thickBot="1" x14ac:dyDescent="0.3">
      <c r="A293" s="148"/>
      <c r="B293" s="149"/>
      <c r="C293" s="149"/>
      <c r="D293" s="178"/>
      <c r="E293" s="148"/>
      <c r="F293" s="148"/>
      <c r="G293" s="151"/>
      <c r="H293" s="151"/>
      <c r="I293" s="151"/>
      <c r="J293" s="151"/>
      <c r="K293" s="151"/>
      <c r="L293" s="151"/>
      <c r="M293" s="152"/>
      <c r="O293" s="130"/>
    </row>
    <row r="294" spans="1:18" s="34" customFormat="1" x14ac:dyDescent="0.25">
      <c r="A294" s="48"/>
      <c r="B294" s="156"/>
      <c r="C294" s="70" t="s">
        <v>30</v>
      </c>
      <c r="D294" s="49"/>
      <c r="E294" s="50"/>
      <c r="F294" s="50"/>
      <c r="G294" s="51"/>
      <c r="H294" s="159">
        <f>H287+H273+H262+H250+H239+H228+H217+H206+H195+H184+H173+H162+H151+H140+H129+H118+H106+H95+H84+H73+H62+H52+H47</f>
        <v>17815.410369572004</v>
      </c>
      <c r="I294" s="159"/>
      <c r="J294" s="159">
        <f>J287+J273+J262+J250+J239+J228+J217+J206+J195+J184+J173+J162+J151+J140+J129+J118+J106+J95+J84+J73+J62+J52+J47</f>
        <v>15877.7686228</v>
      </c>
      <c r="K294" s="159"/>
      <c r="L294" s="159">
        <f>L287+L273+L262+L250+L239+L228+L217+L206+L195+L184+L173+L162+L151+L140+L129+L118+L106+L95+L84+L73+L62+L52+L47</f>
        <v>1530.0658993601171</v>
      </c>
      <c r="M294" s="159">
        <f>M287+M273+M262+M250+M239+M228+M217+M206+M195+M184+M173+M162+M151+M140+M129+M118+M106+M95+M84+M73+M62+M52+M47</f>
        <v>35223.244891732124</v>
      </c>
      <c r="O294" s="130"/>
    </row>
    <row r="295" spans="1:18" s="34" customFormat="1" x14ac:dyDescent="0.25">
      <c r="A295" s="48"/>
      <c r="B295" s="156"/>
      <c r="C295" s="70" t="s">
        <v>28</v>
      </c>
      <c r="D295" s="49"/>
      <c r="E295" s="50"/>
      <c r="F295" s="50"/>
      <c r="G295" s="51"/>
      <c r="H295" s="159">
        <f>H294-H287-H47</f>
        <v>16832.894265863433</v>
      </c>
      <c r="I295" s="159"/>
      <c r="J295" s="159">
        <f>J294-J287-J47</f>
        <v>14626.038357142857</v>
      </c>
      <c r="K295" s="159"/>
      <c r="L295" s="159">
        <f>L294-L287-L47</f>
        <v>1447.9641393601171</v>
      </c>
      <c r="M295" s="159">
        <f>M294-M287-M47</f>
        <v>32906.896762366407</v>
      </c>
      <c r="O295" s="130"/>
    </row>
    <row r="296" spans="1:18" s="36" customFormat="1" ht="24" x14ac:dyDescent="0.2">
      <c r="A296" s="21"/>
      <c r="B296" s="126"/>
      <c r="C296" s="76" t="s">
        <v>232</v>
      </c>
      <c r="D296" s="35"/>
      <c r="E296" s="16"/>
      <c r="F296" s="27"/>
      <c r="G296" s="17"/>
      <c r="H296" s="17"/>
      <c r="I296" s="17"/>
      <c r="J296" s="17"/>
      <c r="K296" s="17"/>
      <c r="L296" s="17"/>
      <c r="M296" s="16"/>
      <c r="O296" s="130"/>
    </row>
    <row r="297" spans="1:18" s="36" customFormat="1" ht="36" x14ac:dyDescent="0.2">
      <c r="A297" s="29">
        <v>1</v>
      </c>
      <c r="B297" s="131" t="s">
        <v>333</v>
      </c>
      <c r="C297" s="65" t="s">
        <v>197</v>
      </c>
      <c r="D297" s="79" t="s">
        <v>17</v>
      </c>
      <c r="E297" s="183"/>
      <c r="F297" s="86">
        <f>(464+1*2.2*4)</f>
        <v>472.8</v>
      </c>
      <c r="G297" s="133">
        <f>H297/F297</f>
        <v>1.9708800000000002</v>
      </c>
      <c r="H297" s="133">
        <f>SUM(H298:H304)</f>
        <v>931.83206400000006</v>
      </c>
      <c r="I297" s="133">
        <f>J297/F297</f>
        <v>10.791599999999997</v>
      </c>
      <c r="J297" s="133">
        <f>SUM(J298:J304)</f>
        <v>5102.2684799999988</v>
      </c>
      <c r="K297" s="133">
        <f>L297/F297</f>
        <v>0.17266559999999997</v>
      </c>
      <c r="L297" s="133">
        <f>SUM(L298:L304)</f>
        <v>81.636295679999989</v>
      </c>
      <c r="M297" s="133">
        <f>SUM(M298:M304)</f>
        <v>6115.7368396799993</v>
      </c>
      <c r="O297" s="130"/>
    </row>
    <row r="298" spans="1:18" s="19" customFormat="1" x14ac:dyDescent="0.25">
      <c r="A298" s="37"/>
      <c r="B298" s="134"/>
      <c r="C298" s="135" t="s">
        <v>266</v>
      </c>
      <c r="D298" s="134"/>
      <c r="E298" s="38"/>
      <c r="F298" s="39"/>
      <c r="G298" s="38"/>
      <c r="H298" s="38"/>
      <c r="I298" s="38"/>
      <c r="J298" s="38"/>
      <c r="K298" s="38"/>
      <c r="L298" s="161"/>
      <c r="M298" s="39"/>
      <c r="O298" s="130"/>
    </row>
    <row r="299" spans="1:18" s="44" customFormat="1" ht="14.25" x14ac:dyDescent="0.2">
      <c r="A299" s="140"/>
      <c r="B299" s="141"/>
      <c r="C299" s="142" t="s">
        <v>334</v>
      </c>
      <c r="D299" s="67" t="s">
        <v>268</v>
      </c>
      <c r="E299" s="164">
        <f>136*1.15*1.15/100</f>
        <v>1.7985999999999995</v>
      </c>
      <c r="F299" s="181">
        <f>F297*E299</f>
        <v>850.37807999999984</v>
      </c>
      <c r="G299" s="42">
        <v>0</v>
      </c>
      <c r="H299" s="42">
        <f t="shared" ref="H299:H304" si="84">F299*G299</f>
        <v>0</v>
      </c>
      <c r="I299" s="42">
        <v>6</v>
      </c>
      <c r="J299" s="42">
        <f t="shared" ref="J299:J304" si="85">F299*I299</f>
        <v>5102.2684799999988</v>
      </c>
      <c r="K299" s="38">
        <v>0</v>
      </c>
      <c r="L299" s="38">
        <f t="shared" ref="L299:L304" si="86">F299*K299</f>
        <v>0</v>
      </c>
      <c r="M299" s="43">
        <f t="shared" ref="M299:M304" si="87">H299+J299+L299</f>
        <v>5102.2684799999988</v>
      </c>
      <c r="O299" s="130"/>
    </row>
    <row r="300" spans="1:18" s="146" customFormat="1" x14ac:dyDescent="0.2">
      <c r="A300" s="45"/>
      <c r="B300" s="29" t="s">
        <v>296</v>
      </c>
      <c r="C300" s="142" t="s">
        <v>297</v>
      </c>
      <c r="D300" s="67" t="s">
        <v>298</v>
      </c>
      <c r="E300" s="38"/>
      <c r="F300" s="38">
        <f>F297*E300</f>
        <v>0</v>
      </c>
      <c r="G300" s="42">
        <v>0</v>
      </c>
      <c r="H300" s="42">
        <f t="shared" si="84"/>
        <v>0</v>
      </c>
      <c r="I300" s="42">
        <v>0</v>
      </c>
      <c r="J300" s="42">
        <f t="shared" si="85"/>
        <v>0</v>
      </c>
      <c r="K300" s="163">
        <f>200*1.25/8</f>
        <v>31.25</v>
      </c>
      <c r="L300" s="38">
        <f>F300*K300</f>
        <v>0</v>
      </c>
      <c r="M300" s="43">
        <f t="shared" si="87"/>
        <v>0</v>
      </c>
      <c r="O300" s="130"/>
    </row>
    <row r="301" spans="1:18" s="146" customFormat="1" x14ac:dyDescent="0.2">
      <c r="A301" s="45"/>
      <c r="B301" s="85"/>
      <c r="C301" s="142" t="s">
        <v>302</v>
      </c>
      <c r="D301" s="67" t="s">
        <v>18</v>
      </c>
      <c r="E301" s="164">
        <f>4.08*1.15*1.15/100</f>
        <v>5.3957999999999985E-2</v>
      </c>
      <c r="F301" s="164">
        <f>F297*E301</f>
        <v>25.511342399999993</v>
      </c>
      <c r="G301" s="42">
        <v>0</v>
      </c>
      <c r="H301" s="42">
        <f t="shared" si="84"/>
        <v>0</v>
      </c>
      <c r="I301" s="42">
        <v>0</v>
      </c>
      <c r="J301" s="42">
        <f t="shared" si="85"/>
        <v>0</v>
      </c>
      <c r="K301" s="38">
        <v>3.2</v>
      </c>
      <c r="L301" s="38">
        <f t="shared" si="86"/>
        <v>81.636295679999989</v>
      </c>
      <c r="M301" s="43">
        <f t="shared" si="87"/>
        <v>81.636295679999989</v>
      </c>
      <c r="O301" s="130"/>
    </row>
    <row r="302" spans="1:18" s="36" customFormat="1" ht="14.25" x14ac:dyDescent="0.2">
      <c r="A302" s="29"/>
      <c r="B302" s="85"/>
      <c r="C302" s="142" t="s">
        <v>335</v>
      </c>
      <c r="D302" s="67" t="s">
        <v>17</v>
      </c>
      <c r="E302" s="164">
        <v>0</v>
      </c>
      <c r="F302" s="184">
        <f>F297*E302</f>
        <v>0</v>
      </c>
      <c r="G302" s="42">
        <f>27.8*1.05*1.12*2</f>
        <v>65.385600000000011</v>
      </c>
      <c r="H302" s="42">
        <f t="shared" si="84"/>
        <v>0</v>
      </c>
      <c r="I302" s="42">
        <v>0</v>
      </c>
      <c r="J302" s="42">
        <f t="shared" si="85"/>
        <v>0</v>
      </c>
      <c r="K302" s="38">
        <v>0</v>
      </c>
      <c r="L302" s="38">
        <f t="shared" si="86"/>
        <v>0</v>
      </c>
      <c r="M302" s="43">
        <f t="shared" si="87"/>
        <v>0</v>
      </c>
      <c r="O302" s="130"/>
    </row>
    <row r="303" spans="1:18" s="36" customFormat="1" ht="14.25" x14ac:dyDescent="0.2">
      <c r="A303" s="29"/>
      <c r="B303" s="85"/>
      <c r="C303" s="142" t="s">
        <v>336</v>
      </c>
      <c r="D303" s="67" t="s">
        <v>2</v>
      </c>
      <c r="E303" s="164">
        <f>600/100</f>
        <v>6</v>
      </c>
      <c r="F303" s="184">
        <f>F297*E303</f>
        <v>2836.8</v>
      </c>
      <c r="G303" s="42">
        <v>0.3</v>
      </c>
      <c r="H303" s="42">
        <f>F303*G303</f>
        <v>851.04000000000008</v>
      </c>
      <c r="I303" s="42">
        <v>0</v>
      </c>
      <c r="J303" s="42">
        <f t="shared" si="85"/>
        <v>0</v>
      </c>
      <c r="K303" s="38">
        <v>0</v>
      </c>
      <c r="L303" s="38">
        <f t="shared" si="86"/>
        <v>0</v>
      </c>
      <c r="M303" s="43">
        <f t="shared" si="87"/>
        <v>851.04000000000008</v>
      </c>
      <c r="O303" s="130"/>
    </row>
    <row r="304" spans="1:18" x14ac:dyDescent="0.25">
      <c r="A304" s="29"/>
      <c r="B304" s="124"/>
      <c r="C304" s="142" t="s">
        <v>295</v>
      </c>
      <c r="D304" s="67" t="s">
        <v>18</v>
      </c>
      <c r="E304" s="29">
        <f>5.34/100</f>
        <v>5.3399999999999996E-2</v>
      </c>
      <c r="F304" s="164">
        <f>F297*E304</f>
        <v>25.247519999999998</v>
      </c>
      <c r="G304" s="78">
        <v>3.2</v>
      </c>
      <c r="H304" s="42">
        <f t="shared" si="84"/>
        <v>80.792063999999996</v>
      </c>
      <c r="I304" s="42">
        <v>0</v>
      </c>
      <c r="J304" s="164">
        <f t="shared" si="85"/>
        <v>0</v>
      </c>
      <c r="K304" s="38">
        <v>0</v>
      </c>
      <c r="L304" s="38">
        <f t="shared" si="86"/>
        <v>0</v>
      </c>
      <c r="M304" s="43">
        <f t="shared" si="87"/>
        <v>80.792063999999996</v>
      </c>
      <c r="O304" s="130"/>
    </row>
    <row r="305" spans="1:17" s="36" customFormat="1" thickBot="1" x14ac:dyDescent="0.25">
      <c r="A305" s="148"/>
      <c r="B305" s="178"/>
      <c r="C305" s="185"/>
      <c r="D305" s="150"/>
      <c r="E305" s="186"/>
      <c r="F305" s="187"/>
      <c r="G305" s="188"/>
      <c r="H305" s="188"/>
      <c r="I305" s="188"/>
      <c r="J305" s="188"/>
      <c r="K305" s="189"/>
      <c r="L305" s="189"/>
      <c r="M305" s="190"/>
      <c r="O305" s="130"/>
    </row>
    <row r="306" spans="1:17" s="36" customFormat="1" ht="24" x14ac:dyDescent="0.2">
      <c r="A306" s="29">
        <v>2</v>
      </c>
      <c r="B306" s="131" t="s">
        <v>337</v>
      </c>
      <c r="C306" s="65" t="s">
        <v>198</v>
      </c>
      <c r="D306" s="79" t="s">
        <v>17</v>
      </c>
      <c r="E306" s="183"/>
      <c r="F306" s="31">
        <f>527</f>
        <v>527</v>
      </c>
      <c r="G306" s="133">
        <f>H306/F306</f>
        <v>1.8294399999999997</v>
      </c>
      <c r="H306" s="133">
        <f>SUM(H307:H313)</f>
        <v>964.11487999999986</v>
      </c>
      <c r="I306" s="133">
        <f>J306/F306</f>
        <v>1.9282049999999999</v>
      </c>
      <c r="J306" s="133">
        <f>SUM(J307:J313)</f>
        <v>1016.164035</v>
      </c>
      <c r="K306" s="133">
        <f>L306/F306</f>
        <v>1.1895093999999999</v>
      </c>
      <c r="L306" s="133">
        <f>SUM(L307:L313)</f>
        <v>626.87145379999993</v>
      </c>
      <c r="M306" s="133">
        <f>SUM(M307:M313)</f>
        <v>2607.1503687999998</v>
      </c>
      <c r="O306" s="130"/>
    </row>
    <row r="307" spans="1:17" s="19" customFormat="1" x14ac:dyDescent="0.25">
      <c r="A307" s="37"/>
      <c r="B307" s="134"/>
      <c r="C307" s="135" t="s">
        <v>266</v>
      </c>
      <c r="D307" s="134"/>
      <c r="E307" s="38"/>
      <c r="F307" s="39"/>
      <c r="G307" s="38"/>
      <c r="H307" s="38"/>
      <c r="I307" s="38"/>
      <c r="J307" s="38"/>
      <c r="K307" s="38"/>
      <c r="L307" s="161"/>
      <c r="M307" s="39"/>
      <c r="O307" s="130"/>
    </row>
    <row r="308" spans="1:17" s="44" customFormat="1" ht="14.25" x14ac:dyDescent="0.2">
      <c r="A308" s="140"/>
      <c r="B308" s="141"/>
      <c r="C308" s="142" t="s">
        <v>334</v>
      </c>
      <c r="D308" s="67" t="s">
        <v>268</v>
      </c>
      <c r="E308" s="164">
        <f>24.3*1.15*1.15/100</f>
        <v>0.32136749999999997</v>
      </c>
      <c r="F308" s="181">
        <f>F306*E308</f>
        <v>169.36067249999999</v>
      </c>
      <c r="G308" s="42">
        <v>0</v>
      </c>
      <c r="H308" s="42">
        <f t="shared" ref="H308:H313" si="88">F308*G308</f>
        <v>0</v>
      </c>
      <c r="I308" s="42">
        <v>6</v>
      </c>
      <c r="J308" s="42">
        <f t="shared" ref="J308:J313" si="89">F308*I308</f>
        <v>1016.164035</v>
      </c>
      <c r="K308" s="38">
        <v>0</v>
      </c>
      <c r="L308" s="38">
        <f t="shared" ref="L308:L313" si="90">F308*K308</f>
        <v>0</v>
      </c>
      <c r="M308" s="43">
        <f t="shared" ref="M308:M313" si="91">H308+J308+L308</f>
        <v>1016.164035</v>
      </c>
      <c r="O308" s="130"/>
    </row>
    <row r="309" spans="1:17" s="146" customFormat="1" x14ac:dyDescent="0.2">
      <c r="A309" s="45"/>
      <c r="B309" s="29" t="s">
        <v>296</v>
      </c>
      <c r="C309" s="142" t="s">
        <v>297</v>
      </c>
      <c r="D309" s="67" t="s">
        <v>298</v>
      </c>
      <c r="E309" s="163">
        <f>2.4*1.15*1.15/100</f>
        <v>3.1739999999999997E-2</v>
      </c>
      <c r="F309" s="38">
        <f>F306*E309</f>
        <v>16.726979999999998</v>
      </c>
      <c r="G309" s="42">
        <v>0</v>
      </c>
      <c r="H309" s="42">
        <f t="shared" si="88"/>
        <v>0</v>
      </c>
      <c r="I309" s="42">
        <v>0</v>
      </c>
      <c r="J309" s="42">
        <f t="shared" si="89"/>
        <v>0</v>
      </c>
      <c r="K309" s="163">
        <f>200*1.25/8</f>
        <v>31.25</v>
      </c>
      <c r="L309" s="38">
        <f t="shared" si="90"/>
        <v>522.71812499999987</v>
      </c>
      <c r="M309" s="43">
        <f t="shared" si="91"/>
        <v>522.71812499999987</v>
      </c>
      <c r="O309" s="130"/>
    </row>
    <row r="310" spans="1:17" s="146" customFormat="1" x14ac:dyDescent="0.2">
      <c r="A310" s="45"/>
      <c r="B310" s="85"/>
      <c r="C310" s="142" t="s">
        <v>302</v>
      </c>
      <c r="D310" s="67" t="s">
        <v>18</v>
      </c>
      <c r="E310" s="164">
        <f>4.67*1.15*1.15/100</f>
        <v>6.1760749999999989E-2</v>
      </c>
      <c r="F310" s="164">
        <f>F306*E310</f>
        <v>32.547915249999996</v>
      </c>
      <c r="G310" s="42">
        <v>0</v>
      </c>
      <c r="H310" s="42">
        <f t="shared" si="88"/>
        <v>0</v>
      </c>
      <c r="I310" s="42">
        <v>0</v>
      </c>
      <c r="J310" s="42">
        <f t="shared" si="89"/>
        <v>0</v>
      </c>
      <c r="K310" s="38">
        <v>3.2</v>
      </c>
      <c r="L310" s="38">
        <f t="shared" si="90"/>
        <v>104.1533288</v>
      </c>
      <c r="M310" s="43">
        <f t="shared" si="91"/>
        <v>104.1533288</v>
      </c>
      <c r="O310" s="130"/>
    </row>
    <row r="311" spans="1:17" s="36" customFormat="1" ht="14.25" x14ac:dyDescent="0.2">
      <c r="A311" s="29"/>
      <c r="B311" s="85"/>
      <c r="C311" s="142" t="s">
        <v>338</v>
      </c>
      <c r="D311" s="67" t="s">
        <v>17</v>
      </c>
      <c r="E311" s="164">
        <f>102-102</f>
        <v>0</v>
      </c>
      <c r="F311" s="184">
        <f>F306*E311</f>
        <v>0</v>
      </c>
      <c r="G311" s="42">
        <f>28.5*1.05*1.12*2</f>
        <v>67.032000000000011</v>
      </c>
      <c r="H311" s="42">
        <f t="shared" si="88"/>
        <v>0</v>
      </c>
      <c r="I311" s="42">
        <v>0</v>
      </c>
      <c r="J311" s="42">
        <f t="shared" si="89"/>
        <v>0</v>
      </c>
      <c r="K311" s="38">
        <v>0</v>
      </c>
      <c r="L311" s="38">
        <f t="shared" si="90"/>
        <v>0</v>
      </c>
      <c r="M311" s="43">
        <f t="shared" si="91"/>
        <v>0</v>
      </c>
      <c r="O311" s="130"/>
    </row>
    <row r="312" spans="1:17" s="36" customFormat="1" ht="14.25" x14ac:dyDescent="0.2">
      <c r="A312" s="29"/>
      <c r="B312" s="85"/>
      <c r="C312" s="142" t="s">
        <v>336</v>
      </c>
      <c r="D312" s="67" t="s">
        <v>2</v>
      </c>
      <c r="E312" s="164">
        <f>600/100</f>
        <v>6</v>
      </c>
      <c r="F312" s="184">
        <f>F306*E312</f>
        <v>3162</v>
      </c>
      <c r="G312" s="42">
        <v>0.3</v>
      </c>
      <c r="H312" s="42">
        <f t="shared" si="88"/>
        <v>948.59999999999991</v>
      </c>
      <c r="I312" s="42">
        <v>0</v>
      </c>
      <c r="J312" s="42">
        <f t="shared" si="89"/>
        <v>0</v>
      </c>
      <c r="K312" s="38">
        <v>0</v>
      </c>
      <c r="L312" s="38">
        <f t="shared" si="90"/>
        <v>0</v>
      </c>
      <c r="M312" s="43">
        <f t="shared" si="91"/>
        <v>948.59999999999991</v>
      </c>
      <c r="O312" s="130"/>
    </row>
    <row r="313" spans="1:17" x14ac:dyDescent="0.25">
      <c r="A313" s="29"/>
      <c r="B313" s="124"/>
      <c r="C313" s="142" t="s">
        <v>295</v>
      </c>
      <c r="D313" s="67" t="s">
        <v>18</v>
      </c>
      <c r="E313" s="29">
        <f>0.92/100</f>
        <v>9.1999999999999998E-3</v>
      </c>
      <c r="F313" s="164">
        <f>F306*E313</f>
        <v>4.8483999999999998</v>
      </c>
      <c r="G313" s="78">
        <v>3.2</v>
      </c>
      <c r="H313" s="42">
        <f t="shared" si="88"/>
        <v>15.51488</v>
      </c>
      <c r="I313" s="42">
        <v>0</v>
      </c>
      <c r="J313" s="164">
        <f t="shared" si="89"/>
        <v>0</v>
      </c>
      <c r="K313" s="38">
        <v>0</v>
      </c>
      <c r="L313" s="38">
        <f t="shared" si="90"/>
        <v>0</v>
      </c>
      <c r="M313" s="43">
        <f t="shared" si="91"/>
        <v>15.51488</v>
      </c>
      <c r="O313" s="130"/>
    </row>
    <row r="314" spans="1:17" s="36" customFormat="1" thickBot="1" x14ac:dyDescent="0.25">
      <c r="A314" s="148"/>
      <c r="B314" s="178"/>
      <c r="C314" s="185"/>
      <c r="D314" s="150"/>
      <c r="E314" s="186"/>
      <c r="F314" s="187"/>
      <c r="G314" s="188"/>
      <c r="H314" s="188"/>
      <c r="I314" s="188"/>
      <c r="J314" s="188"/>
      <c r="K314" s="189"/>
      <c r="L314" s="189"/>
      <c r="M314" s="190"/>
      <c r="O314" s="130"/>
    </row>
    <row r="315" spans="1:17" s="36" customFormat="1" ht="48" x14ac:dyDescent="0.2">
      <c r="A315" s="29">
        <v>3</v>
      </c>
      <c r="B315" s="131" t="s">
        <v>339</v>
      </c>
      <c r="C315" s="65" t="s">
        <v>199</v>
      </c>
      <c r="D315" s="79" t="s">
        <v>17</v>
      </c>
      <c r="E315" s="183"/>
      <c r="F315" s="30">
        <f>(49.84+31*0.5)</f>
        <v>65.34</v>
      </c>
      <c r="G315" s="133">
        <f>H315/F315</f>
        <v>2.5596000000000001</v>
      </c>
      <c r="H315" s="133">
        <f>SUM(H316:H320)</f>
        <v>167.24426400000002</v>
      </c>
      <c r="I315" s="133">
        <f>J315/F315</f>
        <v>6.5860499999999975</v>
      </c>
      <c r="J315" s="133">
        <f>SUM(J316:J320)</f>
        <v>430.33250699999985</v>
      </c>
      <c r="K315" s="133">
        <f>L315/F315</f>
        <v>1.7351199999999994E-2</v>
      </c>
      <c r="L315" s="133">
        <f>SUM(L316:L320)</f>
        <v>1.1337274079999997</v>
      </c>
      <c r="M315" s="133">
        <f>SUM(M316:M320)</f>
        <v>598.71049840799981</v>
      </c>
      <c r="O315" s="130"/>
    </row>
    <row r="316" spans="1:17" s="19" customFormat="1" x14ac:dyDescent="0.25">
      <c r="A316" s="37"/>
      <c r="B316" s="134"/>
      <c r="C316" s="135" t="s">
        <v>266</v>
      </c>
      <c r="D316" s="134"/>
      <c r="E316" s="38"/>
      <c r="F316" s="39"/>
      <c r="G316" s="38"/>
      <c r="H316" s="38"/>
      <c r="I316" s="38"/>
      <c r="J316" s="38"/>
      <c r="K316" s="38"/>
      <c r="L316" s="161"/>
      <c r="M316" s="39"/>
      <c r="O316" s="130"/>
    </row>
    <row r="317" spans="1:17" s="44" customFormat="1" ht="14.25" x14ac:dyDescent="0.2">
      <c r="A317" s="140"/>
      <c r="B317" s="141"/>
      <c r="C317" s="142" t="s">
        <v>334</v>
      </c>
      <c r="D317" s="67" t="s">
        <v>268</v>
      </c>
      <c r="E317" s="164">
        <f>83*1.15*1.15/100</f>
        <v>1.0976749999999997</v>
      </c>
      <c r="F317" s="181">
        <f>F315*E317</f>
        <v>71.72208449999998</v>
      </c>
      <c r="G317" s="42">
        <v>0</v>
      </c>
      <c r="H317" s="42">
        <f>F317*G317</f>
        <v>0</v>
      </c>
      <c r="I317" s="42">
        <v>6</v>
      </c>
      <c r="J317" s="42">
        <f>F317*I317</f>
        <v>430.33250699999985</v>
      </c>
      <c r="K317" s="38">
        <v>0</v>
      </c>
      <c r="L317" s="38">
        <f>F317*K317</f>
        <v>0</v>
      </c>
      <c r="M317" s="43">
        <f>H317+J317+L317</f>
        <v>430.33250699999985</v>
      </c>
      <c r="O317" s="130"/>
    </row>
    <row r="318" spans="1:17" s="146" customFormat="1" x14ac:dyDescent="0.2">
      <c r="A318" s="45"/>
      <c r="B318" s="85"/>
      <c r="C318" s="142" t="s">
        <v>302</v>
      </c>
      <c r="D318" s="67" t="s">
        <v>18</v>
      </c>
      <c r="E318" s="164">
        <f>0.41*1.15*1.15/100</f>
        <v>5.4222499999999983E-3</v>
      </c>
      <c r="F318" s="164">
        <f>F315*E318</f>
        <v>0.3542898149999999</v>
      </c>
      <c r="G318" s="42">
        <v>0</v>
      </c>
      <c r="H318" s="42">
        <f>F318*G318</f>
        <v>0</v>
      </c>
      <c r="I318" s="42">
        <v>0</v>
      </c>
      <c r="J318" s="42">
        <f>F318*I318</f>
        <v>0</v>
      </c>
      <c r="K318" s="38">
        <v>3.2</v>
      </c>
      <c r="L318" s="38">
        <f>F318*K318</f>
        <v>1.1337274079999997</v>
      </c>
      <c r="M318" s="43">
        <f>H318+J318+L318</f>
        <v>1.1337274079999997</v>
      </c>
      <c r="O318" s="130"/>
    </row>
    <row r="319" spans="1:17" s="36" customFormat="1" ht="14.25" x14ac:dyDescent="0.2">
      <c r="A319" s="29"/>
      <c r="B319" s="29" t="s">
        <v>340</v>
      </c>
      <c r="C319" s="142" t="s">
        <v>341</v>
      </c>
      <c r="D319" s="67" t="s">
        <v>17</v>
      </c>
      <c r="E319" s="164">
        <f>105*0.2/100</f>
        <v>0.21</v>
      </c>
      <c r="F319" s="184">
        <f>F315*E319</f>
        <v>13.721400000000001</v>
      </c>
      <c r="G319" s="42">
        <v>11</v>
      </c>
      <c r="H319" s="42">
        <f>F319*G319</f>
        <v>150.93540000000002</v>
      </c>
      <c r="I319" s="42">
        <v>0</v>
      </c>
      <c r="J319" s="42">
        <f>F319*I319</f>
        <v>0</v>
      </c>
      <c r="K319" s="38">
        <v>0</v>
      </c>
      <c r="L319" s="38">
        <f>F319*K319</f>
        <v>0</v>
      </c>
      <c r="M319" s="43">
        <f>H319+J319+L319</f>
        <v>150.93540000000002</v>
      </c>
      <c r="O319" s="130"/>
    </row>
    <row r="320" spans="1:17" x14ac:dyDescent="0.25">
      <c r="A320" s="29"/>
      <c r="B320" s="124"/>
      <c r="C320" s="142" t="s">
        <v>295</v>
      </c>
      <c r="D320" s="67" t="s">
        <v>18</v>
      </c>
      <c r="E320" s="29">
        <f>7.8/100</f>
        <v>7.8E-2</v>
      </c>
      <c r="F320" s="164">
        <f>F315*E320</f>
        <v>5.0965199999999999</v>
      </c>
      <c r="G320" s="78">
        <v>3.2</v>
      </c>
      <c r="H320" s="42">
        <f>F320*G320</f>
        <v>16.308864</v>
      </c>
      <c r="I320" s="42">
        <v>0</v>
      </c>
      <c r="J320" s="164">
        <f>F320*I320</f>
        <v>0</v>
      </c>
      <c r="K320" s="38">
        <v>0</v>
      </c>
      <c r="L320" s="38">
        <f>F320*K320</f>
        <v>0</v>
      </c>
      <c r="M320" s="43">
        <f>H320+J320+L320</f>
        <v>16.308864</v>
      </c>
      <c r="O320" s="130"/>
      <c r="P320" s="87">
        <f>G320*E320</f>
        <v>0.24960000000000002</v>
      </c>
      <c r="Q320" s="87">
        <f>P320*F315</f>
        <v>16.308864000000003</v>
      </c>
    </row>
    <row r="321" spans="1:15" s="36" customFormat="1" thickBot="1" x14ac:dyDescent="0.25">
      <c r="A321" s="148"/>
      <c r="B321" s="178"/>
      <c r="C321" s="185"/>
      <c r="D321" s="150"/>
      <c r="E321" s="186"/>
      <c r="F321" s="187"/>
      <c r="G321" s="188"/>
      <c r="H321" s="188"/>
      <c r="I321" s="188"/>
      <c r="J321" s="188"/>
      <c r="K321" s="189"/>
      <c r="L321" s="189"/>
      <c r="M321" s="190"/>
      <c r="O321" s="130"/>
    </row>
    <row r="322" spans="1:15" s="36" customFormat="1" ht="48" x14ac:dyDescent="0.2">
      <c r="A322" s="29">
        <v>4</v>
      </c>
      <c r="B322" s="126" t="s">
        <v>277</v>
      </c>
      <c r="C322" s="65" t="s">
        <v>200</v>
      </c>
      <c r="D322" s="79" t="s">
        <v>29</v>
      </c>
      <c r="E322" s="183"/>
      <c r="F322" s="31">
        <f>62+33.6</f>
        <v>95.6</v>
      </c>
      <c r="G322" s="133">
        <f>H322/F322</f>
        <v>0</v>
      </c>
      <c r="H322" s="133">
        <f>SUM(H323:H330)</f>
        <v>0</v>
      </c>
      <c r="I322" s="133">
        <f>J322/F322</f>
        <v>3.125</v>
      </c>
      <c r="J322" s="133">
        <f>SUM(J323:J330)</f>
        <v>298.75</v>
      </c>
      <c r="K322" s="133">
        <f>L322/F322</f>
        <v>0</v>
      </c>
      <c r="L322" s="133">
        <f>SUM(L323:L330)</f>
        <v>0</v>
      </c>
      <c r="M322" s="133">
        <f>SUM(M323:M330)</f>
        <v>298.75</v>
      </c>
      <c r="O322" s="130"/>
    </row>
    <row r="323" spans="1:15" s="19" customFormat="1" x14ac:dyDescent="0.25">
      <c r="A323" s="37"/>
      <c r="B323" s="134"/>
      <c r="C323" s="135" t="s">
        <v>266</v>
      </c>
      <c r="D323" s="134"/>
      <c r="E323" s="38"/>
      <c r="F323" s="39"/>
      <c r="G323" s="38"/>
      <c r="H323" s="38"/>
      <c r="I323" s="38"/>
      <c r="J323" s="38"/>
      <c r="K323" s="38"/>
      <c r="L323" s="161"/>
      <c r="M323" s="39"/>
      <c r="O323" s="130"/>
    </row>
    <row r="324" spans="1:15" s="44" customFormat="1" ht="14.25" x14ac:dyDescent="0.2">
      <c r="A324" s="140"/>
      <c r="B324" s="141"/>
      <c r="C324" s="142" t="s">
        <v>278</v>
      </c>
      <c r="D324" s="67" t="s">
        <v>29</v>
      </c>
      <c r="E324" s="164">
        <v>1</v>
      </c>
      <c r="F324" s="181">
        <f>F322*E324</f>
        <v>95.6</v>
      </c>
      <c r="G324" s="42">
        <v>0</v>
      </c>
      <c r="H324" s="42">
        <f t="shared" ref="H324:H330" si="92">F324*G324</f>
        <v>0</v>
      </c>
      <c r="I324" s="42">
        <f>2.5*1.25</f>
        <v>3.125</v>
      </c>
      <c r="J324" s="42">
        <f t="shared" ref="J324:J330" si="93">F324*I324</f>
        <v>298.75</v>
      </c>
      <c r="K324" s="38">
        <v>0</v>
      </c>
      <c r="L324" s="38">
        <f t="shared" ref="L324:L330" si="94">F324*K324</f>
        <v>0</v>
      </c>
      <c r="M324" s="43">
        <f>H324+J324+L324</f>
        <v>298.75</v>
      </c>
      <c r="O324" s="130"/>
    </row>
    <row r="325" spans="1:15" s="36" customFormat="1" ht="14.25" x14ac:dyDescent="0.2">
      <c r="A325" s="29"/>
      <c r="B325" s="29" t="s">
        <v>342</v>
      </c>
      <c r="C325" s="142" t="s">
        <v>343</v>
      </c>
      <c r="D325" s="67" t="s">
        <v>29</v>
      </c>
      <c r="E325" s="164">
        <v>0</v>
      </c>
      <c r="F325" s="184">
        <f>33.6*E325</f>
        <v>0</v>
      </c>
      <c r="G325" s="42">
        <v>16</v>
      </c>
      <c r="H325" s="42">
        <f t="shared" si="92"/>
        <v>0</v>
      </c>
      <c r="I325" s="42">
        <v>0</v>
      </c>
      <c r="J325" s="42">
        <f t="shared" si="93"/>
        <v>0</v>
      </c>
      <c r="K325" s="38">
        <v>0</v>
      </c>
      <c r="L325" s="38">
        <f t="shared" si="94"/>
        <v>0</v>
      </c>
      <c r="M325" s="43">
        <f t="shared" ref="M325:M330" si="95">H325+J325+L325</f>
        <v>0</v>
      </c>
      <c r="O325" s="130"/>
    </row>
    <row r="326" spans="1:15" s="36" customFormat="1" ht="14.25" x14ac:dyDescent="0.2">
      <c r="A326" s="29"/>
      <c r="B326" s="29" t="s">
        <v>344</v>
      </c>
      <c r="C326" s="142" t="s">
        <v>345</v>
      </c>
      <c r="D326" s="67" t="s">
        <v>29</v>
      </c>
      <c r="E326" s="164">
        <v>0</v>
      </c>
      <c r="F326" s="184">
        <f>62*E326</f>
        <v>0</v>
      </c>
      <c r="G326" s="42">
        <v>15</v>
      </c>
      <c r="H326" s="42">
        <f t="shared" si="92"/>
        <v>0</v>
      </c>
      <c r="I326" s="42">
        <v>0</v>
      </c>
      <c r="J326" s="42">
        <f t="shared" si="93"/>
        <v>0</v>
      </c>
      <c r="K326" s="38">
        <v>0</v>
      </c>
      <c r="L326" s="38">
        <f t="shared" si="94"/>
        <v>0</v>
      </c>
      <c r="M326" s="43">
        <f t="shared" si="95"/>
        <v>0</v>
      </c>
      <c r="O326" s="130"/>
    </row>
    <row r="327" spans="1:15" x14ac:dyDescent="0.25">
      <c r="A327" s="29"/>
      <c r="B327" s="29" t="s">
        <v>346</v>
      </c>
      <c r="C327" s="142" t="s">
        <v>347</v>
      </c>
      <c r="D327" s="67" t="s">
        <v>19</v>
      </c>
      <c r="E327" s="29"/>
      <c r="F327" s="164">
        <v>0</v>
      </c>
      <c r="G327" s="78">
        <v>19.5</v>
      </c>
      <c r="H327" s="42">
        <f t="shared" si="92"/>
        <v>0</v>
      </c>
      <c r="I327" s="42">
        <v>0</v>
      </c>
      <c r="J327" s="164">
        <f t="shared" si="93"/>
        <v>0</v>
      </c>
      <c r="K327" s="38">
        <v>0</v>
      </c>
      <c r="L327" s="38">
        <f t="shared" si="94"/>
        <v>0</v>
      </c>
      <c r="M327" s="43">
        <f t="shared" si="95"/>
        <v>0</v>
      </c>
      <c r="O327" s="130"/>
    </row>
    <row r="328" spans="1:15" x14ac:dyDescent="0.25">
      <c r="A328" s="29"/>
      <c r="B328" s="29" t="s">
        <v>348</v>
      </c>
      <c r="C328" s="142" t="s">
        <v>349</v>
      </c>
      <c r="D328" s="67" t="s">
        <v>19</v>
      </c>
      <c r="E328" s="29"/>
      <c r="F328" s="164">
        <v>0</v>
      </c>
      <c r="G328" s="78">
        <v>12.5</v>
      </c>
      <c r="H328" s="42">
        <f t="shared" si="92"/>
        <v>0</v>
      </c>
      <c r="I328" s="42">
        <v>0</v>
      </c>
      <c r="J328" s="164">
        <f t="shared" si="93"/>
        <v>0</v>
      </c>
      <c r="K328" s="38">
        <v>0</v>
      </c>
      <c r="L328" s="38">
        <f t="shared" si="94"/>
        <v>0</v>
      </c>
      <c r="M328" s="43">
        <f t="shared" si="95"/>
        <v>0</v>
      </c>
      <c r="O328" s="130"/>
    </row>
    <row r="329" spans="1:15" x14ac:dyDescent="0.25">
      <c r="A329" s="29"/>
      <c r="B329" s="29" t="s">
        <v>350</v>
      </c>
      <c r="C329" s="142" t="s">
        <v>351</v>
      </c>
      <c r="D329" s="67" t="s">
        <v>19</v>
      </c>
      <c r="E329" s="29"/>
      <c r="F329" s="164">
        <v>0</v>
      </c>
      <c r="G329" s="78">
        <v>4.5</v>
      </c>
      <c r="H329" s="42">
        <f t="shared" si="92"/>
        <v>0</v>
      </c>
      <c r="I329" s="42">
        <v>0</v>
      </c>
      <c r="J329" s="164">
        <f t="shared" si="93"/>
        <v>0</v>
      </c>
      <c r="K329" s="38">
        <v>0</v>
      </c>
      <c r="L329" s="38">
        <f t="shared" si="94"/>
        <v>0</v>
      </c>
      <c r="M329" s="43">
        <f t="shared" si="95"/>
        <v>0</v>
      </c>
      <c r="O329" s="130"/>
    </row>
    <row r="330" spans="1:15" x14ac:dyDescent="0.25">
      <c r="A330" s="29"/>
      <c r="B330" s="29" t="s">
        <v>350</v>
      </c>
      <c r="C330" s="142" t="s">
        <v>352</v>
      </c>
      <c r="D330" s="67" t="s">
        <v>19</v>
      </c>
      <c r="E330" s="29"/>
      <c r="F330" s="164">
        <v>0</v>
      </c>
      <c r="G330" s="78">
        <v>4.0999999999999996</v>
      </c>
      <c r="H330" s="42">
        <f t="shared" si="92"/>
        <v>0</v>
      </c>
      <c r="I330" s="42">
        <v>0</v>
      </c>
      <c r="J330" s="164">
        <f t="shared" si="93"/>
        <v>0</v>
      </c>
      <c r="K330" s="38">
        <v>0</v>
      </c>
      <c r="L330" s="38">
        <f t="shared" si="94"/>
        <v>0</v>
      </c>
      <c r="M330" s="43">
        <f t="shared" si="95"/>
        <v>0</v>
      </c>
      <c r="O330" s="130"/>
    </row>
    <row r="331" spans="1:15" s="36" customFormat="1" thickBot="1" x14ac:dyDescent="0.25">
      <c r="A331" s="148"/>
      <c r="B331" s="178"/>
      <c r="C331" s="185"/>
      <c r="D331" s="150"/>
      <c r="E331" s="186"/>
      <c r="F331" s="187"/>
      <c r="G331" s="188"/>
      <c r="H331" s="188"/>
      <c r="I331" s="188"/>
      <c r="J331" s="188"/>
      <c r="K331" s="189"/>
      <c r="L331" s="189"/>
      <c r="M331" s="190"/>
      <c r="O331" s="130"/>
    </row>
    <row r="332" spans="1:15" s="34" customFormat="1" x14ac:dyDescent="0.25">
      <c r="A332" s="48"/>
      <c r="B332" s="156"/>
      <c r="C332" s="70" t="s">
        <v>33</v>
      </c>
      <c r="D332" s="49"/>
      <c r="E332" s="50"/>
      <c r="F332" s="50"/>
      <c r="G332" s="51"/>
      <c r="H332" s="53">
        <f>H322+H315+H306+H297</f>
        <v>2063.1912079999997</v>
      </c>
      <c r="I332" s="53"/>
      <c r="J332" s="53">
        <f>J322+J315+J306+J297</f>
        <v>6847.5150219999987</v>
      </c>
      <c r="K332" s="53"/>
      <c r="L332" s="53">
        <f>L322+L315+L306+L297</f>
        <v>709.64147688799994</v>
      </c>
      <c r="M332" s="53">
        <f>M322+M315+M306+M297</f>
        <v>9620.3477068879984</v>
      </c>
      <c r="O332" s="130"/>
    </row>
    <row r="333" spans="1:15" s="34" customFormat="1" x14ac:dyDescent="0.25">
      <c r="A333" s="48"/>
      <c r="B333" s="156"/>
      <c r="C333" s="70" t="s">
        <v>28</v>
      </c>
      <c r="D333" s="49"/>
      <c r="E333" s="50"/>
      <c r="F333" s="50"/>
      <c r="G333" s="51"/>
      <c r="H333" s="53">
        <f>H297+H306</f>
        <v>1895.9469439999998</v>
      </c>
      <c r="I333" s="53"/>
      <c r="J333" s="53">
        <f>J297+J306</f>
        <v>6118.4325149999986</v>
      </c>
      <c r="K333" s="53"/>
      <c r="L333" s="53">
        <f>L297+L306</f>
        <v>708.50774947999992</v>
      </c>
      <c r="M333" s="53">
        <f>M297+M306</f>
        <v>8722.8872084799987</v>
      </c>
      <c r="O333" s="130"/>
    </row>
    <row r="334" spans="1:15" s="36" customFormat="1" ht="14.25" x14ac:dyDescent="0.2">
      <c r="A334" s="21"/>
      <c r="B334" s="126"/>
      <c r="C334" s="76" t="s">
        <v>233</v>
      </c>
      <c r="D334" s="68"/>
      <c r="E334" s="191"/>
      <c r="F334" s="80"/>
      <c r="G334" s="60"/>
      <c r="H334" s="60"/>
      <c r="I334" s="60"/>
      <c r="J334" s="60"/>
      <c r="K334" s="61"/>
      <c r="L334" s="61"/>
      <c r="M334" s="62"/>
      <c r="O334" s="130"/>
    </row>
    <row r="335" spans="1:15" s="36" customFormat="1" ht="24" x14ac:dyDescent="0.2">
      <c r="A335" s="29">
        <v>1</v>
      </c>
      <c r="B335" s="131" t="s">
        <v>353</v>
      </c>
      <c r="C335" s="65" t="s">
        <v>240</v>
      </c>
      <c r="D335" s="79" t="s">
        <v>17</v>
      </c>
      <c r="E335" s="183"/>
      <c r="F335" s="31">
        <f>4.8*100</f>
        <v>480</v>
      </c>
      <c r="G335" s="133">
        <f>H335/F335</f>
        <v>4.6915199999999997</v>
      </c>
      <c r="H335" s="133">
        <f>SUM(H336:H340)</f>
        <v>2251.9295999999999</v>
      </c>
      <c r="I335" s="133">
        <f>J335/F335</f>
        <v>3.125</v>
      </c>
      <c r="J335" s="133">
        <f>SUM(J336:J340)</f>
        <v>1500</v>
      </c>
      <c r="K335" s="133">
        <f>L335/F335</f>
        <v>9.8605600000000002E-2</v>
      </c>
      <c r="L335" s="133">
        <f>SUM(L336:L340)</f>
        <v>47.330688000000002</v>
      </c>
      <c r="M335" s="133">
        <f>SUM(M336:M340)</f>
        <v>3799.2602879999999</v>
      </c>
      <c r="O335" s="130"/>
    </row>
    <row r="336" spans="1:15" s="19" customFormat="1" x14ac:dyDescent="0.25">
      <c r="A336" s="37"/>
      <c r="B336" s="134"/>
      <c r="C336" s="135" t="s">
        <v>266</v>
      </c>
      <c r="D336" s="134"/>
      <c r="E336" s="38"/>
      <c r="F336" s="39"/>
      <c r="G336" s="38"/>
      <c r="H336" s="38"/>
      <c r="I336" s="38"/>
      <c r="J336" s="38"/>
      <c r="K336" s="38"/>
      <c r="L336" s="161"/>
      <c r="M336" s="39"/>
      <c r="O336" s="130"/>
    </row>
    <row r="337" spans="1:15" s="44" customFormat="1" ht="14.25" x14ac:dyDescent="0.2">
      <c r="A337" s="140"/>
      <c r="B337" s="141" t="s">
        <v>277</v>
      </c>
      <c r="C337" s="142" t="s">
        <v>278</v>
      </c>
      <c r="D337" s="67" t="s">
        <v>17</v>
      </c>
      <c r="E337" s="164">
        <v>1</v>
      </c>
      <c r="F337" s="181">
        <f>F335*E337</f>
        <v>480</v>
      </c>
      <c r="G337" s="42">
        <v>0</v>
      </c>
      <c r="H337" s="42">
        <f>F337*G337</f>
        <v>0</v>
      </c>
      <c r="I337" s="182">
        <f>2.5*1.25</f>
        <v>3.125</v>
      </c>
      <c r="J337" s="42">
        <f>F337*I337</f>
        <v>1500</v>
      </c>
      <c r="K337" s="38">
        <v>0</v>
      </c>
      <c r="L337" s="38">
        <f>F337*K337</f>
        <v>0</v>
      </c>
      <c r="M337" s="43">
        <f>H337+J337+L337</f>
        <v>1500</v>
      </c>
      <c r="O337" s="130"/>
    </row>
    <row r="338" spans="1:15" s="146" customFormat="1" x14ac:dyDescent="0.2">
      <c r="A338" s="45"/>
      <c r="B338" s="85"/>
      <c r="C338" s="142" t="s">
        <v>302</v>
      </c>
      <c r="D338" s="67" t="s">
        <v>18</v>
      </c>
      <c r="E338" s="164">
        <f>(0.95+0.23*6)*1.15*1.15/100</f>
        <v>3.0814249999999998E-2</v>
      </c>
      <c r="F338" s="164">
        <f>F335*E338</f>
        <v>14.790839999999999</v>
      </c>
      <c r="G338" s="42">
        <v>0</v>
      </c>
      <c r="H338" s="42">
        <f>F338*G338</f>
        <v>0</v>
      </c>
      <c r="I338" s="42">
        <v>0</v>
      </c>
      <c r="J338" s="42">
        <f>F338*I338</f>
        <v>0</v>
      </c>
      <c r="K338" s="38">
        <v>3.2</v>
      </c>
      <c r="L338" s="38">
        <f>F338*K338</f>
        <v>47.330688000000002</v>
      </c>
      <c r="M338" s="43">
        <f>H338+J338+L338</f>
        <v>47.330688000000002</v>
      </c>
      <c r="O338" s="130"/>
    </row>
    <row r="339" spans="1:15" s="36" customFormat="1" ht="14.25" x14ac:dyDescent="0.2">
      <c r="A339" s="29"/>
      <c r="B339" s="29" t="s">
        <v>354</v>
      </c>
      <c r="C339" s="142" t="s">
        <v>355</v>
      </c>
      <c r="D339" s="67" t="s">
        <v>32</v>
      </c>
      <c r="E339" s="164">
        <f>(2.04+0.51*6)/100</f>
        <v>5.0999999999999997E-2</v>
      </c>
      <c r="F339" s="184">
        <f>F335*E339</f>
        <v>24.479999999999997</v>
      </c>
      <c r="G339" s="42">
        <v>88</v>
      </c>
      <c r="H339" s="42">
        <f>F339*G339</f>
        <v>2154.2399999999998</v>
      </c>
      <c r="I339" s="42">
        <v>0</v>
      </c>
      <c r="J339" s="42">
        <f>F339*I339</f>
        <v>0</v>
      </c>
      <c r="K339" s="38">
        <v>0</v>
      </c>
      <c r="L339" s="38">
        <f>F339*K339</f>
        <v>0</v>
      </c>
      <c r="M339" s="43">
        <f>H339+J339+L339</f>
        <v>2154.2399999999998</v>
      </c>
      <c r="O339" s="130"/>
    </row>
    <row r="340" spans="1:15" x14ac:dyDescent="0.25">
      <c r="A340" s="29"/>
      <c r="B340" s="124"/>
      <c r="C340" s="142" t="s">
        <v>295</v>
      </c>
      <c r="D340" s="67" t="s">
        <v>18</v>
      </c>
      <c r="E340" s="29">
        <f>6.36/100</f>
        <v>6.3600000000000004E-2</v>
      </c>
      <c r="F340" s="164">
        <f>F335*E340</f>
        <v>30.528000000000002</v>
      </c>
      <c r="G340" s="42">
        <v>3.2</v>
      </c>
      <c r="H340" s="42">
        <f>F340*G340</f>
        <v>97.689600000000013</v>
      </c>
      <c r="I340" s="42">
        <v>0</v>
      </c>
      <c r="J340" s="42">
        <f>F340*I340</f>
        <v>0</v>
      </c>
      <c r="K340" s="38">
        <v>0</v>
      </c>
      <c r="L340" s="38">
        <f>F340*K340</f>
        <v>0</v>
      </c>
      <c r="M340" s="43">
        <f>H340+J340+L340</f>
        <v>97.689600000000013</v>
      </c>
      <c r="O340" s="130"/>
    </row>
    <row r="341" spans="1:15" s="36" customFormat="1" thickBot="1" x14ac:dyDescent="0.25">
      <c r="A341" s="148"/>
      <c r="B341" s="178"/>
      <c r="C341" s="185"/>
      <c r="D341" s="150"/>
      <c r="E341" s="186"/>
      <c r="F341" s="187"/>
      <c r="G341" s="188"/>
      <c r="H341" s="188"/>
      <c r="I341" s="188"/>
      <c r="J341" s="188"/>
      <c r="K341" s="189"/>
      <c r="L341" s="189"/>
      <c r="M341" s="190"/>
      <c r="O341" s="130"/>
    </row>
    <row r="342" spans="1:15" s="36" customFormat="1" ht="24" x14ac:dyDescent="0.2">
      <c r="A342" s="29">
        <v>2</v>
      </c>
      <c r="B342" s="131" t="s">
        <v>356</v>
      </c>
      <c r="C342" s="65" t="s">
        <v>31</v>
      </c>
      <c r="D342" s="79" t="s">
        <v>32</v>
      </c>
      <c r="E342" s="183"/>
      <c r="F342" s="30">
        <f>675.8*0.08*0.2+357*0.1*0.1-9</f>
        <v>5.3828000000000014</v>
      </c>
      <c r="G342" s="133">
        <f>H342/F342</f>
        <v>527.81966101694911</v>
      </c>
      <c r="H342" s="133">
        <f>SUM(H343:H349)</f>
        <v>2841.1476713220345</v>
      </c>
      <c r="I342" s="133">
        <f>J342/F342</f>
        <v>125</v>
      </c>
      <c r="J342" s="133">
        <f>SUM(J343:J349)</f>
        <v>672.85000000000014</v>
      </c>
      <c r="K342" s="133">
        <f>L342/F342</f>
        <v>5.5015999999999989</v>
      </c>
      <c r="L342" s="133">
        <f>SUM(L343:L349)</f>
        <v>29.614012480000003</v>
      </c>
      <c r="M342" s="133">
        <f>SUM(M343:M349)</f>
        <v>3543.6116838020348</v>
      </c>
      <c r="O342" s="130"/>
    </row>
    <row r="343" spans="1:15" s="19" customFormat="1" x14ac:dyDescent="0.25">
      <c r="A343" s="37"/>
      <c r="B343" s="134"/>
      <c r="C343" s="135" t="s">
        <v>266</v>
      </c>
      <c r="D343" s="134"/>
      <c r="E343" s="38"/>
      <c r="F343" s="39"/>
      <c r="G343" s="38"/>
      <c r="H343" s="38"/>
      <c r="I343" s="38"/>
      <c r="J343" s="38"/>
      <c r="K343" s="38"/>
      <c r="L343" s="161"/>
      <c r="M343" s="39"/>
      <c r="O343" s="130"/>
    </row>
    <row r="344" spans="1:15" s="44" customFormat="1" ht="14.25" x14ac:dyDescent="0.2">
      <c r="A344" s="140"/>
      <c r="B344" s="141" t="s">
        <v>277</v>
      </c>
      <c r="C344" s="142" t="s">
        <v>278</v>
      </c>
      <c r="D344" s="67" t="s">
        <v>32</v>
      </c>
      <c r="E344" s="164">
        <v>1</v>
      </c>
      <c r="F344" s="181">
        <f>F342*E344</f>
        <v>5.3828000000000014</v>
      </c>
      <c r="G344" s="42">
        <v>0</v>
      </c>
      <c r="H344" s="42">
        <f t="shared" ref="H344:H349" si="96">F344*G344</f>
        <v>0</v>
      </c>
      <c r="I344" s="42">
        <f>100*1.25</f>
        <v>125</v>
      </c>
      <c r="J344" s="42">
        <f t="shared" ref="J344:J349" si="97">F344*I344</f>
        <v>672.85000000000014</v>
      </c>
      <c r="K344" s="38">
        <v>0</v>
      </c>
      <c r="L344" s="38">
        <f t="shared" ref="L344:L349" si="98">F344*K344</f>
        <v>0</v>
      </c>
      <c r="M344" s="43">
        <f t="shared" ref="M344:M349" si="99">H344+J344+L344</f>
        <v>672.85000000000014</v>
      </c>
      <c r="O344" s="130"/>
    </row>
    <row r="345" spans="1:15" s="146" customFormat="1" x14ac:dyDescent="0.2">
      <c r="A345" s="45"/>
      <c r="B345" s="85"/>
      <c r="C345" s="142" t="s">
        <v>302</v>
      </c>
      <c r="D345" s="67" t="s">
        <v>18</v>
      </c>
      <c r="E345" s="164">
        <f>1.3*1.15*1.15</f>
        <v>1.7192499999999997</v>
      </c>
      <c r="F345" s="164">
        <f>F342*E345</f>
        <v>9.2543789000000007</v>
      </c>
      <c r="G345" s="42">
        <v>0</v>
      </c>
      <c r="H345" s="42">
        <f t="shared" si="96"/>
        <v>0</v>
      </c>
      <c r="I345" s="42">
        <v>0</v>
      </c>
      <c r="J345" s="42">
        <f t="shared" si="97"/>
        <v>0</v>
      </c>
      <c r="K345" s="38">
        <v>3.2</v>
      </c>
      <c r="L345" s="38">
        <f t="shared" si="98"/>
        <v>29.614012480000003</v>
      </c>
      <c r="M345" s="43">
        <f t="shared" si="99"/>
        <v>29.614012480000003</v>
      </c>
      <c r="O345" s="130"/>
    </row>
    <row r="346" spans="1:15" s="36" customFormat="1" ht="14.25" x14ac:dyDescent="0.2">
      <c r="A346" s="29"/>
      <c r="B346" s="29" t="s">
        <v>357</v>
      </c>
      <c r="C346" s="142" t="s">
        <v>358</v>
      </c>
      <c r="D346" s="67" t="s">
        <v>32</v>
      </c>
      <c r="E346" s="164">
        <f>0.93+0.12</f>
        <v>1.05</v>
      </c>
      <c r="F346" s="184">
        <f>F342*E346</f>
        <v>5.6519400000000015</v>
      </c>
      <c r="G346" s="42">
        <v>460</v>
      </c>
      <c r="H346" s="42">
        <f t="shared" si="96"/>
        <v>2599.8924000000006</v>
      </c>
      <c r="I346" s="42">
        <v>0</v>
      </c>
      <c r="J346" s="42">
        <f t="shared" si="97"/>
        <v>0</v>
      </c>
      <c r="K346" s="38">
        <v>0</v>
      </c>
      <c r="L346" s="38">
        <f t="shared" si="98"/>
        <v>0</v>
      </c>
      <c r="M346" s="43">
        <f t="shared" si="99"/>
        <v>2599.8924000000006</v>
      </c>
      <c r="O346" s="130"/>
    </row>
    <row r="347" spans="1:15" s="44" customFormat="1" ht="14.25" x14ac:dyDescent="0.2">
      <c r="A347" s="165"/>
      <c r="B347" s="29"/>
      <c r="C347" s="166" t="s">
        <v>292</v>
      </c>
      <c r="D347" s="167" t="s">
        <v>291</v>
      </c>
      <c r="E347" s="171">
        <v>7.5</v>
      </c>
      <c r="F347" s="179">
        <f>F342*E347</f>
        <v>40.371000000000009</v>
      </c>
      <c r="G347" s="42">
        <f>5/1.18</f>
        <v>4.2372881355932206</v>
      </c>
      <c r="H347" s="42">
        <f t="shared" si="96"/>
        <v>171.06355932203394</v>
      </c>
      <c r="I347" s="42">
        <v>0</v>
      </c>
      <c r="J347" s="42">
        <f t="shared" si="97"/>
        <v>0</v>
      </c>
      <c r="K347" s="38">
        <v>0</v>
      </c>
      <c r="L347" s="38">
        <f t="shared" si="98"/>
        <v>0</v>
      </c>
      <c r="M347" s="43">
        <f t="shared" si="99"/>
        <v>171.06355932203394</v>
      </c>
      <c r="O347" s="130"/>
    </row>
    <row r="348" spans="1:15" s="44" customFormat="1" ht="14.25" x14ac:dyDescent="0.2">
      <c r="A348" s="165"/>
      <c r="B348" s="29" t="s">
        <v>359</v>
      </c>
      <c r="C348" s="166" t="s">
        <v>360</v>
      </c>
      <c r="D348" s="167" t="s">
        <v>291</v>
      </c>
      <c r="E348" s="171">
        <v>3.08</v>
      </c>
      <c r="F348" s="179">
        <f>E348*F342</f>
        <v>16.579024000000004</v>
      </c>
      <c r="G348" s="42">
        <v>2.8</v>
      </c>
      <c r="H348" s="42">
        <f t="shared" si="96"/>
        <v>46.42126720000001</v>
      </c>
      <c r="I348" s="42">
        <v>0</v>
      </c>
      <c r="J348" s="42">
        <f t="shared" si="97"/>
        <v>0</v>
      </c>
      <c r="K348" s="38">
        <v>0</v>
      </c>
      <c r="L348" s="38">
        <f t="shared" si="98"/>
        <v>0</v>
      </c>
      <c r="M348" s="43">
        <f t="shared" si="99"/>
        <v>46.42126720000001</v>
      </c>
      <c r="O348" s="130"/>
    </row>
    <row r="349" spans="1:15" x14ac:dyDescent="0.25">
      <c r="A349" s="29"/>
      <c r="B349" s="124"/>
      <c r="C349" s="142" t="s">
        <v>295</v>
      </c>
      <c r="D349" s="67" t="s">
        <v>18</v>
      </c>
      <c r="E349" s="29">
        <v>1.38</v>
      </c>
      <c r="F349" s="164">
        <f>F342*E349</f>
        <v>7.4282640000000013</v>
      </c>
      <c r="G349" s="42">
        <v>3.2</v>
      </c>
      <c r="H349" s="42">
        <f t="shared" si="96"/>
        <v>23.770444800000007</v>
      </c>
      <c r="I349" s="42">
        <v>0</v>
      </c>
      <c r="J349" s="42">
        <f t="shared" si="97"/>
        <v>0</v>
      </c>
      <c r="K349" s="38">
        <v>0</v>
      </c>
      <c r="L349" s="38">
        <f t="shared" si="98"/>
        <v>0</v>
      </c>
      <c r="M349" s="43">
        <f t="shared" si="99"/>
        <v>23.770444800000007</v>
      </c>
      <c r="O349" s="130"/>
    </row>
    <row r="350" spans="1:15" s="36" customFormat="1" thickBot="1" x14ac:dyDescent="0.25">
      <c r="A350" s="148"/>
      <c r="B350" s="178"/>
      <c r="C350" s="185"/>
      <c r="D350" s="150"/>
      <c r="E350" s="186"/>
      <c r="F350" s="187"/>
      <c r="G350" s="188"/>
      <c r="H350" s="188"/>
      <c r="I350" s="188"/>
      <c r="J350" s="188"/>
      <c r="K350" s="189"/>
      <c r="L350" s="189"/>
      <c r="M350" s="190"/>
      <c r="O350" s="130"/>
    </row>
    <row r="351" spans="1:15" s="36" customFormat="1" ht="24" x14ac:dyDescent="0.2">
      <c r="A351" s="29">
        <v>3</v>
      </c>
      <c r="B351" s="131" t="s">
        <v>356</v>
      </c>
      <c r="C351" s="65" t="s">
        <v>235</v>
      </c>
      <c r="D351" s="79" t="s">
        <v>32</v>
      </c>
      <c r="E351" s="183"/>
      <c r="F351" s="86">
        <v>9</v>
      </c>
      <c r="G351" s="133">
        <f>H351/F351</f>
        <v>44.819661016949148</v>
      </c>
      <c r="H351" s="133">
        <f>SUM(H352:H358)</f>
        <v>403.37694915254235</v>
      </c>
      <c r="I351" s="133">
        <f>J351/F351</f>
        <v>125</v>
      </c>
      <c r="J351" s="133">
        <f>SUM(J352:J358)</f>
        <v>1125</v>
      </c>
      <c r="K351" s="133">
        <f>L351/F351</f>
        <v>5.5015999999999998</v>
      </c>
      <c r="L351" s="133">
        <f>SUM(L352:L358)</f>
        <v>49.514399999999995</v>
      </c>
      <c r="M351" s="133">
        <f>SUM(M352:M358)</f>
        <v>1577.8913491525423</v>
      </c>
      <c r="O351" s="130"/>
    </row>
    <row r="352" spans="1:15" s="19" customFormat="1" x14ac:dyDescent="0.25">
      <c r="A352" s="37"/>
      <c r="B352" s="134"/>
      <c r="C352" s="135" t="s">
        <v>266</v>
      </c>
      <c r="D352" s="134"/>
      <c r="E352" s="38"/>
      <c r="F352" s="39"/>
      <c r="G352" s="38"/>
      <c r="H352" s="38"/>
      <c r="I352" s="38"/>
      <c r="J352" s="38"/>
      <c r="K352" s="38"/>
      <c r="L352" s="161"/>
      <c r="M352" s="39"/>
      <c r="O352" s="130"/>
    </row>
    <row r="353" spans="1:15" s="44" customFormat="1" ht="14.25" x14ac:dyDescent="0.2">
      <c r="A353" s="140"/>
      <c r="B353" s="141" t="s">
        <v>277</v>
      </c>
      <c r="C353" s="142" t="s">
        <v>278</v>
      </c>
      <c r="D353" s="67" t="s">
        <v>32</v>
      </c>
      <c r="E353" s="164">
        <v>1</v>
      </c>
      <c r="F353" s="181">
        <f>F351*E353</f>
        <v>9</v>
      </c>
      <c r="G353" s="42">
        <v>0</v>
      </c>
      <c r="H353" s="42">
        <f t="shared" ref="H353:H358" si="100">F353*G353</f>
        <v>0</v>
      </c>
      <c r="I353" s="42">
        <f>100*1.25</f>
        <v>125</v>
      </c>
      <c r="J353" s="42">
        <f t="shared" ref="J353:J358" si="101">F353*I353</f>
        <v>1125</v>
      </c>
      <c r="K353" s="38">
        <v>0</v>
      </c>
      <c r="L353" s="38">
        <f t="shared" ref="L353:L358" si="102">F353*K353</f>
        <v>0</v>
      </c>
      <c r="M353" s="43">
        <f t="shared" ref="M353:M358" si="103">H353+J353+L353</f>
        <v>1125</v>
      </c>
      <c r="O353" s="130"/>
    </row>
    <row r="354" spans="1:15" s="146" customFormat="1" x14ac:dyDescent="0.2">
      <c r="A354" s="45"/>
      <c r="B354" s="85"/>
      <c r="C354" s="142" t="s">
        <v>302</v>
      </c>
      <c r="D354" s="67" t="s">
        <v>18</v>
      </c>
      <c r="E354" s="164">
        <f>1.3*1.15*1.15</f>
        <v>1.7192499999999997</v>
      </c>
      <c r="F354" s="164">
        <f>F351*E354</f>
        <v>15.473249999999997</v>
      </c>
      <c r="G354" s="42">
        <v>0</v>
      </c>
      <c r="H354" s="42">
        <f t="shared" si="100"/>
        <v>0</v>
      </c>
      <c r="I354" s="42">
        <v>0</v>
      </c>
      <c r="J354" s="42">
        <f t="shared" si="101"/>
        <v>0</v>
      </c>
      <c r="K354" s="38">
        <v>3.2</v>
      </c>
      <c r="L354" s="38">
        <f t="shared" si="102"/>
        <v>49.514399999999995</v>
      </c>
      <c r="M354" s="43">
        <f t="shared" si="103"/>
        <v>49.514399999999995</v>
      </c>
      <c r="O354" s="130"/>
    </row>
    <row r="355" spans="1:15" s="36" customFormat="1" ht="14.25" x14ac:dyDescent="0.2">
      <c r="A355" s="29"/>
      <c r="B355" s="29" t="s">
        <v>357</v>
      </c>
      <c r="C355" s="142" t="s">
        <v>358</v>
      </c>
      <c r="D355" s="67" t="s">
        <v>32</v>
      </c>
      <c r="E355" s="162">
        <v>0</v>
      </c>
      <c r="F355" s="184">
        <f>F351*E355</f>
        <v>0</v>
      </c>
      <c r="G355" s="42">
        <v>460</v>
      </c>
      <c r="H355" s="42">
        <f t="shared" si="100"/>
        <v>0</v>
      </c>
      <c r="I355" s="42">
        <v>0</v>
      </c>
      <c r="J355" s="42">
        <f t="shared" si="101"/>
        <v>0</v>
      </c>
      <c r="K355" s="38">
        <v>0</v>
      </c>
      <c r="L355" s="38">
        <f t="shared" si="102"/>
        <v>0</v>
      </c>
      <c r="M355" s="43">
        <f t="shared" si="103"/>
        <v>0</v>
      </c>
      <c r="O355" s="130"/>
    </row>
    <row r="356" spans="1:15" s="44" customFormat="1" ht="14.25" x14ac:dyDescent="0.2">
      <c r="A356" s="165"/>
      <c r="B356" s="29"/>
      <c r="C356" s="166" t="s">
        <v>292</v>
      </c>
      <c r="D356" s="167" t="s">
        <v>291</v>
      </c>
      <c r="E356" s="171">
        <v>7.5</v>
      </c>
      <c r="F356" s="179">
        <f>F351*E356</f>
        <v>67.5</v>
      </c>
      <c r="G356" s="42">
        <f>5/1.18</f>
        <v>4.2372881355932206</v>
      </c>
      <c r="H356" s="42">
        <f t="shared" si="100"/>
        <v>286.0169491525424</v>
      </c>
      <c r="I356" s="42">
        <v>0</v>
      </c>
      <c r="J356" s="42">
        <f t="shared" si="101"/>
        <v>0</v>
      </c>
      <c r="K356" s="38">
        <v>0</v>
      </c>
      <c r="L356" s="38">
        <f t="shared" si="102"/>
        <v>0</v>
      </c>
      <c r="M356" s="43">
        <f t="shared" si="103"/>
        <v>286.0169491525424</v>
      </c>
      <c r="O356" s="130"/>
    </row>
    <row r="357" spans="1:15" s="44" customFormat="1" ht="14.25" x14ac:dyDescent="0.2">
      <c r="A357" s="165"/>
      <c r="B357" s="29" t="s">
        <v>359</v>
      </c>
      <c r="C357" s="166" t="s">
        <v>360</v>
      </c>
      <c r="D357" s="167" t="s">
        <v>291</v>
      </c>
      <c r="E357" s="171">
        <v>3.08</v>
      </c>
      <c r="F357" s="179">
        <f>E357*F351</f>
        <v>27.72</v>
      </c>
      <c r="G357" s="42">
        <v>2.8</v>
      </c>
      <c r="H357" s="42">
        <f t="shared" si="100"/>
        <v>77.615999999999985</v>
      </c>
      <c r="I357" s="42">
        <v>0</v>
      </c>
      <c r="J357" s="42">
        <f t="shared" si="101"/>
        <v>0</v>
      </c>
      <c r="K357" s="38">
        <v>0</v>
      </c>
      <c r="L357" s="38">
        <f t="shared" si="102"/>
        <v>0</v>
      </c>
      <c r="M357" s="43">
        <f t="shared" si="103"/>
        <v>77.615999999999985</v>
      </c>
      <c r="O357" s="130"/>
    </row>
    <row r="358" spans="1:15" x14ac:dyDescent="0.25">
      <c r="A358" s="29"/>
      <c r="B358" s="124"/>
      <c r="C358" s="142" t="s">
        <v>295</v>
      </c>
      <c r="D358" s="67" t="s">
        <v>18</v>
      </c>
      <c r="E358" s="29">
        <v>1.38</v>
      </c>
      <c r="F358" s="164">
        <f>F351*E358</f>
        <v>12.419999999999998</v>
      </c>
      <c r="G358" s="42">
        <v>3.2</v>
      </c>
      <c r="H358" s="42">
        <f t="shared" si="100"/>
        <v>39.744</v>
      </c>
      <c r="I358" s="42">
        <v>0</v>
      </c>
      <c r="J358" s="42">
        <f t="shared" si="101"/>
        <v>0</v>
      </c>
      <c r="K358" s="38">
        <v>0</v>
      </c>
      <c r="L358" s="38">
        <f t="shared" si="102"/>
        <v>0</v>
      </c>
      <c r="M358" s="43">
        <f t="shared" si="103"/>
        <v>39.744</v>
      </c>
      <c r="O358" s="130"/>
    </row>
    <row r="359" spans="1:15" s="36" customFormat="1" thickBot="1" x14ac:dyDescent="0.25">
      <c r="A359" s="148"/>
      <c r="B359" s="178"/>
      <c r="C359" s="185"/>
      <c r="D359" s="150"/>
      <c r="E359" s="186"/>
      <c r="F359" s="187"/>
      <c r="G359" s="188"/>
      <c r="H359" s="188"/>
      <c r="I359" s="188"/>
      <c r="J359" s="188"/>
      <c r="K359" s="189"/>
      <c r="L359" s="189"/>
      <c r="M359" s="190"/>
      <c r="O359" s="130"/>
    </row>
    <row r="360" spans="1:15" s="36" customFormat="1" ht="24" x14ac:dyDescent="0.2">
      <c r="A360" s="29">
        <v>4</v>
      </c>
      <c r="B360" s="131" t="s">
        <v>361</v>
      </c>
      <c r="C360" s="65" t="s">
        <v>239</v>
      </c>
      <c r="D360" s="79" t="s">
        <v>17</v>
      </c>
      <c r="E360" s="183"/>
      <c r="F360" s="31">
        <f>450+34</f>
        <v>484</v>
      </c>
      <c r="G360" s="133">
        <f>H360/F360</f>
        <v>0.93200000000000005</v>
      </c>
      <c r="H360" s="133">
        <f>SUM(H361:H366)</f>
        <v>451.08800000000002</v>
      </c>
      <c r="I360" s="133">
        <f>J360/F360</f>
        <v>5</v>
      </c>
      <c r="J360" s="133">
        <f>SUM(J361:J366)</f>
        <v>2420</v>
      </c>
      <c r="K360" s="133">
        <f>L360/F360</f>
        <v>0.16166239999999998</v>
      </c>
      <c r="L360" s="133">
        <f>SUM(L361:L366)</f>
        <v>78.244601599999996</v>
      </c>
      <c r="M360" s="133">
        <f>SUM(M361:M366)</f>
        <v>2949.3326016000001</v>
      </c>
      <c r="O360" s="130"/>
    </row>
    <row r="361" spans="1:15" s="19" customFormat="1" x14ac:dyDescent="0.25">
      <c r="A361" s="37"/>
      <c r="B361" s="134"/>
      <c r="C361" s="135" t="s">
        <v>266</v>
      </c>
      <c r="D361" s="134"/>
      <c r="E361" s="38"/>
      <c r="F361" s="39"/>
      <c r="G361" s="38"/>
      <c r="H361" s="38"/>
      <c r="I361" s="38"/>
      <c r="J361" s="38"/>
      <c r="K361" s="38"/>
      <c r="L361" s="161"/>
      <c r="M361" s="39"/>
      <c r="O361" s="130"/>
    </row>
    <row r="362" spans="1:15" s="44" customFormat="1" ht="14.25" x14ac:dyDescent="0.2">
      <c r="A362" s="140"/>
      <c r="B362" s="141" t="s">
        <v>277</v>
      </c>
      <c r="C362" s="142" t="s">
        <v>278</v>
      </c>
      <c r="D362" s="67" t="s">
        <v>17</v>
      </c>
      <c r="E362" s="164">
        <v>1</v>
      </c>
      <c r="F362" s="181">
        <f>F360*E362</f>
        <v>484</v>
      </c>
      <c r="G362" s="42">
        <v>0</v>
      </c>
      <c r="H362" s="42">
        <f>F362*G362</f>
        <v>0</v>
      </c>
      <c r="I362" s="42">
        <f>4*1.25</f>
        <v>5</v>
      </c>
      <c r="J362" s="42">
        <f>F362*I362</f>
        <v>2420</v>
      </c>
      <c r="K362" s="38">
        <v>0</v>
      </c>
      <c r="L362" s="38">
        <f>F362*K362</f>
        <v>0</v>
      </c>
      <c r="M362" s="43">
        <f>H362+J362+L362</f>
        <v>2420</v>
      </c>
      <c r="O362" s="130"/>
    </row>
    <row r="363" spans="1:15" s="146" customFormat="1" x14ac:dyDescent="0.2">
      <c r="A363" s="45"/>
      <c r="B363" s="85"/>
      <c r="C363" s="142" t="s">
        <v>302</v>
      </c>
      <c r="D363" s="67" t="s">
        <v>18</v>
      </c>
      <c r="E363" s="164">
        <f>3.82*1.15*1.15/100</f>
        <v>5.0519499999999995E-2</v>
      </c>
      <c r="F363" s="164">
        <f>F360*E363</f>
        <v>24.451437999999996</v>
      </c>
      <c r="G363" s="42">
        <v>0</v>
      </c>
      <c r="H363" s="42">
        <f>F363*G363</f>
        <v>0</v>
      </c>
      <c r="I363" s="42">
        <v>0</v>
      </c>
      <c r="J363" s="42">
        <f>F363*I363</f>
        <v>0</v>
      </c>
      <c r="K363" s="38">
        <v>3.2</v>
      </c>
      <c r="L363" s="38">
        <f>F363*K363</f>
        <v>78.244601599999996</v>
      </c>
      <c r="M363" s="43">
        <f>H363+J363+L363</f>
        <v>78.244601599999996</v>
      </c>
      <c r="O363" s="130"/>
    </row>
    <row r="364" spans="1:15" s="36" customFormat="1" ht="14.25" x14ac:dyDescent="0.2">
      <c r="A364" s="29"/>
      <c r="B364" s="29" t="s">
        <v>362</v>
      </c>
      <c r="C364" s="142" t="s">
        <v>363</v>
      </c>
      <c r="D364" s="67" t="s">
        <v>32</v>
      </c>
      <c r="E364" s="164">
        <v>0</v>
      </c>
      <c r="F364" s="184">
        <f>F360*E364</f>
        <v>0</v>
      </c>
      <c r="G364" s="42">
        <v>413</v>
      </c>
      <c r="H364" s="42">
        <f>F364*G364</f>
        <v>0</v>
      </c>
      <c r="I364" s="42">
        <v>0</v>
      </c>
      <c r="J364" s="42">
        <f>F364*I364</f>
        <v>0</v>
      </c>
      <c r="K364" s="38">
        <v>0</v>
      </c>
      <c r="L364" s="38">
        <f>F364*K364</f>
        <v>0</v>
      </c>
      <c r="M364" s="43">
        <f>H364+J364+L364</f>
        <v>0</v>
      </c>
      <c r="O364" s="130"/>
    </row>
    <row r="365" spans="1:15" s="36" customFormat="1" ht="14.25" x14ac:dyDescent="0.2">
      <c r="A365" s="29"/>
      <c r="B365" s="29" t="s">
        <v>364</v>
      </c>
      <c r="C365" s="142" t="s">
        <v>365</v>
      </c>
      <c r="D365" s="67" t="s">
        <v>291</v>
      </c>
      <c r="E365" s="164">
        <f>23.3/100</f>
        <v>0.23300000000000001</v>
      </c>
      <c r="F365" s="184">
        <f>F360*E365</f>
        <v>112.77200000000001</v>
      </c>
      <c r="G365" s="42">
        <v>4</v>
      </c>
      <c r="H365" s="42">
        <f>F365*G365</f>
        <v>451.08800000000002</v>
      </c>
      <c r="I365" s="42">
        <v>0</v>
      </c>
      <c r="J365" s="42">
        <f>F365*I365</f>
        <v>0</v>
      </c>
      <c r="K365" s="38">
        <v>0</v>
      </c>
      <c r="L365" s="38">
        <f>F365*K365</f>
        <v>0</v>
      </c>
      <c r="M365" s="43">
        <f>H365+J365+L365</f>
        <v>451.08800000000002</v>
      </c>
      <c r="O365" s="130"/>
    </row>
    <row r="366" spans="1:15" x14ac:dyDescent="0.25">
      <c r="A366" s="29"/>
      <c r="B366" s="124"/>
      <c r="C366" s="142" t="s">
        <v>295</v>
      </c>
      <c r="D366" s="67" t="s">
        <v>18</v>
      </c>
      <c r="E366" s="29">
        <v>0</v>
      </c>
      <c r="F366" s="164">
        <f>F360*E366</f>
        <v>0</v>
      </c>
      <c r="G366" s="42">
        <v>3.2</v>
      </c>
      <c r="H366" s="42">
        <f>F366*G366</f>
        <v>0</v>
      </c>
      <c r="I366" s="42">
        <v>0</v>
      </c>
      <c r="J366" s="42">
        <f>F366*I366</f>
        <v>0</v>
      </c>
      <c r="K366" s="38">
        <v>0</v>
      </c>
      <c r="L366" s="38">
        <f>F366*K366</f>
        <v>0</v>
      </c>
      <c r="M366" s="43">
        <f>H366+J366+L366</f>
        <v>0</v>
      </c>
      <c r="O366" s="130"/>
    </row>
    <row r="367" spans="1:15" s="36" customFormat="1" thickBot="1" x14ac:dyDescent="0.25">
      <c r="A367" s="148"/>
      <c r="B367" s="178"/>
      <c r="C367" s="185"/>
      <c r="D367" s="150"/>
      <c r="E367" s="186"/>
      <c r="F367" s="187"/>
      <c r="G367" s="188"/>
      <c r="H367" s="188"/>
      <c r="I367" s="188"/>
      <c r="J367" s="188"/>
      <c r="K367" s="189"/>
      <c r="L367" s="189"/>
      <c r="M367" s="190"/>
      <c r="O367" s="130"/>
    </row>
    <row r="368" spans="1:15" s="36" customFormat="1" ht="24" x14ac:dyDescent="0.2">
      <c r="A368" s="29">
        <v>5</v>
      </c>
      <c r="B368" s="131" t="s">
        <v>366</v>
      </c>
      <c r="C368" s="65" t="s">
        <v>201</v>
      </c>
      <c r="D368" s="79" t="s">
        <v>17</v>
      </c>
      <c r="E368" s="183"/>
      <c r="F368" s="31">
        <f>450</f>
        <v>450</v>
      </c>
      <c r="G368" s="133">
        <f>H368/F368</f>
        <v>0.25735999999999998</v>
      </c>
      <c r="H368" s="133">
        <f>SUM(H369:H374)</f>
        <v>115.812</v>
      </c>
      <c r="I368" s="133">
        <f>J368/F368</f>
        <v>2.5</v>
      </c>
      <c r="J368" s="133">
        <f>SUM(J369:J374)</f>
        <v>1125</v>
      </c>
      <c r="K368" s="133">
        <f>L368/F368</f>
        <v>9.4796799999999987E-2</v>
      </c>
      <c r="L368" s="133">
        <f>SUM(L369:L374)</f>
        <v>42.658559999999994</v>
      </c>
      <c r="M368" s="133">
        <f>SUM(M369:M374)</f>
        <v>1283.4705600000002</v>
      </c>
      <c r="O368" s="130"/>
    </row>
    <row r="369" spans="1:15" s="19" customFormat="1" x14ac:dyDescent="0.25">
      <c r="A369" s="37"/>
      <c r="B369" s="134"/>
      <c r="C369" s="135" t="s">
        <v>266</v>
      </c>
      <c r="D369" s="134"/>
      <c r="E369" s="38"/>
      <c r="F369" s="39"/>
      <c r="G369" s="38"/>
      <c r="H369" s="38"/>
      <c r="I369" s="38"/>
      <c r="J369" s="38"/>
      <c r="K369" s="38"/>
      <c r="L369" s="161"/>
      <c r="M369" s="39"/>
      <c r="O369" s="130"/>
    </row>
    <row r="370" spans="1:15" s="44" customFormat="1" ht="14.25" x14ac:dyDescent="0.2">
      <c r="A370" s="140"/>
      <c r="B370" s="141" t="s">
        <v>277</v>
      </c>
      <c r="C370" s="142" t="s">
        <v>278</v>
      </c>
      <c r="D370" s="67" t="s">
        <v>17</v>
      </c>
      <c r="E370" s="164">
        <v>1</v>
      </c>
      <c r="F370" s="181">
        <f>F368*E370</f>
        <v>450</v>
      </c>
      <c r="G370" s="42">
        <v>0</v>
      </c>
      <c r="H370" s="42">
        <f>F370*G370</f>
        <v>0</v>
      </c>
      <c r="I370" s="42">
        <f>2*1.25</f>
        <v>2.5</v>
      </c>
      <c r="J370" s="42">
        <f>F370*I370</f>
        <v>1125</v>
      </c>
      <c r="K370" s="38">
        <v>0</v>
      </c>
      <c r="L370" s="38">
        <f>F370*K370</f>
        <v>0</v>
      </c>
      <c r="M370" s="43">
        <f>H370+J370+L370</f>
        <v>1125</v>
      </c>
      <c r="O370" s="130"/>
    </row>
    <row r="371" spans="1:15" s="146" customFormat="1" x14ac:dyDescent="0.2">
      <c r="A371" s="45"/>
      <c r="B371" s="85"/>
      <c r="C371" s="142" t="s">
        <v>302</v>
      </c>
      <c r="D371" s="67" t="s">
        <v>18</v>
      </c>
      <c r="E371" s="164">
        <f>2.24*1.15*1.15/100</f>
        <v>2.9623999999999998E-2</v>
      </c>
      <c r="F371" s="164">
        <f>F368*E371</f>
        <v>13.330799999999998</v>
      </c>
      <c r="G371" s="42">
        <v>0</v>
      </c>
      <c r="H371" s="42">
        <f>F371*G371</f>
        <v>0</v>
      </c>
      <c r="I371" s="42">
        <v>0</v>
      </c>
      <c r="J371" s="42">
        <f>F371*I371</f>
        <v>0</v>
      </c>
      <c r="K371" s="38">
        <v>3.2</v>
      </c>
      <c r="L371" s="38">
        <f>F371*K371</f>
        <v>42.658559999999994</v>
      </c>
      <c r="M371" s="43">
        <f>H371+J371+L371</f>
        <v>42.658559999999994</v>
      </c>
      <c r="O371" s="130"/>
    </row>
    <row r="372" spans="1:15" s="36" customFormat="1" ht="14.25" x14ac:dyDescent="0.2">
      <c r="A372" s="29"/>
      <c r="B372" s="29" t="s">
        <v>367</v>
      </c>
      <c r="C372" s="142" t="s">
        <v>368</v>
      </c>
      <c r="D372" s="67" t="s">
        <v>17</v>
      </c>
      <c r="E372" s="162">
        <f>107-107</f>
        <v>0</v>
      </c>
      <c r="F372" s="184">
        <f>F368*E372</f>
        <v>0</v>
      </c>
      <c r="G372" s="42">
        <v>10.19</v>
      </c>
      <c r="H372" s="42">
        <f>F372*G372</f>
        <v>0</v>
      </c>
      <c r="I372" s="42">
        <v>0</v>
      </c>
      <c r="J372" s="42">
        <f>F372*I372</f>
        <v>0</v>
      </c>
      <c r="K372" s="38">
        <v>0</v>
      </c>
      <c r="L372" s="38">
        <f>F372*K372</f>
        <v>0</v>
      </c>
      <c r="M372" s="43">
        <f>H372+J372+L372</f>
        <v>0</v>
      </c>
      <c r="O372" s="130"/>
    </row>
    <row r="373" spans="1:15" s="36" customFormat="1" ht="14.25" x14ac:dyDescent="0.2">
      <c r="A373" s="29"/>
      <c r="B373" s="29" t="s">
        <v>364</v>
      </c>
      <c r="C373" s="142" t="s">
        <v>365</v>
      </c>
      <c r="D373" s="67" t="s">
        <v>291</v>
      </c>
      <c r="E373" s="164">
        <f>5.33/100</f>
        <v>5.33E-2</v>
      </c>
      <c r="F373" s="184">
        <f>F368*E373</f>
        <v>23.984999999999999</v>
      </c>
      <c r="G373" s="42">
        <v>4</v>
      </c>
      <c r="H373" s="42">
        <f>F373*G373</f>
        <v>95.94</v>
      </c>
      <c r="I373" s="42">
        <v>0</v>
      </c>
      <c r="J373" s="42">
        <f>F373*I373</f>
        <v>0</v>
      </c>
      <c r="K373" s="38">
        <v>0</v>
      </c>
      <c r="L373" s="38">
        <f>F373*K373</f>
        <v>0</v>
      </c>
      <c r="M373" s="43">
        <f>H373+J373+L373</f>
        <v>95.94</v>
      </c>
      <c r="O373" s="130"/>
    </row>
    <row r="374" spans="1:15" x14ac:dyDescent="0.25">
      <c r="A374" s="29"/>
      <c r="B374" s="124"/>
      <c r="C374" s="142" t="s">
        <v>295</v>
      </c>
      <c r="D374" s="67" t="s">
        <v>18</v>
      </c>
      <c r="E374" s="29">
        <f>1.38/100</f>
        <v>1.38E-2</v>
      </c>
      <c r="F374" s="164">
        <f>F368*E374</f>
        <v>6.21</v>
      </c>
      <c r="G374" s="42">
        <v>3.2</v>
      </c>
      <c r="H374" s="42">
        <f>F374*G374</f>
        <v>19.872</v>
      </c>
      <c r="I374" s="42">
        <v>0</v>
      </c>
      <c r="J374" s="42">
        <f>F374*I374</f>
        <v>0</v>
      </c>
      <c r="K374" s="38">
        <v>0</v>
      </c>
      <c r="L374" s="38">
        <f>F374*K374</f>
        <v>0</v>
      </c>
      <c r="M374" s="43">
        <f>H374+J374+L374</f>
        <v>19.872</v>
      </c>
      <c r="O374" s="130"/>
    </row>
    <row r="375" spans="1:15" s="36" customFormat="1" thickBot="1" x14ac:dyDescent="0.25">
      <c r="A375" s="148"/>
      <c r="B375" s="178"/>
      <c r="C375" s="185"/>
      <c r="D375" s="150"/>
      <c r="E375" s="186"/>
      <c r="F375" s="187"/>
      <c r="G375" s="188"/>
      <c r="H375" s="188"/>
      <c r="I375" s="188"/>
      <c r="J375" s="188"/>
      <c r="K375" s="189"/>
      <c r="L375" s="189"/>
      <c r="M375" s="190"/>
      <c r="O375" s="130"/>
    </row>
    <row r="376" spans="1:15" s="36" customFormat="1" ht="24" x14ac:dyDescent="0.2">
      <c r="A376" s="29">
        <v>6</v>
      </c>
      <c r="B376" s="131" t="s">
        <v>270</v>
      </c>
      <c r="C376" s="65" t="s">
        <v>243</v>
      </c>
      <c r="D376" s="79" t="s">
        <v>17</v>
      </c>
      <c r="E376" s="183"/>
      <c r="F376" s="31">
        <v>450</v>
      </c>
      <c r="G376" s="133">
        <f>H376/F376</f>
        <v>5.5204733333333325</v>
      </c>
      <c r="H376" s="133">
        <f>SUM(H377:H382)</f>
        <v>2484.2129999999997</v>
      </c>
      <c r="I376" s="133">
        <f>J376/F376</f>
        <v>5</v>
      </c>
      <c r="J376" s="133">
        <f>SUM(J377:J382)</f>
        <v>2250</v>
      </c>
      <c r="K376" s="133">
        <f>L376/F376</f>
        <v>3.1739999999999997E-2</v>
      </c>
      <c r="L376" s="133">
        <f>SUM(L377:L382)</f>
        <v>14.282999999999999</v>
      </c>
      <c r="M376" s="133">
        <f>SUM(M377:M382)</f>
        <v>4748.4959999999992</v>
      </c>
      <c r="O376" s="130"/>
    </row>
    <row r="377" spans="1:15" s="19" customFormat="1" x14ac:dyDescent="0.25">
      <c r="A377" s="37"/>
      <c r="B377" s="134"/>
      <c r="C377" s="135" t="s">
        <v>266</v>
      </c>
      <c r="D377" s="134"/>
      <c r="E377" s="38"/>
      <c r="F377" s="39"/>
      <c r="G377" s="38"/>
      <c r="H377" s="38"/>
      <c r="I377" s="38"/>
      <c r="J377" s="38"/>
      <c r="K377" s="38"/>
      <c r="L377" s="161"/>
      <c r="M377" s="39"/>
      <c r="O377" s="130"/>
    </row>
    <row r="378" spans="1:15" s="44" customFormat="1" ht="14.25" x14ac:dyDescent="0.2">
      <c r="A378" s="140"/>
      <c r="B378" s="141" t="s">
        <v>277</v>
      </c>
      <c r="C378" s="142" t="s">
        <v>278</v>
      </c>
      <c r="D378" s="67" t="s">
        <v>17</v>
      </c>
      <c r="E378" s="164">
        <v>1</v>
      </c>
      <c r="F378" s="181">
        <f>F376*E378</f>
        <v>450</v>
      </c>
      <c r="G378" s="42">
        <v>0</v>
      </c>
      <c r="H378" s="42">
        <f>F378*G378</f>
        <v>0</v>
      </c>
      <c r="I378" s="42">
        <f>4*1.25</f>
        <v>5</v>
      </c>
      <c r="J378" s="42">
        <f>F378*I378</f>
        <v>2250</v>
      </c>
      <c r="K378" s="38">
        <v>0</v>
      </c>
      <c r="L378" s="38">
        <f>F378*K378</f>
        <v>0</v>
      </c>
      <c r="M378" s="43">
        <f>H378+J378+L378</f>
        <v>2250</v>
      </c>
      <c r="O378" s="130"/>
    </row>
    <row r="379" spans="1:15" s="146" customFormat="1" x14ac:dyDescent="0.2">
      <c r="A379" s="45"/>
      <c r="B379" s="85"/>
      <c r="C379" s="142" t="s">
        <v>302</v>
      </c>
      <c r="D379" s="67" t="s">
        <v>18</v>
      </c>
      <c r="E379" s="164">
        <f>0.75*1.15*1.15/100</f>
        <v>9.9187499999999987E-3</v>
      </c>
      <c r="F379" s="164">
        <f>F376*E379</f>
        <v>4.4634374999999995</v>
      </c>
      <c r="G379" s="42">
        <v>0</v>
      </c>
      <c r="H379" s="42">
        <f>F379*G379</f>
        <v>0</v>
      </c>
      <c r="I379" s="42">
        <v>0</v>
      </c>
      <c r="J379" s="42">
        <f>F379*I379</f>
        <v>0</v>
      </c>
      <c r="K379" s="38">
        <v>3.2</v>
      </c>
      <c r="L379" s="38">
        <f>F379*K379</f>
        <v>14.282999999999999</v>
      </c>
      <c r="M379" s="43">
        <f>H379+J379+L379</f>
        <v>14.282999999999999</v>
      </c>
      <c r="O379" s="130"/>
    </row>
    <row r="380" spans="1:15" s="36" customFormat="1" ht="14.25" x14ac:dyDescent="0.2">
      <c r="A380" s="29"/>
      <c r="B380" s="29" t="s">
        <v>369</v>
      </c>
      <c r="C380" s="142" t="s">
        <v>370</v>
      </c>
      <c r="D380" s="67" t="s">
        <v>17</v>
      </c>
      <c r="E380" s="164">
        <f>105*0.2/100</f>
        <v>0.21</v>
      </c>
      <c r="F380" s="184">
        <f>F376*E380</f>
        <v>94.5</v>
      </c>
      <c r="G380" s="42">
        <v>23</v>
      </c>
      <c r="H380" s="42">
        <f>F380*G380</f>
        <v>2173.5</v>
      </c>
      <c r="I380" s="42">
        <v>0</v>
      </c>
      <c r="J380" s="42">
        <f>F380*I380</f>
        <v>0</v>
      </c>
      <c r="K380" s="38">
        <v>0</v>
      </c>
      <c r="L380" s="38">
        <f>F380*K380</f>
        <v>0</v>
      </c>
      <c r="M380" s="43">
        <f>H380+J380+L380</f>
        <v>2173.5</v>
      </c>
      <c r="O380" s="130"/>
    </row>
    <row r="381" spans="1:15" s="44" customFormat="1" ht="14.25" x14ac:dyDescent="0.2">
      <c r="A381" s="165"/>
      <c r="B381" s="29" t="s">
        <v>371</v>
      </c>
      <c r="C381" s="166" t="s">
        <v>372</v>
      </c>
      <c r="D381" s="167" t="s">
        <v>29</v>
      </c>
      <c r="E381" s="192">
        <f>1.05*0.2</f>
        <v>0.21000000000000002</v>
      </c>
      <c r="F381" s="179">
        <f>E381*98.12</f>
        <v>20.605200000000004</v>
      </c>
      <c r="G381" s="42">
        <v>2.5</v>
      </c>
      <c r="H381" s="42">
        <f>F381*G381</f>
        <v>51.513000000000005</v>
      </c>
      <c r="I381" s="42">
        <v>0</v>
      </c>
      <c r="J381" s="42">
        <f>F381*I381</f>
        <v>0</v>
      </c>
      <c r="K381" s="38">
        <v>0</v>
      </c>
      <c r="L381" s="38">
        <f>F381*K381</f>
        <v>0</v>
      </c>
      <c r="M381" s="43">
        <f>H381+J381+L381</f>
        <v>51.513000000000005</v>
      </c>
      <c r="O381" s="130"/>
    </row>
    <row r="382" spans="1:15" x14ac:dyDescent="0.25">
      <c r="A382" s="29"/>
      <c r="B382" s="124"/>
      <c r="C382" s="142" t="s">
        <v>295</v>
      </c>
      <c r="D382" s="67" t="s">
        <v>18</v>
      </c>
      <c r="E382" s="29">
        <f>18/100</f>
        <v>0.18</v>
      </c>
      <c r="F382" s="164">
        <f>F376*E382</f>
        <v>81</v>
      </c>
      <c r="G382" s="42">
        <v>3.2</v>
      </c>
      <c r="H382" s="42">
        <f>F382*G382</f>
        <v>259.2</v>
      </c>
      <c r="I382" s="42">
        <v>0</v>
      </c>
      <c r="J382" s="42">
        <f>F382*I382</f>
        <v>0</v>
      </c>
      <c r="K382" s="38">
        <v>0</v>
      </c>
      <c r="L382" s="38">
        <f>F382*K382</f>
        <v>0</v>
      </c>
      <c r="M382" s="43">
        <f>H382+J382+L382</f>
        <v>259.2</v>
      </c>
      <c r="O382" s="130"/>
    </row>
    <row r="383" spans="1:15" s="36" customFormat="1" thickBot="1" x14ac:dyDescent="0.25">
      <c r="A383" s="148"/>
      <c r="B383" s="178"/>
      <c r="C383" s="185"/>
      <c r="D383" s="150"/>
      <c r="E383" s="186"/>
      <c r="F383" s="187"/>
      <c r="G383" s="188"/>
      <c r="H383" s="188"/>
      <c r="I383" s="188"/>
      <c r="J383" s="188"/>
      <c r="K383" s="189"/>
      <c r="L383" s="189"/>
      <c r="M383" s="190"/>
      <c r="O383" s="130"/>
    </row>
    <row r="384" spans="1:15" s="36" customFormat="1" ht="14.25" x14ac:dyDescent="0.2">
      <c r="A384" s="29">
        <v>7</v>
      </c>
      <c r="B384" s="126" t="s">
        <v>277</v>
      </c>
      <c r="C384" s="65" t="s">
        <v>202</v>
      </c>
      <c r="D384" s="79" t="s">
        <v>17</v>
      </c>
      <c r="E384" s="183"/>
      <c r="F384" s="31">
        <v>33.130000000000003</v>
      </c>
      <c r="G384" s="133">
        <f>H384/F384</f>
        <v>13.86</v>
      </c>
      <c r="H384" s="133">
        <f>SUM(H385:H387)</f>
        <v>459.18180000000001</v>
      </c>
      <c r="I384" s="133">
        <f>J384/F384</f>
        <v>7.5</v>
      </c>
      <c r="J384" s="133">
        <f>SUM(J385:J387)</f>
        <v>248.47500000000002</v>
      </c>
      <c r="K384" s="133">
        <f>L384/F384</f>
        <v>3.3600000000000003</v>
      </c>
      <c r="L384" s="133">
        <f>SUM(L385:L387)</f>
        <v>111.31680000000001</v>
      </c>
      <c r="M384" s="133">
        <f>SUM(M385:M387)</f>
        <v>818.97360000000003</v>
      </c>
      <c r="O384" s="130"/>
    </row>
    <row r="385" spans="1:15" s="19" customFormat="1" x14ac:dyDescent="0.25">
      <c r="A385" s="37"/>
      <c r="B385" s="134"/>
      <c r="C385" s="135" t="s">
        <v>266</v>
      </c>
      <c r="D385" s="134"/>
      <c r="E385" s="38"/>
      <c r="F385" s="39"/>
      <c r="G385" s="38"/>
      <c r="H385" s="38"/>
      <c r="I385" s="38"/>
      <c r="J385" s="38"/>
      <c r="K385" s="38"/>
      <c r="L385" s="161"/>
      <c r="M385" s="39"/>
      <c r="O385" s="130"/>
    </row>
    <row r="386" spans="1:15" s="44" customFormat="1" ht="14.25" x14ac:dyDescent="0.2">
      <c r="A386" s="140"/>
      <c r="B386" s="141" t="s">
        <v>277</v>
      </c>
      <c r="C386" s="142" t="s">
        <v>278</v>
      </c>
      <c r="D386" s="67" t="s">
        <v>17</v>
      </c>
      <c r="E386" s="164">
        <v>1</v>
      </c>
      <c r="F386" s="181">
        <f>F384*E386</f>
        <v>33.130000000000003</v>
      </c>
      <c r="G386" s="42">
        <v>0</v>
      </c>
      <c r="H386" s="42">
        <f>F386*G386</f>
        <v>0</v>
      </c>
      <c r="I386" s="42">
        <f>6*1.25</f>
        <v>7.5</v>
      </c>
      <c r="J386" s="42">
        <f>F386*I386</f>
        <v>248.47500000000002</v>
      </c>
      <c r="K386" s="38">
        <v>0</v>
      </c>
      <c r="L386" s="38">
        <f>F386*K386</f>
        <v>0</v>
      </c>
      <c r="M386" s="43">
        <f>H386+J386+L386</f>
        <v>248.47500000000002</v>
      </c>
      <c r="O386" s="130"/>
    </row>
    <row r="387" spans="1:15" s="146" customFormat="1" ht="25.5" x14ac:dyDescent="0.2">
      <c r="A387" s="45"/>
      <c r="B387" s="29" t="s">
        <v>373</v>
      </c>
      <c r="C387" s="142" t="s">
        <v>374</v>
      </c>
      <c r="D387" s="67" t="s">
        <v>17</v>
      </c>
      <c r="E387" s="164">
        <v>1.05</v>
      </c>
      <c r="F387" s="164">
        <f>F384*E387</f>
        <v>34.786500000000004</v>
      </c>
      <c r="G387" s="42">
        <v>13.2</v>
      </c>
      <c r="H387" s="42">
        <f>F387*G387</f>
        <v>459.18180000000001</v>
      </c>
      <c r="I387" s="42">
        <v>0</v>
      </c>
      <c r="J387" s="42">
        <f>F387*I387</f>
        <v>0</v>
      </c>
      <c r="K387" s="38">
        <v>3.2</v>
      </c>
      <c r="L387" s="38">
        <f>F387*K387</f>
        <v>111.31680000000001</v>
      </c>
      <c r="M387" s="43">
        <f>H387+J387+L387</f>
        <v>570.49860000000001</v>
      </c>
      <c r="O387" s="130"/>
    </row>
    <row r="388" spans="1:15" s="36" customFormat="1" thickBot="1" x14ac:dyDescent="0.25">
      <c r="A388" s="148"/>
      <c r="B388" s="178"/>
      <c r="C388" s="185"/>
      <c r="D388" s="150"/>
      <c r="E388" s="186"/>
      <c r="F388" s="187"/>
      <c r="G388" s="188"/>
      <c r="H388" s="188"/>
      <c r="I388" s="188"/>
      <c r="J388" s="188"/>
      <c r="K388" s="189"/>
      <c r="L388" s="189"/>
      <c r="M388" s="190"/>
      <c r="O388" s="130"/>
    </row>
    <row r="389" spans="1:15" s="36" customFormat="1" ht="24" x14ac:dyDescent="0.2">
      <c r="A389" s="29">
        <v>8</v>
      </c>
      <c r="B389" s="131" t="s">
        <v>353</v>
      </c>
      <c r="C389" s="65" t="s">
        <v>242</v>
      </c>
      <c r="D389" s="79" t="s">
        <v>17</v>
      </c>
      <c r="E389" s="183"/>
      <c r="F389" s="31">
        <f>33.53</f>
        <v>33.53</v>
      </c>
      <c r="G389" s="133">
        <f>H389/F389</f>
        <v>6.0379199999999997</v>
      </c>
      <c r="H389" s="133">
        <f>SUM(H390:H394)</f>
        <v>202.4514576</v>
      </c>
      <c r="I389" s="133">
        <f>J389/F389</f>
        <v>3.75</v>
      </c>
      <c r="J389" s="133">
        <f>SUM(J390:J394)</f>
        <v>125.73750000000001</v>
      </c>
      <c r="K389" s="133">
        <f>L389/F389</f>
        <v>0.12780639999999999</v>
      </c>
      <c r="L389" s="133">
        <f>SUM(L390:L394)</f>
        <v>4.2853485920000001</v>
      </c>
      <c r="M389" s="133">
        <f>SUM(M390:M394)</f>
        <v>332.47430619200003</v>
      </c>
      <c r="O389" s="130"/>
    </row>
    <row r="390" spans="1:15" s="19" customFormat="1" x14ac:dyDescent="0.25">
      <c r="A390" s="37"/>
      <c r="B390" s="134"/>
      <c r="C390" s="135" t="s">
        <v>266</v>
      </c>
      <c r="D390" s="134"/>
      <c r="E390" s="38"/>
      <c r="F390" s="39"/>
      <c r="G390" s="38"/>
      <c r="H390" s="38"/>
      <c r="I390" s="38"/>
      <c r="J390" s="38"/>
      <c r="K390" s="38"/>
      <c r="L390" s="161"/>
      <c r="M390" s="39"/>
      <c r="O390" s="130"/>
    </row>
    <row r="391" spans="1:15" s="44" customFormat="1" ht="14.25" x14ac:dyDescent="0.2">
      <c r="A391" s="140"/>
      <c r="B391" s="141" t="s">
        <v>277</v>
      </c>
      <c r="C391" s="142" t="s">
        <v>278</v>
      </c>
      <c r="D391" s="67" t="s">
        <v>17</v>
      </c>
      <c r="E391" s="164">
        <v>1</v>
      </c>
      <c r="F391" s="181">
        <f>F389*E391</f>
        <v>33.53</v>
      </c>
      <c r="G391" s="42">
        <v>0</v>
      </c>
      <c r="H391" s="42">
        <f>F391*G391</f>
        <v>0</v>
      </c>
      <c r="I391" s="42">
        <f>3*1.25</f>
        <v>3.75</v>
      </c>
      <c r="J391" s="42">
        <f>F391*I391</f>
        <v>125.73750000000001</v>
      </c>
      <c r="K391" s="38">
        <v>0</v>
      </c>
      <c r="L391" s="38">
        <f>F391*K391</f>
        <v>0</v>
      </c>
      <c r="M391" s="43">
        <f>H391+J391+L391</f>
        <v>125.73750000000001</v>
      </c>
      <c r="O391" s="130"/>
    </row>
    <row r="392" spans="1:15" s="146" customFormat="1" x14ac:dyDescent="0.2">
      <c r="A392" s="45"/>
      <c r="B392" s="85"/>
      <c r="C392" s="142" t="s">
        <v>302</v>
      </c>
      <c r="D392" s="67" t="s">
        <v>18</v>
      </c>
      <c r="E392" s="164">
        <f>(0.95+0.23*9)*1.15*1.15/100</f>
        <v>3.9939499999999996E-2</v>
      </c>
      <c r="F392" s="164">
        <f>F389*E392</f>
        <v>1.3391714349999999</v>
      </c>
      <c r="G392" s="42">
        <v>0</v>
      </c>
      <c r="H392" s="42">
        <f>F392*G392</f>
        <v>0</v>
      </c>
      <c r="I392" s="42">
        <v>0</v>
      </c>
      <c r="J392" s="42">
        <f>F392*I392</f>
        <v>0</v>
      </c>
      <c r="K392" s="38">
        <v>3.2</v>
      </c>
      <c r="L392" s="38">
        <f>F392*K392</f>
        <v>4.2853485920000001</v>
      </c>
      <c r="M392" s="43">
        <f>H392+J392+L392</f>
        <v>4.2853485920000001</v>
      </c>
      <c r="O392" s="130"/>
    </row>
    <row r="393" spans="1:15" s="36" customFormat="1" ht="14.25" x14ac:dyDescent="0.2">
      <c r="A393" s="29"/>
      <c r="B393" s="29" t="s">
        <v>354</v>
      </c>
      <c r="C393" s="142" t="s">
        <v>355</v>
      </c>
      <c r="D393" s="67" t="s">
        <v>32</v>
      </c>
      <c r="E393" s="164">
        <f>(2.04+0.51*9)/100</f>
        <v>6.6299999999999998E-2</v>
      </c>
      <c r="F393" s="184">
        <f>F389*E393</f>
        <v>2.223039</v>
      </c>
      <c r="G393" s="42">
        <v>88</v>
      </c>
      <c r="H393" s="42">
        <f>F393*G393</f>
        <v>195.627432</v>
      </c>
      <c r="I393" s="42">
        <v>0</v>
      </c>
      <c r="J393" s="42">
        <f>F393*I393</f>
        <v>0</v>
      </c>
      <c r="K393" s="38">
        <v>0</v>
      </c>
      <c r="L393" s="38">
        <f>F393*K393</f>
        <v>0</v>
      </c>
      <c r="M393" s="43">
        <f>H393+J393+L393</f>
        <v>195.627432</v>
      </c>
      <c r="O393" s="130"/>
    </row>
    <row r="394" spans="1:15" x14ac:dyDescent="0.25">
      <c r="A394" s="29"/>
      <c r="B394" s="124"/>
      <c r="C394" s="142" t="s">
        <v>295</v>
      </c>
      <c r="D394" s="67" t="s">
        <v>18</v>
      </c>
      <c r="E394" s="29">
        <f>6.36/100</f>
        <v>6.3600000000000004E-2</v>
      </c>
      <c r="F394" s="164">
        <f>F389*E394</f>
        <v>2.1325080000000001</v>
      </c>
      <c r="G394" s="42">
        <v>3.2</v>
      </c>
      <c r="H394" s="42">
        <f>F394*G394</f>
        <v>6.8240256000000006</v>
      </c>
      <c r="I394" s="42">
        <v>0</v>
      </c>
      <c r="J394" s="42">
        <f>F394*I394</f>
        <v>0</v>
      </c>
      <c r="K394" s="38">
        <v>0</v>
      </c>
      <c r="L394" s="38">
        <f>F394*K394</f>
        <v>0</v>
      </c>
      <c r="M394" s="43">
        <f>H394+J394+L394</f>
        <v>6.8240256000000006</v>
      </c>
      <c r="O394" s="130"/>
    </row>
    <row r="395" spans="1:15" s="36" customFormat="1" thickBot="1" x14ac:dyDescent="0.25">
      <c r="A395" s="148"/>
      <c r="B395" s="178"/>
      <c r="C395" s="185"/>
      <c r="D395" s="150"/>
      <c r="E395" s="186"/>
      <c r="F395" s="187"/>
      <c r="G395" s="188"/>
      <c r="H395" s="188"/>
      <c r="I395" s="188"/>
      <c r="J395" s="188"/>
      <c r="K395" s="189"/>
      <c r="L395" s="189"/>
      <c r="M395" s="190"/>
      <c r="O395" s="130"/>
    </row>
    <row r="396" spans="1:15" s="36" customFormat="1" ht="24" x14ac:dyDescent="0.2">
      <c r="A396" s="29">
        <v>9</v>
      </c>
      <c r="B396" s="131" t="s">
        <v>375</v>
      </c>
      <c r="C396" s="65" t="s">
        <v>203</v>
      </c>
      <c r="D396" s="79" t="s">
        <v>17</v>
      </c>
      <c r="E396" s="183"/>
      <c r="F396" s="31">
        <f>33.53</f>
        <v>33.53</v>
      </c>
      <c r="G396" s="133">
        <f>H396/F396</f>
        <v>20.639120000000002</v>
      </c>
      <c r="H396" s="133">
        <f>SUM(H397:H402)</f>
        <v>692.02969360000009</v>
      </c>
      <c r="I396" s="133">
        <f>J396/F396</f>
        <v>12.5</v>
      </c>
      <c r="J396" s="133">
        <f>SUM(J397:J402)</f>
        <v>419.125</v>
      </c>
      <c r="K396" s="133">
        <f>L396/F396</f>
        <v>0.1912864</v>
      </c>
      <c r="L396" s="133">
        <f>SUM(L397:L402)</f>
        <v>6.4138329919999997</v>
      </c>
      <c r="M396" s="133">
        <f>SUM(M397:M402)</f>
        <v>1117.5685265919999</v>
      </c>
      <c r="O396" s="130"/>
    </row>
    <row r="397" spans="1:15" s="19" customFormat="1" x14ac:dyDescent="0.25">
      <c r="A397" s="37"/>
      <c r="B397" s="134"/>
      <c r="C397" s="135" t="s">
        <v>266</v>
      </c>
      <c r="D397" s="134"/>
      <c r="E397" s="38"/>
      <c r="F397" s="39"/>
      <c r="G397" s="38"/>
      <c r="H397" s="38"/>
      <c r="I397" s="38"/>
      <c r="J397" s="38"/>
      <c r="K397" s="38"/>
      <c r="L397" s="161"/>
      <c r="M397" s="39"/>
      <c r="O397" s="130"/>
    </row>
    <row r="398" spans="1:15" s="44" customFormat="1" ht="14.25" x14ac:dyDescent="0.2">
      <c r="A398" s="140"/>
      <c r="B398" s="141" t="s">
        <v>277</v>
      </c>
      <c r="C398" s="142" t="s">
        <v>278</v>
      </c>
      <c r="D398" s="67" t="s">
        <v>17</v>
      </c>
      <c r="E398" s="164">
        <v>1</v>
      </c>
      <c r="F398" s="181">
        <f>F396*E398</f>
        <v>33.53</v>
      </c>
      <c r="G398" s="42">
        <v>0</v>
      </c>
      <c r="H398" s="42">
        <f>F398*G398</f>
        <v>0</v>
      </c>
      <c r="I398" s="42">
        <f>10*1.25</f>
        <v>12.5</v>
      </c>
      <c r="J398" s="42">
        <f>F398*I398</f>
        <v>419.125</v>
      </c>
      <c r="K398" s="38">
        <v>0</v>
      </c>
      <c r="L398" s="38">
        <f>F398*K398</f>
        <v>0</v>
      </c>
      <c r="M398" s="43">
        <f>H398+J398+L398</f>
        <v>419.125</v>
      </c>
      <c r="O398" s="130"/>
    </row>
    <row r="399" spans="1:15" s="146" customFormat="1" x14ac:dyDescent="0.2">
      <c r="A399" s="45"/>
      <c r="B399" s="85"/>
      <c r="C399" s="142" t="s">
        <v>302</v>
      </c>
      <c r="D399" s="67" t="s">
        <v>18</v>
      </c>
      <c r="E399" s="164">
        <f>4.52*1.15*1.15/100</f>
        <v>5.977699999999999E-2</v>
      </c>
      <c r="F399" s="164">
        <f>F396*E399</f>
        <v>2.0043228099999997</v>
      </c>
      <c r="G399" s="42">
        <v>0</v>
      </c>
      <c r="H399" s="42">
        <f>F399*G399</f>
        <v>0</v>
      </c>
      <c r="I399" s="42">
        <v>0</v>
      </c>
      <c r="J399" s="42">
        <f>F399*I399</f>
        <v>0</v>
      </c>
      <c r="K399" s="38">
        <v>3.2</v>
      </c>
      <c r="L399" s="38">
        <f>F399*K399</f>
        <v>6.4138329919999997</v>
      </c>
      <c r="M399" s="43">
        <f>H399+J399+L399</f>
        <v>6.4138329919999997</v>
      </c>
      <c r="O399" s="130"/>
    </row>
    <row r="400" spans="1:15" s="36" customFormat="1" ht="14.25" x14ac:dyDescent="0.2">
      <c r="A400" s="29"/>
      <c r="B400" s="29" t="s">
        <v>376</v>
      </c>
      <c r="C400" s="142" t="s">
        <v>377</v>
      </c>
      <c r="D400" s="67" t="s">
        <v>17</v>
      </c>
      <c r="E400" s="164">
        <f>105/100</f>
        <v>1.05</v>
      </c>
      <c r="F400" s="184">
        <f>F396*E400</f>
        <v>35.206500000000005</v>
      </c>
      <c r="G400" s="42">
        <v>17</v>
      </c>
      <c r="H400" s="42">
        <f>F400*G400</f>
        <v>598.51050000000009</v>
      </c>
      <c r="I400" s="42">
        <v>0</v>
      </c>
      <c r="J400" s="42">
        <f>F400*I400</f>
        <v>0</v>
      </c>
      <c r="K400" s="38">
        <v>0</v>
      </c>
      <c r="L400" s="38">
        <f>F400*K400</f>
        <v>0</v>
      </c>
      <c r="M400" s="43">
        <f>H400+J400+L400</f>
        <v>598.51050000000009</v>
      </c>
      <c r="O400" s="130"/>
    </row>
    <row r="401" spans="1:15" s="44" customFormat="1" ht="14.25" x14ac:dyDescent="0.2">
      <c r="A401" s="165"/>
      <c r="B401" s="29" t="s">
        <v>378</v>
      </c>
      <c r="C401" s="166" t="s">
        <v>379</v>
      </c>
      <c r="D401" s="167" t="s">
        <v>291</v>
      </c>
      <c r="E401" s="171">
        <v>6</v>
      </c>
      <c r="F401" s="179">
        <f>F396*E401</f>
        <v>201.18</v>
      </c>
      <c r="G401" s="42">
        <v>0.44</v>
      </c>
      <c r="H401" s="42">
        <f>F401*G401</f>
        <v>88.519199999999998</v>
      </c>
      <c r="I401" s="42">
        <v>0</v>
      </c>
      <c r="J401" s="42">
        <f>F401*I401</f>
        <v>0</v>
      </c>
      <c r="K401" s="38">
        <v>0</v>
      </c>
      <c r="L401" s="38">
        <f>F401*K401</f>
        <v>0</v>
      </c>
      <c r="M401" s="43">
        <f>H401+J401+L401</f>
        <v>88.519199999999998</v>
      </c>
      <c r="O401" s="130"/>
    </row>
    <row r="402" spans="1:15" x14ac:dyDescent="0.25">
      <c r="A402" s="29"/>
      <c r="B402" s="124"/>
      <c r="C402" s="142" t="s">
        <v>295</v>
      </c>
      <c r="D402" s="67" t="s">
        <v>18</v>
      </c>
      <c r="E402" s="29">
        <f>4.66/100</f>
        <v>4.6600000000000003E-2</v>
      </c>
      <c r="F402" s="164">
        <f>F396*E402</f>
        <v>1.5624980000000002</v>
      </c>
      <c r="G402" s="42">
        <v>3.2</v>
      </c>
      <c r="H402" s="42">
        <f>F402*G402</f>
        <v>4.9999936000000007</v>
      </c>
      <c r="I402" s="42">
        <v>0</v>
      </c>
      <c r="J402" s="42">
        <f>F402*I402</f>
        <v>0</v>
      </c>
      <c r="K402" s="38">
        <v>0</v>
      </c>
      <c r="L402" s="38">
        <f>F402*K402</f>
        <v>0</v>
      </c>
      <c r="M402" s="43">
        <f>H402+J402+L402</f>
        <v>4.9999936000000007</v>
      </c>
      <c r="O402" s="130"/>
    </row>
    <row r="403" spans="1:15" s="36" customFormat="1" thickBot="1" x14ac:dyDescent="0.25">
      <c r="A403" s="148"/>
      <c r="B403" s="178"/>
      <c r="C403" s="185"/>
      <c r="D403" s="150"/>
      <c r="E403" s="186"/>
      <c r="F403" s="187"/>
      <c r="G403" s="188"/>
      <c r="H403" s="188"/>
      <c r="I403" s="188"/>
      <c r="J403" s="188"/>
      <c r="K403" s="189"/>
      <c r="L403" s="189"/>
      <c r="M403" s="190"/>
      <c r="O403" s="130"/>
    </row>
    <row r="404" spans="1:15" s="36" customFormat="1" ht="24" x14ac:dyDescent="0.2">
      <c r="A404" s="29">
        <v>10</v>
      </c>
      <c r="B404" s="126" t="s">
        <v>277</v>
      </c>
      <c r="C404" s="65" t="s">
        <v>204</v>
      </c>
      <c r="D404" s="79" t="s">
        <v>29</v>
      </c>
      <c r="E404" s="183"/>
      <c r="F404" s="31">
        <f>0.85*2+4.15-1.6</f>
        <v>4.25</v>
      </c>
      <c r="G404" s="133">
        <f>H404/F404</f>
        <v>2.1432000000000002</v>
      </c>
      <c r="H404" s="133">
        <f>SUM(H405:H408)</f>
        <v>9.1086000000000009</v>
      </c>
      <c r="I404" s="133">
        <f>J404/F404</f>
        <v>3.75</v>
      </c>
      <c r="J404" s="133">
        <f>SUM(J405:J408)</f>
        <v>15.9375</v>
      </c>
      <c r="K404" s="133">
        <f>L404/F404</f>
        <v>0</v>
      </c>
      <c r="L404" s="133">
        <f>SUM(L405:L408)</f>
        <v>0</v>
      </c>
      <c r="M404" s="133">
        <f>SUM(M405:M408)</f>
        <v>25.046099999999999</v>
      </c>
      <c r="O404" s="130"/>
    </row>
    <row r="405" spans="1:15" s="19" customFormat="1" x14ac:dyDescent="0.25">
      <c r="A405" s="37"/>
      <c r="B405" s="134"/>
      <c r="C405" s="135" t="s">
        <v>266</v>
      </c>
      <c r="D405" s="134"/>
      <c r="E405" s="38"/>
      <c r="F405" s="39"/>
      <c r="G405" s="38"/>
      <c r="H405" s="38"/>
      <c r="I405" s="38"/>
      <c r="J405" s="38"/>
      <c r="K405" s="38"/>
      <c r="L405" s="161"/>
      <c r="M405" s="39"/>
      <c r="O405" s="130"/>
    </row>
    <row r="406" spans="1:15" s="44" customFormat="1" ht="14.25" x14ac:dyDescent="0.2">
      <c r="A406" s="140"/>
      <c r="B406" s="141" t="s">
        <v>277</v>
      </c>
      <c r="C406" s="142" t="s">
        <v>278</v>
      </c>
      <c r="D406" s="67" t="s">
        <v>29</v>
      </c>
      <c r="E406" s="164">
        <v>1</v>
      </c>
      <c r="F406" s="181">
        <f>F404*E406</f>
        <v>4.25</v>
      </c>
      <c r="G406" s="42">
        <v>0</v>
      </c>
      <c r="H406" s="42">
        <f>F406*G406</f>
        <v>0</v>
      </c>
      <c r="I406" s="42">
        <f>3*1.25</f>
        <v>3.75</v>
      </c>
      <c r="J406" s="42">
        <f>F406*I406</f>
        <v>15.9375</v>
      </c>
      <c r="K406" s="38">
        <v>0</v>
      </c>
      <c r="L406" s="38">
        <f>F406*K406</f>
        <v>0</v>
      </c>
      <c r="M406" s="43">
        <f>H406+J406+L406</f>
        <v>15.9375</v>
      </c>
      <c r="O406" s="130"/>
    </row>
    <row r="407" spans="1:15" s="36" customFormat="1" ht="14.25" x14ac:dyDescent="0.2">
      <c r="A407" s="29"/>
      <c r="B407" s="29" t="s">
        <v>376</v>
      </c>
      <c r="C407" s="142" t="s">
        <v>377</v>
      </c>
      <c r="D407" s="67" t="s">
        <v>17</v>
      </c>
      <c r="E407" s="164">
        <f>105*0.08/100</f>
        <v>8.4000000000000005E-2</v>
      </c>
      <c r="F407" s="184">
        <f>F404*E407</f>
        <v>0.35700000000000004</v>
      </c>
      <c r="G407" s="42">
        <v>23</v>
      </c>
      <c r="H407" s="42">
        <f>F407*G407</f>
        <v>8.2110000000000003</v>
      </c>
      <c r="I407" s="42">
        <v>0</v>
      </c>
      <c r="J407" s="42">
        <f>F407*I407</f>
        <v>0</v>
      </c>
      <c r="K407" s="38">
        <v>0</v>
      </c>
      <c r="L407" s="38">
        <f>F407*K407</f>
        <v>0</v>
      </c>
      <c r="M407" s="43">
        <f>H407+J407+L407</f>
        <v>8.2110000000000003</v>
      </c>
      <c r="O407" s="130"/>
    </row>
    <row r="408" spans="1:15" s="44" customFormat="1" ht="14.25" x14ac:dyDescent="0.2">
      <c r="A408" s="165"/>
      <c r="B408" s="29" t="s">
        <v>378</v>
      </c>
      <c r="C408" s="166" t="s">
        <v>379</v>
      </c>
      <c r="D408" s="167" t="s">
        <v>291</v>
      </c>
      <c r="E408" s="171">
        <f>600*0.08/100</f>
        <v>0.48</v>
      </c>
      <c r="F408" s="179">
        <f>F404*E408</f>
        <v>2.04</v>
      </c>
      <c r="G408" s="42">
        <v>0.44</v>
      </c>
      <c r="H408" s="42">
        <f>F408*G408</f>
        <v>0.89760000000000006</v>
      </c>
      <c r="I408" s="42">
        <v>0</v>
      </c>
      <c r="J408" s="42">
        <f>F408*I408</f>
        <v>0</v>
      </c>
      <c r="K408" s="38">
        <v>0</v>
      </c>
      <c r="L408" s="38">
        <f>F408*K408</f>
        <v>0</v>
      </c>
      <c r="M408" s="43">
        <f>H408+J408+L408</f>
        <v>0.89760000000000006</v>
      </c>
      <c r="O408" s="130"/>
    </row>
    <row r="409" spans="1:15" s="36" customFormat="1" thickBot="1" x14ac:dyDescent="0.25">
      <c r="A409" s="148"/>
      <c r="B409" s="178"/>
      <c r="C409" s="185"/>
      <c r="D409" s="150"/>
      <c r="E409" s="186"/>
      <c r="F409" s="187"/>
      <c r="G409" s="188"/>
      <c r="H409" s="188"/>
      <c r="I409" s="188"/>
      <c r="J409" s="188"/>
      <c r="K409" s="189"/>
      <c r="L409" s="189"/>
      <c r="M409" s="190"/>
      <c r="O409" s="130"/>
    </row>
    <row r="410" spans="1:15" s="34" customFormat="1" x14ac:dyDescent="0.25">
      <c r="A410" s="48"/>
      <c r="B410" s="156"/>
      <c r="C410" s="70" t="s">
        <v>75</v>
      </c>
      <c r="D410" s="49"/>
      <c r="E410" s="50"/>
      <c r="F410" s="50"/>
      <c r="G410" s="51"/>
      <c r="H410" s="159">
        <f>H404+H396+H389+H384+H376+H368+H360+H351+H342+H335</f>
        <v>9910.3387716745765</v>
      </c>
      <c r="I410" s="52"/>
      <c r="J410" s="159">
        <f>J404+J396+J389+J384+J376+J368+J360+J351+J342+J335</f>
        <v>9902.125</v>
      </c>
      <c r="K410" s="52"/>
      <c r="L410" s="159">
        <f>L404+L396+L389+L384+L376+L368+L360+L351+L342+L335</f>
        <v>383.66124366399998</v>
      </c>
      <c r="M410" s="159">
        <f>M404+M396+M389+M384+M376+M368+M360+M351+M342+M335</f>
        <v>20196.125015338577</v>
      </c>
      <c r="O410" s="130"/>
    </row>
    <row r="411" spans="1:15" s="36" customFormat="1" ht="14.25" x14ac:dyDescent="0.2">
      <c r="A411" s="21"/>
      <c r="B411" s="126"/>
      <c r="C411" s="76" t="s">
        <v>234</v>
      </c>
      <c r="D411" s="68"/>
      <c r="E411" s="191"/>
      <c r="F411" s="80"/>
      <c r="G411" s="60"/>
      <c r="H411" s="60"/>
      <c r="I411" s="60"/>
      <c r="J411" s="60"/>
      <c r="K411" s="61"/>
      <c r="L411" s="61"/>
      <c r="M411" s="62"/>
      <c r="O411" s="130"/>
    </row>
    <row r="412" spans="1:15" s="36" customFormat="1" ht="48" x14ac:dyDescent="0.2">
      <c r="A412" s="21">
        <v>1</v>
      </c>
      <c r="B412" s="131" t="s">
        <v>380</v>
      </c>
      <c r="C412" s="65" t="s">
        <v>244</v>
      </c>
      <c r="D412" s="79" t="s">
        <v>17</v>
      </c>
      <c r="E412" s="16"/>
      <c r="F412" s="86">
        <f>282</f>
        <v>282</v>
      </c>
      <c r="G412" s="133">
        <f>H412/F412</f>
        <v>0.76453900709219857</v>
      </c>
      <c r="H412" s="133">
        <f>SUM(H413:H415)</f>
        <v>215.6</v>
      </c>
      <c r="I412" s="133">
        <f>J412/F412</f>
        <v>0.68240999999999996</v>
      </c>
      <c r="J412" s="133">
        <f>SUM(J413:J415)</f>
        <v>192.43961999999999</v>
      </c>
      <c r="K412" s="133">
        <f>L412/F412</f>
        <v>0</v>
      </c>
      <c r="L412" s="133">
        <f>SUM(L413:L415)</f>
        <v>0</v>
      </c>
      <c r="M412" s="133">
        <f>SUM(M413:M415)</f>
        <v>408.03962000000001</v>
      </c>
      <c r="O412" s="130"/>
    </row>
    <row r="413" spans="1:15" s="19" customFormat="1" x14ac:dyDescent="0.25">
      <c r="A413" s="37"/>
      <c r="B413" s="134"/>
      <c r="C413" s="135" t="s">
        <v>266</v>
      </c>
      <c r="D413" s="136"/>
      <c r="E413" s="38"/>
      <c r="F413" s="39"/>
      <c r="G413" s="38"/>
      <c r="H413" s="38"/>
      <c r="I413" s="38"/>
      <c r="J413" s="38"/>
      <c r="K413" s="38"/>
      <c r="L413" s="161"/>
      <c r="M413" s="39"/>
      <c r="O413" s="130"/>
    </row>
    <row r="414" spans="1:15" s="44" customFormat="1" ht="14.25" x14ac:dyDescent="0.2">
      <c r="A414" s="140"/>
      <c r="B414" s="141"/>
      <c r="C414" s="142" t="s">
        <v>381</v>
      </c>
      <c r="D414" s="67" t="s">
        <v>268</v>
      </c>
      <c r="E414" s="164">
        <f>129*1.15*1.15/1000</f>
        <v>0.17060249999999999</v>
      </c>
      <c r="F414" s="41">
        <f>E414*F412</f>
        <v>48.109904999999998</v>
      </c>
      <c r="G414" s="42">
        <v>0</v>
      </c>
      <c r="H414" s="42">
        <f>F414*G414</f>
        <v>0</v>
      </c>
      <c r="I414" s="42">
        <f>3.2*1.25</f>
        <v>4</v>
      </c>
      <c r="J414" s="42">
        <f>F414*I414</f>
        <v>192.43961999999999</v>
      </c>
      <c r="K414" s="38">
        <v>0</v>
      </c>
      <c r="L414" s="38">
        <f>F414*K414</f>
        <v>0</v>
      </c>
      <c r="M414" s="43">
        <f>H414+J414+L414</f>
        <v>192.43961999999999</v>
      </c>
      <c r="O414" s="130"/>
    </row>
    <row r="415" spans="1:15" s="44" customFormat="1" ht="14.25" x14ac:dyDescent="0.2">
      <c r="A415" s="140"/>
      <c r="B415" s="29" t="s">
        <v>382</v>
      </c>
      <c r="C415" s="142" t="s">
        <v>383</v>
      </c>
      <c r="D415" s="67" t="s">
        <v>32</v>
      </c>
      <c r="E415" s="164"/>
      <c r="F415" s="41">
        <v>5.6</v>
      </c>
      <c r="G415" s="42">
        <v>38.5</v>
      </c>
      <c r="H415" s="42">
        <f>F415*G415</f>
        <v>215.6</v>
      </c>
      <c r="I415" s="42">
        <v>0</v>
      </c>
      <c r="J415" s="42">
        <f>F415*I415</f>
        <v>0</v>
      </c>
      <c r="K415" s="38">
        <v>0</v>
      </c>
      <c r="L415" s="38">
        <f>F415*K415</f>
        <v>0</v>
      </c>
      <c r="M415" s="43">
        <f>H415+J415+L415</f>
        <v>215.6</v>
      </c>
      <c r="O415" s="130"/>
    </row>
    <row r="416" spans="1:15" ht="15.75" thickBot="1" x14ac:dyDescent="0.3">
      <c r="A416" s="148"/>
      <c r="B416" s="149"/>
      <c r="C416" s="149"/>
      <c r="D416" s="150"/>
      <c r="E416" s="151"/>
      <c r="F416" s="151"/>
      <c r="G416" s="151"/>
      <c r="H416" s="151"/>
      <c r="I416" s="151"/>
      <c r="J416" s="151"/>
      <c r="K416" s="151"/>
      <c r="L416" s="151"/>
      <c r="M416" s="152"/>
      <c r="O416" s="130"/>
    </row>
    <row r="417" spans="1:15" s="36" customFormat="1" ht="24" x14ac:dyDescent="0.2">
      <c r="A417" s="29">
        <v>2</v>
      </c>
      <c r="B417" s="131" t="s">
        <v>384</v>
      </c>
      <c r="C417" s="65" t="s">
        <v>222</v>
      </c>
      <c r="D417" s="79" t="s">
        <v>17</v>
      </c>
      <c r="E417" s="183"/>
      <c r="F417" s="31">
        <f>780</f>
        <v>780</v>
      </c>
      <c r="G417" s="133">
        <f>H417/F417</f>
        <v>8.4810800000000004</v>
      </c>
      <c r="H417" s="133">
        <f>SUM(H418:H423)</f>
        <v>6615.242400000001</v>
      </c>
      <c r="I417" s="133">
        <f>J417/F417</f>
        <v>3.9595649999999996</v>
      </c>
      <c r="J417" s="133">
        <f>SUM(J418:J423)</f>
        <v>3088.4606999999996</v>
      </c>
      <c r="K417" s="133">
        <f>L417/F417</f>
        <v>8.2100800000000002E-2</v>
      </c>
      <c r="L417" s="133">
        <f>SUM(L418:L423)</f>
        <v>64.038623999999999</v>
      </c>
      <c r="M417" s="133">
        <f>SUM(M418:M423)</f>
        <v>9767.7417239999995</v>
      </c>
      <c r="O417" s="130"/>
    </row>
    <row r="418" spans="1:15" s="19" customFormat="1" x14ac:dyDescent="0.25">
      <c r="A418" s="37"/>
      <c r="B418" s="134"/>
      <c r="C418" s="135" t="s">
        <v>266</v>
      </c>
      <c r="D418" s="134"/>
      <c r="E418" s="38"/>
      <c r="F418" s="39"/>
      <c r="G418" s="38"/>
      <c r="H418" s="38"/>
      <c r="I418" s="38"/>
      <c r="J418" s="38"/>
      <c r="K418" s="38"/>
      <c r="L418" s="161"/>
      <c r="M418" s="39"/>
      <c r="O418" s="130"/>
    </row>
    <row r="419" spans="1:15" s="44" customFormat="1" ht="14.25" x14ac:dyDescent="0.2">
      <c r="A419" s="140"/>
      <c r="B419" s="141"/>
      <c r="C419" s="142" t="s">
        <v>381</v>
      </c>
      <c r="D419" s="67" t="s">
        <v>268</v>
      </c>
      <c r="E419" s="164">
        <f>(27.5+22.4)*1.15*1.15/100</f>
        <v>0.65992749999999989</v>
      </c>
      <c r="F419" s="181">
        <f>F417*E419</f>
        <v>514.74344999999994</v>
      </c>
      <c r="G419" s="42">
        <v>0</v>
      </c>
      <c r="H419" s="42">
        <f>F419*G419</f>
        <v>0</v>
      </c>
      <c r="I419" s="42">
        <v>6</v>
      </c>
      <c r="J419" s="42">
        <f>F419*I419</f>
        <v>3088.4606999999996</v>
      </c>
      <c r="K419" s="38">
        <v>0</v>
      </c>
      <c r="L419" s="38">
        <f>F419*K419</f>
        <v>0</v>
      </c>
      <c r="M419" s="43">
        <f>H419+J419+L419</f>
        <v>3088.4606999999996</v>
      </c>
      <c r="O419" s="130"/>
    </row>
    <row r="420" spans="1:15" s="146" customFormat="1" x14ac:dyDescent="0.2">
      <c r="A420" s="45"/>
      <c r="B420" s="85"/>
      <c r="C420" s="142" t="s">
        <v>302</v>
      </c>
      <c r="D420" s="67" t="s">
        <v>18</v>
      </c>
      <c r="E420" s="164">
        <f>(1.06+0.88)*1.15*1.15/100</f>
        <v>2.5656499999999999E-2</v>
      </c>
      <c r="F420" s="164">
        <f>F417*E420</f>
        <v>20.012069999999998</v>
      </c>
      <c r="G420" s="42">
        <v>0</v>
      </c>
      <c r="H420" s="42">
        <f>F420*G420</f>
        <v>0</v>
      </c>
      <c r="I420" s="42">
        <v>0</v>
      </c>
      <c r="J420" s="42">
        <f>F420*I420</f>
        <v>0</v>
      </c>
      <c r="K420" s="38">
        <v>3.2</v>
      </c>
      <c r="L420" s="38">
        <f>F420*K420</f>
        <v>64.038623999999999</v>
      </c>
      <c r="M420" s="43">
        <f>H420+J420+L420</f>
        <v>64.038623999999999</v>
      </c>
      <c r="O420" s="130"/>
    </row>
    <row r="421" spans="1:15" s="36" customFormat="1" ht="14.25" x14ac:dyDescent="0.2">
      <c r="A421" s="29"/>
      <c r="B421" s="29" t="s">
        <v>385</v>
      </c>
      <c r="C421" s="142" t="s">
        <v>386</v>
      </c>
      <c r="D421" s="67" t="s">
        <v>17</v>
      </c>
      <c r="E421" s="164">
        <f>112*2/100</f>
        <v>2.2400000000000002</v>
      </c>
      <c r="F421" s="184">
        <f>F417*E421</f>
        <v>1747.2000000000003</v>
      </c>
      <c r="G421" s="42">
        <v>3.5</v>
      </c>
      <c r="H421" s="42">
        <f>F421*G421</f>
        <v>6115.2000000000007</v>
      </c>
      <c r="I421" s="42">
        <v>0</v>
      </c>
      <c r="J421" s="42">
        <f>F421*I421</f>
        <v>0</v>
      </c>
      <c r="K421" s="38">
        <v>0</v>
      </c>
      <c r="L421" s="38">
        <f>F421*K421</f>
        <v>0</v>
      </c>
      <c r="M421" s="43">
        <f>H421+J421+L421</f>
        <v>6115.2000000000007</v>
      </c>
      <c r="O421" s="130"/>
    </row>
    <row r="422" spans="1:15" s="36" customFormat="1" ht="14.25" x14ac:dyDescent="0.2">
      <c r="A422" s="29"/>
      <c r="B422" s="29" t="s">
        <v>387</v>
      </c>
      <c r="C422" s="142" t="s">
        <v>388</v>
      </c>
      <c r="D422" s="67" t="s">
        <v>291</v>
      </c>
      <c r="E422" s="164">
        <f>25/100</f>
        <v>0.25</v>
      </c>
      <c r="F422" s="184">
        <f>F417*E422</f>
        <v>195</v>
      </c>
      <c r="G422" s="42">
        <v>2.54</v>
      </c>
      <c r="H422" s="42">
        <f>F422*G422</f>
        <v>495.3</v>
      </c>
      <c r="I422" s="42">
        <v>0</v>
      </c>
      <c r="J422" s="42">
        <f>F422*I422</f>
        <v>0</v>
      </c>
      <c r="K422" s="38">
        <v>0</v>
      </c>
      <c r="L422" s="38">
        <f>F422*K422</f>
        <v>0</v>
      </c>
      <c r="M422" s="43">
        <f>H422+J422+L422</f>
        <v>495.3</v>
      </c>
      <c r="O422" s="130"/>
    </row>
    <row r="423" spans="1:15" x14ac:dyDescent="0.25">
      <c r="A423" s="29"/>
      <c r="B423" s="124"/>
      <c r="C423" s="142" t="s">
        <v>295</v>
      </c>
      <c r="D423" s="67" t="s">
        <v>18</v>
      </c>
      <c r="E423" s="29">
        <f>0.19/100</f>
        <v>1.9E-3</v>
      </c>
      <c r="F423" s="164">
        <f>F417*E423</f>
        <v>1.482</v>
      </c>
      <c r="G423" s="42">
        <v>3.2</v>
      </c>
      <c r="H423" s="42">
        <f>F423*G423</f>
        <v>4.7423999999999999</v>
      </c>
      <c r="I423" s="42">
        <v>0</v>
      </c>
      <c r="J423" s="42">
        <f>F423*I423</f>
        <v>0</v>
      </c>
      <c r="K423" s="38">
        <v>0</v>
      </c>
      <c r="L423" s="38">
        <f>F423*K423</f>
        <v>0</v>
      </c>
      <c r="M423" s="43">
        <f>H423+J423+L423</f>
        <v>4.7423999999999999</v>
      </c>
      <c r="O423" s="130"/>
    </row>
    <row r="424" spans="1:15" s="36" customFormat="1" thickBot="1" x14ac:dyDescent="0.25">
      <c r="A424" s="148"/>
      <c r="B424" s="178"/>
      <c r="C424" s="185"/>
      <c r="D424" s="150"/>
      <c r="E424" s="186"/>
      <c r="F424" s="187"/>
      <c r="G424" s="188"/>
      <c r="H424" s="188"/>
      <c r="I424" s="188"/>
      <c r="J424" s="188"/>
      <c r="K424" s="189"/>
      <c r="L424" s="189"/>
      <c r="M424" s="190"/>
      <c r="O424" s="130"/>
    </row>
    <row r="425" spans="1:15" s="36" customFormat="1" ht="24" x14ac:dyDescent="0.2">
      <c r="A425" s="29">
        <v>3</v>
      </c>
      <c r="B425" s="131" t="s">
        <v>353</v>
      </c>
      <c r="C425" s="65" t="s">
        <v>205</v>
      </c>
      <c r="D425" s="79" t="s">
        <v>17</v>
      </c>
      <c r="E425" s="183"/>
      <c r="F425" s="31">
        <f>281</f>
        <v>281</v>
      </c>
      <c r="G425" s="133">
        <f>H425/F425</f>
        <v>3.79392</v>
      </c>
      <c r="H425" s="133">
        <f>SUM(H427:H430)</f>
        <v>1066.0915199999999</v>
      </c>
      <c r="I425" s="133">
        <f>J425/F425</f>
        <v>3.5</v>
      </c>
      <c r="J425" s="133">
        <f>SUM(J427:J430)</f>
        <v>983.5</v>
      </c>
      <c r="K425" s="133">
        <f>L425/F425</f>
        <v>7.9138399999999998E-2</v>
      </c>
      <c r="L425" s="133">
        <f>SUM(L427:L430)</f>
        <v>22.237890399999998</v>
      </c>
      <c r="M425" s="133">
        <f>SUM(M427:M430)</f>
        <v>2071.8294104000001</v>
      </c>
      <c r="O425" s="130"/>
    </row>
    <row r="426" spans="1:15" s="19" customFormat="1" x14ac:dyDescent="0.25">
      <c r="A426" s="37"/>
      <c r="B426" s="134"/>
      <c r="C426" s="135" t="s">
        <v>266</v>
      </c>
      <c r="D426" s="134"/>
      <c r="E426" s="38"/>
      <c r="F426" s="39"/>
      <c r="G426" s="38"/>
      <c r="H426" s="38"/>
      <c r="I426" s="38"/>
      <c r="J426" s="38"/>
      <c r="K426" s="38"/>
      <c r="L426" s="161"/>
      <c r="M426" s="39"/>
      <c r="O426" s="130"/>
    </row>
    <row r="427" spans="1:15" s="44" customFormat="1" ht="14.25" x14ac:dyDescent="0.2">
      <c r="A427" s="140"/>
      <c r="B427" s="141" t="s">
        <v>277</v>
      </c>
      <c r="C427" s="142" t="s">
        <v>278</v>
      </c>
      <c r="D427" s="67" t="s">
        <v>17</v>
      </c>
      <c r="E427" s="164">
        <v>1</v>
      </c>
      <c r="F427" s="181">
        <f>F425*E427</f>
        <v>281</v>
      </c>
      <c r="G427" s="42">
        <v>0</v>
      </c>
      <c r="H427" s="42">
        <f>F427*G427</f>
        <v>0</v>
      </c>
      <c r="I427" s="42">
        <f>2.8*1.25</f>
        <v>3.5</v>
      </c>
      <c r="J427" s="42">
        <f>F427*I427</f>
        <v>983.5</v>
      </c>
      <c r="K427" s="38">
        <v>0</v>
      </c>
      <c r="L427" s="38">
        <f>F427*K427</f>
        <v>0</v>
      </c>
      <c r="M427" s="43">
        <f>H427+J427+L427</f>
        <v>983.5</v>
      </c>
      <c r="O427" s="130"/>
    </row>
    <row r="428" spans="1:15" s="146" customFormat="1" x14ac:dyDescent="0.2">
      <c r="A428" s="45"/>
      <c r="B428" s="85"/>
      <c r="C428" s="142" t="s">
        <v>302</v>
      </c>
      <c r="D428" s="67" t="s">
        <v>18</v>
      </c>
      <c r="E428" s="164">
        <f>(0.95+0.23*4)*1.15*1.15/100</f>
        <v>2.4730749999999996E-2</v>
      </c>
      <c r="F428" s="164">
        <f>F425*E428</f>
        <v>6.9493407499999984</v>
      </c>
      <c r="G428" s="42">
        <v>0</v>
      </c>
      <c r="H428" s="42">
        <f>F428*G428</f>
        <v>0</v>
      </c>
      <c r="I428" s="42">
        <v>0</v>
      </c>
      <c r="J428" s="42">
        <f>F428*I428</f>
        <v>0</v>
      </c>
      <c r="K428" s="38">
        <v>3.2</v>
      </c>
      <c r="L428" s="38">
        <f>F428*K428</f>
        <v>22.237890399999998</v>
      </c>
      <c r="M428" s="43">
        <f>H428+J428+L428</f>
        <v>22.237890399999998</v>
      </c>
      <c r="O428" s="130"/>
    </row>
    <row r="429" spans="1:15" s="36" customFormat="1" ht="14.25" x14ac:dyDescent="0.2">
      <c r="A429" s="29"/>
      <c r="B429" s="29" t="s">
        <v>354</v>
      </c>
      <c r="C429" s="142" t="s">
        <v>355</v>
      </c>
      <c r="D429" s="67" t="s">
        <v>32</v>
      </c>
      <c r="E429" s="164">
        <f>(2.04+0.51*4)/100</f>
        <v>4.0800000000000003E-2</v>
      </c>
      <c r="F429" s="184">
        <f>F425*E429</f>
        <v>11.4648</v>
      </c>
      <c r="G429" s="42">
        <v>88</v>
      </c>
      <c r="H429" s="42">
        <f>F429*G429</f>
        <v>1008.9024000000001</v>
      </c>
      <c r="I429" s="42">
        <v>0</v>
      </c>
      <c r="J429" s="42">
        <f>F429*I429</f>
        <v>0</v>
      </c>
      <c r="K429" s="38">
        <v>0</v>
      </c>
      <c r="L429" s="38">
        <f>F429*K429</f>
        <v>0</v>
      </c>
      <c r="M429" s="43">
        <f>H429+J429+L429</f>
        <v>1008.9024000000001</v>
      </c>
      <c r="O429" s="130"/>
    </row>
    <row r="430" spans="1:15" x14ac:dyDescent="0.25">
      <c r="A430" s="29"/>
      <c r="B430" s="124"/>
      <c r="C430" s="142" t="s">
        <v>295</v>
      </c>
      <c r="D430" s="67" t="s">
        <v>18</v>
      </c>
      <c r="E430" s="29">
        <f>6.36/100</f>
        <v>6.3600000000000004E-2</v>
      </c>
      <c r="F430" s="164">
        <f>F425*E430</f>
        <v>17.871600000000001</v>
      </c>
      <c r="G430" s="42">
        <v>3.2</v>
      </c>
      <c r="H430" s="42">
        <f>F430*G430</f>
        <v>57.189120000000003</v>
      </c>
      <c r="I430" s="42">
        <v>0</v>
      </c>
      <c r="J430" s="42">
        <f>F430*I430</f>
        <v>0</v>
      </c>
      <c r="K430" s="38">
        <v>0</v>
      </c>
      <c r="L430" s="38">
        <f>F430*K430</f>
        <v>0</v>
      </c>
      <c r="M430" s="43">
        <f>H430+J430+L430</f>
        <v>57.189120000000003</v>
      </c>
      <c r="O430" s="130"/>
    </row>
    <row r="431" spans="1:15" s="36" customFormat="1" thickBot="1" x14ac:dyDescent="0.25">
      <c r="A431" s="148"/>
      <c r="B431" s="178"/>
      <c r="C431" s="185"/>
      <c r="D431" s="150"/>
      <c r="E431" s="186"/>
      <c r="F431" s="187"/>
      <c r="G431" s="188"/>
      <c r="H431" s="188"/>
      <c r="I431" s="188"/>
      <c r="J431" s="188"/>
      <c r="K431" s="189"/>
      <c r="L431" s="189"/>
      <c r="M431" s="190"/>
      <c r="O431" s="130"/>
    </row>
    <row r="432" spans="1:15" s="36" customFormat="1" ht="24" x14ac:dyDescent="0.2">
      <c r="A432" s="29">
        <v>4</v>
      </c>
      <c r="B432" s="131" t="s">
        <v>375</v>
      </c>
      <c r="C432" s="65" t="s">
        <v>206</v>
      </c>
      <c r="D432" s="79" t="s">
        <v>17</v>
      </c>
      <c r="E432" s="183"/>
      <c r="F432" s="31">
        <f>F425</f>
        <v>281</v>
      </c>
      <c r="G432" s="133">
        <f>H432/F432</f>
        <v>4.6491199999999999</v>
      </c>
      <c r="H432" s="133">
        <f>SUM(H434:H438)</f>
        <v>1306.40272</v>
      </c>
      <c r="I432" s="133">
        <f>J432/F432</f>
        <v>12.5</v>
      </c>
      <c r="J432" s="133">
        <f>SUM(J434:J438)</f>
        <v>3512.5</v>
      </c>
      <c r="K432" s="133">
        <f>L432/F432</f>
        <v>0.1912864</v>
      </c>
      <c r="L432" s="133">
        <f>SUM(L434:L438)</f>
        <v>53.751478399999996</v>
      </c>
      <c r="M432" s="133">
        <f>SUM(M434:M438)</f>
        <v>4872.6541983999996</v>
      </c>
      <c r="O432" s="130"/>
    </row>
    <row r="433" spans="1:15" s="19" customFormat="1" x14ac:dyDescent="0.25">
      <c r="A433" s="37"/>
      <c r="B433" s="134"/>
      <c r="C433" s="135" t="s">
        <v>266</v>
      </c>
      <c r="D433" s="134"/>
      <c r="E433" s="38"/>
      <c r="F433" s="39"/>
      <c r="G433" s="38"/>
      <c r="H433" s="38"/>
      <c r="I433" s="38"/>
      <c r="J433" s="38"/>
      <c r="K433" s="38"/>
      <c r="L433" s="161"/>
      <c r="M433" s="39"/>
      <c r="O433" s="130"/>
    </row>
    <row r="434" spans="1:15" s="44" customFormat="1" ht="14.25" x14ac:dyDescent="0.2">
      <c r="A434" s="140"/>
      <c r="B434" s="141" t="s">
        <v>277</v>
      </c>
      <c r="C434" s="142" t="s">
        <v>278</v>
      </c>
      <c r="D434" s="67" t="s">
        <v>17</v>
      </c>
      <c r="E434" s="164">
        <v>1</v>
      </c>
      <c r="F434" s="181">
        <f>F432*E434</f>
        <v>281</v>
      </c>
      <c r="G434" s="42">
        <v>0</v>
      </c>
      <c r="H434" s="42">
        <f>F434*G434</f>
        <v>0</v>
      </c>
      <c r="I434" s="42">
        <f>10*1.25</f>
        <v>12.5</v>
      </c>
      <c r="J434" s="42">
        <f>F434*I434</f>
        <v>3512.5</v>
      </c>
      <c r="K434" s="38">
        <v>0</v>
      </c>
      <c r="L434" s="38">
        <f>F434*K434</f>
        <v>0</v>
      </c>
      <c r="M434" s="43">
        <f>H434+J434+L434</f>
        <v>3512.5</v>
      </c>
      <c r="O434" s="130"/>
    </row>
    <row r="435" spans="1:15" s="146" customFormat="1" x14ac:dyDescent="0.2">
      <c r="A435" s="45"/>
      <c r="B435" s="85"/>
      <c r="C435" s="142" t="s">
        <v>302</v>
      </c>
      <c r="D435" s="67" t="s">
        <v>18</v>
      </c>
      <c r="E435" s="164">
        <f>4.52*1.15*1.15/100</f>
        <v>5.977699999999999E-2</v>
      </c>
      <c r="F435" s="164">
        <f>F432*E435</f>
        <v>16.797336999999999</v>
      </c>
      <c r="G435" s="42">
        <v>0</v>
      </c>
      <c r="H435" s="42">
        <f>F435*G435</f>
        <v>0</v>
      </c>
      <c r="I435" s="42">
        <v>0</v>
      </c>
      <c r="J435" s="42">
        <f>F435*I435</f>
        <v>0</v>
      </c>
      <c r="K435" s="38">
        <v>3.2</v>
      </c>
      <c r="L435" s="38">
        <f>F435*K435</f>
        <v>53.751478399999996</v>
      </c>
      <c r="M435" s="43">
        <f>H435+J435+L435</f>
        <v>53.751478399999996</v>
      </c>
      <c r="O435" s="130"/>
    </row>
    <row r="436" spans="1:15" s="36" customFormat="1" ht="14.25" x14ac:dyDescent="0.2">
      <c r="A436" s="29"/>
      <c r="B436" s="29" t="s">
        <v>387</v>
      </c>
      <c r="C436" s="142" t="s">
        <v>389</v>
      </c>
      <c r="D436" s="67" t="s">
        <v>17</v>
      </c>
      <c r="E436" s="162">
        <v>0</v>
      </c>
      <c r="F436" s="184">
        <f>F432*E436</f>
        <v>0</v>
      </c>
      <c r="G436" s="42">
        <v>12</v>
      </c>
      <c r="H436" s="42">
        <f>F436*G436</f>
        <v>0</v>
      </c>
      <c r="I436" s="42">
        <v>0</v>
      </c>
      <c r="J436" s="42">
        <f>F436*I436</f>
        <v>0</v>
      </c>
      <c r="K436" s="38">
        <v>0</v>
      </c>
      <c r="L436" s="38">
        <f>F436*K436</f>
        <v>0</v>
      </c>
      <c r="M436" s="43">
        <f>H436+J436+L436</f>
        <v>0</v>
      </c>
      <c r="O436" s="130"/>
    </row>
    <row r="437" spans="1:15" s="44" customFormat="1" ht="14.25" x14ac:dyDescent="0.2">
      <c r="A437" s="165"/>
      <c r="B437" s="29" t="s">
        <v>390</v>
      </c>
      <c r="C437" s="166" t="s">
        <v>391</v>
      </c>
      <c r="D437" s="167" t="s">
        <v>291</v>
      </c>
      <c r="E437" s="171">
        <v>5</v>
      </c>
      <c r="F437" s="179">
        <f>F432*E437</f>
        <v>1405</v>
      </c>
      <c r="G437" s="42">
        <v>0.9</v>
      </c>
      <c r="H437" s="42">
        <f>F437*G437</f>
        <v>1264.5</v>
      </c>
      <c r="I437" s="42">
        <v>0</v>
      </c>
      <c r="J437" s="42">
        <f>F437*I437</f>
        <v>0</v>
      </c>
      <c r="K437" s="38">
        <v>0</v>
      </c>
      <c r="L437" s="38">
        <f>F437*K437</f>
        <v>0</v>
      </c>
      <c r="M437" s="43">
        <f>H437+J437+L437</f>
        <v>1264.5</v>
      </c>
      <c r="O437" s="130"/>
    </row>
    <row r="438" spans="1:15" x14ac:dyDescent="0.25">
      <c r="A438" s="29"/>
      <c r="B438" s="124"/>
      <c r="C438" s="142" t="s">
        <v>295</v>
      </c>
      <c r="D438" s="67" t="s">
        <v>18</v>
      </c>
      <c r="E438" s="29">
        <f>4.66/100</f>
        <v>4.6600000000000003E-2</v>
      </c>
      <c r="F438" s="164">
        <f>F432*E438</f>
        <v>13.094600000000002</v>
      </c>
      <c r="G438" s="42">
        <v>3.2</v>
      </c>
      <c r="H438" s="42">
        <f>F438*G438</f>
        <v>41.902720000000009</v>
      </c>
      <c r="I438" s="42">
        <v>0</v>
      </c>
      <c r="J438" s="42">
        <f>F438*I438</f>
        <v>0</v>
      </c>
      <c r="K438" s="38">
        <v>0</v>
      </c>
      <c r="L438" s="38">
        <f>F438*K438</f>
        <v>0</v>
      </c>
      <c r="M438" s="43">
        <f>H438+J438+L438</f>
        <v>41.902720000000009</v>
      </c>
      <c r="O438" s="130"/>
    </row>
    <row r="439" spans="1:15" s="36" customFormat="1" thickBot="1" x14ac:dyDescent="0.25">
      <c r="A439" s="148"/>
      <c r="B439" s="178"/>
      <c r="C439" s="185"/>
      <c r="D439" s="150"/>
      <c r="E439" s="186"/>
      <c r="F439" s="187"/>
      <c r="G439" s="188"/>
      <c r="H439" s="188"/>
      <c r="I439" s="188"/>
      <c r="J439" s="188"/>
      <c r="K439" s="189"/>
      <c r="L439" s="189"/>
      <c r="M439" s="190"/>
      <c r="O439" s="130"/>
    </row>
    <row r="440" spans="1:15" s="34" customFormat="1" x14ac:dyDescent="0.25">
      <c r="A440" s="48"/>
      <c r="B440" s="156"/>
      <c r="C440" s="70" t="s">
        <v>81</v>
      </c>
      <c r="D440" s="49"/>
      <c r="E440" s="50"/>
      <c r="F440" s="50"/>
      <c r="G440" s="51"/>
      <c r="H440" s="159">
        <f>H432+H425+H417+H412</f>
        <v>9203.3366400000014</v>
      </c>
      <c r="I440" s="159"/>
      <c r="J440" s="159">
        <f>J432+J425+J417+J412</f>
        <v>7776.9003199999997</v>
      </c>
      <c r="K440" s="159"/>
      <c r="L440" s="159">
        <f>L432+L425+L417+L412</f>
        <v>140.02799279999999</v>
      </c>
      <c r="M440" s="159">
        <f>M432+M425+M417+M412</f>
        <v>17120.2649528</v>
      </c>
      <c r="O440" s="130"/>
    </row>
    <row r="441" spans="1:15" s="36" customFormat="1" ht="14.25" x14ac:dyDescent="0.2">
      <c r="A441" s="21"/>
      <c r="B441" s="126"/>
      <c r="C441" s="77" t="s">
        <v>219</v>
      </c>
      <c r="D441" s="68"/>
      <c r="E441" s="191"/>
      <c r="F441" s="80"/>
      <c r="G441" s="60"/>
      <c r="H441" s="60"/>
      <c r="I441" s="60"/>
      <c r="J441" s="60"/>
      <c r="K441" s="61"/>
      <c r="L441" s="61"/>
      <c r="M441" s="62"/>
      <c r="O441" s="130"/>
    </row>
    <row r="442" spans="1:15" s="36" customFormat="1" ht="24" x14ac:dyDescent="0.2">
      <c r="A442" s="21">
        <v>1</v>
      </c>
      <c r="B442" s="126" t="s">
        <v>277</v>
      </c>
      <c r="C442" s="65" t="s">
        <v>207</v>
      </c>
      <c r="D442" s="79" t="s">
        <v>17</v>
      </c>
      <c r="E442" s="16"/>
      <c r="F442" s="95">
        <f>(3.4+2.4)*2*2.5-0.8*2.2+4*1.2</f>
        <v>32.04</v>
      </c>
      <c r="G442" s="133">
        <f>H442/F442</f>
        <v>12.92</v>
      </c>
      <c r="H442" s="133">
        <f>SUM(H444:H446)</f>
        <v>413.95679999999999</v>
      </c>
      <c r="I442" s="133">
        <f>J442/F442</f>
        <v>8.75</v>
      </c>
      <c r="J442" s="133">
        <f>SUM(J444:J446)</f>
        <v>280.34999999999997</v>
      </c>
      <c r="K442" s="133">
        <f>L442/F442</f>
        <v>0</v>
      </c>
      <c r="L442" s="133">
        <f>SUM(L444:L446)</f>
        <v>0</v>
      </c>
      <c r="M442" s="133">
        <f>SUM(M444:M446)</f>
        <v>694.30679999999995</v>
      </c>
      <c r="O442" s="130"/>
    </row>
    <row r="443" spans="1:15" s="19" customFormat="1" x14ac:dyDescent="0.25">
      <c r="A443" s="37"/>
      <c r="B443" s="134"/>
      <c r="C443" s="135" t="s">
        <v>266</v>
      </c>
      <c r="D443" s="134"/>
      <c r="E443" s="38"/>
      <c r="F443" s="39"/>
      <c r="G443" s="38"/>
      <c r="H443" s="38"/>
      <c r="I443" s="38"/>
      <c r="J443" s="38"/>
      <c r="K443" s="38"/>
      <c r="L443" s="161"/>
      <c r="M443" s="39"/>
      <c r="O443" s="130"/>
    </row>
    <row r="444" spans="1:15" s="44" customFormat="1" ht="14.25" x14ac:dyDescent="0.2">
      <c r="A444" s="140"/>
      <c r="B444" s="141"/>
      <c r="C444" s="142" t="s">
        <v>278</v>
      </c>
      <c r="D444" s="67" t="s">
        <v>17</v>
      </c>
      <c r="E444" s="164">
        <v>1</v>
      </c>
      <c r="F444" s="181">
        <f>E444*F442</f>
        <v>32.04</v>
      </c>
      <c r="G444" s="42">
        <v>0</v>
      </c>
      <c r="H444" s="42">
        <f>F444*G444</f>
        <v>0</v>
      </c>
      <c r="I444" s="42">
        <f>7*1.25</f>
        <v>8.75</v>
      </c>
      <c r="J444" s="42">
        <f>F444*I444</f>
        <v>280.34999999999997</v>
      </c>
      <c r="K444" s="38">
        <v>0</v>
      </c>
      <c r="L444" s="38">
        <f>F444*K444</f>
        <v>0</v>
      </c>
      <c r="M444" s="43">
        <f>H444+J444+L444</f>
        <v>280.34999999999997</v>
      </c>
      <c r="O444" s="130"/>
    </row>
    <row r="445" spans="1:15" s="146" customFormat="1" x14ac:dyDescent="0.2">
      <c r="A445" s="45"/>
      <c r="B445" s="85"/>
      <c r="C445" s="142" t="s">
        <v>392</v>
      </c>
      <c r="D445" s="67" t="s">
        <v>17</v>
      </c>
      <c r="E445" s="164">
        <v>1</v>
      </c>
      <c r="F445" s="164">
        <f>F442*E445</f>
        <v>32.04</v>
      </c>
      <c r="G445" s="42">
        <v>12.5</v>
      </c>
      <c r="H445" s="42">
        <f>F445*G445</f>
        <v>400.5</v>
      </c>
      <c r="I445" s="42">
        <v>0</v>
      </c>
      <c r="J445" s="42">
        <f>F445*I445</f>
        <v>0</v>
      </c>
      <c r="K445" s="38">
        <v>0</v>
      </c>
      <c r="L445" s="38">
        <f>F445*K445</f>
        <v>0</v>
      </c>
      <c r="M445" s="43">
        <f>H445+J445+L445</f>
        <v>400.5</v>
      </c>
      <c r="O445" s="130"/>
    </row>
    <row r="446" spans="1:15" s="146" customFormat="1" x14ac:dyDescent="0.2">
      <c r="A446" s="193"/>
      <c r="B446" s="29" t="s">
        <v>393</v>
      </c>
      <c r="C446" s="166" t="s">
        <v>394</v>
      </c>
      <c r="D446" s="167" t="s">
        <v>321</v>
      </c>
      <c r="E446" s="171">
        <v>1.2</v>
      </c>
      <c r="F446" s="171">
        <f>F442*E446</f>
        <v>38.448</v>
      </c>
      <c r="G446" s="42">
        <v>0.35</v>
      </c>
      <c r="H446" s="42">
        <f>F446*G446</f>
        <v>13.456799999999999</v>
      </c>
      <c r="I446" s="42">
        <v>0</v>
      </c>
      <c r="J446" s="42">
        <f>F446*I446</f>
        <v>0</v>
      </c>
      <c r="K446" s="38">
        <v>0</v>
      </c>
      <c r="L446" s="38">
        <f>F446*K446</f>
        <v>0</v>
      </c>
      <c r="M446" s="43">
        <f>H446+J446+L446</f>
        <v>13.456799999999999</v>
      </c>
      <c r="O446" s="130"/>
    </row>
    <row r="447" spans="1:15" ht="15.75" thickBot="1" x14ac:dyDescent="0.3">
      <c r="A447" s="148"/>
      <c r="B447" s="149"/>
      <c r="C447" s="149"/>
      <c r="D447" s="178"/>
      <c r="E447" s="148"/>
      <c r="F447" s="148"/>
      <c r="G447" s="151"/>
      <c r="H447" s="151"/>
      <c r="I447" s="151"/>
      <c r="J447" s="151"/>
      <c r="K447" s="151"/>
      <c r="L447" s="151"/>
      <c r="M447" s="152"/>
      <c r="O447" s="130"/>
    </row>
    <row r="448" spans="1:15" s="36" customFormat="1" ht="24" x14ac:dyDescent="0.2">
      <c r="A448" s="21">
        <v>2</v>
      </c>
      <c r="B448" s="126" t="s">
        <v>277</v>
      </c>
      <c r="C448" s="65" t="s">
        <v>209</v>
      </c>
      <c r="D448" s="79" t="s">
        <v>17</v>
      </c>
      <c r="E448" s="16"/>
      <c r="F448" s="95">
        <f>(8.85*2+3.2*4)*2.5-0.8*2.2*2-1*2.2</f>
        <v>70.53</v>
      </c>
      <c r="G448" s="133">
        <f>H448/F448</f>
        <v>23.025423728813561</v>
      </c>
      <c r="H448" s="133">
        <f>SUM(H450:H452)</f>
        <v>1623.9831355932204</v>
      </c>
      <c r="I448" s="133">
        <f>J448/F448</f>
        <v>12.5</v>
      </c>
      <c r="J448" s="133">
        <f>SUM(J450:J452)</f>
        <v>881.625</v>
      </c>
      <c r="K448" s="133">
        <f>L448/F448</f>
        <v>0</v>
      </c>
      <c r="L448" s="133">
        <f>SUM(L450:L452)</f>
        <v>0</v>
      </c>
      <c r="M448" s="133">
        <f>SUM(M450:M452)</f>
        <v>2505.6081355932201</v>
      </c>
      <c r="O448" s="130"/>
    </row>
    <row r="449" spans="1:15" s="19" customFormat="1" x14ac:dyDescent="0.25">
      <c r="A449" s="37"/>
      <c r="B449" s="134"/>
      <c r="C449" s="135" t="s">
        <v>266</v>
      </c>
      <c r="D449" s="134"/>
      <c r="E449" s="38"/>
      <c r="F449" s="39"/>
      <c r="G449" s="38"/>
      <c r="H449" s="38"/>
      <c r="I449" s="38"/>
      <c r="J449" s="38"/>
      <c r="K449" s="38"/>
      <c r="L449" s="161"/>
      <c r="M449" s="39"/>
      <c r="O449" s="130"/>
    </row>
    <row r="450" spans="1:15" s="44" customFormat="1" ht="14.25" x14ac:dyDescent="0.2">
      <c r="A450" s="140"/>
      <c r="B450" s="141"/>
      <c r="C450" s="142" t="s">
        <v>278</v>
      </c>
      <c r="D450" s="67" t="s">
        <v>17</v>
      </c>
      <c r="E450" s="164">
        <v>1</v>
      </c>
      <c r="F450" s="181">
        <f>E450*F448</f>
        <v>70.53</v>
      </c>
      <c r="G450" s="42">
        <v>0</v>
      </c>
      <c r="H450" s="42">
        <f>F450*G450</f>
        <v>0</v>
      </c>
      <c r="I450" s="42">
        <f>10*1.25</f>
        <v>12.5</v>
      </c>
      <c r="J450" s="42">
        <f>F450*I450</f>
        <v>881.625</v>
      </c>
      <c r="K450" s="38">
        <v>0</v>
      </c>
      <c r="L450" s="38">
        <f>F450*K450</f>
        <v>0</v>
      </c>
      <c r="M450" s="43">
        <f>H450+J450+L450</f>
        <v>881.625</v>
      </c>
      <c r="O450" s="130"/>
    </row>
    <row r="451" spans="1:15" s="146" customFormat="1" ht="24.75" x14ac:dyDescent="0.2">
      <c r="A451" s="45"/>
      <c r="B451" s="85"/>
      <c r="C451" s="142" t="s">
        <v>395</v>
      </c>
      <c r="D451" s="67" t="s">
        <v>17</v>
      </c>
      <c r="E451" s="164">
        <v>1</v>
      </c>
      <c r="F451" s="164">
        <f>F448*E451</f>
        <v>70.53</v>
      </c>
      <c r="G451" s="42">
        <v>21.5</v>
      </c>
      <c r="H451" s="42">
        <f>F451*G451</f>
        <v>1516.395</v>
      </c>
      <c r="I451" s="42">
        <v>0</v>
      </c>
      <c r="J451" s="42">
        <f>F451*I451</f>
        <v>0</v>
      </c>
      <c r="K451" s="38">
        <v>0</v>
      </c>
      <c r="L451" s="38">
        <f>F451*K451</f>
        <v>0</v>
      </c>
      <c r="M451" s="43">
        <f>H451+J451+L451</f>
        <v>1516.395</v>
      </c>
      <c r="O451" s="130"/>
    </row>
    <row r="452" spans="1:15" s="146" customFormat="1" x14ac:dyDescent="0.2">
      <c r="A452" s="193"/>
      <c r="B452" s="29" t="s">
        <v>393</v>
      </c>
      <c r="C452" s="166" t="s">
        <v>396</v>
      </c>
      <c r="D452" s="167" t="s">
        <v>321</v>
      </c>
      <c r="E452" s="171">
        <v>0.3</v>
      </c>
      <c r="F452" s="171">
        <f>F448*E452</f>
        <v>21.158999999999999</v>
      </c>
      <c r="G452" s="42">
        <f>30/5/1.18</f>
        <v>5.0847457627118651</v>
      </c>
      <c r="H452" s="42">
        <f>F452*G452</f>
        <v>107.58813559322034</v>
      </c>
      <c r="I452" s="42">
        <v>0</v>
      </c>
      <c r="J452" s="42">
        <f>F452*I452</f>
        <v>0</v>
      </c>
      <c r="K452" s="38">
        <v>0</v>
      </c>
      <c r="L452" s="38">
        <f>F452*K452</f>
        <v>0</v>
      </c>
      <c r="M452" s="43">
        <f>H452+J452+L452</f>
        <v>107.58813559322034</v>
      </c>
      <c r="O452" s="130"/>
    </row>
    <row r="453" spans="1:15" ht="15.75" thickBot="1" x14ac:dyDescent="0.3">
      <c r="A453" s="148"/>
      <c r="B453" s="149"/>
      <c r="C453" s="149"/>
      <c r="D453" s="178"/>
      <c r="E453" s="148"/>
      <c r="F453" s="148"/>
      <c r="G453" s="151"/>
      <c r="H453" s="151"/>
      <c r="I453" s="151"/>
      <c r="J453" s="151"/>
      <c r="K453" s="151"/>
      <c r="L453" s="151"/>
      <c r="M453" s="152"/>
      <c r="O453" s="130"/>
    </row>
    <row r="454" spans="1:15" s="36" customFormat="1" ht="24" x14ac:dyDescent="0.2">
      <c r="A454" s="21">
        <v>3</v>
      </c>
      <c r="B454" s="126" t="s">
        <v>277</v>
      </c>
      <c r="C454" s="65" t="s">
        <v>215</v>
      </c>
      <c r="D454" s="79" t="s">
        <v>17</v>
      </c>
      <c r="E454" s="16"/>
      <c r="F454" s="95">
        <f>F448+F442+39.1</f>
        <v>141.66999999999999</v>
      </c>
      <c r="G454" s="133">
        <f>H454/F454</f>
        <v>2.6460000000000004</v>
      </c>
      <c r="H454" s="133">
        <f>SUM(H456:H457)</f>
        <v>374.85882000000004</v>
      </c>
      <c r="I454" s="133">
        <f>J454/F454</f>
        <v>1.875</v>
      </c>
      <c r="J454" s="133">
        <f>SUM(J456:J457)</f>
        <v>265.63124999999997</v>
      </c>
      <c r="K454" s="133">
        <f>L454/F454</f>
        <v>0</v>
      </c>
      <c r="L454" s="133">
        <f>SUM(L456:L457)</f>
        <v>0</v>
      </c>
      <c r="M454" s="133">
        <f>SUM(M456:M457)</f>
        <v>640.49007000000006</v>
      </c>
      <c r="O454" s="130"/>
    </row>
    <row r="455" spans="1:15" s="19" customFormat="1" x14ac:dyDescent="0.25">
      <c r="A455" s="37"/>
      <c r="B455" s="134"/>
      <c r="C455" s="135" t="s">
        <v>266</v>
      </c>
      <c r="D455" s="134"/>
      <c r="E455" s="38"/>
      <c r="F455" s="39"/>
      <c r="G455" s="38"/>
      <c r="H455" s="38"/>
      <c r="I455" s="38"/>
      <c r="J455" s="38"/>
      <c r="K455" s="38"/>
      <c r="L455" s="161"/>
      <c r="M455" s="39"/>
      <c r="O455" s="130"/>
    </row>
    <row r="456" spans="1:15" s="44" customFormat="1" ht="14.25" x14ac:dyDescent="0.2">
      <c r="A456" s="140"/>
      <c r="B456" s="141"/>
      <c r="C456" s="142" t="s">
        <v>278</v>
      </c>
      <c r="D456" s="67" t="s">
        <v>17</v>
      </c>
      <c r="E456" s="164">
        <v>1</v>
      </c>
      <c r="F456" s="181">
        <f>E456*F454</f>
        <v>141.66999999999999</v>
      </c>
      <c r="G456" s="42">
        <v>0</v>
      </c>
      <c r="H456" s="42">
        <f>F456*G456</f>
        <v>0</v>
      </c>
      <c r="I456" s="42">
        <f>1.5*1.25</f>
        <v>1.875</v>
      </c>
      <c r="J456" s="42">
        <f>F456*I456</f>
        <v>265.63124999999997</v>
      </c>
      <c r="K456" s="38">
        <v>0</v>
      </c>
      <c r="L456" s="38">
        <f>F456*K456</f>
        <v>0</v>
      </c>
      <c r="M456" s="43">
        <f>H456+J456+L456</f>
        <v>265.63124999999997</v>
      </c>
      <c r="O456" s="130"/>
    </row>
    <row r="457" spans="1:15" s="146" customFormat="1" x14ac:dyDescent="0.2">
      <c r="A457" s="45"/>
      <c r="B457" s="29" t="s">
        <v>397</v>
      </c>
      <c r="C457" s="142" t="s">
        <v>398</v>
      </c>
      <c r="D457" s="67" t="s">
        <v>17</v>
      </c>
      <c r="E457" s="164">
        <v>1.05</v>
      </c>
      <c r="F457" s="164">
        <f>F454*E457</f>
        <v>148.7535</v>
      </c>
      <c r="G457" s="42">
        <v>2.52</v>
      </c>
      <c r="H457" s="42">
        <f>F457*G457</f>
        <v>374.85882000000004</v>
      </c>
      <c r="I457" s="42">
        <v>0</v>
      </c>
      <c r="J457" s="42">
        <f>F457*I457</f>
        <v>0</v>
      </c>
      <c r="K457" s="38">
        <v>0</v>
      </c>
      <c r="L457" s="38">
        <f>F457*K457</f>
        <v>0</v>
      </c>
      <c r="M457" s="43">
        <f>H457+J457+L457</f>
        <v>374.85882000000004</v>
      </c>
      <c r="O457" s="130"/>
    </row>
    <row r="458" spans="1:15" ht="15.75" thickBot="1" x14ac:dyDescent="0.3">
      <c r="A458" s="148"/>
      <c r="B458" s="149"/>
      <c r="C458" s="149"/>
      <c r="D458" s="178"/>
      <c r="E458" s="148"/>
      <c r="F458" s="148"/>
      <c r="G458" s="151"/>
      <c r="H458" s="151"/>
      <c r="I458" s="151"/>
      <c r="J458" s="151"/>
      <c r="K458" s="151"/>
      <c r="L458" s="151"/>
      <c r="M458" s="152"/>
      <c r="O458" s="130"/>
    </row>
    <row r="459" spans="1:15" s="36" customFormat="1" ht="24" x14ac:dyDescent="0.2">
      <c r="A459" s="21">
        <v>4</v>
      </c>
      <c r="B459" s="126" t="s">
        <v>277</v>
      </c>
      <c r="C459" s="65" t="s">
        <v>208</v>
      </c>
      <c r="D459" s="79" t="s">
        <v>17</v>
      </c>
      <c r="E459" s="16"/>
      <c r="F459" s="31">
        <f>9.1*3.45+3.2*2.4</f>
        <v>39.075000000000003</v>
      </c>
      <c r="G459" s="133">
        <f>H459/F459</f>
        <v>10.635423728813558</v>
      </c>
      <c r="H459" s="133">
        <f>SUM(H461:H464)</f>
        <v>415.57918220338985</v>
      </c>
      <c r="I459" s="133">
        <f>J459/F459</f>
        <v>3.7499999999999996</v>
      </c>
      <c r="J459" s="133">
        <f>SUM(J461:J464)</f>
        <v>146.53125</v>
      </c>
      <c r="K459" s="133">
        <f>L459/F459</f>
        <v>0</v>
      </c>
      <c r="L459" s="133">
        <f>SUM(L461:L464)</f>
        <v>0</v>
      </c>
      <c r="M459" s="133">
        <f>SUM(M461:M464)</f>
        <v>562.11043220338979</v>
      </c>
      <c r="O459" s="130"/>
    </row>
    <row r="460" spans="1:15" s="19" customFormat="1" x14ac:dyDescent="0.25">
      <c r="A460" s="37"/>
      <c r="B460" s="134"/>
      <c r="C460" s="135" t="s">
        <v>266</v>
      </c>
      <c r="D460" s="134"/>
      <c r="E460" s="38"/>
      <c r="F460" s="39"/>
      <c r="G460" s="38"/>
      <c r="H460" s="38"/>
      <c r="I460" s="38"/>
      <c r="J460" s="38"/>
      <c r="K460" s="38"/>
      <c r="L460" s="161"/>
      <c r="M460" s="39"/>
      <c r="O460" s="130"/>
    </row>
    <row r="461" spans="1:15" s="44" customFormat="1" ht="14.25" x14ac:dyDescent="0.2">
      <c r="A461" s="140"/>
      <c r="B461" s="141"/>
      <c r="C461" s="142" t="s">
        <v>278</v>
      </c>
      <c r="D461" s="67" t="s">
        <v>17</v>
      </c>
      <c r="E461" s="164">
        <v>1</v>
      </c>
      <c r="F461" s="181">
        <f>E461*F459</f>
        <v>39.075000000000003</v>
      </c>
      <c r="G461" s="42">
        <v>0</v>
      </c>
      <c r="H461" s="42">
        <f>F461*G461</f>
        <v>0</v>
      </c>
      <c r="I461" s="42">
        <f>3*1.25</f>
        <v>3.75</v>
      </c>
      <c r="J461" s="42">
        <f>F461*I461</f>
        <v>146.53125</v>
      </c>
      <c r="K461" s="38">
        <v>0</v>
      </c>
      <c r="L461" s="38">
        <f>F461*K461</f>
        <v>0</v>
      </c>
      <c r="M461" s="43">
        <f>H461+J461+L461</f>
        <v>146.53125</v>
      </c>
      <c r="O461" s="130"/>
    </row>
    <row r="462" spans="1:15" s="146" customFormat="1" x14ac:dyDescent="0.2">
      <c r="A462" s="45"/>
      <c r="B462" s="29" t="s">
        <v>399</v>
      </c>
      <c r="C462" s="142" t="s">
        <v>400</v>
      </c>
      <c r="D462" s="67" t="s">
        <v>17</v>
      </c>
      <c r="E462" s="164">
        <f>1.05*2</f>
        <v>2.1</v>
      </c>
      <c r="F462" s="164">
        <f>F459*E462</f>
        <v>82.057500000000005</v>
      </c>
      <c r="G462" s="42">
        <v>4.0999999999999996</v>
      </c>
      <c r="H462" s="42">
        <f>F462*G462</f>
        <v>336.43574999999998</v>
      </c>
      <c r="I462" s="42">
        <v>0</v>
      </c>
      <c r="J462" s="42">
        <f>F462*I462</f>
        <v>0</v>
      </c>
      <c r="K462" s="38">
        <v>0</v>
      </c>
      <c r="L462" s="38">
        <f>F462*K462</f>
        <v>0</v>
      </c>
      <c r="M462" s="43">
        <f>H462+J462+L462</f>
        <v>336.43574999999998</v>
      </c>
      <c r="O462" s="130"/>
    </row>
    <row r="463" spans="1:15" s="146" customFormat="1" x14ac:dyDescent="0.2">
      <c r="A463" s="193"/>
      <c r="B463" s="194"/>
      <c r="C463" s="166" t="s">
        <v>401</v>
      </c>
      <c r="D463" s="167" t="s">
        <v>2</v>
      </c>
      <c r="E463" s="171">
        <v>25</v>
      </c>
      <c r="F463" s="171">
        <f>F459*E463</f>
        <v>976.87500000000011</v>
      </c>
      <c r="G463" s="42">
        <v>0.02</v>
      </c>
      <c r="H463" s="42">
        <f>F463*G463</f>
        <v>19.537500000000001</v>
      </c>
      <c r="I463" s="42">
        <v>0</v>
      </c>
      <c r="J463" s="42">
        <f>F463*I463</f>
        <v>0</v>
      </c>
      <c r="K463" s="38">
        <v>0</v>
      </c>
      <c r="L463" s="38">
        <f>F463*K463</f>
        <v>0</v>
      </c>
      <c r="M463" s="43">
        <f>H463+J463+L463</f>
        <v>19.537500000000001</v>
      </c>
      <c r="O463" s="130"/>
    </row>
    <row r="464" spans="1:15" s="146" customFormat="1" x14ac:dyDescent="0.2">
      <c r="A464" s="193"/>
      <c r="B464" s="29" t="s">
        <v>393</v>
      </c>
      <c r="C464" s="166" t="s">
        <v>396</v>
      </c>
      <c r="D464" s="167" t="s">
        <v>321</v>
      </c>
      <c r="E464" s="171">
        <v>0.3</v>
      </c>
      <c r="F464" s="171">
        <f>F459*E464</f>
        <v>11.7225</v>
      </c>
      <c r="G464" s="42">
        <f>30/5/1.18</f>
        <v>5.0847457627118651</v>
      </c>
      <c r="H464" s="42">
        <f>F464*G464</f>
        <v>59.605932203389841</v>
      </c>
      <c r="I464" s="42">
        <v>0</v>
      </c>
      <c r="J464" s="42">
        <f>F464*I464</f>
        <v>0</v>
      </c>
      <c r="K464" s="38">
        <v>0</v>
      </c>
      <c r="L464" s="38">
        <f>F464*K464</f>
        <v>0</v>
      </c>
      <c r="M464" s="43">
        <f>H464+J464+L464</f>
        <v>59.605932203389841</v>
      </c>
      <c r="O464" s="130"/>
    </row>
    <row r="465" spans="1:15" ht="15.75" thickBot="1" x14ac:dyDescent="0.3">
      <c r="A465" s="148"/>
      <c r="B465" s="149"/>
      <c r="C465" s="149"/>
      <c r="D465" s="178"/>
      <c r="E465" s="148"/>
      <c r="F465" s="148"/>
      <c r="G465" s="151"/>
      <c r="H465" s="151"/>
      <c r="I465" s="151"/>
      <c r="J465" s="151"/>
      <c r="K465" s="151"/>
      <c r="L465" s="151"/>
      <c r="M465" s="152"/>
      <c r="O465" s="130"/>
    </row>
    <row r="466" spans="1:15" s="36" customFormat="1" ht="36" x14ac:dyDescent="0.2">
      <c r="A466" s="21">
        <v>5</v>
      </c>
      <c r="B466" s="126" t="s">
        <v>277</v>
      </c>
      <c r="C466" s="65" t="s">
        <v>210</v>
      </c>
      <c r="D466" s="79" t="s">
        <v>17</v>
      </c>
      <c r="E466" s="16"/>
      <c r="F466" s="31">
        <f>(7.01+4.43)*2.5</f>
        <v>28.599999999999998</v>
      </c>
      <c r="G466" s="133">
        <f>H466/F466</f>
        <v>23.549440559440562</v>
      </c>
      <c r="H466" s="133">
        <f>SUM(H468:H474)</f>
        <v>673.51400000000001</v>
      </c>
      <c r="I466" s="133">
        <f>J466/F466</f>
        <v>15</v>
      </c>
      <c r="J466" s="133">
        <f>SUM(J468:J474)</f>
        <v>428.99999999999994</v>
      </c>
      <c r="K466" s="133">
        <f>L466/F466</f>
        <v>0</v>
      </c>
      <c r="L466" s="133">
        <f>SUM(L468:L474)</f>
        <v>0</v>
      </c>
      <c r="M466" s="133">
        <f>SUM(M468:M474)</f>
        <v>1102.5139999999999</v>
      </c>
      <c r="O466" s="130"/>
    </row>
    <row r="467" spans="1:15" s="19" customFormat="1" x14ac:dyDescent="0.25">
      <c r="A467" s="37"/>
      <c r="B467" s="134"/>
      <c r="C467" s="135" t="s">
        <v>266</v>
      </c>
      <c r="D467" s="134"/>
      <c r="E467" s="38"/>
      <c r="F467" s="39"/>
      <c r="G467" s="38"/>
      <c r="H467" s="38"/>
      <c r="I467" s="38"/>
      <c r="J467" s="38"/>
      <c r="K467" s="38"/>
      <c r="L467" s="161"/>
      <c r="M467" s="39"/>
      <c r="O467" s="130"/>
    </row>
    <row r="468" spans="1:15" s="44" customFormat="1" ht="14.25" x14ac:dyDescent="0.2">
      <c r="A468" s="140"/>
      <c r="B468" s="126" t="s">
        <v>277</v>
      </c>
      <c r="C468" s="142" t="s">
        <v>278</v>
      </c>
      <c r="D468" s="67" t="s">
        <v>17</v>
      </c>
      <c r="E468" s="164">
        <v>1</v>
      </c>
      <c r="F468" s="181">
        <f>E468*F466</f>
        <v>28.599999999999998</v>
      </c>
      <c r="G468" s="42">
        <v>0</v>
      </c>
      <c r="H468" s="42">
        <f t="shared" ref="H468:H474" si="104">F468*G468</f>
        <v>0</v>
      </c>
      <c r="I468" s="42">
        <f>12*1.25</f>
        <v>15</v>
      </c>
      <c r="J468" s="42">
        <f t="shared" ref="J468:J474" si="105">F468*I468</f>
        <v>428.99999999999994</v>
      </c>
      <c r="K468" s="38">
        <v>0</v>
      </c>
      <c r="L468" s="38">
        <f t="shared" ref="L468:L474" si="106">F468*K468</f>
        <v>0</v>
      </c>
      <c r="M468" s="43">
        <f t="shared" ref="M468:M474" si="107">H468+J468+L468</f>
        <v>428.99999999999994</v>
      </c>
      <c r="O468" s="130"/>
    </row>
    <row r="469" spans="1:15" s="44" customFormat="1" ht="14.25" x14ac:dyDescent="0.2">
      <c r="A469" s="140"/>
      <c r="B469" s="29" t="s">
        <v>402</v>
      </c>
      <c r="C469" s="142" t="s">
        <v>403</v>
      </c>
      <c r="D469" s="67" t="s">
        <v>17</v>
      </c>
      <c r="E469" s="164">
        <f>1.1*4</f>
        <v>4.4000000000000004</v>
      </c>
      <c r="F469" s="181">
        <f>F466*E469</f>
        <v>125.84</v>
      </c>
      <c r="G469" s="42">
        <v>2.5</v>
      </c>
      <c r="H469" s="42">
        <f t="shared" si="104"/>
        <v>314.60000000000002</v>
      </c>
      <c r="I469" s="42">
        <v>0</v>
      </c>
      <c r="J469" s="42">
        <f t="shared" si="105"/>
        <v>0</v>
      </c>
      <c r="K469" s="38">
        <v>0</v>
      </c>
      <c r="L469" s="38">
        <f t="shared" si="106"/>
        <v>0</v>
      </c>
      <c r="M469" s="43">
        <f t="shared" si="107"/>
        <v>314.60000000000002</v>
      </c>
      <c r="O469" s="130"/>
    </row>
    <row r="470" spans="1:15" s="44" customFormat="1" ht="14.25" x14ac:dyDescent="0.2">
      <c r="A470" s="165"/>
      <c r="B470" s="29" t="s">
        <v>404</v>
      </c>
      <c r="C470" s="166" t="s">
        <v>405</v>
      </c>
      <c r="D470" s="167" t="s">
        <v>29</v>
      </c>
      <c r="E470" s="171"/>
      <c r="F470" s="179">
        <v>24</v>
      </c>
      <c r="G470" s="42">
        <v>1.4</v>
      </c>
      <c r="H470" s="42">
        <f t="shared" si="104"/>
        <v>33.599999999999994</v>
      </c>
      <c r="I470" s="42">
        <v>0</v>
      </c>
      <c r="J470" s="42">
        <f t="shared" si="105"/>
        <v>0</v>
      </c>
      <c r="K470" s="38">
        <v>0</v>
      </c>
      <c r="L470" s="38">
        <f t="shared" si="106"/>
        <v>0</v>
      </c>
      <c r="M470" s="43">
        <f t="shared" si="107"/>
        <v>33.599999999999994</v>
      </c>
      <c r="O470" s="130"/>
    </row>
    <row r="471" spans="1:15" s="44" customFormat="1" ht="14.25" x14ac:dyDescent="0.2">
      <c r="A471" s="165"/>
      <c r="B471" s="29" t="s">
        <v>406</v>
      </c>
      <c r="C471" s="166" t="s">
        <v>407</v>
      </c>
      <c r="D471" s="167" t="s">
        <v>29</v>
      </c>
      <c r="E471" s="171"/>
      <c r="F471" s="179">
        <f>11/0.2*3</f>
        <v>165</v>
      </c>
      <c r="G471" s="42">
        <v>1.8</v>
      </c>
      <c r="H471" s="42">
        <f t="shared" si="104"/>
        <v>297</v>
      </c>
      <c r="I471" s="42">
        <v>0</v>
      </c>
      <c r="J471" s="42">
        <f t="shared" si="105"/>
        <v>0</v>
      </c>
      <c r="K471" s="38">
        <v>0</v>
      </c>
      <c r="L471" s="38">
        <f t="shared" si="106"/>
        <v>0</v>
      </c>
      <c r="M471" s="43">
        <f t="shared" si="107"/>
        <v>297</v>
      </c>
      <c r="O471" s="130"/>
    </row>
    <row r="472" spans="1:15" s="146" customFormat="1" x14ac:dyDescent="0.2">
      <c r="A472" s="193"/>
      <c r="B472" s="194"/>
      <c r="C472" s="166" t="s">
        <v>408</v>
      </c>
      <c r="D472" s="167" t="s">
        <v>2</v>
      </c>
      <c r="E472" s="171">
        <v>17</v>
      </c>
      <c r="F472" s="171">
        <f>E472*F466</f>
        <v>486.2</v>
      </c>
      <c r="G472" s="42">
        <v>0.01</v>
      </c>
      <c r="H472" s="42">
        <f t="shared" si="104"/>
        <v>4.8620000000000001</v>
      </c>
      <c r="I472" s="42">
        <v>0</v>
      </c>
      <c r="J472" s="42">
        <f t="shared" si="105"/>
        <v>0</v>
      </c>
      <c r="K472" s="38">
        <v>0</v>
      </c>
      <c r="L472" s="38">
        <f t="shared" si="106"/>
        <v>0</v>
      </c>
      <c r="M472" s="43">
        <f t="shared" si="107"/>
        <v>4.8620000000000001</v>
      </c>
      <c r="O472" s="130"/>
    </row>
    <row r="473" spans="1:15" s="146" customFormat="1" x14ac:dyDescent="0.2">
      <c r="A473" s="193"/>
      <c r="B473" s="194"/>
      <c r="C473" s="166" t="s">
        <v>401</v>
      </c>
      <c r="D473" s="167" t="s">
        <v>2</v>
      </c>
      <c r="E473" s="171">
        <v>20</v>
      </c>
      <c r="F473" s="171">
        <f>F468*E473</f>
        <v>572</v>
      </c>
      <c r="G473" s="42">
        <v>0.02</v>
      </c>
      <c r="H473" s="42">
        <f t="shared" si="104"/>
        <v>11.44</v>
      </c>
      <c r="I473" s="42">
        <v>0</v>
      </c>
      <c r="J473" s="42">
        <f t="shared" si="105"/>
        <v>0</v>
      </c>
      <c r="K473" s="38">
        <v>0</v>
      </c>
      <c r="L473" s="38">
        <f t="shared" si="106"/>
        <v>0</v>
      </c>
      <c r="M473" s="43">
        <f t="shared" si="107"/>
        <v>11.44</v>
      </c>
      <c r="O473" s="130"/>
    </row>
    <row r="474" spans="1:15" s="146" customFormat="1" x14ac:dyDescent="0.2">
      <c r="A474" s="193"/>
      <c r="B474" s="29" t="s">
        <v>393</v>
      </c>
      <c r="C474" s="166" t="s">
        <v>394</v>
      </c>
      <c r="D474" s="167" t="s">
        <v>321</v>
      </c>
      <c r="E474" s="171">
        <v>1.2</v>
      </c>
      <c r="F474" s="171">
        <f>F466*E474</f>
        <v>34.319999999999993</v>
      </c>
      <c r="G474" s="42">
        <v>0.35</v>
      </c>
      <c r="H474" s="42">
        <f t="shared" si="104"/>
        <v>12.011999999999997</v>
      </c>
      <c r="I474" s="42">
        <v>0</v>
      </c>
      <c r="J474" s="42">
        <f t="shared" si="105"/>
        <v>0</v>
      </c>
      <c r="K474" s="38">
        <v>0</v>
      </c>
      <c r="L474" s="38">
        <f t="shared" si="106"/>
        <v>0</v>
      </c>
      <c r="M474" s="43">
        <f t="shared" si="107"/>
        <v>12.011999999999997</v>
      </c>
      <c r="O474" s="130"/>
    </row>
    <row r="475" spans="1:15" ht="15.75" thickBot="1" x14ac:dyDescent="0.3">
      <c r="A475" s="148"/>
      <c r="B475" s="149"/>
      <c r="C475" s="149"/>
      <c r="D475" s="178"/>
      <c r="E475" s="148"/>
      <c r="F475" s="148"/>
      <c r="G475" s="151"/>
      <c r="H475" s="151"/>
      <c r="I475" s="151"/>
      <c r="J475" s="151"/>
      <c r="K475" s="151"/>
      <c r="L475" s="151"/>
      <c r="M475" s="152"/>
      <c r="O475" s="130"/>
    </row>
    <row r="476" spans="1:15" s="36" customFormat="1" ht="36" x14ac:dyDescent="0.2">
      <c r="A476" s="21">
        <v>6</v>
      </c>
      <c r="B476" s="126" t="s">
        <v>277</v>
      </c>
      <c r="C476" s="65" t="s">
        <v>211</v>
      </c>
      <c r="D476" s="79" t="s">
        <v>17</v>
      </c>
      <c r="E476" s="16"/>
      <c r="F476" s="31">
        <f>2.46*2*2+1.25*2*2</f>
        <v>14.84</v>
      </c>
      <c r="G476" s="133">
        <f>H476/F476</f>
        <v>22.138544474393534</v>
      </c>
      <c r="H476" s="133">
        <f>SUM(H478:H480)</f>
        <v>328.53600000000006</v>
      </c>
      <c r="I476" s="133">
        <f>J476/F476</f>
        <v>25</v>
      </c>
      <c r="J476" s="133">
        <f>SUM(J478:J480)</f>
        <v>371</v>
      </c>
      <c r="K476" s="133">
        <f>L476/F476</f>
        <v>0</v>
      </c>
      <c r="L476" s="133">
        <f>SUM(L478:L480)</f>
        <v>0</v>
      </c>
      <c r="M476" s="133">
        <f>SUM(M478:M480)</f>
        <v>699.53600000000006</v>
      </c>
      <c r="O476" s="130"/>
    </row>
    <row r="477" spans="1:15" s="19" customFormat="1" x14ac:dyDescent="0.25">
      <c r="A477" s="37"/>
      <c r="B477" s="134"/>
      <c r="C477" s="135" t="s">
        <v>266</v>
      </c>
      <c r="D477" s="134"/>
      <c r="E477" s="38"/>
      <c r="F477" s="39"/>
      <c r="G477" s="38"/>
      <c r="H477" s="38"/>
      <c r="I477" s="38"/>
      <c r="J477" s="38"/>
      <c r="K477" s="38"/>
      <c r="L477" s="161"/>
      <c r="M477" s="39"/>
      <c r="O477" s="130"/>
    </row>
    <row r="478" spans="1:15" s="44" customFormat="1" ht="14.25" x14ac:dyDescent="0.2">
      <c r="A478" s="140"/>
      <c r="B478" s="126" t="s">
        <v>277</v>
      </c>
      <c r="C478" s="142" t="s">
        <v>278</v>
      </c>
      <c r="D478" s="67" t="s">
        <v>17</v>
      </c>
      <c r="E478" s="164">
        <v>1</v>
      </c>
      <c r="F478" s="181">
        <f>E478*F476</f>
        <v>14.84</v>
      </c>
      <c r="G478" s="42">
        <v>0</v>
      </c>
      <c r="H478" s="42">
        <f>F478*G478</f>
        <v>0</v>
      </c>
      <c r="I478" s="42">
        <f>20*1.25</f>
        <v>25</v>
      </c>
      <c r="J478" s="42">
        <f>F478*I478</f>
        <v>371</v>
      </c>
      <c r="K478" s="38">
        <v>0</v>
      </c>
      <c r="L478" s="38">
        <f>F478*K478</f>
        <v>0</v>
      </c>
      <c r="M478" s="43">
        <f>H478+J478+L478</f>
        <v>371</v>
      </c>
      <c r="O478" s="130"/>
    </row>
    <row r="479" spans="1:15" s="44" customFormat="1" ht="25.5" x14ac:dyDescent="0.2">
      <c r="A479" s="140"/>
      <c r="B479" s="29" t="s">
        <v>402</v>
      </c>
      <c r="C479" s="142" t="s">
        <v>409</v>
      </c>
      <c r="D479" s="67" t="s">
        <v>17</v>
      </c>
      <c r="E479" s="164">
        <v>1.1000000000000001</v>
      </c>
      <c r="F479" s="181">
        <f>F476*E479</f>
        <v>16.324000000000002</v>
      </c>
      <c r="G479" s="42">
        <v>14</v>
      </c>
      <c r="H479" s="42">
        <f>F479*G479</f>
        <v>228.53600000000003</v>
      </c>
      <c r="I479" s="42">
        <v>0</v>
      </c>
      <c r="J479" s="42">
        <f>F479*I479</f>
        <v>0</v>
      </c>
      <c r="K479" s="38">
        <v>0</v>
      </c>
      <c r="L479" s="38">
        <f>F479*K479</f>
        <v>0</v>
      </c>
      <c r="M479" s="43">
        <f>H479+J479+L479</f>
        <v>228.53600000000003</v>
      </c>
      <c r="O479" s="130"/>
    </row>
    <row r="480" spans="1:15" s="44" customFormat="1" ht="14.25" x14ac:dyDescent="0.2">
      <c r="A480" s="165"/>
      <c r="B480" s="29" t="s">
        <v>404</v>
      </c>
      <c r="C480" s="166" t="s">
        <v>410</v>
      </c>
      <c r="D480" s="167" t="s">
        <v>18</v>
      </c>
      <c r="E480" s="171"/>
      <c r="F480" s="179">
        <v>1</v>
      </c>
      <c r="G480" s="42">
        <v>100</v>
      </c>
      <c r="H480" s="42">
        <f>F480*G480</f>
        <v>100</v>
      </c>
      <c r="I480" s="42">
        <v>0</v>
      </c>
      <c r="J480" s="42">
        <f>F480*I480</f>
        <v>0</v>
      </c>
      <c r="K480" s="38">
        <v>0</v>
      </c>
      <c r="L480" s="38">
        <f>F480*K480</f>
        <v>0</v>
      </c>
      <c r="M480" s="43">
        <f>H480+J480+L480</f>
        <v>100</v>
      </c>
      <c r="O480" s="130"/>
    </row>
    <row r="481" spans="1:16" ht="5.0999999999999996" customHeight="1" thickBot="1" x14ac:dyDescent="0.3">
      <c r="A481" s="148"/>
      <c r="B481" s="149"/>
      <c r="C481" s="149"/>
      <c r="D481" s="178"/>
      <c r="E481" s="148"/>
      <c r="F481" s="148"/>
      <c r="G481" s="151"/>
      <c r="H481" s="151"/>
      <c r="I481" s="151"/>
      <c r="J481" s="151"/>
      <c r="K481" s="151"/>
      <c r="L481" s="151"/>
      <c r="M481" s="152"/>
      <c r="O481" s="130"/>
    </row>
    <row r="482" spans="1:16" s="34" customFormat="1" ht="20.100000000000001" customHeight="1" x14ac:dyDescent="0.25">
      <c r="A482" s="48"/>
      <c r="B482" s="156"/>
      <c r="C482" s="70" t="s">
        <v>214</v>
      </c>
      <c r="D482" s="49"/>
      <c r="E482" s="50"/>
      <c r="F482" s="50"/>
      <c r="G482" s="51"/>
      <c r="H482" s="159">
        <f>H476+H466+H459+H454+H448+H442</f>
        <v>3830.4279377966104</v>
      </c>
      <c r="I482" s="52"/>
      <c r="J482" s="159">
        <f>J476+J466+J459+J454+J448+J442</f>
        <v>2374.1374999999998</v>
      </c>
      <c r="K482" s="52"/>
      <c r="L482" s="159">
        <f>L476+L466+L459+L454+L448+L442</f>
        <v>0</v>
      </c>
      <c r="M482" s="159">
        <f>M476+M466+M459+M454+M448+M442</f>
        <v>6204.5654377966102</v>
      </c>
      <c r="O482" s="130"/>
    </row>
    <row r="483" spans="1:16" s="36" customFormat="1" ht="19.5" customHeight="1" x14ac:dyDescent="0.2">
      <c r="A483" s="21"/>
      <c r="B483" s="126"/>
      <c r="C483" s="76" t="s">
        <v>236</v>
      </c>
      <c r="D483" s="68"/>
      <c r="E483" s="191"/>
      <c r="F483" s="80"/>
      <c r="G483" s="60"/>
      <c r="H483" s="60"/>
      <c r="I483" s="60"/>
      <c r="J483" s="60"/>
      <c r="K483" s="61"/>
      <c r="L483" s="61"/>
      <c r="M483" s="62"/>
      <c r="O483" s="130"/>
    </row>
    <row r="484" spans="1:16" customFormat="1" ht="38.25" customHeight="1" x14ac:dyDescent="0.25">
      <c r="A484" s="89">
        <v>1</v>
      </c>
      <c r="B484" s="173" t="s">
        <v>411</v>
      </c>
      <c r="C484" s="96" t="s">
        <v>253</v>
      </c>
      <c r="D484" s="90" t="s">
        <v>412</v>
      </c>
      <c r="E484" s="164"/>
      <c r="F484" s="31">
        <f>((3.2+2.1+1.2+1.3+2+3.4)*2*2.5-0.8*2.2*2+(1.6+2)*2*2.5-1*2.2)</f>
        <v>78.279999999999987</v>
      </c>
      <c r="G484" s="133">
        <f>H484/F484</f>
        <v>21.251186440677969</v>
      </c>
      <c r="H484" s="133">
        <f>SUM(H486:H490)</f>
        <v>1663.5428745762713</v>
      </c>
      <c r="I484" s="133">
        <f>J484/F484</f>
        <v>17.5</v>
      </c>
      <c r="J484" s="133">
        <f>SUM(J486:J490)</f>
        <v>1369.8999999999999</v>
      </c>
      <c r="K484" s="133">
        <f>L484/F484</f>
        <v>6.4000000000000015E-2</v>
      </c>
      <c r="L484" s="133">
        <f>SUM(L486:L490)</f>
        <v>5.0099200000000002</v>
      </c>
      <c r="M484" s="133">
        <f>SUM(M486:M490)</f>
        <v>3038.4527945762707</v>
      </c>
      <c r="O484" s="130"/>
    </row>
    <row r="485" spans="1:16" customFormat="1" ht="20.25" customHeight="1" x14ac:dyDescent="0.25">
      <c r="A485" s="89"/>
      <c r="B485" s="67"/>
      <c r="C485" s="40" t="s">
        <v>413</v>
      </c>
      <c r="D485" s="124"/>
      <c r="E485" s="164"/>
      <c r="F485" s="164"/>
      <c r="G485" s="164"/>
      <c r="H485" s="164"/>
      <c r="I485" s="164"/>
      <c r="J485" s="164"/>
      <c r="K485" s="164"/>
      <c r="L485" s="164"/>
      <c r="M485" s="164"/>
      <c r="O485" s="130"/>
    </row>
    <row r="486" spans="1:16" customFormat="1" ht="20.25" customHeight="1" x14ac:dyDescent="0.25">
      <c r="A486" s="89"/>
      <c r="B486" s="136"/>
      <c r="C486" s="40" t="s">
        <v>414</v>
      </c>
      <c r="D486" s="124" t="s">
        <v>412</v>
      </c>
      <c r="E486" s="164">
        <v>1</v>
      </c>
      <c r="F486" s="164">
        <f>E486*F484</f>
        <v>78.279999999999987</v>
      </c>
      <c r="G486" s="42">
        <v>0</v>
      </c>
      <c r="H486" s="42">
        <f>F486*G486</f>
        <v>0</v>
      </c>
      <c r="I486" s="42">
        <f>14*1.25</f>
        <v>17.5</v>
      </c>
      <c r="J486" s="42">
        <f>F486*I486</f>
        <v>1369.8999999999999</v>
      </c>
      <c r="K486" s="38">
        <v>0</v>
      </c>
      <c r="L486" s="38">
        <f>F486*K486</f>
        <v>0</v>
      </c>
      <c r="M486" s="43">
        <f>H486+J486+L486</f>
        <v>1369.8999999999999</v>
      </c>
      <c r="O486" s="130"/>
      <c r="P486" s="195"/>
    </row>
    <row r="487" spans="1:16" s="199" customFormat="1" ht="20.25" customHeight="1" x14ac:dyDescent="0.25">
      <c r="A487" s="196"/>
      <c r="B487" s="197"/>
      <c r="C487" s="40" t="s">
        <v>415</v>
      </c>
      <c r="D487" s="81" t="s">
        <v>92</v>
      </c>
      <c r="E487" s="198">
        <f>2/100</f>
        <v>0.02</v>
      </c>
      <c r="F487" s="198">
        <f>E487*F484</f>
        <v>1.5655999999999999</v>
      </c>
      <c r="G487" s="42">
        <v>0</v>
      </c>
      <c r="H487" s="42">
        <f>F487*G487</f>
        <v>0</v>
      </c>
      <c r="I487" s="42">
        <v>0</v>
      </c>
      <c r="J487" s="42">
        <f>F487*I487</f>
        <v>0</v>
      </c>
      <c r="K487" s="38">
        <v>3.2</v>
      </c>
      <c r="L487" s="38">
        <f>F487*K487</f>
        <v>5.0099200000000002</v>
      </c>
      <c r="M487" s="43">
        <f>H487+J487+L487</f>
        <v>5.0099200000000002</v>
      </c>
      <c r="O487" s="130"/>
      <c r="P487" s="195"/>
    </row>
    <row r="488" spans="1:16" customFormat="1" ht="20.25" customHeight="1" x14ac:dyDescent="0.25">
      <c r="A488" s="89"/>
      <c r="B488" s="29" t="s">
        <v>416</v>
      </c>
      <c r="C488" s="40" t="s">
        <v>417</v>
      </c>
      <c r="D488" s="124" t="s">
        <v>412</v>
      </c>
      <c r="E488" s="164">
        <f>102/100</f>
        <v>1.02</v>
      </c>
      <c r="F488" s="164">
        <f>E488*F484</f>
        <v>79.84559999999999</v>
      </c>
      <c r="G488" s="42">
        <v>17</v>
      </c>
      <c r="H488" s="42">
        <f>F488*G488</f>
        <v>1357.3751999999999</v>
      </c>
      <c r="I488" s="38">
        <v>0</v>
      </c>
      <c r="J488" s="38">
        <f>F488*I488</f>
        <v>0</v>
      </c>
      <c r="K488" s="38">
        <v>0</v>
      </c>
      <c r="L488" s="38">
        <f>F488*K488</f>
        <v>0</v>
      </c>
      <c r="M488" s="43">
        <f>H488+J488+L488</f>
        <v>1357.3751999999999</v>
      </c>
      <c r="O488" s="130"/>
      <c r="P488" s="195"/>
    </row>
    <row r="489" spans="1:16" customFormat="1" ht="20.25" customHeight="1" x14ac:dyDescent="0.25">
      <c r="A489" s="89"/>
      <c r="B489" s="29" t="s">
        <v>378</v>
      </c>
      <c r="C489" s="40" t="s">
        <v>418</v>
      </c>
      <c r="D489" s="124" t="s">
        <v>321</v>
      </c>
      <c r="E489" s="184">
        <v>6</v>
      </c>
      <c r="F489" s="164">
        <f>E489*F484</f>
        <v>469.67999999999995</v>
      </c>
      <c r="G489" s="42">
        <v>0.44</v>
      </c>
      <c r="H489" s="42">
        <f>F489*G489</f>
        <v>206.65919999999997</v>
      </c>
      <c r="I489" s="38">
        <v>0</v>
      </c>
      <c r="J489" s="38">
        <f>F489*I489</f>
        <v>0</v>
      </c>
      <c r="K489" s="38">
        <v>0</v>
      </c>
      <c r="L489" s="38">
        <f>F489*K489</f>
        <v>0</v>
      </c>
      <c r="M489" s="43">
        <f>H489+J489+L489</f>
        <v>206.65919999999997</v>
      </c>
      <c r="O489" s="130"/>
      <c r="P489" s="195"/>
    </row>
    <row r="490" spans="1:16" customFormat="1" ht="20.25" customHeight="1" x14ac:dyDescent="0.25">
      <c r="A490" s="89"/>
      <c r="B490" s="136"/>
      <c r="C490" s="40" t="s">
        <v>419</v>
      </c>
      <c r="D490" s="134" t="s">
        <v>92</v>
      </c>
      <c r="E490" s="164">
        <f>0.5/100</f>
        <v>5.0000000000000001E-3</v>
      </c>
      <c r="F490" s="164">
        <f>E490*F484</f>
        <v>0.39139999999999997</v>
      </c>
      <c r="G490" s="42">
        <f>300/1.18</f>
        <v>254.23728813559325</v>
      </c>
      <c r="H490" s="42">
        <f>F490*G490</f>
        <v>99.508474576271183</v>
      </c>
      <c r="I490" s="38">
        <v>0</v>
      </c>
      <c r="J490" s="38">
        <f>F490*I490</f>
        <v>0</v>
      </c>
      <c r="K490" s="38">
        <v>0</v>
      </c>
      <c r="L490" s="38">
        <f>F490*K490</f>
        <v>0</v>
      </c>
      <c r="M490" s="43">
        <f>H490+J490+L490</f>
        <v>99.508474576271183</v>
      </c>
      <c r="O490" s="130"/>
      <c r="P490" s="195"/>
    </row>
    <row r="491" spans="1:16" customFormat="1" ht="5.0999999999999996" customHeight="1" thickBot="1" x14ac:dyDescent="0.3">
      <c r="A491" s="200"/>
      <c r="B491" s="201"/>
      <c r="C491" s="202"/>
      <c r="D491" s="203"/>
      <c r="E491" s="186"/>
      <c r="F491" s="186"/>
      <c r="G491" s="186"/>
      <c r="H491" s="186"/>
      <c r="I491" s="186"/>
      <c r="J491" s="186"/>
      <c r="K491" s="186"/>
      <c r="L491" s="186"/>
      <c r="M491" s="186"/>
      <c r="O491" s="130"/>
    </row>
    <row r="492" spans="1:16" s="36" customFormat="1" ht="24.75" customHeight="1" x14ac:dyDescent="0.2">
      <c r="A492" s="21">
        <v>2</v>
      </c>
      <c r="B492" s="126" t="s">
        <v>277</v>
      </c>
      <c r="C492" s="94" t="s">
        <v>252</v>
      </c>
      <c r="D492" s="117" t="s">
        <v>19</v>
      </c>
      <c r="E492" s="16"/>
      <c r="F492" s="64">
        <v>4</v>
      </c>
      <c r="G492" s="133">
        <f>H492/F492</f>
        <v>254.23728813559325</v>
      </c>
      <c r="H492" s="133">
        <f>SUM(H494:H495)</f>
        <v>1016.949152542373</v>
      </c>
      <c r="I492" s="133">
        <f>J492/F492</f>
        <v>40</v>
      </c>
      <c r="J492" s="133">
        <f>SUM(J494:J495)</f>
        <v>160</v>
      </c>
      <c r="K492" s="133">
        <f>L492/F492</f>
        <v>0</v>
      </c>
      <c r="L492" s="133">
        <f>SUM(L494:L495)</f>
        <v>0</v>
      </c>
      <c r="M492" s="133">
        <f>SUM(M494:M495)</f>
        <v>1176.949152542373</v>
      </c>
      <c r="O492" s="130"/>
    </row>
    <row r="493" spans="1:16" s="19" customFormat="1" ht="20.100000000000001" customHeight="1" x14ac:dyDescent="0.25">
      <c r="A493" s="37"/>
      <c r="B493" s="134"/>
      <c r="C493" s="135" t="s">
        <v>266</v>
      </c>
      <c r="D493" s="134"/>
      <c r="E493" s="38"/>
      <c r="F493" s="39"/>
      <c r="G493" s="38"/>
      <c r="H493" s="38"/>
      <c r="I493" s="38"/>
      <c r="J493" s="38"/>
      <c r="K493" s="38"/>
      <c r="L493" s="161"/>
      <c r="M493" s="39"/>
      <c r="O493" s="130"/>
    </row>
    <row r="494" spans="1:16" s="205" customFormat="1" ht="20.100000000000001" customHeight="1" x14ac:dyDescent="0.25">
      <c r="A494" s="204"/>
      <c r="B494" s="197"/>
      <c r="C494" s="142" t="s">
        <v>278</v>
      </c>
      <c r="D494" s="124" t="s">
        <v>19</v>
      </c>
      <c r="E494" s="164">
        <v>1</v>
      </c>
      <c r="F494" s="41">
        <f>F492*E494</f>
        <v>4</v>
      </c>
      <c r="G494" s="42">
        <v>0</v>
      </c>
      <c r="H494" s="42">
        <f>F494*G494</f>
        <v>0</v>
      </c>
      <c r="I494" s="42">
        <v>40</v>
      </c>
      <c r="J494" s="42">
        <f>F494*I494</f>
        <v>160</v>
      </c>
      <c r="K494" s="38">
        <v>0</v>
      </c>
      <c r="L494" s="38">
        <f>F494*K494</f>
        <v>0</v>
      </c>
      <c r="M494" s="43">
        <f>H494+J494+L494</f>
        <v>160</v>
      </c>
      <c r="O494" s="130"/>
      <c r="P494" s="195"/>
    </row>
    <row r="495" spans="1:16" s="207" customFormat="1" ht="20.100000000000001" customHeight="1" x14ac:dyDescent="0.25">
      <c r="A495" s="206"/>
      <c r="B495" s="29"/>
      <c r="C495" s="142" t="s">
        <v>420</v>
      </c>
      <c r="D495" s="124" t="s">
        <v>19</v>
      </c>
      <c r="E495" s="38"/>
      <c r="F495" s="38">
        <v>4</v>
      </c>
      <c r="G495" s="42">
        <f>300/1.18</f>
        <v>254.23728813559325</v>
      </c>
      <c r="H495" s="42">
        <f>F495*G495</f>
        <v>1016.949152542373</v>
      </c>
      <c r="I495" s="38">
        <v>0</v>
      </c>
      <c r="J495" s="38">
        <f>F495*I495</f>
        <v>0</v>
      </c>
      <c r="K495" s="38">
        <v>0</v>
      </c>
      <c r="L495" s="38">
        <f>F495*K495</f>
        <v>0</v>
      </c>
      <c r="M495" s="43">
        <f>H495+J495+L495</f>
        <v>1016.949152542373</v>
      </c>
      <c r="O495" s="130"/>
      <c r="P495" s="195"/>
    </row>
    <row r="496" spans="1:16" ht="5.0999999999999996" customHeight="1" thickBot="1" x14ac:dyDescent="0.3">
      <c r="A496" s="148"/>
      <c r="B496" s="149"/>
      <c r="C496" s="149"/>
      <c r="D496" s="178"/>
      <c r="E496" s="151"/>
      <c r="F496" s="151"/>
      <c r="G496" s="151"/>
      <c r="H496" s="151"/>
      <c r="I496" s="151"/>
      <c r="J496" s="151"/>
      <c r="K496" s="151"/>
      <c r="L496" s="151"/>
      <c r="M496" s="152"/>
      <c r="O496" s="130"/>
    </row>
    <row r="497" spans="1:16" s="36" customFormat="1" ht="28.5" customHeight="1" x14ac:dyDescent="0.2">
      <c r="A497" s="21">
        <v>3</v>
      </c>
      <c r="B497" s="131" t="s">
        <v>421</v>
      </c>
      <c r="C497" s="88" t="s">
        <v>212</v>
      </c>
      <c r="D497" s="35" t="s">
        <v>412</v>
      </c>
      <c r="E497" s="16"/>
      <c r="F497" s="31">
        <f>((3.45*2+8.85*2+1.2*2)*2.6-0.8*2.2*2-1*2.2+(2.5+3.2)*2*2.5+(2.7+3.4)*2*2.6-0.8*2.2*2)+F466*2</f>
        <v>178.38</v>
      </c>
      <c r="G497" s="133">
        <f>H497/F497</f>
        <v>1.9874000000000003</v>
      </c>
      <c r="H497" s="133">
        <f>SUM(H499:H503)</f>
        <v>354.51241200000004</v>
      </c>
      <c r="I497" s="133">
        <f>J497/F497</f>
        <v>4.5</v>
      </c>
      <c r="J497" s="133">
        <f>SUM(J499:J503)</f>
        <v>802.71</v>
      </c>
      <c r="K497" s="133">
        <f>L497/F497</f>
        <v>2.8800000000000003E-2</v>
      </c>
      <c r="L497" s="133">
        <f>SUM(L499:L503)</f>
        <v>5.1373440000000006</v>
      </c>
      <c r="M497" s="133">
        <f>SUM(M499:M503)</f>
        <v>1162.3597559999998</v>
      </c>
      <c r="O497" s="130"/>
    </row>
    <row r="498" spans="1:16" s="211" customFormat="1" ht="20.100000000000001" customHeight="1" x14ac:dyDescent="0.25">
      <c r="A498" s="208"/>
      <c r="B498" s="209"/>
      <c r="C498" s="210" t="s">
        <v>413</v>
      </c>
      <c r="D498" s="134"/>
      <c r="E498" s="38"/>
      <c r="F498" s="39"/>
      <c r="G498" s="38"/>
      <c r="H498" s="38"/>
      <c r="I498" s="38"/>
      <c r="J498" s="38"/>
      <c r="K498" s="38"/>
      <c r="L498" s="161"/>
      <c r="M498" s="137"/>
      <c r="O498" s="130"/>
    </row>
    <row r="499" spans="1:16" s="205" customFormat="1" ht="20.100000000000001" customHeight="1" x14ac:dyDescent="0.25">
      <c r="A499" s="204"/>
      <c r="B499" s="126" t="s">
        <v>277</v>
      </c>
      <c r="C499" s="40" t="s">
        <v>422</v>
      </c>
      <c r="D499" s="124" t="s">
        <v>412</v>
      </c>
      <c r="E499" s="164">
        <v>1</v>
      </c>
      <c r="F499" s="41">
        <f>F497*E499</f>
        <v>178.38</v>
      </c>
      <c r="G499" s="42">
        <v>0</v>
      </c>
      <c r="H499" s="42">
        <f>F499*G499</f>
        <v>0</v>
      </c>
      <c r="I499" s="42">
        <f>3.6*1.25</f>
        <v>4.5</v>
      </c>
      <c r="J499" s="42">
        <f>F499*I499</f>
        <v>802.71</v>
      </c>
      <c r="K499" s="38">
        <v>0</v>
      </c>
      <c r="L499" s="38">
        <f>F499*K499</f>
        <v>0</v>
      </c>
      <c r="M499" s="43">
        <f>H499+J499+L499</f>
        <v>802.71</v>
      </c>
      <c r="O499" s="130"/>
      <c r="P499" s="195"/>
    </row>
    <row r="500" spans="1:16" s="207" customFormat="1" ht="20.100000000000001" customHeight="1" x14ac:dyDescent="0.25">
      <c r="A500" s="206"/>
      <c r="B500" s="212"/>
      <c r="C500" s="40" t="s">
        <v>423</v>
      </c>
      <c r="D500" s="124" t="s">
        <v>92</v>
      </c>
      <c r="E500" s="38">
        <f>0.9/100</f>
        <v>9.0000000000000011E-3</v>
      </c>
      <c r="F500" s="38">
        <f>E500*F497</f>
        <v>1.6054200000000001</v>
      </c>
      <c r="G500" s="42">
        <v>0</v>
      </c>
      <c r="H500" s="42">
        <f>F500*G500</f>
        <v>0</v>
      </c>
      <c r="I500" s="42">
        <v>0</v>
      </c>
      <c r="J500" s="42">
        <f>F500*I500</f>
        <v>0</v>
      </c>
      <c r="K500" s="38">
        <v>3.2</v>
      </c>
      <c r="L500" s="38">
        <f>F500*K500</f>
        <v>5.1373440000000006</v>
      </c>
      <c r="M500" s="43">
        <f>H500+J500+L500</f>
        <v>5.1373440000000006</v>
      </c>
      <c r="O500" s="130"/>
      <c r="P500" s="195"/>
    </row>
    <row r="501" spans="1:16" s="207" customFormat="1" ht="20.100000000000001" customHeight="1" x14ac:dyDescent="0.25">
      <c r="A501" s="206"/>
      <c r="B501" s="29" t="s">
        <v>424</v>
      </c>
      <c r="C501" s="40" t="s">
        <v>425</v>
      </c>
      <c r="D501" s="124" t="s">
        <v>321</v>
      </c>
      <c r="E501" s="38">
        <f>50/100</f>
        <v>0.5</v>
      </c>
      <c r="F501" s="38">
        <f>F497*E501</f>
        <v>89.19</v>
      </c>
      <c r="G501" s="38">
        <v>3.3</v>
      </c>
      <c r="H501" s="42">
        <f>F501*G501</f>
        <v>294.327</v>
      </c>
      <c r="I501" s="42">
        <v>0</v>
      </c>
      <c r="J501" s="42">
        <f>F501*I501</f>
        <v>0</v>
      </c>
      <c r="K501" s="38">
        <v>0</v>
      </c>
      <c r="L501" s="38">
        <f>F501*K501</f>
        <v>0</v>
      </c>
      <c r="M501" s="43">
        <f>H501+J501+L501</f>
        <v>294.327</v>
      </c>
      <c r="O501" s="130"/>
      <c r="P501" s="195"/>
    </row>
    <row r="502" spans="1:16" s="207" customFormat="1" ht="20.100000000000001" customHeight="1" x14ac:dyDescent="0.25">
      <c r="A502" s="206"/>
      <c r="B502" s="29" t="s">
        <v>426</v>
      </c>
      <c r="C502" s="40" t="s">
        <v>427</v>
      </c>
      <c r="D502" s="124" t="s">
        <v>321</v>
      </c>
      <c r="E502" s="38">
        <f>63/100</f>
        <v>0.63</v>
      </c>
      <c r="F502" s="38">
        <f>F497*E502</f>
        <v>112.3794</v>
      </c>
      <c r="G502" s="38">
        <v>0.5</v>
      </c>
      <c r="H502" s="42">
        <f>F502*G502</f>
        <v>56.189700000000002</v>
      </c>
      <c r="I502" s="42">
        <v>0</v>
      </c>
      <c r="J502" s="42">
        <f>F502*I502</f>
        <v>0</v>
      </c>
      <c r="K502" s="38">
        <v>0</v>
      </c>
      <c r="L502" s="38">
        <f>F502*K502</f>
        <v>0</v>
      </c>
      <c r="M502" s="43">
        <f>H502+J502+L502</f>
        <v>56.189700000000002</v>
      </c>
      <c r="O502" s="130"/>
      <c r="P502" s="195"/>
    </row>
    <row r="503" spans="1:16" ht="20.100000000000001" customHeight="1" x14ac:dyDescent="0.25">
      <c r="A503" s="29"/>
      <c r="B503" s="124"/>
      <c r="C503" s="40" t="s">
        <v>428</v>
      </c>
      <c r="D503" s="85" t="s">
        <v>92</v>
      </c>
      <c r="E503" s="78">
        <f>0.7/100</f>
        <v>6.9999999999999993E-3</v>
      </c>
      <c r="F503" s="38">
        <f>F497*E503</f>
        <v>1.2486599999999999</v>
      </c>
      <c r="G503" s="78">
        <v>3.2</v>
      </c>
      <c r="H503" s="42">
        <f>F503*G503</f>
        <v>3.9957119999999997</v>
      </c>
      <c r="I503" s="42">
        <v>0</v>
      </c>
      <c r="J503" s="42">
        <f>F503*I503</f>
        <v>0</v>
      </c>
      <c r="K503" s="38">
        <v>0</v>
      </c>
      <c r="L503" s="38">
        <f>F503*K503</f>
        <v>0</v>
      </c>
      <c r="M503" s="43">
        <f>H503+J503+L503</f>
        <v>3.9957119999999997</v>
      </c>
      <c r="O503" s="130"/>
      <c r="P503" s="195"/>
    </row>
    <row r="504" spans="1:16" ht="4.5" customHeight="1" thickBot="1" x14ac:dyDescent="0.3">
      <c r="A504" s="148"/>
      <c r="B504" s="149"/>
      <c r="C504" s="149"/>
      <c r="D504" s="178"/>
      <c r="E504" s="151"/>
      <c r="F504" s="151"/>
      <c r="G504" s="151"/>
      <c r="H504" s="151"/>
      <c r="I504" s="151"/>
      <c r="J504" s="151"/>
      <c r="K504" s="151"/>
      <c r="L504" s="151"/>
      <c r="M504" s="152"/>
      <c r="O504" s="130"/>
    </row>
    <row r="505" spans="1:16" s="36" customFormat="1" ht="27.75" customHeight="1" x14ac:dyDescent="0.2">
      <c r="A505" s="21">
        <v>4</v>
      </c>
      <c r="B505" s="131" t="s">
        <v>429</v>
      </c>
      <c r="C505" s="88" t="s">
        <v>213</v>
      </c>
      <c r="D505" s="35" t="s">
        <v>412</v>
      </c>
      <c r="E505" s="16"/>
      <c r="F505" s="31">
        <f>F459</f>
        <v>39.075000000000003</v>
      </c>
      <c r="G505" s="133">
        <f>H505/F505</f>
        <v>1.9874000000000001</v>
      </c>
      <c r="H505" s="133">
        <f>SUM(H507:H511)</f>
        <v>77.657655000000005</v>
      </c>
      <c r="I505" s="133">
        <f>J505/F505</f>
        <v>4.5</v>
      </c>
      <c r="J505" s="133">
        <f>SUM(J507:J511)</f>
        <v>175.83750000000001</v>
      </c>
      <c r="K505" s="133">
        <f>L505/F505</f>
        <v>3.2000000000000001E-2</v>
      </c>
      <c r="L505" s="133">
        <f>SUM(L507:L511)</f>
        <v>1.2504000000000002</v>
      </c>
      <c r="M505" s="133">
        <f>SUM(M507:M511)</f>
        <v>254.74555500000002</v>
      </c>
      <c r="O505" s="130"/>
    </row>
    <row r="506" spans="1:16" s="211" customFormat="1" ht="20.100000000000001" customHeight="1" x14ac:dyDescent="0.25">
      <c r="A506" s="208"/>
      <c r="B506" s="209"/>
      <c r="C506" s="210" t="s">
        <v>413</v>
      </c>
      <c r="D506" s="134"/>
      <c r="E506" s="38"/>
      <c r="F506" s="39"/>
      <c r="G506" s="38"/>
      <c r="H506" s="38"/>
      <c r="I506" s="38"/>
      <c r="J506" s="38"/>
      <c r="K506" s="38"/>
      <c r="L506" s="161"/>
      <c r="M506" s="137"/>
      <c r="O506" s="130"/>
    </row>
    <row r="507" spans="1:16" s="205" customFormat="1" ht="20.100000000000001" customHeight="1" x14ac:dyDescent="0.25">
      <c r="A507" s="204"/>
      <c r="B507" s="126" t="s">
        <v>277</v>
      </c>
      <c r="C507" s="40" t="s">
        <v>422</v>
      </c>
      <c r="D507" s="124" t="s">
        <v>412</v>
      </c>
      <c r="E507" s="164">
        <v>1</v>
      </c>
      <c r="F507" s="41">
        <f>F505*E507</f>
        <v>39.075000000000003</v>
      </c>
      <c r="G507" s="42">
        <v>0</v>
      </c>
      <c r="H507" s="42">
        <f>F507*G507</f>
        <v>0</v>
      </c>
      <c r="I507" s="42">
        <f>3.6*1.25</f>
        <v>4.5</v>
      </c>
      <c r="J507" s="42">
        <f>F507*I507</f>
        <v>175.83750000000001</v>
      </c>
      <c r="K507" s="38">
        <v>0</v>
      </c>
      <c r="L507" s="38">
        <f>F507*K507</f>
        <v>0</v>
      </c>
      <c r="M507" s="43">
        <f>H507+J507+L507</f>
        <v>175.83750000000001</v>
      </c>
      <c r="O507" s="130"/>
      <c r="P507" s="195"/>
    </row>
    <row r="508" spans="1:16" s="207" customFormat="1" ht="20.100000000000001" customHeight="1" x14ac:dyDescent="0.25">
      <c r="A508" s="206"/>
      <c r="B508" s="212"/>
      <c r="C508" s="40" t="s">
        <v>423</v>
      </c>
      <c r="D508" s="124" t="s">
        <v>92</v>
      </c>
      <c r="E508" s="38">
        <v>0.01</v>
      </c>
      <c r="F508" s="38">
        <f>E508*F505</f>
        <v>0.39075000000000004</v>
      </c>
      <c r="G508" s="42">
        <v>0</v>
      </c>
      <c r="H508" s="42">
        <f>F508*G508</f>
        <v>0</v>
      </c>
      <c r="I508" s="42">
        <v>0</v>
      </c>
      <c r="J508" s="42">
        <f>F508*I508</f>
        <v>0</v>
      </c>
      <c r="K508" s="38">
        <v>3.2</v>
      </c>
      <c r="L508" s="38">
        <f>F508*K508</f>
        <v>1.2504000000000002</v>
      </c>
      <c r="M508" s="43">
        <f>H508+J508+L508</f>
        <v>1.2504000000000002</v>
      </c>
      <c r="O508" s="130"/>
      <c r="P508" s="195"/>
    </row>
    <row r="509" spans="1:16" s="207" customFormat="1" ht="20.100000000000001" customHeight="1" x14ac:dyDescent="0.25">
      <c r="A509" s="206"/>
      <c r="B509" s="29" t="s">
        <v>424</v>
      </c>
      <c r="C509" s="40" t="s">
        <v>425</v>
      </c>
      <c r="D509" s="124" t="s">
        <v>321</v>
      </c>
      <c r="E509" s="38">
        <v>0.5</v>
      </c>
      <c r="F509" s="38">
        <f>F505*E509</f>
        <v>19.537500000000001</v>
      </c>
      <c r="G509" s="38">
        <v>3.3</v>
      </c>
      <c r="H509" s="42">
        <f>F509*G509</f>
        <v>64.473749999999995</v>
      </c>
      <c r="I509" s="42">
        <v>0</v>
      </c>
      <c r="J509" s="42">
        <f>F509*I509</f>
        <v>0</v>
      </c>
      <c r="K509" s="38">
        <v>0</v>
      </c>
      <c r="L509" s="38">
        <f>F509*K509</f>
        <v>0</v>
      </c>
      <c r="M509" s="43">
        <f>H509+J509+L509</f>
        <v>64.473749999999995</v>
      </c>
      <c r="O509" s="130"/>
      <c r="P509" s="195"/>
    </row>
    <row r="510" spans="1:16" s="207" customFormat="1" ht="20.100000000000001" customHeight="1" x14ac:dyDescent="0.25">
      <c r="A510" s="206"/>
      <c r="B510" s="29" t="s">
        <v>426</v>
      </c>
      <c r="C510" s="40" t="s">
        <v>427</v>
      </c>
      <c r="D510" s="124" t="s">
        <v>321</v>
      </c>
      <c r="E510" s="38">
        <v>0.63</v>
      </c>
      <c r="F510" s="38">
        <f>F505*E510</f>
        <v>24.617250000000002</v>
      </c>
      <c r="G510" s="38">
        <v>0.5</v>
      </c>
      <c r="H510" s="42">
        <f>F510*G510</f>
        <v>12.308625000000001</v>
      </c>
      <c r="I510" s="42">
        <v>0</v>
      </c>
      <c r="J510" s="42">
        <f>F510*I510</f>
        <v>0</v>
      </c>
      <c r="K510" s="38">
        <v>0</v>
      </c>
      <c r="L510" s="38">
        <f>F510*K510</f>
        <v>0</v>
      </c>
      <c r="M510" s="43">
        <f>H510+J510+L510</f>
        <v>12.308625000000001</v>
      </c>
      <c r="O510" s="130"/>
      <c r="P510" s="195"/>
    </row>
    <row r="511" spans="1:16" ht="20.100000000000001" customHeight="1" x14ac:dyDescent="0.25">
      <c r="A511" s="29"/>
      <c r="B511" s="124"/>
      <c r="C511" s="40" t="s">
        <v>428</v>
      </c>
      <c r="D511" s="85" t="s">
        <v>92</v>
      </c>
      <c r="E511" s="78">
        <f>0.7/100</f>
        <v>6.9999999999999993E-3</v>
      </c>
      <c r="F511" s="38">
        <f>F505*E511</f>
        <v>0.27352500000000002</v>
      </c>
      <c r="G511" s="78">
        <v>3.2</v>
      </c>
      <c r="H511" s="42">
        <f>F511*G511</f>
        <v>0.87528000000000006</v>
      </c>
      <c r="I511" s="42">
        <v>0</v>
      </c>
      <c r="J511" s="42">
        <f>F511*I511</f>
        <v>0</v>
      </c>
      <c r="K511" s="38">
        <v>0</v>
      </c>
      <c r="L511" s="38">
        <f>F511*K511</f>
        <v>0</v>
      </c>
      <c r="M511" s="43">
        <f>H511+J511+L511</f>
        <v>0.87528000000000006</v>
      </c>
      <c r="O511" s="130"/>
      <c r="P511" s="195"/>
    </row>
    <row r="512" spans="1:16" ht="4.5" customHeight="1" thickBot="1" x14ac:dyDescent="0.3">
      <c r="A512" s="148"/>
      <c r="B512" s="149"/>
      <c r="C512" s="149"/>
      <c r="D512" s="178"/>
      <c r="E512" s="151"/>
      <c r="F512" s="151"/>
      <c r="G512" s="151"/>
      <c r="H512" s="151"/>
      <c r="I512" s="151"/>
      <c r="J512" s="151"/>
      <c r="K512" s="151"/>
      <c r="L512" s="151"/>
      <c r="M512" s="152"/>
      <c r="O512" s="130"/>
    </row>
    <row r="513" spans="1:15" s="34" customFormat="1" x14ac:dyDescent="0.25">
      <c r="A513" s="48"/>
      <c r="B513" s="156"/>
      <c r="C513" s="70" t="s">
        <v>217</v>
      </c>
      <c r="D513" s="49"/>
      <c r="E513" s="50"/>
      <c r="F513" s="50"/>
      <c r="G513" s="51"/>
      <c r="H513" s="159">
        <f>H505+H497+H492+H484</f>
        <v>3112.6620941186443</v>
      </c>
      <c r="I513" s="52"/>
      <c r="J513" s="159">
        <f>J505+J497+J492+J484</f>
        <v>2508.4475000000002</v>
      </c>
      <c r="K513" s="52"/>
      <c r="L513" s="159">
        <f>L505+L497+L492+L484</f>
        <v>11.397664000000001</v>
      </c>
      <c r="M513" s="159">
        <f>M505+M497+M492+M484</f>
        <v>5632.5072581186432</v>
      </c>
      <c r="O513" s="130"/>
    </row>
    <row r="514" spans="1:15" s="36" customFormat="1" ht="14.25" x14ac:dyDescent="0.2">
      <c r="A514" s="21"/>
      <c r="B514" s="126"/>
      <c r="C514" s="76" t="s">
        <v>237</v>
      </c>
      <c r="D514" s="68"/>
      <c r="E514" s="191"/>
      <c r="F514" s="80"/>
      <c r="G514" s="60"/>
      <c r="H514" s="60"/>
      <c r="I514" s="60"/>
      <c r="J514" s="60"/>
      <c r="K514" s="61"/>
      <c r="L514" s="61"/>
      <c r="M514" s="62"/>
      <c r="O514" s="130"/>
    </row>
    <row r="515" spans="1:15" s="36" customFormat="1" ht="36" x14ac:dyDescent="0.2">
      <c r="A515" s="29">
        <v>1</v>
      </c>
      <c r="B515" s="141" t="s">
        <v>277</v>
      </c>
      <c r="C515" s="65" t="s">
        <v>216</v>
      </c>
      <c r="D515" s="79" t="s">
        <v>19</v>
      </c>
      <c r="E515" s="183"/>
      <c r="F515" s="31">
        <v>8</v>
      </c>
      <c r="G515" s="133">
        <f>H515/F515</f>
        <v>0</v>
      </c>
      <c r="H515" s="133">
        <f>SUM(H517:H518)</f>
        <v>0</v>
      </c>
      <c r="I515" s="133">
        <f>J515/F515</f>
        <v>6.25</v>
      </c>
      <c r="J515" s="133">
        <f>SUM(J517:J518)</f>
        <v>50</v>
      </c>
      <c r="K515" s="133">
        <f>L515/F515</f>
        <v>0</v>
      </c>
      <c r="L515" s="133">
        <f>SUM(L517:L518)</f>
        <v>0</v>
      </c>
      <c r="M515" s="133">
        <f>SUM(M517:M518)</f>
        <v>50</v>
      </c>
      <c r="O515" s="130"/>
    </row>
    <row r="516" spans="1:15" s="19" customFormat="1" x14ac:dyDescent="0.25">
      <c r="A516" s="37"/>
      <c r="B516" s="134"/>
      <c r="C516" s="135" t="s">
        <v>266</v>
      </c>
      <c r="D516" s="134"/>
      <c r="E516" s="38"/>
      <c r="F516" s="39"/>
      <c r="G516" s="38"/>
      <c r="H516" s="38"/>
      <c r="I516" s="38"/>
      <c r="J516" s="38"/>
      <c r="K516" s="38"/>
      <c r="L516" s="161"/>
      <c r="M516" s="39"/>
      <c r="O516" s="130"/>
    </row>
    <row r="517" spans="1:15" s="44" customFormat="1" ht="14.25" x14ac:dyDescent="0.2">
      <c r="A517" s="140"/>
      <c r="B517" s="141"/>
      <c r="C517" s="142" t="s">
        <v>278</v>
      </c>
      <c r="D517" s="67" t="s">
        <v>19</v>
      </c>
      <c r="E517" s="164">
        <v>1</v>
      </c>
      <c r="F517" s="181">
        <f>F515*E517</f>
        <v>8</v>
      </c>
      <c r="G517" s="42">
        <v>0</v>
      </c>
      <c r="H517" s="42">
        <f>F517*G517</f>
        <v>0</v>
      </c>
      <c r="I517" s="42">
        <f>5*1.25</f>
        <v>6.25</v>
      </c>
      <c r="J517" s="42">
        <f>F517*I517</f>
        <v>50</v>
      </c>
      <c r="K517" s="38">
        <v>0</v>
      </c>
      <c r="L517" s="38">
        <f>F517*K517</f>
        <v>0</v>
      </c>
      <c r="M517" s="43">
        <f>H517+J517+L517</f>
        <v>50</v>
      </c>
      <c r="O517" s="130"/>
    </row>
    <row r="518" spans="1:15" s="36" customFormat="1" ht="25.5" x14ac:dyDescent="0.2">
      <c r="A518" s="29"/>
      <c r="B518" s="85"/>
      <c r="C518" s="142" t="s">
        <v>430</v>
      </c>
      <c r="D518" s="67" t="s">
        <v>19</v>
      </c>
      <c r="E518" s="164">
        <v>0</v>
      </c>
      <c r="F518" s="184">
        <f>F515*E518</f>
        <v>0</v>
      </c>
      <c r="G518" s="42">
        <v>180</v>
      </c>
      <c r="H518" s="42">
        <f>F518*G518</f>
        <v>0</v>
      </c>
      <c r="I518" s="42">
        <v>0</v>
      </c>
      <c r="J518" s="42">
        <f>F518*I518</f>
        <v>0</v>
      </c>
      <c r="K518" s="38">
        <v>0</v>
      </c>
      <c r="L518" s="38">
        <f>F518*K518</f>
        <v>0</v>
      </c>
      <c r="M518" s="43">
        <f>H518+J518+L518</f>
        <v>0</v>
      </c>
      <c r="O518" s="130"/>
    </row>
    <row r="519" spans="1:15" s="36" customFormat="1" thickBot="1" x14ac:dyDescent="0.25">
      <c r="A519" s="148"/>
      <c r="B519" s="178"/>
      <c r="C519" s="213"/>
      <c r="D519" s="150"/>
      <c r="E519" s="186"/>
      <c r="F519" s="187"/>
      <c r="G519" s="188"/>
      <c r="H519" s="188"/>
      <c r="I519" s="188"/>
      <c r="J519" s="188"/>
      <c r="K519" s="189"/>
      <c r="L519" s="189"/>
      <c r="M519" s="190"/>
      <c r="O519" s="130"/>
    </row>
    <row r="520" spans="1:15" s="36" customFormat="1" ht="24" x14ac:dyDescent="0.2">
      <c r="A520" s="29">
        <v>2</v>
      </c>
      <c r="B520" s="141" t="s">
        <v>277</v>
      </c>
      <c r="C520" s="65" t="s">
        <v>245</v>
      </c>
      <c r="D520" s="79" t="s">
        <v>78</v>
      </c>
      <c r="E520" s="183"/>
      <c r="F520" s="31">
        <v>6</v>
      </c>
      <c r="G520" s="133">
        <f>H520/F520</f>
        <v>0</v>
      </c>
      <c r="H520" s="133">
        <f>SUM(H522:H524)</f>
        <v>0</v>
      </c>
      <c r="I520" s="133">
        <f>J520/F520</f>
        <v>5</v>
      </c>
      <c r="J520" s="133">
        <f>SUM(J522:J524)</f>
        <v>30</v>
      </c>
      <c r="K520" s="133">
        <f>L520/F520</f>
        <v>0</v>
      </c>
      <c r="L520" s="133">
        <f>SUM(L522:L524)</f>
        <v>0</v>
      </c>
      <c r="M520" s="133">
        <f>SUM(M522:M524)</f>
        <v>30</v>
      </c>
      <c r="O520" s="130"/>
    </row>
    <row r="521" spans="1:15" s="19" customFormat="1" x14ac:dyDescent="0.25">
      <c r="A521" s="37"/>
      <c r="B521" s="134"/>
      <c r="C521" s="135" t="s">
        <v>266</v>
      </c>
      <c r="D521" s="134"/>
      <c r="E521" s="38"/>
      <c r="F521" s="39"/>
      <c r="G521" s="38"/>
      <c r="H521" s="38"/>
      <c r="I521" s="38"/>
      <c r="J521" s="38"/>
      <c r="K521" s="38"/>
      <c r="L521" s="161"/>
      <c r="M521" s="39"/>
      <c r="O521" s="130"/>
    </row>
    <row r="522" spans="1:15" s="44" customFormat="1" ht="14.25" x14ac:dyDescent="0.2">
      <c r="A522" s="140"/>
      <c r="B522" s="141"/>
      <c r="C522" s="142" t="s">
        <v>278</v>
      </c>
      <c r="D522" s="79" t="s">
        <v>78</v>
      </c>
      <c r="E522" s="164">
        <v>1</v>
      </c>
      <c r="F522" s="181">
        <f>F520*E522</f>
        <v>6</v>
      </c>
      <c r="G522" s="42">
        <v>0</v>
      </c>
      <c r="H522" s="42">
        <f>F522*G522</f>
        <v>0</v>
      </c>
      <c r="I522" s="42">
        <f>4*1.25</f>
        <v>5</v>
      </c>
      <c r="J522" s="42">
        <f>F522*I522</f>
        <v>30</v>
      </c>
      <c r="K522" s="38">
        <v>0</v>
      </c>
      <c r="L522" s="38">
        <f>F522*K522</f>
        <v>0</v>
      </c>
      <c r="M522" s="43">
        <f>H522+J522+L522</f>
        <v>30</v>
      </c>
      <c r="O522" s="130"/>
    </row>
    <row r="523" spans="1:15" s="44" customFormat="1" ht="14.25" x14ac:dyDescent="0.2">
      <c r="A523" s="140"/>
      <c r="B523" s="29" t="s">
        <v>431</v>
      </c>
      <c r="C523" s="142" t="s">
        <v>432</v>
      </c>
      <c r="D523" s="79" t="s">
        <v>78</v>
      </c>
      <c r="E523" s="164">
        <v>0</v>
      </c>
      <c r="F523" s="181">
        <f>F520*E523</f>
        <v>0</v>
      </c>
      <c r="G523" s="42">
        <v>210</v>
      </c>
      <c r="H523" s="42">
        <f>F523*G523</f>
        <v>0</v>
      </c>
      <c r="I523" s="42">
        <v>0</v>
      </c>
      <c r="J523" s="42">
        <f>F523*I523</f>
        <v>0</v>
      </c>
      <c r="K523" s="38">
        <v>0</v>
      </c>
      <c r="L523" s="38">
        <f>F523*K523</f>
        <v>0</v>
      </c>
      <c r="M523" s="43">
        <f>H523+J523+L523</f>
        <v>0</v>
      </c>
      <c r="O523" s="130"/>
    </row>
    <row r="524" spans="1:15" s="44" customFormat="1" ht="14.25" x14ac:dyDescent="0.2">
      <c r="A524" s="140"/>
      <c r="B524" s="29" t="s">
        <v>433</v>
      </c>
      <c r="C524" s="142" t="s">
        <v>434</v>
      </c>
      <c r="D524" s="79" t="s">
        <v>78</v>
      </c>
      <c r="E524" s="164">
        <v>0</v>
      </c>
      <c r="F524" s="181">
        <f>F520*E524</f>
        <v>0</v>
      </c>
      <c r="G524" s="42">
        <v>500</v>
      </c>
      <c r="H524" s="42">
        <f>F524*G524</f>
        <v>0</v>
      </c>
      <c r="I524" s="42">
        <v>0</v>
      </c>
      <c r="J524" s="42">
        <f>F524*I524</f>
        <v>0</v>
      </c>
      <c r="K524" s="38">
        <v>0</v>
      </c>
      <c r="L524" s="38">
        <f>F524*K524</f>
        <v>0</v>
      </c>
      <c r="M524" s="43">
        <f>H524+J524+L524</f>
        <v>0</v>
      </c>
      <c r="O524" s="130"/>
    </row>
    <row r="525" spans="1:15" s="36" customFormat="1" thickBot="1" x14ac:dyDescent="0.25">
      <c r="A525" s="148"/>
      <c r="B525" s="178"/>
      <c r="C525" s="213"/>
      <c r="D525" s="150"/>
      <c r="E525" s="186"/>
      <c r="F525" s="187"/>
      <c r="G525" s="188"/>
      <c r="H525" s="188"/>
      <c r="I525" s="188"/>
      <c r="J525" s="188"/>
      <c r="K525" s="189"/>
      <c r="L525" s="189"/>
      <c r="M525" s="190"/>
      <c r="O525" s="130"/>
    </row>
    <row r="526" spans="1:15" s="36" customFormat="1" ht="48" x14ac:dyDescent="0.2">
      <c r="A526" s="29">
        <v>3</v>
      </c>
      <c r="B526" s="131" t="s">
        <v>435</v>
      </c>
      <c r="C526" s="65" t="s">
        <v>91</v>
      </c>
      <c r="D526" s="67" t="s">
        <v>17</v>
      </c>
      <c r="E526" s="183"/>
      <c r="F526" s="30">
        <f>30*16</f>
        <v>480</v>
      </c>
      <c r="G526" s="133">
        <f>H526/F526</f>
        <v>1.1636</v>
      </c>
      <c r="H526" s="133">
        <f>SUM(H528:H532)</f>
        <v>558.52800000000002</v>
      </c>
      <c r="I526" s="133">
        <f>J526/F526</f>
        <v>2.7675000000000001</v>
      </c>
      <c r="J526" s="133">
        <f>SUM(J528:J532)</f>
        <v>1328.4</v>
      </c>
      <c r="K526" s="133">
        <f>L526/F526</f>
        <v>2.2079999999999999E-2</v>
      </c>
      <c r="L526" s="133">
        <f>SUM(L528:L532)</f>
        <v>10.5984</v>
      </c>
      <c r="M526" s="133">
        <f>SUM(M528:M532)</f>
        <v>1897.5264000000002</v>
      </c>
      <c r="O526" s="130"/>
    </row>
    <row r="527" spans="1:15" s="19" customFormat="1" x14ac:dyDescent="0.25">
      <c r="A527" s="37"/>
      <c r="B527" s="134"/>
      <c r="C527" s="135" t="s">
        <v>266</v>
      </c>
      <c r="D527" s="134"/>
      <c r="E527" s="38"/>
      <c r="F527" s="39"/>
      <c r="G527" s="38"/>
      <c r="H527" s="38"/>
      <c r="I527" s="38"/>
      <c r="J527" s="38"/>
      <c r="K527" s="38"/>
      <c r="L527" s="161"/>
      <c r="M527" s="39"/>
      <c r="O527" s="130"/>
    </row>
    <row r="528" spans="1:15" s="44" customFormat="1" ht="14.25" x14ac:dyDescent="0.2">
      <c r="A528" s="140"/>
      <c r="B528" s="141"/>
      <c r="C528" s="142" t="s">
        <v>278</v>
      </c>
      <c r="D528" s="67" t="s">
        <v>268</v>
      </c>
      <c r="E528" s="164">
        <f>73.8/100</f>
        <v>0.73799999999999999</v>
      </c>
      <c r="F528" s="181">
        <f>F526*E528</f>
        <v>354.24</v>
      </c>
      <c r="G528" s="42">
        <v>0</v>
      </c>
      <c r="H528" s="42">
        <f>F528*G528</f>
        <v>0</v>
      </c>
      <c r="I528" s="42">
        <f>3*1.25</f>
        <v>3.75</v>
      </c>
      <c r="J528" s="42">
        <f>F528*I528</f>
        <v>1328.4</v>
      </c>
      <c r="K528" s="38">
        <v>0</v>
      </c>
      <c r="L528" s="38">
        <f>F528*K528</f>
        <v>0</v>
      </c>
      <c r="M528" s="43">
        <f>H528+J528+L528</f>
        <v>1328.4</v>
      </c>
      <c r="O528" s="130"/>
    </row>
    <row r="529" spans="1:15" s="36" customFormat="1" ht="14.25" x14ac:dyDescent="0.2">
      <c r="A529" s="29"/>
      <c r="B529" s="85"/>
      <c r="C529" s="142" t="s">
        <v>436</v>
      </c>
      <c r="D529" s="67" t="s">
        <v>18</v>
      </c>
      <c r="E529" s="164">
        <f>0.69/100</f>
        <v>6.8999999999999999E-3</v>
      </c>
      <c r="F529" s="184">
        <f>F526*E529</f>
        <v>3.3119999999999998</v>
      </c>
      <c r="G529" s="42">
        <v>0</v>
      </c>
      <c r="H529" s="42">
        <f>F529*G529</f>
        <v>0</v>
      </c>
      <c r="I529" s="42">
        <v>0</v>
      </c>
      <c r="J529" s="42">
        <f>F529*I529</f>
        <v>0</v>
      </c>
      <c r="K529" s="38">
        <v>3.2</v>
      </c>
      <c r="L529" s="38">
        <f>F529*K529</f>
        <v>10.5984</v>
      </c>
      <c r="M529" s="43">
        <f>H529+J529+L529</f>
        <v>10.5984</v>
      </c>
      <c r="O529" s="130"/>
    </row>
    <row r="530" spans="1:15" s="36" customFormat="1" ht="14.25" x14ac:dyDescent="0.2">
      <c r="A530" s="29"/>
      <c r="B530" s="29" t="s">
        <v>437</v>
      </c>
      <c r="C530" s="142" t="s">
        <v>438</v>
      </c>
      <c r="D530" s="67" t="s">
        <v>27</v>
      </c>
      <c r="E530" s="214">
        <f>0.029/100</f>
        <v>2.9E-4</v>
      </c>
      <c r="F530" s="164">
        <f>F526*E530</f>
        <v>0.13919999999999999</v>
      </c>
      <c r="G530" s="42">
        <v>1420</v>
      </c>
      <c r="H530" s="42">
        <f>F530*G530</f>
        <v>197.66399999999999</v>
      </c>
      <c r="I530" s="42">
        <v>0</v>
      </c>
      <c r="J530" s="42">
        <f>F530*I530</f>
        <v>0</v>
      </c>
      <c r="K530" s="38">
        <v>0</v>
      </c>
      <c r="L530" s="38">
        <f>F530*K530</f>
        <v>0</v>
      </c>
      <c r="M530" s="43">
        <f>H530+J530+L530</f>
        <v>197.66399999999999</v>
      </c>
      <c r="O530" s="130"/>
    </row>
    <row r="531" spans="1:15" s="36" customFormat="1" ht="14.25" x14ac:dyDescent="0.2">
      <c r="A531" s="29"/>
      <c r="B531" s="29" t="s">
        <v>357</v>
      </c>
      <c r="C531" s="142" t="s">
        <v>439</v>
      </c>
      <c r="D531" s="67" t="s">
        <v>32</v>
      </c>
      <c r="E531" s="214">
        <f>0.008/100</f>
        <v>8.0000000000000007E-5</v>
      </c>
      <c r="F531" s="164">
        <f>F526*E531</f>
        <v>3.8400000000000004E-2</v>
      </c>
      <c r="G531" s="42">
        <v>460</v>
      </c>
      <c r="H531" s="42">
        <f>F531*G531</f>
        <v>17.664000000000001</v>
      </c>
      <c r="I531" s="42">
        <v>0</v>
      </c>
      <c r="J531" s="42">
        <f>F531*I531</f>
        <v>0</v>
      </c>
      <c r="K531" s="38">
        <v>0</v>
      </c>
      <c r="L531" s="38">
        <f>F531*K531</f>
        <v>0</v>
      </c>
      <c r="M531" s="43">
        <f>H531+J531+L531</f>
        <v>17.664000000000001</v>
      </c>
      <c r="O531" s="130"/>
    </row>
    <row r="532" spans="1:15" x14ac:dyDescent="0.25">
      <c r="A532" s="29"/>
      <c r="B532" s="29" t="s">
        <v>440</v>
      </c>
      <c r="C532" s="142" t="s">
        <v>441</v>
      </c>
      <c r="D532" s="67" t="s">
        <v>17</v>
      </c>
      <c r="E532" s="29">
        <f>5.5/100</f>
        <v>5.5E-2</v>
      </c>
      <c r="F532" s="164">
        <f>F526*E532</f>
        <v>26.4</v>
      </c>
      <c r="G532" s="78">
        <v>13</v>
      </c>
      <c r="H532" s="42">
        <f>F532*G532</f>
        <v>343.2</v>
      </c>
      <c r="I532" s="42">
        <v>0</v>
      </c>
      <c r="J532" s="164">
        <f>F532*I532</f>
        <v>0</v>
      </c>
      <c r="K532" s="38">
        <v>0</v>
      </c>
      <c r="L532" s="38">
        <f>F532*K532</f>
        <v>0</v>
      </c>
      <c r="M532" s="43">
        <f>H532+J532+L532</f>
        <v>343.2</v>
      </c>
      <c r="O532" s="130"/>
    </row>
    <row r="533" spans="1:15" s="34" customFormat="1" ht="15.75" thickBot="1" x14ac:dyDescent="0.3">
      <c r="A533" s="215"/>
      <c r="B533" s="216"/>
      <c r="C533" s="217"/>
      <c r="D533" s="218"/>
      <c r="E533" s="219"/>
      <c r="F533" s="219"/>
      <c r="G533" s="220"/>
      <c r="H533" s="221"/>
      <c r="I533" s="221"/>
      <c r="J533" s="221"/>
      <c r="K533" s="221"/>
      <c r="L533" s="221"/>
      <c r="M533" s="222"/>
      <c r="O533" s="130"/>
    </row>
    <row r="534" spans="1:15" s="34" customFormat="1" x14ac:dyDescent="0.25">
      <c r="A534" s="48"/>
      <c r="B534" s="156"/>
      <c r="C534" s="70" t="s">
        <v>218</v>
      </c>
      <c r="D534" s="49"/>
      <c r="E534" s="50"/>
      <c r="F534" s="50"/>
      <c r="G534" s="51"/>
      <c r="H534" s="159">
        <f>H526+H520+H515</f>
        <v>558.52800000000002</v>
      </c>
      <c r="I534" s="52"/>
      <c r="J534" s="159">
        <f>J526+J520+J515</f>
        <v>1408.4</v>
      </c>
      <c r="K534" s="52"/>
      <c r="L534" s="159">
        <f>L526+L520+L515</f>
        <v>10.5984</v>
      </c>
      <c r="M534" s="159">
        <f>M526+M520+M515</f>
        <v>1977.5264000000002</v>
      </c>
      <c r="O534" s="130"/>
    </row>
    <row r="535" spans="1:15" s="36" customFormat="1" ht="14.25" x14ac:dyDescent="0.2">
      <c r="A535" s="21"/>
      <c r="B535" s="126"/>
      <c r="C535" s="76" t="s">
        <v>238</v>
      </c>
      <c r="D535" s="68"/>
      <c r="E535" s="191"/>
      <c r="F535" s="80"/>
      <c r="G535" s="60"/>
      <c r="H535" s="60"/>
      <c r="I535" s="60"/>
      <c r="J535" s="60"/>
      <c r="K535" s="61"/>
      <c r="L535" s="61"/>
      <c r="M535" s="62"/>
      <c r="O535" s="130"/>
    </row>
    <row r="536" spans="1:15" s="36" customFormat="1" ht="24" x14ac:dyDescent="0.2">
      <c r="A536" s="29">
        <v>1</v>
      </c>
      <c r="B536" s="131" t="s">
        <v>361</v>
      </c>
      <c r="C536" s="65" t="s">
        <v>246</v>
      </c>
      <c r="D536" s="79" t="s">
        <v>17</v>
      </c>
      <c r="E536" s="183"/>
      <c r="F536" s="30">
        <f>((1.6*2+2)*2*2+(1.6+1)*2.6*2)</f>
        <v>34.32</v>
      </c>
      <c r="G536" s="133">
        <f>H536/F536</f>
        <v>0.97860000000000025</v>
      </c>
      <c r="H536" s="133">
        <f>SUM(H538:H541)</f>
        <v>33.585552000000007</v>
      </c>
      <c r="I536" s="133">
        <f>J536/F536</f>
        <v>5</v>
      </c>
      <c r="J536" s="133">
        <f>SUM(J538:J541)</f>
        <v>171.6</v>
      </c>
      <c r="K536" s="133">
        <f>L536/F536</f>
        <v>0</v>
      </c>
      <c r="L536" s="133">
        <f>SUM(L538:L541)</f>
        <v>0</v>
      </c>
      <c r="M536" s="133">
        <f>SUM(M538:M541)</f>
        <v>205.185552</v>
      </c>
      <c r="O536" s="130"/>
    </row>
    <row r="537" spans="1:15" s="19" customFormat="1" x14ac:dyDescent="0.25">
      <c r="A537" s="37"/>
      <c r="B537" s="134"/>
      <c r="C537" s="135" t="s">
        <v>266</v>
      </c>
      <c r="D537" s="134"/>
      <c r="E537" s="38"/>
      <c r="F537" s="39"/>
      <c r="G537" s="38"/>
      <c r="H537" s="38"/>
      <c r="I537" s="38"/>
      <c r="J537" s="38"/>
      <c r="K537" s="38"/>
      <c r="L537" s="161"/>
      <c r="M537" s="39"/>
      <c r="O537" s="130"/>
    </row>
    <row r="538" spans="1:15" s="44" customFormat="1" ht="14.25" x14ac:dyDescent="0.2">
      <c r="A538" s="140"/>
      <c r="B538" s="141" t="s">
        <v>277</v>
      </c>
      <c r="C538" s="142" t="s">
        <v>278</v>
      </c>
      <c r="D538" s="67" t="s">
        <v>17</v>
      </c>
      <c r="E538" s="164">
        <v>1</v>
      </c>
      <c r="F538" s="181">
        <f>F536*E538</f>
        <v>34.32</v>
      </c>
      <c r="G538" s="42">
        <v>0</v>
      </c>
      <c r="H538" s="42">
        <f>F538*G538</f>
        <v>0</v>
      </c>
      <c r="I538" s="42">
        <f>4*1.25</f>
        <v>5</v>
      </c>
      <c r="J538" s="42">
        <f>F538*I538</f>
        <v>171.6</v>
      </c>
      <c r="K538" s="38">
        <v>0</v>
      </c>
      <c r="L538" s="42">
        <f>J538*K538</f>
        <v>0</v>
      </c>
      <c r="M538" s="43">
        <f>H538+J538+L538</f>
        <v>171.6</v>
      </c>
      <c r="O538" s="130"/>
    </row>
    <row r="539" spans="1:15" s="36" customFormat="1" ht="14.25" x14ac:dyDescent="0.2">
      <c r="A539" s="29"/>
      <c r="B539" s="29" t="s">
        <v>442</v>
      </c>
      <c r="C539" s="142" t="s">
        <v>363</v>
      </c>
      <c r="D539" s="67" t="s">
        <v>32</v>
      </c>
      <c r="E539" s="164">
        <v>0</v>
      </c>
      <c r="F539" s="184">
        <f>F536*E539</f>
        <v>0</v>
      </c>
      <c r="G539" s="42">
        <v>488</v>
      </c>
      <c r="H539" s="42">
        <f>F539*G539</f>
        <v>0</v>
      </c>
      <c r="I539" s="42">
        <v>0</v>
      </c>
      <c r="J539" s="42">
        <f>F539*I539</f>
        <v>0</v>
      </c>
      <c r="K539" s="38">
        <v>0</v>
      </c>
      <c r="L539" s="42">
        <f>J539*K539</f>
        <v>0</v>
      </c>
      <c r="M539" s="43">
        <f>H539+J539+L539</f>
        <v>0</v>
      </c>
      <c r="O539" s="130"/>
    </row>
    <row r="540" spans="1:15" s="36" customFormat="1" ht="14.25" x14ac:dyDescent="0.2">
      <c r="A540" s="29"/>
      <c r="B540" s="29" t="s">
        <v>364</v>
      </c>
      <c r="C540" s="142" t="s">
        <v>365</v>
      </c>
      <c r="D540" s="67" t="s">
        <v>291</v>
      </c>
      <c r="E540" s="164">
        <f>23.3/100</f>
        <v>0.23300000000000001</v>
      </c>
      <c r="F540" s="184">
        <f>F536*E540</f>
        <v>7.9965600000000006</v>
      </c>
      <c r="G540" s="42">
        <v>4.2</v>
      </c>
      <c r="H540" s="42">
        <f>F540*G540</f>
        <v>33.585552000000007</v>
      </c>
      <c r="I540" s="42">
        <v>0</v>
      </c>
      <c r="J540" s="42">
        <f>F540*I540</f>
        <v>0</v>
      </c>
      <c r="K540" s="38">
        <v>0</v>
      </c>
      <c r="L540" s="42">
        <f>J540*K540</f>
        <v>0</v>
      </c>
      <c r="M540" s="43">
        <f>H540+J540+L540</f>
        <v>33.585552000000007</v>
      </c>
      <c r="O540" s="130"/>
    </row>
    <row r="541" spans="1:15" x14ac:dyDescent="0.25">
      <c r="A541" s="29"/>
      <c r="B541" s="124"/>
      <c r="C541" s="142" t="s">
        <v>295</v>
      </c>
      <c r="D541" s="67" t="s">
        <v>18</v>
      </c>
      <c r="E541" s="29">
        <v>0</v>
      </c>
      <c r="F541" s="164">
        <f>F536*E541</f>
        <v>0</v>
      </c>
      <c r="G541" s="42">
        <v>3.2</v>
      </c>
      <c r="H541" s="42">
        <f>F541*G541</f>
        <v>0</v>
      </c>
      <c r="I541" s="42">
        <v>0</v>
      </c>
      <c r="J541" s="42">
        <f>F541*I541</f>
        <v>0</v>
      </c>
      <c r="K541" s="38">
        <v>0</v>
      </c>
      <c r="L541" s="42">
        <f>J541*K541</f>
        <v>0</v>
      </c>
      <c r="M541" s="43">
        <f>H541+J541+L541</f>
        <v>0</v>
      </c>
      <c r="O541" s="130"/>
    </row>
    <row r="542" spans="1:15" s="36" customFormat="1" thickBot="1" x14ac:dyDescent="0.25">
      <c r="A542" s="148"/>
      <c r="B542" s="178"/>
      <c r="C542" s="185"/>
      <c r="D542" s="150"/>
      <c r="E542" s="186"/>
      <c r="F542" s="187"/>
      <c r="G542" s="188"/>
      <c r="H542" s="188"/>
      <c r="I542" s="188"/>
      <c r="J542" s="188"/>
      <c r="K542" s="189"/>
      <c r="L542" s="188"/>
      <c r="M542" s="190"/>
      <c r="O542" s="130"/>
    </row>
    <row r="543" spans="1:15" s="36" customFormat="1" ht="48" x14ac:dyDescent="0.2">
      <c r="A543" s="29">
        <v>2</v>
      </c>
      <c r="B543" s="126" t="s">
        <v>277</v>
      </c>
      <c r="C543" s="65" t="s">
        <v>83</v>
      </c>
      <c r="D543" s="79" t="s">
        <v>17</v>
      </c>
      <c r="E543" s="183"/>
      <c r="F543" s="31">
        <f>(1.6*2+2)*2+2*0.31*2*2+1.5*0.31*0.5*8+(2.6*2.6*2+1*0.45*4+1.5*0.45*0.5*4)</f>
        <v>31.410000000000004</v>
      </c>
      <c r="G543" s="133">
        <f>H543/F543</f>
        <v>0</v>
      </c>
      <c r="H543" s="133">
        <f>SUM(H545:H547)</f>
        <v>0</v>
      </c>
      <c r="I543" s="133">
        <f>J543/F543</f>
        <v>10</v>
      </c>
      <c r="J543" s="133">
        <f>SUM(J545:J547)</f>
        <v>314.10000000000002</v>
      </c>
      <c r="K543" s="133">
        <f>L543/F543</f>
        <v>0</v>
      </c>
      <c r="L543" s="133">
        <f>SUM(L545:L547)</f>
        <v>0</v>
      </c>
      <c r="M543" s="133">
        <f>SUM(M545:M547)</f>
        <v>314.10000000000002</v>
      </c>
      <c r="O543" s="130"/>
    </row>
    <row r="544" spans="1:15" s="19" customFormat="1" x14ac:dyDescent="0.25">
      <c r="A544" s="37"/>
      <c r="B544" s="134"/>
      <c r="C544" s="135" t="s">
        <v>266</v>
      </c>
      <c r="D544" s="134"/>
      <c r="E544" s="38"/>
      <c r="F544" s="39"/>
      <c r="G544" s="38"/>
      <c r="H544" s="38"/>
      <c r="I544" s="38"/>
      <c r="J544" s="38"/>
      <c r="K544" s="38"/>
      <c r="L544" s="38"/>
      <c r="M544" s="39"/>
      <c r="O544" s="130"/>
    </row>
    <row r="545" spans="1:15" s="44" customFormat="1" ht="14.25" x14ac:dyDescent="0.2">
      <c r="A545" s="140"/>
      <c r="B545" s="141" t="s">
        <v>277</v>
      </c>
      <c r="C545" s="142" t="s">
        <v>278</v>
      </c>
      <c r="D545" s="67" t="s">
        <v>17</v>
      </c>
      <c r="E545" s="164">
        <v>1</v>
      </c>
      <c r="F545" s="181">
        <f>F543*E545</f>
        <v>31.410000000000004</v>
      </c>
      <c r="G545" s="42">
        <v>0</v>
      </c>
      <c r="H545" s="42">
        <f>F545*G545</f>
        <v>0</v>
      </c>
      <c r="I545" s="42">
        <f>8*1.25</f>
        <v>10</v>
      </c>
      <c r="J545" s="42">
        <f>F545*I545</f>
        <v>314.10000000000002</v>
      </c>
      <c r="K545" s="38">
        <v>0</v>
      </c>
      <c r="L545" s="42">
        <f>J545*K545</f>
        <v>0</v>
      </c>
      <c r="M545" s="43">
        <f>H545+J545+L545</f>
        <v>314.10000000000002</v>
      </c>
      <c r="O545" s="130"/>
    </row>
    <row r="546" spans="1:15" s="36" customFormat="1" ht="14.25" x14ac:dyDescent="0.2">
      <c r="A546" s="29"/>
      <c r="B546" s="29" t="s">
        <v>443</v>
      </c>
      <c r="C546" s="142" t="s">
        <v>444</v>
      </c>
      <c r="D546" s="67" t="s">
        <v>17</v>
      </c>
      <c r="E546" s="164">
        <v>0</v>
      </c>
      <c r="F546" s="184">
        <f>F543*E546</f>
        <v>0</v>
      </c>
      <c r="G546" s="42">
        <v>67</v>
      </c>
      <c r="H546" s="42">
        <f>F546*G546</f>
        <v>0</v>
      </c>
      <c r="I546" s="42">
        <v>0</v>
      </c>
      <c r="J546" s="42">
        <f>F546*I546</f>
        <v>0</v>
      </c>
      <c r="K546" s="38">
        <v>0</v>
      </c>
      <c r="L546" s="42">
        <f>J546*K546</f>
        <v>0</v>
      </c>
      <c r="M546" s="43">
        <f>H546+J546+L546</f>
        <v>0</v>
      </c>
      <c r="O546" s="130"/>
    </row>
    <row r="547" spans="1:15" s="36" customFormat="1" ht="25.5" x14ac:dyDescent="0.2">
      <c r="A547" s="29"/>
      <c r="B547" s="29" t="s">
        <v>364</v>
      </c>
      <c r="C547" s="142" t="s">
        <v>445</v>
      </c>
      <c r="D547" s="67" t="s">
        <v>19</v>
      </c>
      <c r="E547" s="164"/>
      <c r="F547" s="184"/>
      <c r="G547" s="42">
        <f>25/1.18</f>
        <v>21.186440677966104</v>
      </c>
      <c r="H547" s="42">
        <f>F547*G547</f>
        <v>0</v>
      </c>
      <c r="I547" s="42">
        <v>0</v>
      </c>
      <c r="J547" s="42">
        <f>F547*I547</f>
        <v>0</v>
      </c>
      <c r="K547" s="38">
        <v>0</v>
      </c>
      <c r="L547" s="42">
        <f>J547*K547</f>
        <v>0</v>
      </c>
      <c r="M547" s="43">
        <f>H547+J547+L547</f>
        <v>0</v>
      </c>
      <c r="O547" s="130"/>
    </row>
    <row r="548" spans="1:15" s="36" customFormat="1" thickBot="1" x14ac:dyDescent="0.25">
      <c r="A548" s="148"/>
      <c r="B548" s="178"/>
      <c r="C548" s="185"/>
      <c r="D548" s="150"/>
      <c r="E548" s="186"/>
      <c r="F548" s="187"/>
      <c r="G548" s="188"/>
      <c r="H548" s="188"/>
      <c r="I548" s="188"/>
      <c r="J548" s="188"/>
      <c r="K548" s="189"/>
      <c r="L548" s="188"/>
      <c r="M548" s="190"/>
      <c r="O548" s="130"/>
    </row>
    <row r="549" spans="1:15" s="36" customFormat="1" ht="14.25" x14ac:dyDescent="0.2">
      <c r="A549" s="29">
        <v>3</v>
      </c>
      <c r="B549" s="126" t="s">
        <v>277</v>
      </c>
      <c r="C549" s="65" t="s">
        <v>82</v>
      </c>
      <c r="D549" s="79" t="s">
        <v>29</v>
      </c>
      <c r="E549" s="183"/>
      <c r="F549" s="31">
        <f>3.2*2+2*2+1.6*4+1*4</f>
        <v>20.8</v>
      </c>
      <c r="G549" s="133">
        <f>H549/F549</f>
        <v>0</v>
      </c>
      <c r="H549" s="133">
        <f>SUM(H551:H552)</f>
        <v>0</v>
      </c>
      <c r="I549" s="133">
        <f>J549/F549</f>
        <v>10</v>
      </c>
      <c r="J549" s="133">
        <f>SUM(J551:J552)</f>
        <v>208</v>
      </c>
      <c r="K549" s="133">
        <f>L549/F549</f>
        <v>0</v>
      </c>
      <c r="L549" s="133">
        <f>SUM(L551:L552)</f>
        <v>0</v>
      </c>
      <c r="M549" s="133">
        <f>SUM(M551:M552)</f>
        <v>208</v>
      </c>
      <c r="O549" s="130"/>
    </row>
    <row r="550" spans="1:15" s="19" customFormat="1" x14ac:dyDescent="0.25">
      <c r="A550" s="37"/>
      <c r="B550" s="134"/>
      <c r="C550" s="135" t="s">
        <v>266</v>
      </c>
      <c r="D550" s="134"/>
      <c r="E550" s="38"/>
      <c r="F550" s="39"/>
      <c r="G550" s="38"/>
      <c r="H550" s="38"/>
      <c r="I550" s="38"/>
      <c r="J550" s="38"/>
      <c r="K550" s="38"/>
      <c r="L550" s="38"/>
      <c r="M550" s="39"/>
      <c r="O550" s="130"/>
    </row>
    <row r="551" spans="1:15" s="44" customFormat="1" ht="14.25" x14ac:dyDescent="0.2">
      <c r="A551" s="140"/>
      <c r="B551" s="141" t="s">
        <v>277</v>
      </c>
      <c r="C551" s="142" t="s">
        <v>278</v>
      </c>
      <c r="D551" s="67" t="s">
        <v>29</v>
      </c>
      <c r="E551" s="164">
        <v>1</v>
      </c>
      <c r="F551" s="181">
        <f>F549*E551</f>
        <v>20.8</v>
      </c>
      <c r="G551" s="42">
        <v>0</v>
      </c>
      <c r="H551" s="42">
        <f>F551*G551</f>
        <v>0</v>
      </c>
      <c r="I551" s="42">
        <f>8*1.25</f>
        <v>10</v>
      </c>
      <c r="J551" s="42">
        <f>F551*I551</f>
        <v>208</v>
      </c>
      <c r="K551" s="38">
        <v>0</v>
      </c>
      <c r="L551" s="42">
        <f>J551*K551</f>
        <v>0</v>
      </c>
      <c r="M551" s="43">
        <f>H551+J551+L551</f>
        <v>208</v>
      </c>
      <c r="O551" s="130"/>
    </row>
    <row r="552" spans="1:15" s="36" customFormat="1" ht="14.25" x14ac:dyDescent="0.2">
      <c r="A552" s="29"/>
      <c r="B552" s="29" t="s">
        <v>446</v>
      </c>
      <c r="C552" s="142" t="s">
        <v>447</v>
      </c>
      <c r="D552" s="67" t="s">
        <v>17</v>
      </c>
      <c r="E552" s="164">
        <v>0</v>
      </c>
      <c r="F552" s="184">
        <f>F549*E552</f>
        <v>0</v>
      </c>
      <c r="G552" s="42">
        <v>110</v>
      </c>
      <c r="H552" s="42">
        <f>F552*G552</f>
        <v>0</v>
      </c>
      <c r="I552" s="42">
        <v>0</v>
      </c>
      <c r="J552" s="42">
        <f>F552*I552</f>
        <v>0</v>
      </c>
      <c r="K552" s="38">
        <v>0</v>
      </c>
      <c r="L552" s="42">
        <f>J552*K552</f>
        <v>0</v>
      </c>
      <c r="M552" s="43">
        <f>H552+J552+L552</f>
        <v>0</v>
      </c>
      <c r="O552" s="130"/>
    </row>
    <row r="553" spans="1:15" s="36" customFormat="1" thickBot="1" x14ac:dyDescent="0.25">
      <c r="A553" s="148"/>
      <c r="B553" s="178"/>
      <c r="C553" s="185"/>
      <c r="D553" s="150"/>
      <c r="E553" s="186"/>
      <c r="F553" s="187"/>
      <c r="G553" s="188"/>
      <c r="H553" s="188"/>
      <c r="I553" s="188"/>
      <c r="J553" s="188"/>
      <c r="K553" s="189"/>
      <c r="L553" s="188"/>
      <c r="M553" s="190"/>
      <c r="O553" s="130"/>
    </row>
    <row r="554" spans="1:15" s="34" customFormat="1" x14ac:dyDescent="0.25">
      <c r="A554" s="48"/>
      <c r="B554" s="156"/>
      <c r="C554" s="70" t="s">
        <v>220</v>
      </c>
      <c r="D554" s="49"/>
      <c r="E554" s="50"/>
      <c r="F554" s="50"/>
      <c r="G554" s="51"/>
      <c r="H554" s="159">
        <f>H549+H543+H536</f>
        <v>33.585552000000007</v>
      </c>
      <c r="I554" s="52"/>
      <c r="J554" s="159">
        <f>J549+J543+J536</f>
        <v>693.7</v>
      </c>
      <c r="K554" s="52"/>
      <c r="L554" s="159">
        <f>L549+L543+L536</f>
        <v>0</v>
      </c>
      <c r="M554" s="159">
        <f>M549+M543+M536</f>
        <v>727.28555200000005</v>
      </c>
      <c r="O554" s="130"/>
    </row>
    <row r="555" spans="1:15" x14ac:dyDescent="0.25">
      <c r="A555" s="91"/>
      <c r="B555" s="223"/>
      <c r="C555" s="56" t="s">
        <v>221</v>
      </c>
      <c r="D555" s="92"/>
      <c r="E555" s="93"/>
      <c r="F555" s="93"/>
      <c r="G555" s="93"/>
      <c r="H555" s="224">
        <f>H45+H294+H332+H410+H440+H482+H513+H534+H554</f>
        <v>46527.480573161825</v>
      </c>
      <c r="I555" s="224"/>
      <c r="J555" s="224">
        <f>J45+J294+J332+J410+J440+J482+J513+J534+J554</f>
        <v>49064.798074799997</v>
      </c>
      <c r="K555" s="224"/>
      <c r="L555" s="224">
        <f>L45+L294+L332+L410+L440+L482+L513+L534+L554</f>
        <v>3123.2750911121166</v>
      </c>
      <c r="M555" s="224">
        <f>M45+M294+M332+M410+M440+M482+M513+M534+M554</f>
        <v>98715.553739073963</v>
      </c>
      <c r="O555" s="130"/>
    </row>
    <row r="556" spans="1:15" s="34" customFormat="1" x14ac:dyDescent="0.25">
      <c r="A556" s="48"/>
      <c r="B556" s="156"/>
      <c r="C556" s="70" t="s">
        <v>28</v>
      </c>
      <c r="D556" s="49"/>
      <c r="E556" s="50"/>
      <c r="F556" s="50"/>
      <c r="G556" s="51"/>
      <c r="H556" s="225">
        <f>H333+H295</f>
        <v>18728.841209863433</v>
      </c>
      <c r="I556" s="225"/>
      <c r="J556" s="225">
        <f>J333+J295</f>
        <v>20744.470872142854</v>
      </c>
      <c r="K556" s="225"/>
      <c r="L556" s="225">
        <f>L333+L295</f>
        <v>2156.4718888401171</v>
      </c>
      <c r="M556" s="225">
        <f>M333+M295</f>
        <v>41629.783970846402</v>
      </c>
      <c r="O556" s="130"/>
    </row>
    <row r="557" spans="1:15" s="84" customFormat="1" x14ac:dyDescent="0.2">
      <c r="A557" s="109"/>
      <c r="B557" s="25">
        <v>0.05</v>
      </c>
      <c r="C557" s="72" t="s">
        <v>34</v>
      </c>
      <c r="D557" s="9" t="s">
        <v>18</v>
      </c>
      <c r="E557" s="226"/>
      <c r="F557" s="6"/>
      <c r="G557" s="28"/>
      <c r="H557" s="33"/>
      <c r="I557" s="33"/>
      <c r="J557" s="33"/>
      <c r="K557" s="33"/>
      <c r="L557" s="33"/>
      <c r="M557" s="227">
        <f>H555*B557</f>
        <v>2326.3740286580914</v>
      </c>
      <c r="O557" s="130"/>
    </row>
    <row r="558" spans="1:15" s="84" customFormat="1" x14ac:dyDescent="0.2">
      <c r="A558" s="109"/>
      <c r="B558" s="25"/>
      <c r="C558" s="7" t="s">
        <v>22</v>
      </c>
      <c r="D558" s="7" t="s">
        <v>0</v>
      </c>
      <c r="E558" s="228"/>
      <c r="F558" s="4"/>
      <c r="G558" s="5"/>
      <c r="H558" s="5"/>
      <c r="I558" s="5"/>
      <c r="J558" s="5"/>
      <c r="K558" s="5"/>
      <c r="L558" s="5"/>
      <c r="M558" s="229">
        <f>M555+M557</f>
        <v>101041.92776773205</v>
      </c>
      <c r="O558" s="130"/>
    </row>
    <row r="559" spans="1:15" s="84" customFormat="1" x14ac:dyDescent="0.2">
      <c r="A559" s="109"/>
      <c r="B559" s="25">
        <v>0.1</v>
      </c>
      <c r="C559" s="72" t="s">
        <v>76</v>
      </c>
      <c r="D559" s="8" t="s">
        <v>0</v>
      </c>
      <c r="E559" s="230"/>
      <c r="F559" s="4"/>
      <c r="G559" s="4"/>
      <c r="H559" s="5"/>
      <c r="I559" s="5"/>
      <c r="J559" s="5"/>
      <c r="K559" s="5"/>
      <c r="L559" s="5"/>
      <c r="M559" s="231">
        <f>(M555-M556)*B559</f>
        <v>5708.5769768227565</v>
      </c>
      <c r="O559" s="130"/>
    </row>
    <row r="560" spans="1:15" s="84" customFormat="1" ht="25.5" x14ac:dyDescent="0.2">
      <c r="A560" s="109"/>
      <c r="B560" s="25">
        <v>0.08</v>
      </c>
      <c r="C560" s="72" t="s">
        <v>77</v>
      </c>
      <c r="D560" s="8" t="s">
        <v>0</v>
      </c>
      <c r="E560" s="230"/>
      <c r="F560" s="4"/>
      <c r="G560" s="4"/>
      <c r="H560" s="5"/>
      <c r="I560" s="5"/>
      <c r="J560" s="5"/>
      <c r="K560" s="5"/>
      <c r="L560" s="5"/>
      <c r="M560" s="231">
        <f>M556*B560</f>
        <v>3330.3827176677123</v>
      </c>
      <c r="O560" s="130"/>
    </row>
    <row r="561" spans="1:15" s="84" customFormat="1" x14ac:dyDescent="0.2">
      <c r="A561" s="109"/>
      <c r="B561" s="25"/>
      <c r="C561" s="7" t="s">
        <v>22</v>
      </c>
      <c r="D561" s="7" t="s">
        <v>0</v>
      </c>
      <c r="E561" s="228"/>
      <c r="F561" s="4"/>
      <c r="G561" s="5"/>
      <c r="H561" s="5"/>
      <c r="I561" s="5"/>
      <c r="J561" s="5"/>
      <c r="K561" s="5"/>
      <c r="L561" s="5"/>
      <c r="M561" s="229">
        <f>M558+M559+M560</f>
        <v>110080.88746222253</v>
      </c>
      <c r="O561" s="130"/>
    </row>
    <row r="562" spans="1:15" s="84" customFormat="1" ht="15.75" thickBot="1" x14ac:dyDescent="0.25">
      <c r="A562" s="118"/>
      <c r="B562" s="232">
        <v>0.08</v>
      </c>
      <c r="C562" s="99" t="s">
        <v>89</v>
      </c>
      <c r="D562" s="233" t="s">
        <v>0</v>
      </c>
      <c r="E562" s="234"/>
      <c r="F562" s="100"/>
      <c r="G562" s="100"/>
      <c r="H562" s="235"/>
      <c r="I562" s="235"/>
      <c r="J562" s="235"/>
      <c r="K562" s="235"/>
      <c r="L562" s="235"/>
      <c r="M562" s="236">
        <f>M561*B562</f>
        <v>8806.4709969778032</v>
      </c>
      <c r="O562" s="130"/>
    </row>
    <row r="563" spans="1:15" s="84" customFormat="1" ht="15.75" thickBot="1" x14ac:dyDescent="0.25">
      <c r="A563" s="119"/>
      <c r="B563" s="237"/>
      <c r="C563" s="102" t="s">
        <v>22</v>
      </c>
      <c r="D563" s="102" t="s">
        <v>0</v>
      </c>
      <c r="E563" s="238"/>
      <c r="F563" s="103"/>
      <c r="G563" s="104"/>
      <c r="H563" s="104"/>
      <c r="I563" s="104"/>
      <c r="J563" s="104"/>
      <c r="K563" s="104"/>
      <c r="L563" s="104"/>
      <c r="M563" s="239">
        <f>SUM(M561:M562)</f>
        <v>118887.35845920033</v>
      </c>
      <c r="O563" s="130"/>
    </row>
    <row r="564" spans="1:15" s="84" customFormat="1" x14ac:dyDescent="0.25">
      <c r="B564" s="22"/>
      <c r="G564" s="112"/>
      <c r="H564" s="112"/>
      <c r="I564" s="112"/>
      <c r="J564" s="112"/>
      <c r="K564" s="112"/>
      <c r="L564" s="112"/>
      <c r="M564" s="113"/>
    </row>
    <row r="565" spans="1:15" s="84" customFormat="1" x14ac:dyDescent="0.25">
      <c r="B565" s="22"/>
      <c r="C565" s="240" t="s">
        <v>448</v>
      </c>
      <c r="G565" s="112"/>
      <c r="H565" s="112"/>
      <c r="I565" s="112"/>
      <c r="J565" s="112"/>
      <c r="K565" s="112"/>
      <c r="L565" s="112"/>
      <c r="M565" s="113"/>
    </row>
    <row r="566" spans="1:15" s="84" customFormat="1" x14ac:dyDescent="0.25">
      <c r="B566" s="22"/>
      <c r="C566" s="116" t="s">
        <v>449</v>
      </c>
      <c r="G566" s="112"/>
      <c r="H566" s="112"/>
      <c r="I566" s="112"/>
      <c r="J566" s="112"/>
      <c r="K566" s="112"/>
      <c r="L566" s="112"/>
      <c r="M566" s="113"/>
    </row>
    <row r="567" spans="1:15" s="84" customFormat="1" x14ac:dyDescent="0.25">
      <c r="B567" s="22"/>
      <c r="C567" s="241"/>
      <c r="G567" s="112"/>
      <c r="H567" s="112"/>
      <c r="I567" s="112"/>
      <c r="J567" s="112"/>
      <c r="K567" s="112"/>
      <c r="L567" s="112"/>
      <c r="M567" s="113"/>
    </row>
    <row r="568" spans="1:15" s="84" customFormat="1" x14ac:dyDescent="0.25">
      <c r="B568" s="23"/>
      <c r="G568" s="112"/>
      <c r="H568" s="112"/>
      <c r="I568" s="112"/>
      <c r="J568" s="112"/>
      <c r="K568" s="112"/>
      <c r="L568" s="112"/>
      <c r="M568" s="113"/>
    </row>
    <row r="569" spans="1:15" s="84" customFormat="1" x14ac:dyDescent="0.25">
      <c r="B569" s="23"/>
      <c r="C569" s="22"/>
      <c r="G569" s="112"/>
      <c r="H569" s="112"/>
      <c r="I569" s="112"/>
      <c r="J569" s="112"/>
      <c r="K569" s="112"/>
      <c r="L569" s="112"/>
      <c r="M569" s="113"/>
    </row>
    <row r="570" spans="1:15" s="84" customFormat="1" x14ac:dyDescent="0.25">
      <c r="B570" s="23"/>
      <c r="C570" s="22"/>
      <c r="G570" s="112"/>
      <c r="H570" s="112"/>
      <c r="I570" s="112"/>
      <c r="J570" s="112"/>
      <c r="K570" s="112"/>
      <c r="L570" s="112"/>
      <c r="M570" s="113"/>
    </row>
    <row r="571" spans="1:15" s="84" customFormat="1" x14ac:dyDescent="0.25">
      <c r="B571" s="23"/>
      <c r="C571" s="22"/>
      <c r="G571" s="112"/>
      <c r="H571" s="112"/>
      <c r="I571" s="112"/>
      <c r="J571" s="112"/>
      <c r="K571" s="112"/>
      <c r="L571" s="112"/>
      <c r="M571" s="113"/>
    </row>
    <row r="572" spans="1:15" s="84" customFormat="1" x14ac:dyDescent="0.25">
      <c r="B572" s="23"/>
      <c r="C572" s="22"/>
      <c r="G572" s="112"/>
      <c r="H572" s="112"/>
      <c r="I572" s="112"/>
      <c r="J572" s="112"/>
      <c r="K572" s="112"/>
      <c r="L572" s="112"/>
      <c r="M572" s="113"/>
    </row>
    <row r="573" spans="1:15" s="84" customFormat="1" x14ac:dyDescent="0.25">
      <c r="B573" s="23"/>
      <c r="G573" s="112"/>
      <c r="H573" s="112"/>
      <c r="I573" s="112"/>
      <c r="J573" s="112"/>
      <c r="K573" s="112"/>
      <c r="L573" s="112"/>
      <c r="M573" s="113"/>
    </row>
    <row r="574" spans="1:15" s="84" customFormat="1" x14ac:dyDescent="0.25">
      <c r="B574" s="23"/>
      <c r="G574" s="112"/>
      <c r="H574" s="112"/>
      <c r="I574" s="112"/>
      <c r="J574" s="112"/>
      <c r="K574" s="112"/>
      <c r="L574" s="112"/>
      <c r="M574" s="113"/>
    </row>
    <row r="575" spans="1:15" s="84" customFormat="1" x14ac:dyDescent="0.25">
      <c r="B575" s="23"/>
      <c r="C575" s="22"/>
      <c r="G575" s="112"/>
      <c r="H575" s="112"/>
      <c r="I575" s="112"/>
      <c r="J575" s="112"/>
      <c r="K575" s="112"/>
      <c r="L575" s="112"/>
      <c r="M575" s="113"/>
    </row>
    <row r="576" spans="1:15" s="84" customFormat="1" x14ac:dyDescent="0.25">
      <c r="B576" s="23"/>
      <c r="C576" s="22"/>
      <c r="G576" s="112"/>
      <c r="H576" s="112"/>
      <c r="I576" s="112"/>
      <c r="J576" s="112"/>
      <c r="K576" s="112"/>
      <c r="L576" s="112"/>
      <c r="M576" s="113"/>
    </row>
    <row r="577" spans="2:13" s="84" customFormat="1" x14ac:dyDescent="0.25">
      <c r="B577" s="23"/>
      <c r="C577" s="22"/>
      <c r="G577" s="112"/>
      <c r="H577" s="112"/>
      <c r="I577" s="112"/>
      <c r="J577" s="112"/>
      <c r="K577" s="112"/>
      <c r="L577" s="112"/>
      <c r="M577" s="113"/>
    </row>
    <row r="578" spans="2:13" s="84" customFormat="1" x14ac:dyDescent="0.25">
      <c r="B578" s="23"/>
      <c r="C578" s="22"/>
      <c r="G578" s="112"/>
      <c r="H578" s="112"/>
      <c r="I578" s="112"/>
      <c r="J578" s="112"/>
      <c r="K578" s="112"/>
      <c r="L578" s="112"/>
      <c r="M578" s="113"/>
    </row>
    <row r="579" spans="2:13" s="84" customFormat="1" x14ac:dyDescent="0.25">
      <c r="B579" s="23"/>
      <c r="C579" s="22"/>
      <c r="G579" s="112"/>
      <c r="H579" s="112"/>
      <c r="I579" s="112"/>
      <c r="J579" s="112"/>
      <c r="K579" s="112"/>
      <c r="L579" s="112"/>
      <c r="M579" s="113"/>
    </row>
    <row r="580" spans="2:13" x14ac:dyDescent="0.25">
      <c r="C580" s="23"/>
      <c r="M580" s="115"/>
    </row>
    <row r="581" spans="2:13" x14ac:dyDescent="0.25">
      <c r="C581" s="24"/>
      <c r="M581" s="115"/>
    </row>
    <row r="582" spans="2:13" x14ac:dyDescent="0.25">
      <c r="C582" s="23"/>
      <c r="E582" s="242"/>
      <c r="M582" s="115"/>
    </row>
    <row r="583" spans="2:13" x14ac:dyDescent="0.25">
      <c r="C583" s="23"/>
      <c r="M583" s="115"/>
    </row>
    <row r="584" spans="2:13" x14ac:dyDescent="0.25">
      <c r="C584" s="23"/>
      <c r="M584" s="115"/>
    </row>
    <row r="585" spans="2:13" x14ac:dyDescent="0.25">
      <c r="C585" s="23"/>
    </row>
    <row r="586" spans="2:13" x14ac:dyDescent="0.25">
      <c r="C586" s="23"/>
    </row>
    <row r="587" spans="2:13" x14ac:dyDescent="0.25">
      <c r="C587" s="23"/>
    </row>
    <row r="588" spans="2:13" x14ac:dyDescent="0.25">
      <c r="C588" s="23"/>
    </row>
  </sheetData>
  <mergeCells count="19">
    <mergeCell ref="I11:J11"/>
    <mergeCell ref="K11:L11"/>
    <mergeCell ref="M11:M12"/>
    <mergeCell ref="A9:H9"/>
    <mergeCell ref="J9:M9"/>
    <mergeCell ref="A10:A12"/>
    <mergeCell ref="B10:B12"/>
    <mergeCell ref="C10:C12"/>
    <mergeCell ref="D10:D12"/>
    <mergeCell ref="E10:E12"/>
    <mergeCell ref="F10:F12"/>
    <mergeCell ref="G10:M10"/>
    <mergeCell ref="G11:H11"/>
    <mergeCell ref="A1:M1"/>
    <mergeCell ref="A4:M4"/>
    <mergeCell ref="A5:M5"/>
    <mergeCell ref="A7:M7"/>
    <mergeCell ref="A8:G8"/>
    <mergeCell ref="K8:M8"/>
  </mergeCells>
  <pageMargins left="0.5" right="0.16" top="0.2" bottom="0.2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44"/>
  <sheetViews>
    <sheetView topLeftCell="A85" workbookViewId="0">
      <selection activeCell="E21" sqref="E21"/>
    </sheetView>
  </sheetViews>
  <sheetFormatPr defaultColWidth="9.140625" defaultRowHeight="15" x14ac:dyDescent="0.25"/>
  <cols>
    <col min="1" max="1" width="5.140625" style="87" customWidth="1"/>
    <col min="2" max="2" width="11" style="19" customWidth="1"/>
    <col min="3" max="3" width="46.140625" style="87" customWidth="1"/>
    <col min="4" max="4" width="8.28515625" style="87" customWidth="1"/>
    <col min="5" max="5" width="8.85546875" style="87" customWidth="1"/>
    <col min="6" max="6" width="7.42578125" style="87" customWidth="1"/>
    <col min="7" max="7" width="7.42578125" style="114" customWidth="1"/>
    <col min="8" max="8" width="8.42578125" style="114" customWidth="1"/>
    <col min="9" max="9" width="7.42578125" style="114" customWidth="1"/>
    <col min="10" max="10" width="8.7109375" style="114" customWidth="1"/>
    <col min="11" max="11" width="7.42578125" style="114" customWidth="1"/>
    <col min="12" max="12" width="8.140625" style="114" customWidth="1"/>
    <col min="13" max="13" width="9.42578125" style="87" customWidth="1"/>
    <col min="14" max="16384" width="9.140625" style="87"/>
  </cols>
  <sheetData>
    <row r="1" spans="1:15" s="106" customFormat="1" x14ac:dyDescent="0.25">
      <c r="A1" s="359" t="s">
        <v>96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5" s="106" customFormat="1" ht="15.75" x14ac:dyDescent="0.25">
      <c r="A2" s="10"/>
      <c r="B2" s="122"/>
      <c r="C2" s="10"/>
      <c r="D2" s="10"/>
      <c r="E2" s="10"/>
      <c r="F2" s="10"/>
      <c r="G2" s="11"/>
      <c r="H2" s="11"/>
      <c r="I2" s="11"/>
      <c r="J2" s="11"/>
      <c r="K2" s="11"/>
      <c r="L2" s="11"/>
      <c r="M2" s="10"/>
    </row>
    <row r="3" spans="1:15" s="12" customFormat="1" x14ac:dyDescent="0.25">
      <c r="A3" s="360" t="s">
        <v>100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5" s="12" customFormat="1" x14ac:dyDescent="0.25">
      <c r="A4" s="360" t="s">
        <v>88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5" s="12" customFormat="1" ht="15.75" x14ac:dyDescent="0.2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</row>
    <row r="6" spans="1:15" s="15" customFormat="1" ht="12.75" x14ac:dyDescent="0.25">
      <c r="A6" s="362" t="s">
        <v>37</v>
      </c>
      <c r="B6" s="362"/>
      <c r="C6" s="362"/>
      <c r="D6" s="362"/>
      <c r="E6" s="362"/>
      <c r="F6" s="362"/>
      <c r="G6" s="362"/>
      <c r="H6" s="14"/>
      <c r="J6" s="98">
        <f>M130/1000</f>
        <v>5.3442721427760009</v>
      </c>
      <c r="K6" s="363" t="s">
        <v>35</v>
      </c>
      <c r="L6" s="363"/>
      <c r="M6" s="363"/>
    </row>
    <row r="7" spans="1:15" s="106" customFormat="1" x14ac:dyDescent="0.25">
      <c r="A7" s="372" t="s">
        <v>36</v>
      </c>
      <c r="B7" s="373"/>
      <c r="C7" s="373"/>
      <c r="D7" s="373"/>
      <c r="E7" s="373"/>
      <c r="F7" s="373"/>
      <c r="G7" s="373"/>
      <c r="H7" s="373"/>
      <c r="I7" s="107"/>
      <c r="J7" s="368" t="s">
        <v>5</v>
      </c>
      <c r="K7" s="368"/>
      <c r="L7" s="368"/>
      <c r="M7" s="368"/>
    </row>
    <row r="8" spans="1:15" s="106" customFormat="1" x14ac:dyDescent="0.25">
      <c r="A8" s="364" t="s">
        <v>1</v>
      </c>
      <c r="B8" s="369" t="s">
        <v>262</v>
      </c>
      <c r="C8" s="364" t="s">
        <v>6</v>
      </c>
      <c r="D8" s="370" t="s">
        <v>7</v>
      </c>
      <c r="E8" s="365" t="s">
        <v>263</v>
      </c>
      <c r="F8" s="366" t="s">
        <v>8</v>
      </c>
      <c r="G8" s="364" t="s">
        <v>9</v>
      </c>
      <c r="H8" s="364"/>
      <c r="I8" s="364"/>
      <c r="J8" s="364"/>
      <c r="K8" s="364"/>
      <c r="L8" s="364"/>
      <c r="M8" s="364"/>
    </row>
    <row r="9" spans="1:15" s="106" customFormat="1" x14ac:dyDescent="0.25">
      <c r="A9" s="364"/>
      <c r="B9" s="369"/>
      <c r="C9" s="364"/>
      <c r="D9" s="370"/>
      <c r="E9" s="365"/>
      <c r="F9" s="366"/>
      <c r="G9" s="364" t="s">
        <v>10</v>
      </c>
      <c r="H9" s="364"/>
      <c r="I9" s="364" t="s">
        <v>11</v>
      </c>
      <c r="J9" s="364"/>
      <c r="K9" s="365" t="s">
        <v>12</v>
      </c>
      <c r="L9" s="365"/>
      <c r="M9" s="366" t="s">
        <v>13</v>
      </c>
    </row>
    <row r="10" spans="1:15" s="106" customFormat="1" x14ac:dyDescent="0.25">
      <c r="A10" s="364"/>
      <c r="B10" s="369"/>
      <c r="C10" s="364"/>
      <c r="D10" s="370"/>
      <c r="E10" s="365"/>
      <c r="F10" s="366"/>
      <c r="G10" s="124" t="s">
        <v>14</v>
      </c>
      <c r="H10" s="124" t="s">
        <v>15</v>
      </c>
      <c r="I10" s="124" t="s">
        <v>14</v>
      </c>
      <c r="J10" s="124" t="s">
        <v>15</v>
      </c>
      <c r="K10" s="124" t="s">
        <v>14</v>
      </c>
      <c r="L10" s="124" t="s">
        <v>15</v>
      </c>
      <c r="M10" s="366"/>
    </row>
    <row r="11" spans="1:15" s="2" customFormat="1" ht="12" x14ac:dyDescent="0.25">
      <c r="A11" s="26" t="s">
        <v>264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1"/>
    </row>
    <row r="12" spans="1:15" s="36" customFormat="1" ht="14.25" x14ac:dyDescent="0.2">
      <c r="A12" s="21"/>
      <c r="B12" s="126"/>
      <c r="C12" s="76" t="s">
        <v>38</v>
      </c>
      <c r="D12" s="35"/>
      <c r="E12" s="16"/>
      <c r="F12" s="27"/>
      <c r="G12" s="17"/>
      <c r="H12" s="17"/>
      <c r="I12" s="17"/>
      <c r="J12" s="17"/>
      <c r="K12" s="17"/>
      <c r="L12" s="17"/>
      <c r="M12" s="16"/>
    </row>
    <row r="13" spans="1:15" s="36" customFormat="1" ht="14.25" x14ac:dyDescent="0.2">
      <c r="A13" s="21">
        <v>1</v>
      </c>
      <c r="B13" s="21" t="s">
        <v>450</v>
      </c>
      <c r="C13" s="65" t="s">
        <v>39</v>
      </c>
      <c r="D13" s="67" t="s">
        <v>40</v>
      </c>
      <c r="E13" s="16"/>
      <c r="F13" s="31">
        <f>(30+350+600)/100</f>
        <v>9.8000000000000007</v>
      </c>
      <c r="G13" s="133">
        <f>H13/F13</f>
        <v>0</v>
      </c>
      <c r="H13" s="133">
        <f>SUM(H15:H16)</f>
        <v>0</v>
      </c>
      <c r="I13" s="133">
        <f>J13/F13</f>
        <v>95.219999999999985</v>
      </c>
      <c r="J13" s="133">
        <f>SUM(J15:J16)</f>
        <v>933.15599999999995</v>
      </c>
      <c r="K13" s="133">
        <f>L13/F13</f>
        <v>0.67711999999999994</v>
      </c>
      <c r="L13" s="133">
        <f>SUM(L15:L16)</f>
        <v>6.6357759999999999</v>
      </c>
      <c r="M13" s="133">
        <f>SUM(M15:M16)</f>
        <v>939.79177599999991</v>
      </c>
      <c r="O13" s="130"/>
    </row>
    <row r="14" spans="1:15" s="19" customFormat="1" x14ac:dyDescent="0.25">
      <c r="A14" s="37"/>
      <c r="B14" s="134"/>
      <c r="C14" s="135" t="s">
        <v>266</v>
      </c>
      <c r="D14" s="136"/>
      <c r="E14" s="38"/>
      <c r="F14" s="39"/>
      <c r="G14" s="38"/>
      <c r="H14" s="38"/>
      <c r="I14" s="38"/>
      <c r="J14" s="38"/>
      <c r="K14" s="38"/>
      <c r="L14" s="161"/>
      <c r="M14" s="39"/>
      <c r="O14" s="130"/>
    </row>
    <row r="15" spans="1:15" s="44" customFormat="1" ht="14.25" x14ac:dyDescent="0.2">
      <c r="A15" s="140"/>
      <c r="B15" s="141"/>
      <c r="C15" s="40" t="s">
        <v>451</v>
      </c>
      <c r="D15" s="67" t="s">
        <v>283</v>
      </c>
      <c r="E15" s="164">
        <f>16*1.15*1.15</f>
        <v>21.159999999999997</v>
      </c>
      <c r="F15" s="41">
        <f>E15*F13</f>
        <v>207.36799999999999</v>
      </c>
      <c r="G15" s="42">
        <v>0</v>
      </c>
      <c r="H15" s="42">
        <f>F15*G15</f>
        <v>0</v>
      </c>
      <c r="I15" s="42">
        <f>3.6*1.25</f>
        <v>4.5</v>
      </c>
      <c r="J15" s="42">
        <f>F15*I15</f>
        <v>933.15599999999995</v>
      </c>
      <c r="K15" s="38">
        <v>0</v>
      </c>
      <c r="L15" s="38">
        <f>F15*K15</f>
        <v>0</v>
      </c>
      <c r="M15" s="43">
        <f>H15+J15+L15</f>
        <v>933.15599999999995</v>
      </c>
      <c r="O15" s="130"/>
    </row>
    <row r="16" spans="1:15" s="146" customFormat="1" x14ac:dyDescent="0.2">
      <c r="A16" s="45"/>
      <c r="B16" s="85"/>
      <c r="C16" s="142" t="s">
        <v>452</v>
      </c>
      <c r="D16" s="67" t="s">
        <v>18</v>
      </c>
      <c r="E16" s="38">
        <f>0.16*1.15*1.15</f>
        <v>0.21159999999999998</v>
      </c>
      <c r="F16" s="38">
        <f>F13*E16</f>
        <v>2.07368</v>
      </c>
      <c r="G16" s="42">
        <v>0</v>
      </c>
      <c r="H16" s="42">
        <f>F16*G16</f>
        <v>0</v>
      </c>
      <c r="I16" s="42">
        <v>0</v>
      </c>
      <c r="J16" s="42">
        <f>F16*I16</f>
        <v>0</v>
      </c>
      <c r="K16" s="38">
        <v>3.2</v>
      </c>
      <c r="L16" s="38">
        <f>F16*K16</f>
        <v>6.6357759999999999</v>
      </c>
      <c r="M16" s="43">
        <f>H16+J16+L16</f>
        <v>6.6357759999999999</v>
      </c>
      <c r="O16" s="130"/>
    </row>
    <row r="17" spans="1:15" ht="15.75" thickBot="1" x14ac:dyDescent="0.3">
      <c r="A17" s="148"/>
      <c r="B17" s="149"/>
      <c r="C17" s="149"/>
      <c r="D17" s="150"/>
      <c r="E17" s="151"/>
      <c r="F17" s="151"/>
      <c r="G17" s="151"/>
      <c r="H17" s="151"/>
      <c r="I17" s="151"/>
      <c r="J17" s="151"/>
      <c r="K17" s="151"/>
      <c r="L17" s="151"/>
      <c r="M17" s="152"/>
      <c r="O17" s="130"/>
    </row>
    <row r="18" spans="1:15" s="36" customFormat="1" ht="14.25" x14ac:dyDescent="0.2">
      <c r="A18" s="21">
        <v>2</v>
      </c>
      <c r="B18" s="21" t="s">
        <v>453</v>
      </c>
      <c r="C18" s="65" t="s">
        <v>70</v>
      </c>
      <c r="D18" s="67" t="s">
        <v>40</v>
      </c>
      <c r="E18" s="16"/>
      <c r="F18" s="31">
        <v>0.7</v>
      </c>
      <c r="G18" s="133">
        <f>H18/F18</f>
        <v>0</v>
      </c>
      <c r="H18" s="133">
        <f>SUM(H20:H21)</f>
        <v>0</v>
      </c>
      <c r="I18" s="133">
        <f>J18/F18</f>
        <v>107.12249999999997</v>
      </c>
      <c r="J18" s="133">
        <f>SUM(J20:J21)</f>
        <v>74.985749999999982</v>
      </c>
      <c r="K18" s="133">
        <f>L18/F18</f>
        <v>1.3542399999999999</v>
      </c>
      <c r="L18" s="133">
        <f>SUM(L20:L21)</f>
        <v>0.94796799999999992</v>
      </c>
      <c r="M18" s="133">
        <f>SUM(M20:M21)</f>
        <v>75.933717999999985</v>
      </c>
      <c r="O18" s="130"/>
    </row>
    <row r="19" spans="1:15" s="19" customFormat="1" x14ac:dyDescent="0.25">
      <c r="A19" s="37"/>
      <c r="B19" s="134"/>
      <c r="C19" s="135" t="s">
        <v>266</v>
      </c>
      <c r="D19" s="136"/>
      <c r="E19" s="38"/>
      <c r="F19" s="39"/>
      <c r="G19" s="38"/>
      <c r="H19" s="38"/>
      <c r="I19" s="38"/>
      <c r="J19" s="38"/>
      <c r="K19" s="38"/>
      <c r="L19" s="161"/>
      <c r="M19" s="39"/>
      <c r="O19" s="130"/>
    </row>
    <row r="20" spans="1:15" s="44" customFormat="1" ht="14.25" x14ac:dyDescent="0.2">
      <c r="A20" s="140"/>
      <c r="B20" s="141"/>
      <c r="C20" s="40" t="s">
        <v>451</v>
      </c>
      <c r="D20" s="67" t="s">
        <v>283</v>
      </c>
      <c r="E20" s="164">
        <f>18*1.15*1.15</f>
        <v>23.804999999999996</v>
      </c>
      <c r="F20" s="41">
        <f>E20*F18</f>
        <v>16.663499999999996</v>
      </c>
      <c r="G20" s="42">
        <v>0</v>
      </c>
      <c r="H20" s="42">
        <f>F20*G20</f>
        <v>0</v>
      </c>
      <c r="I20" s="42">
        <f>3.6*1.25</f>
        <v>4.5</v>
      </c>
      <c r="J20" s="42">
        <f>F20*I20</f>
        <v>74.985749999999982</v>
      </c>
      <c r="K20" s="38">
        <v>0</v>
      </c>
      <c r="L20" s="38">
        <f>F20*K20</f>
        <v>0</v>
      </c>
      <c r="M20" s="43">
        <f>H20+J20+L20</f>
        <v>74.985749999999982</v>
      </c>
      <c r="O20" s="130"/>
    </row>
    <row r="21" spans="1:15" s="146" customFormat="1" x14ac:dyDescent="0.2">
      <c r="A21" s="45"/>
      <c r="B21" s="85"/>
      <c r="C21" s="142" t="s">
        <v>452</v>
      </c>
      <c r="D21" s="67" t="s">
        <v>18</v>
      </c>
      <c r="E21" s="38">
        <f>0.32*1.15*1.15</f>
        <v>0.42319999999999997</v>
      </c>
      <c r="F21" s="38">
        <f>F18*E21</f>
        <v>0.29623999999999995</v>
      </c>
      <c r="G21" s="42">
        <v>0</v>
      </c>
      <c r="H21" s="42">
        <f>F21*G21</f>
        <v>0</v>
      </c>
      <c r="I21" s="42">
        <v>0</v>
      </c>
      <c r="J21" s="42">
        <f>F21*I21</f>
        <v>0</v>
      </c>
      <c r="K21" s="38">
        <v>3.2</v>
      </c>
      <c r="L21" s="38">
        <f>F21*K21</f>
        <v>0.94796799999999992</v>
      </c>
      <c r="M21" s="43">
        <f>H21+J21+L21</f>
        <v>0.94796799999999992</v>
      </c>
      <c r="O21" s="130"/>
    </row>
    <row r="22" spans="1:15" ht="15.75" thickBot="1" x14ac:dyDescent="0.3">
      <c r="A22" s="148"/>
      <c r="B22" s="149"/>
      <c r="C22" s="149"/>
      <c r="D22" s="150"/>
      <c r="E22" s="151"/>
      <c r="F22" s="151"/>
      <c r="G22" s="151"/>
      <c r="H22" s="151"/>
      <c r="I22" s="151"/>
      <c r="J22" s="151"/>
      <c r="K22" s="151"/>
      <c r="L22" s="151"/>
      <c r="M22" s="152"/>
      <c r="O22" s="130"/>
    </row>
    <row r="23" spans="1:15" s="36" customFormat="1" ht="14.25" x14ac:dyDescent="0.2">
      <c r="A23" s="21">
        <v>3</v>
      </c>
      <c r="B23" s="21" t="s">
        <v>454</v>
      </c>
      <c r="C23" s="65" t="s">
        <v>41</v>
      </c>
      <c r="D23" s="67" t="s">
        <v>40</v>
      </c>
      <c r="E23" s="16"/>
      <c r="F23" s="31">
        <f>80/100</f>
        <v>0.8</v>
      </c>
      <c r="G23" s="133">
        <f>H23/F23</f>
        <v>0</v>
      </c>
      <c r="H23" s="133">
        <f>SUM(H25:H26)</f>
        <v>0</v>
      </c>
      <c r="I23" s="133">
        <f>J23/F23</f>
        <v>160.68374999999997</v>
      </c>
      <c r="J23" s="133">
        <f>SUM(J25:J26)</f>
        <v>128.547</v>
      </c>
      <c r="K23" s="133">
        <f>L23/F23</f>
        <v>1.3542399999999999</v>
      </c>
      <c r="L23" s="133">
        <f>SUM(L25:L26)</f>
        <v>1.0833919999999999</v>
      </c>
      <c r="M23" s="133">
        <f>SUM(M25:M26)</f>
        <v>129.630392</v>
      </c>
      <c r="O23" s="130"/>
    </row>
    <row r="24" spans="1:15" s="19" customFormat="1" x14ac:dyDescent="0.25">
      <c r="A24" s="37"/>
      <c r="B24" s="134"/>
      <c r="C24" s="135" t="s">
        <v>266</v>
      </c>
      <c r="D24" s="136"/>
      <c r="E24" s="38"/>
      <c r="F24" s="39"/>
      <c r="G24" s="38"/>
      <c r="H24" s="38"/>
      <c r="I24" s="38"/>
      <c r="J24" s="38"/>
      <c r="K24" s="38"/>
      <c r="L24" s="161"/>
      <c r="M24" s="39"/>
      <c r="O24" s="130"/>
    </row>
    <row r="25" spans="1:15" s="44" customFormat="1" ht="14.25" x14ac:dyDescent="0.2">
      <c r="A25" s="140"/>
      <c r="B25" s="141"/>
      <c r="C25" s="40" t="s">
        <v>451</v>
      </c>
      <c r="D25" s="67" t="s">
        <v>283</v>
      </c>
      <c r="E25" s="164">
        <f>27*1.15*1.15</f>
        <v>35.707499999999996</v>
      </c>
      <c r="F25" s="41">
        <f>E25*F23</f>
        <v>28.565999999999999</v>
      </c>
      <c r="G25" s="42">
        <v>0</v>
      </c>
      <c r="H25" s="42">
        <f>F25*G25</f>
        <v>0</v>
      </c>
      <c r="I25" s="42">
        <f>3.6*1.25</f>
        <v>4.5</v>
      </c>
      <c r="J25" s="42">
        <f>F25*I25</f>
        <v>128.547</v>
      </c>
      <c r="K25" s="38">
        <v>0</v>
      </c>
      <c r="L25" s="38">
        <f>F25*K25</f>
        <v>0</v>
      </c>
      <c r="M25" s="43">
        <f>H25+J25+L25</f>
        <v>128.547</v>
      </c>
      <c r="O25" s="130"/>
    </row>
    <row r="26" spans="1:15" s="146" customFormat="1" x14ac:dyDescent="0.2">
      <c r="A26" s="45"/>
      <c r="B26" s="85"/>
      <c r="C26" s="142" t="s">
        <v>452</v>
      </c>
      <c r="D26" s="67" t="s">
        <v>18</v>
      </c>
      <c r="E26" s="38">
        <f>0.32*1.15*1.15</f>
        <v>0.42319999999999997</v>
      </c>
      <c r="F26" s="38">
        <f>F23*E26</f>
        <v>0.33855999999999997</v>
      </c>
      <c r="G26" s="42">
        <v>0</v>
      </c>
      <c r="H26" s="42">
        <f>F26*G26</f>
        <v>0</v>
      </c>
      <c r="I26" s="42">
        <v>0</v>
      </c>
      <c r="J26" s="42">
        <f>F26*I26</f>
        <v>0</v>
      </c>
      <c r="K26" s="38">
        <v>3.2</v>
      </c>
      <c r="L26" s="38">
        <f>F26*K26</f>
        <v>1.0833919999999999</v>
      </c>
      <c r="M26" s="43">
        <f>H26+J26+L26</f>
        <v>1.0833919999999999</v>
      </c>
      <c r="O26" s="130"/>
    </row>
    <row r="27" spans="1:15" ht="15.75" thickBot="1" x14ac:dyDescent="0.3">
      <c r="A27" s="148"/>
      <c r="B27" s="149"/>
      <c r="C27" s="149"/>
      <c r="D27" s="150"/>
      <c r="E27" s="151"/>
      <c r="F27" s="151"/>
      <c r="G27" s="151"/>
      <c r="H27" s="151"/>
      <c r="I27" s="151"/>
      <c r="J27" s="151"/>
      <c r="K27" s="151"/>
      <c r="L27" s="151"/>
      <c r="M27" s="152"/>
      <c r="O27" s="130"/>
    </row>
    <row r="28" spans="1:15" s="36" customFormat="1" ht="24.75" x14ac:dyDescent="0.2">
      <c r="A28" s="21">
        <v>4</v>
      </c>
      <c r="B28" s="21" t="s">
        <v>455</v>
      </c>
      <c r="C28" s="47" t="s">
        <v>105</v>
      </c>
      <c r="D28" s="67" t="s">
        <v>40</v>
      </c>
      <c r="E28" s="16"/>
      <c r="F28" s="31">
        <v>5</v>
      </c>
      <c r="G28" s="133">
        <f>H28/F28</f>
        <v>0</v>
      </c>
      <c r="H28" s="133">
        <f>SUM(H30:H31)</f>
        <v>0</v>
      </c>
      <c r="I28" s="133">
        <f>J28/F28</f>
        <v>65.463749999999976</v>
      </c>
      <c r="J28" s="133">
        <f>SUM(J30:J31)</f>
        <v>327.31874999999991</v>
      </c>
      <c r="K28" s="133">
        <f>L28/F28</f>
        <v>0.46551999999999999</v>
      </c>
      <c r="L28" s="133">
        <f>SUM(L30:L31)</f>
        <v>2.3275999999999999</v>
      </c>
      <c r="M28" s="133">
        <f>SUM(M30:M31)</f>
        <v>329.64634999999993</v>
      </c>
      <c r="O28" s="130"/>
    </row>
    <row r="29" spans="1:15" s="19" customFormat="1" x14ac:dyDescent="0.25">
      <c r="A29" s="37"/>
      <c r="B29" s="134"/>
      <c r="C29" s="135" t="s">
        <v>266</v>
      </c>
      <c r="D29" s="136"/>
      <c r="E29" s="38"/>
      <c r="F29" s="39"/>
      <c r="G29" s="38"/>
      <c r="H29" s="38"/>
      <c r="I29" s="38"/>
      <c r="J29" s="38"/>
      <c r="K29" s="38"/>
      <c r="L29" s="161"/>
      <c r="M29" s="39"/>
      <c r="O29" s="130"/>
    </row>
    <row r="30" spans="1:15" s="44" customFormat="1" ht="14.25" x14ac:dyDescent="0.2">
      <c r="A30" s="140"/>
      <c r="B30" s="141"/>
      <c r="C30" s="40" t="s">
        <v>451</v>
      </c>
      <c r="D30" s="67" t="s">
        <v>283</v>
      </c>
      <c r="E30" s="164">
        <f>11*1.15*1.15</f>
        <v>14.547499999999998</v>
      </c>
      <c r="F30" s="41">
        <f>E30*F28</f>
        <v>72.737499999999983</v>
      </c>
      <c r="G30" s="42">
        <v>0</v>
      </c>
      <c r="H30" s="42">
        <f>F30*G30</f>
        <v>0</v>
      </c>
      <c r="I30" s="42">
        <f>3.6*1.25</f>
        <v>4.5</v>
      </c>
      <c r="J30" s="42">
        <f>F30*I30</f>
        <v>327.31874999999991</v>
      </c>
      <c r="K30" s="38">
        <v>0</v>
      </c>
      <c r="L30" s="38">
        <f>F30*K30</f>
        <v>0</v>
      </c>
      <c r="M30" s="43">
        <f>H30+J30+L30</f>
        <v>327.31874999999991</v>
      </c>
      <c r="O30" s="130"/>
    </row>
    <row r="31" spans="1:15" s="146" customFormat="1" x14ac:dyDescent="0.2">
      <c r="A31" s="45"/>
      <c r="B31" s="85"/>
      <c r="C31" s="142" t="s">
        <v>452</v>
      </c>
      <c r="D31" s="67" t="s">
        <v>18</v>
      </c>
      <c r="E31" s="38">
        <f>0.11*1.15*1.15</f>
        <v>0.14547499999999999</v>
      </c>
      <c r="F31" s="38">
        <f>F28*E31</f>
        <v>0.72737499999999999</v>
      </c>
      <c r="G31" s="42">
        <v>0</v>
      </c>
      <c r="H31" s="42">
        <f>F31*G31</f>
        <v>0</v>
      </c>
      <c r="I31" s="42">
        <v>0</v>
      </c>
      <c r="J31" s="42">
        <f>F31*I31</f>
        <v>0</v>
      </c>
      <c r="K31" s="38">
        <v>3.2</v>
      </c>
      <c r="L31" s="38">
        <f>F31*K31</f>
        <v>2.3275999999999999</v>
      </c>
      <c r="M31" s="43">
        <f>H31+J31+L31</f>
        <v>2.3275999999999999</v>
      </c>
      <c r="O31" s="130"/>
    </row>
    <row r="32" spans="1:15" ht="15.75" thickBot="1" x14ac:dyDescent="0.3">
      <c r="A32" s="148"/>
      <c r="B32" s="149"/>
      <c r="C32" s="149"/>
      <c r="D32" s="150"/>
      <c r="E32" s="151"/>
      <c r="F32" s="151"/>
      <c r="G32" s="151"/>
      <c r="H32" s="151"/>
      <c r="I32" s="151"/>
      <c r="J32" s="151"/>
      <c r="K32" s="151"/>
      <c r="L32" s="151"/>
      <c r="M32" s="152"/>
      <c r="O32" s="130"/>
    </row>
    <row r="33" spans="1:15" s="36" customFormat="1" ht="14.25" x14ac:dyDescent="0.2">
      <c r="A33" s="21">
        <v>5</v>
      </c>
      <c r="B33" s="21" t="s">
        <v>456</v>
      </c>
      <c r="C33" s="65" t="s">
        <v>42</v>
      </c>
      <c r="D33" s="67" t="s">
        <v>19</v>
      </c>
      <c r="E33" s="16"/>
      <c r="F33" s="31">
        <v>1</v>
      </c>
      <c r="G33" s="133">
        <f>H33/F33</f>
        <v>0</v>
      </c>
      <c r="H33" s="133">
        <f>SUM(H35:H36)</f>
        <v>0</v>
      </c>
      <c r="I33" s="133">
        <f>J33/F33</f>
        <v>15</v>
      </c>
      <c r="J33" s="133">
        <f>SUM(J35:J36)</f>
        <v>15</v>
      </c>
      <c r="K33" s="133">
        <f>L33/F33</f>
        <v>17.351199999999995</v>
      </c>
      <c r="L33" s="133">
        <f>SUM(L35:L36)</f>
        <v>17.351199999999995</v>
      </c>
      <c r="M33" s="133">
        <f>SUM(M35:M36)</f>
        <v>32.351199999999992</v>
      </c>
      <c r="O33" s="130"/>
    </row>
    <row r="34" spans="1:15" s="19" customFormat="1" x14ac:dyDescent="0.25">
      <c r="A34" s="37"/>
      <c r="B34" s="134"/>
      <c r="C34" s="135" t="s">
        <v>266</v>
      </c>
      <c r="D34" s="136"/>
      <c r="E34" s="38"/>
      <c r="F34" s="39"/>
      <c r="G34" s="38"/>
      <c r="H34" s="38"/>
      <c r="I34" s="38"/>
      <c r="J34" s="38"/>
      <c r="K34" s="38"/>
      <c r="L34" s="161"/>
      <c r="M34" s="39"/>
      <c r="O34" s="130"/>
    </row>
    <row r="35" spans="1:15" s="44" customFormat="1" ht="14.25" x14ac:dyDescent="0.2">
      <c r="A35" s="140"/>
      <c r="B35" s="141" t="s">
        <v>277</v>
      </c>
      <c r="C35" s="40" t="s">
        <v>457</v>
      </c>
      <c r="D35" s="67" t="s">
        <v>19</v>
      </c>
      <c r="E35" s="164">
        <v>1</v>
      </c>
      <c r="F35" s="41">
        <f>E35*F33</f>
        <v>1</v>
      </c>
      <c r="G35" s="42">
        <v>0</v>
      </c>
      <c r="H35" s="42">
        <f>F35*G35</f>
        <v>0</v>
      </c>
      <c r="I35" s="42">
        <f>12*1.25</f>
        <v>15</v>
      </c>
      <c r="J35" s="42">
        <f>F35*I35</f>
        <v>15</v>
      </c>
      <c r="K35" s="38">
        <v>0</v>
      </c>
      <c r="L35" s="38">
        <f>F35*K35</f>
        <v>0</v>
      </c>
      <c r="M35" s="43">
        <f>H35+J35+L35</f>
        <v>15</v>
      </c>
      <c r="O35" s="130"/>
    </row>
    <row r="36" spans="1:15" s="146" customFormat="1" x14ac:dyDescent="0.2">
      <c r="A36" s="45"/>
      <c r="B36" s="85"/>
      <c r="C36" s="142" t="s">
        <v>452</v>
      </c>
      <c r="D36" s="67" t="s">
        <v>18</v>
      </c>
      <c r="E36" s="38">
        <f>4.1*1.15*1.15</f>
        <v>5.4222499999999982</v>
      </c>
      <c r="F36" s="38">
        <f>F33*E36</f>
        <v>5.4222499999999982</v>
      </c>
      <c r="G36" s="42">
        <v>0</v>
      </c>
      <c r="H36" s="42">
        <f>F36*G36</f>
        <v>0</v>
      </c>
      <c r="I36" s="42">
        <v>0</v>
      </c>
      <c r="J36" s="42">
        <f>F36*I36</f>
        <v>0</v>
      </c>
      <c r="K36" s="38">
        <v>3.2</v>
      </c>
      <c r="L36" s="38">
        <f>F36*K36</f>
        <v>17.351199999999995</v>
      </c>
      <c r="M36" s="43">
        <f>H36+J36+L36</f>
        <v>17.351199999999995</v>
      </c>
      <c r="O36" s="130"/>
    </row>
    <row r="37" spans="1:15" ht="15.75" thickBot="1" x14ac:dyDescent="0.3">
      <c r="A37" s="148"/>
      <c r="B37" s="149"/>
      <c r="C37" s="149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O37" s="130"/>
    </row>
    <row r="38" spans="1:15" s="36" customFormat="1" ht="14.25" x14ac:dyDescent="0.2">
      <c r="A38" s="21">
        <v>6</v>
      </c>
      <c r="B38" s="21" t="s">
        <v>458</v>
      </c>
      <c r="C38" s="65" t="s">
        <v>43</v>
      </c>
      <c r="D38" s="67" t="s">
        <v>19</v>
      </c>
      <c r="E38" s="16"/>
      <c r="F38" s="31">
        <f>1+9</f>
        <v>10</v>
      </c>
      <c r="G38" s="133">
        <f>H38/F38</f>
        <v>0</v>
      </c>
      <c r="H38" s="133">
        <f>SUM(H40:H41)</f>
        <v>0</v>
      </c>
      <c r="I38" s="133">
        <f>J38/F38</f>
        <v>6.25</v>
      </c>
      <c r="J38" s="133">
        <f>SUM(J40:J41)</f>
        <v>62.5</v>
      </c>
      <c r="K38" s="133">
        <f>L38/F38</f>
        <v>0.21159999999999995</v>
      </c>
      <c r="L38" s="133">
        <f>SUM(L40:L41)</f>
        <v>2.1159999999999997</v>
      </c>
      <c r="M38" s="133">
        <f>SUM(M40:M41)</f>
        <v>64.616</v>
      </c>
      <c r="O38" s="130"/>
    </row>
    <row r="39" spans="1:15" s="19" customFormat="1" x14ac:dyDescent="0.25">
      <c r="A39" s="37"/>
      <c r="B39" s="134"/>
      <c r="C39" s="135" t="s">
        <v>266</v>
      </c>
      <c r="D39" s="136"/>
      <c r="E39" s="38"/>
      <c r="F39" s="39"/>
      <c r="G39" s="38"/>
      <c r="H39" s="38"/>
      <c r="I39" s="38"/>
      <c r="J39" s="38"/>
      <c r="K39" s="38"/>
      <c r="L39" s="161"/>
      <c r="M39" s="39"/>
      <c r="O39" s="130"/>
    </row>
    <row r="40" spans="1:15" s="44" customFormat="1" ht="14.25" x14ac:dyDescent="0.2">
      <c r="A40" s="140"/>
      <c r="B40" s="141" t="s">
        <v>277</v>
      </c>
      <c r="C40" s="40" t="s">
        <v>457</v>
      </c>
      <c r="D40" s="67" t="s">
        <v>459</v>
      </c>
      <c r="E40" s="164">
        <v>1</v>
      </c>
      <c r="F40" s="41">
        <f>E40*F38</f>
        <v>10</v>
      </c>
      <c r="G40" s="42">
        <v>0</v>
      </c>
      <c r="H40" s="42">
        <f>F40*G40</f>
        <v>0</v>
      </c>
      <c r="I40" s="42">
        <f>5*1.25</f>
        <v>6.25</v>
      </c>
      <c r="J40" s="42">
        <f>F40*I40</f>
        <v>62.5</v>
      </c>
      <c r="K40" s="38">
        <v>0</v>
      </c>
      <c r="L40" s="38">
        <f>F40*K40</f>
        <v>0</v>
      </c>
      <c r="M40" s="43">
        <f>H40+J40+L40</f>
        <v>62.5</v>
      </c>
      <c r="O40" s="130"/>
    </row>
    <row r="41" spans="1:15" s="146" customFormat="1" x14ac:dyDescent="0.2">
      <c r="A41" s="45"/>
      <c r="B41" s="85"/>
      <c r="C41" s="142" t="s">
        <v>452</v>
      </c>
      <c r="D41" s="67" t="s">
        <v>18</v>
      </c>
      <c r="E41" s="38">
        <f>0.05*1.15*1.15</f>
        <v>6.6124999999999989E-2</v>
      </c>
      <c r="F41" s="38">
        <f>F38*E41</f>
        <v>0.66124999999999989</v>
      </c>
      <c r="G41" s="42">
        <v>0</v>
      </c>
      <c r="H41" s="42">
        <f>F41*G41</f>
        <v>0</v>
      </c>
      <c r="I41" s="42">
        <v>0</v>
      </c>
      <c r="J41" s="42">
        <f>F41*I41</f>
        <v>0</v>
      </c>
      <c r="K41" s="38">
        <v>3.2</v>
      </c>
      <c r="L41" s="38">
        <f>F41*K41</f>
        <v>2.1159999999999997</v>
      </c>
      <c r="M41" s="43">
        <f>H41+J41+L41</f>
        <v>2.1159999999999997</v>
      </c>
      <c r="O41" s="130"/>
    </row>
    <row r="42" spans="1:15" ht="15.75" thickBot="1" x14ac:dyDescent="0.3">
      <c r="A42" s="148"/>
      <c r="B42" s="149"/>
      <c r="C42" s="149"/>
      <c r="D42" s="150"/>
      <c r="E42" s="151"/>
      <c r="F42" s="151"/>
      <c r="G42" s="151"/>
      <c r="H42" s="151"/>
      <c r="I42" s="151"/>
      <c r="J42" s="151"/>
      <c r="K42" s="151"/>
      <c r="L42" s="151"/>
      <c r="M42" s="152"/>
      <c r="O42" s="130"/>
    </row>
    <row r="43" spans="1:15" s="36" customFormat="1" ht="14.25" x14ac:dyDescent="0.2">
      <c r="A43" s="21">
        <v>7</v>
      </c>
      <c r="B43" s="21" t="s">
        <v>460</v>
      </c>
      <c r="C43" s="65" t="s">
        <v>73</v>
      </c>
      <c r="D43" s="67" t="s">
        <v>19</v>
      </c>
      <c r="E43" s="16"/>
      <c r="F43" s="31">
        <v>2</v>
      </c>
      <c r="G43" s="133">
        <f>H43/F43</f>
        <v>0</v>
      </c>
      <c r="H43" s="133">
        <f>SUM(H45:H46)</f>
        <v>0</v>
      </c>
      <c r="I43" s="133">
        <f>J43/F43</f>
        <v>18.75</v>
      </c>
      <c r="J43" s="133">
        <f>SUM(J45:J46)</f>
        <v>37.5</v>
      </c>
      <c r="K43" s="133">
        <f>L43/F43</f>
        <v>0.25391999999999998</v>
      </c>
      <c r="L43" s="133">
        <f>SUM(L45:L46)</f>
        <v>0.50783999999999996</v>
      </c>
      <c r="M43" s="133">
        <f>SUM(M45:M46)</f>
        <v>38.007840000000002</v>
      </c>
      <c r="O43" s="130"/>
    </row>
    <row r="44" spans="1:15" s="19" customFormat="1" x14ac:dyDescent="0.25">
      <c r="A44" s="37"/>
      <c r="B44" s="134"/>
      <c r="C44" s="135" t="s">
        <v>266</v>
      </c>
      <c r="D44" s="136"/>
      <c r="E44" s="38"/>
      <c r="F44" s="39"/>
      <c r="G44" s="38"/>
      <c r="H44" s="38"/>
      <c r="I44" s="38"/>
      <c r="J44" s="38"/>
      <c r="K44" s="38"/>
      <c r="L44" s="161"/>
      <c r="M44" s="39"/>
      <c r="O44" s="130"/>
    </row>
    <row r="45" spans="1:15" s="44" customFormat="1" ht="14.25" x14ac:dyDescent="0.2">
      <c r="A45" s="140"/>
      <c r="B45" s="141" t="s">
        <v>277</v>
      </c>
      <c r="C45" s="40" t="s">
        <v>457</v>
      </c>
      <c r="D45" s="67" t="s">
        <v>459</v>
      </c>
      <c r="E45" s="164">
        <v>3</v>
      </c>
      <c r="F45" s="41">
        <f>E45*F43</f>
        <v>6</v>
      </c>
      <c r="G45" s="42">
        <v>0</v>
      </c>
      <c r="H45" s="42">
        <f>F45*G45</f>
        <v>0</v>
      </c>
      <c r="I45" s="42">
        <f>5*1.25</f>
        <v>6.25</v>
      </c>
      <c r="J45" s="42">
        <f>F45*I45</f>
        <v>37.5</v>
      </c>
      <c r="K45" s="38">
        <v>0</v>
      </c>
      <c r="L45" s="38">
        <f>F45*K45</f>
        <v>0</v>
      </c>
      <c r="M45" s="43">
        <f>H45+J45+L45</f>
        <v>37.5</v>
      </c>
      <c r="O45" s="130"/>
    </row>
    <row r="46" spans="1:15" s="146" customFormat="1" x14ac:dyDescent="0.2">
      <c r="A46" s="45"/>
      <c r="B46" s="85"/>
      <c r="C46" s="142" t="s">
        <v>452</v>
      </c>
      <c r="D46" s="67" t="s">
        <v>18</v>
      </c>
      <c r="E46" s="38">
        <f>0.06*1.15*1.15</f>
        <v>7.934999999999999E-2</v>
      </c>
      <c r="F46" s="38">
        <f>F43*E46</f>
        <v>0.15869999999999998</v>
      </c>
      <c r="G46" s="42">
        <v>0</v>
      </c>
      <c r="H46" s="42">
        <f>F46*G46</f>
        <v>0</v>
      </c>
      <c r="I46" s="42">
        <v>0</v>
      </c>
      <c r="J46" s="42">
        <f>F46*I46</f>
        <v>0</v>
      </c>
      <c r="K46" s="38">
        <v>3.2</v>
      </c>
      <c r="L46" s="38">
        <f>F46*K46</f>
        <v>0.50783999999999996</v>
      </c>
      <c r="M46" s="43">
        <f>H46+J46+L46</f>
        <v>0.50783999999999996</v>
      </c>
      <c r="O46" s="130"/>
    </row>
    <row r="47" spans="1:15" ht="15.75" thickBot="1" x14ac:dyDescent="0.3">
      <c r="A47" s="148"/>
      <c r="B47" s="149"/>
      <c r="C47" s="149"/>
      <c r="D47" s="150"/>
      <c r="E47" s="151"/>
      <c r="F47" s="151"/>
      <c r="G47" s="151"/>
      <c r="H47" s="151"/>
      <c r="I47" s="151"/>
      <c r="J47" s="151"/>
      <c r="K47" s="151"/>
      <c r="L47" s="151"/>
      <c r="M47" s="152"/>
      <c r="O47" s="130"/>
    </row>
    <row r="48" spans="1:15" s="36" customFormat="1" ht="14.25" x14ac:dyDescent="0.2">
      <c r="A48" s="21">
        <v>8</v>
      </c>
      <c r="B48" s="21" t="s">
        <v>461</v>
      </c>
      <c r="C48" s="65" t="s">
        <v>44</v>
      </c>
      <c r="D48" s="67" t="s">
        <v>19</v>
      </c>
      <c r="E48" s="16"/>
      <c r="F48" s="31">
        <v>1</v>
      </c>
      <c r="G48" s="133">
        <f>H48/F48</f>
        <v>0</v>
      </c>
      <c r="H48" s="133">
        <f>SUM(H50:H51)</f>
        <v>0</v>
      </c>
      <c r="I48" s="133">
        <f>J48/F48</f>
        <v>18.75</v>
      </c>
      <c r="J48" s="133">
        <f>SUM(J50:J51)</f>
        <v>18.75</v>
      </c>
      <c r="K48" s="133">
        <f>L48/F48</f>
        <v>0.29624</v>
      </c>
      <c r="L48" s="133">
        <f>SUM(L50:L51)</f>
        <v>0.29624</v>
      </c>
      <c r="M48" s="133">
        <f>SUM(M50:M51)</f>
        <v>19.046240000000001</v>
      </c>
      <c r="O48" s="130"/>
    </row>
    <row r="49" spans="1:15" s="19" customFormat="1" x14ac:dyDescent="0.25">
      <c r="A49" s="37"/>
      <c r="B49" s="134"/>
      <c r="C49" s="135" t="s">
        <v>266</v>
      </c>
      <c r="D49" s="136"/>
      <c r="E49" s="38"/>
      <c r="F49" s="39"/>
      <c r="G49" s="38"/>
      <c r="H49" s="38"/>
      <c r="I49" s="38"/>
      <c r="J49" s="38"/>
      <c r="K49" s="38"/>
      <c r="L49" s="161"/>
      <c r="M49" s="39"/>
      <c r="O49" s="130"/>
    </row>
    <row r="50" spans="1:15" s="44" customFormat="1" ht="14.25" x14ac:dyDescent="0.2">
      <c r="A50" s="140"/>
      <c r="B50" s="141" t="s">
        <v>277</v>
      </c>
      <c r="C50" s="40" t="s">
        <v>457</v>
      </c>
      <c r="D50" s="67" t="s">
        <v>459</v>
      </c>
      <c r="E50" s="164">
        <v>3</v>
      </c>
      <c r="F50" s="41">
        <f>E50*F48</f>
        <v>3</v>
      </c>
      <c r="G50" s="42">
        <v>0</v>
      </c>
      <c r="H50" s="42">
        <f>F50*G50</f>
        <v>0</v>
      </c>
      <c r="I50" s="42">
        <f>5*1.25</f>
        <v>6.25</v>
      </c>
      <c r="J50" s="42">
        <f>F50*I50</f>
        <v>18.75</v>
      </c>
      <c r="K50" s="38">
        <v>0</v>
      </c>
      <c r="L50" s="38">
        <f>F50*K50</f>
        <v>0</v>
      </c>
      <c r="M50" s="43">
        <f>H50+J50+L50</f>
        <v>18.75</v>
      </c>
      <c r="O50" s="130"/>
    </row>
    <row r="51" spans="1:15" s="146" customFormat="1" x14ac:dyDescent="0.2">
      <c r="A51" s="45"/>
      <c r="B51" s="85"/>
      <c r="C51" s="142" t="s">
        <v>452</v>
      </c>
      <c r="D51" s="67" t="s">
        <v>18</v>
      </c>
      <c r="E51" s="38">
        <f>0.07*1.15*1.15</f>
        <v>9.2574999999999991E-2</v>
      </c>
      <c r="F51" s="38">
        <f>F48*E51</f>
        <v>9.2574999999999991E-2</v>
      </c>
      <c r="G51" s="42">
        <v>0</v>
      </c>
      <c r="H51" s="42">
        <f>F51*G51</f>
        <v>0</v>
      </c>
      <c r="I51" s="42">
        <v>0</v>
      </c>
      <c r="J51" s="42">
        <f>F51*I51</f>
        <v>0</v>
      </c>
      <c r="K51" s="38">
        <v>3.2</v>
      </c>
      <c r="L51" s="38">
        <f>F51*K51</f>
        <v>0.29624</v>
      </c>
      <c r="M51" s="43">
        <f>H51+J51+L51</f>
        <v>0.29624</v>
      </c>
      <c r="O51" s="130"/>
    </row>
    <row r="52" spans="1:15" ht="15.75" thickBot="1" x14ac:dyDescent="0.3">
      <c r="A52" s="148"/>
      <c r="B52" s="149"/>
      <c r="C52" s="149"/>
      <c r="D52" s="150"/>
      <c r="E52" s="151"/>
      <c r="F52" s="151"/>
      <c r="G52" s="151"/>
      <c r="H52" s="151"/>
      <c r="I52" s="151"/>
      <c r="J52" s="151"/>
      <c r="K52" s="151"/>
      <c r="L52" s="151"/>
      <c r="M52" s="152"/>
      <c r="O52" s="130"/>
    </row>
    <row r="53" spans="1:15" s="36" customFormat="1" ht="14.25" x14ac:dyDescent="0.2">
      <c r="A53" s="21">
        <v>9</v>
      </c>
      <c r="B53" s="21" t="s">
        <v>462</v>
      </c>
      <c r="C53" s="65" t="s">
        <v>45</v>
      </c>
      <c r="D53" s="67" t="s">
        <v>19</v>
      </c>
      <c r="E53" s="16"/>
      <c r="F53" s="31">
        <f>54+8</f>
        <v>62</v>
      </c>
      <c r="G53" s="133">
        <f>H53/F53</f>
        <v>0</v>
      </c>
      <c r="H53" s="133">
        <f>SUM(H55:H56)</f>
        <v>0</v>
      </c>
      <c r="I53" s="133">
        <f>J53/F53</f>
        <v>6.25</v>
      </c>
      <c r="J53" s="133">
        <f>SUM(J55:J56)</f>
        <v>387.5</v>
      </c>
      <c r="K53" s="133">
        <f>L53/F53</f>
        <v>1.3500080000000001</v>
      </c>
      <c r="L53" s="133">
        <f>SUM(L55:L56)</f>
        <v>83.700496000000001</v>
      </c>
      <c r="M53" s="133">
        <f>SUM(M55:M56)</f>
        <v>471.20049599999999</v>
      </c>
      <c r="O53" s="130"/>
    </row>
    <row r="54" spans="1:15" s="19" customFormat="1" x14ac:dyDescent="0.25">
      <c r="A54" s="37"/>
      <c r="B54" s="134"/>
      <c r="C54" s="135" t="s">
        <v>266</v>
      </c>
      <c r="D54" s="136"/>
      <c r="E54" s="38"/>
      <c r="F54" s="39"/>
      <c r="G54" s="38"/>
      <c r="H54" s="38"/>
      <c r="I54" s="38"/>
      <c r="J54" s="38"/>
      <c r="K54" s="38"/>
      <c r="L54" s="161"/>
      <c r="M54" s="39"/>
      <c r="O54" s="130"/>
    </row>
    <row r="55" spans="1:15" s="44" customFormat="1" ht="14.25" x14ac:dyDescent="0.2">
      <c r="A55" s="140"/>
      <c r="B55" s="141" t="s">
        <v>277</v>
      </c>
      <c r="C55" s="40" t="s">
        <v>457</v>
      </c>
      <c r="D55" s="67" t="s">
        <v>459</v>
      </c>
      <c r="E55" s="164">
        <v>1</v>
      </c>
      <c r="F55" s="41">
        <f>E55*F53</f>
        <v>62</v>
      </c>
      <c r="G55" s="42">
        <v>0</v>
      </c>
      <c r="H55" s="42">
        <f>F55*G55</f>
        <v>0</v>
      </c>
      <c r="I55" s="42">
        <f>5*1.25</f>
        <v>6.25</v>
      </c>
      <c r="J55" s="42">
        <f>F55*I55</f>
        <v>387.5</v>
      </c>
      <c r="K55" s="38">
        <v>0</v>
      </c>
      <c r="L55" s="38">
        <f>F55*K55</f>
        <v>0</v>
      </c>
      <c r="M55" s="43">
        <f>H55+J55+L55</f>
        <v>387.5</v>
      </c>
      <c r="O55" s="130"/>
    </row>
    <row r="56" spans="1:15" s="146" customFormat="1" x14ac:dyDescent="0.2">
      <c r="A56" s="45"/>
      <c r="B56" s="85"/>
      <c r="C56" s="142" t="s">
        <v>452</v>
      </c>
      <c r="D56" s="67" t="s">
        <v>18</v>
      </c>
      <c r="E56" s="38">
        <f>0.464*1.15*1.15</f>
        <v>0.61363999999999996</v>
      </c>
      <c r="F56" s="38">
        <f>F53*E56</f>
        <v>38.045679999999997</v>
      </c>
      <c r="G56" s="42">
        <v>0</v>
      </c>
      <c r="H56" s="42">
        <f>F56*G56</f>
        <v>0</v>
      </c>
      <c r="I56" s="42">
        <v>0</v>
      </c>
      <c r="J56" s="42">
        <f>F56*I56</f>
        <v>0</v>
      </c>
      <c r="K56" s="38">
        <v>2.2000000000000002</v>
      </c>
      <c r="L56" s="38">
        <f>F56*K56</f>
        <v>83.700496000000001</v>
      </c>
      <c r="M56" s="43">
        <f>H56+J56+L56</f>
        <v>83.700496000000001</v>
      </c>
      <c r="O56" s="130"/>
    </row>
    <row r="57" spans="1:15" ht="15.75" thickBot="1" x14ac:dyDescent="0.3">
      <c r="A57" s="148"/>
      <c r="B57" s="149"/>
      <c r="C57" s="149"/>
      <c r="D57" s="150"/>
      <c r="E57" s="151"/>
      <c r="F57" s="151"/>
      <c r="G57" s="151"/>
      <c r="H57" s="151"/>
      <c r="I57" s="151"/>
      <c r="J57" s="151"/>
      <c r="K57" s="151"/>
      <c r="L57" s="151"/>
      <c r="M57" s="152"/>
      <c r="O57" s="130"/>
    </row>
    <row r="58" spans="1:15" s="36" customFormat="1" ht="14.25" x14ac:dyDescent="0.2">
      <c r="A58" s="21">
        <v>10</v>
      </c>
      <c r="B58" s="21" t="s">
        <v>462</v>
      </c>
      <c r="C58" s="65" t="s">
        <v>101</v>
      </c>
      <c r="D58" s="67" t="s">
        <v>19</v>
      </c>
      <c r="E58" s="16"/>
      <c r="F58" s="31">
        <v>16</v>
      </c>
      <c r="G58" s="133">
        <f>H58/F58</f>
        <v>0</v>
      </c>
      <c r="H58" s="133">
        <f>SUM(H60:H61)</f>
        <v>0</v>
      </c>
      <c r="I58" s="133">
        <f>J58/F58</f>
        <v>6.25</v>
      </c>
      <c r="J58" s="133">
        <f>SUM(J60:J61)</f>
        <v>100</v>
      </c>
      <c r="K58" s="133">
        <f>L58/F58</f>
        <v>1.9636480000000001</v>
      </c>
      <c r="L58" s="133">
        <f>SUM(L60:L61)</f>
        <v>31.418368000000001</v>
      </c>
      <c r="M58" s="133">
        <f>SUM(M60:M61)</f>
        <v>131.41836799999999</v>
      </c>
      <c r="O58" s="130"/>
    </row>
    <row r="59" spans="1:15" s="19" customFormat="1" x14ac:dyDescent="0.25">
      <c r="A59" s="37"/>
      <c r="B59" s="134"/>
      <c r="C59" s="135" t="s">
        <v>266</v>
      </c>
      <c r="D59" s="136"/>
      <c r="E59" s="38"/>
      <c r="F59" s="39"/>
      <c r="G59" s="38"/>
      <c r="H59" s="38"/>
      <c r="I59" s="38"/>
      <c r="J59" s="38"/>
      <c r="K59" s="38"/>
      <c r="L59" s="161"/>
      <c r="M59" s="39"/>
      <c r="O59" s="130"/>
    </row>
    <row r="60" spans="1:15" s="44" customFormat="1" ht="14.25" x14ac:dyDescent="0.2">
      <c r="A60" s="140"/>
      <c r="B60" s="141" t="s">
        <v>277</v>
      </c>
      <c r="C60" s="40" t="s">
        <v>457</v>
      </c>
      <c r="D60" s="67" t="s">
        <v>459</v>
      </c>
      <c r="E60" s="164">
        <v>1</v>
      </c>
      <c r="F60" s="41">
        <f>E60*F58</f>
        <v>16</v>
      </c>
      <c r="G60" s="42">
        <v>0</v>
      </c>
      <c r="H60" s="42">
        <f>F60*G60</f>
        <v>0</v>
      </c>
      <c r="I60" s="42">
        <f>5*1.25</f>
        <v>6.25</v>
      </c>
      <c r="J60" s="42">
        <f>F60*I60</f>
        <v>100</v>
      </c>
      <c r="K60" s="38">
        <v>0</v>
      </c>
      <c r="L60" s="38">
        <f>F60*K60</f>
        <v>0</v>
      </c>
      <c r="M60" s="43">
        <f>H60+J60+L60</f>
        <v>100</v>
      </c>
      <c r="O60" s="130"/>
    </row>
    <row r="61" spans="1:15" s="146" customFormat="1" x14ac:dyDescent="0.2">
      <c r="A61" s="45"/>
      <c r="B61" s="85"/>
      <c r="C61" s="142" t="s">
        <v>452</v>
      </c>
      <c r="D61" s="67" t="s">
        <v>18</v>
      </c>
      <c r="E61" s="38">
        <f>0.464*1.15*1.15</f>
        <v>0.61363999999999996</v>
      </c>
      <c r="F61" s="38">
        <f>F58*E61</f>
        <v>9.8182399999999994</v>
      </c>
      <c r="G61" s="42">
        <v>0</v>
      </c>
      <c r="H61" s="42">
        <f>F61*G61</f>
        <v>0</v>
      </c>
      <c r="I61" s="42">
        <v>0</v>
      </c>
      <c r="J61" s="42">
        <f>F61*I61</f>
        <v>0</v>
      </c>
      <c r="K61" s="38">
        <v>3.2</v>
      </c>
      <c r="L61" s="38">
        <f>F61*K61</f>
        <v>31.418368000000001</v>
      </c>
      <c r="M61" s="43">
        <f>H61+J61+L61</f>
        <v>31.418368000000001</v>
      </c>
      <c r="O61" s="130"/>
    </row>
    <row r="62" spans="1:15" ht="15.75" thickBot="1" x14ac:dyDescent="0.3">
      <c r="A62" s="148"/>
      <c r="B62" s="149"/>
      <c r="C62" s="149"/>
      <c r="D62" s="150"/>
      <c r="E62" s="151"/>
      <c r="F62" s="151"/>
      <c r="G62" s="151"/>
      <c r="H62" s="151"/>
      <c r="I62" s="151"/>
      <c r="J62" s="151"/>
      <c r="K62" s="151"/>
      <c r="L62" s="151"/>
      <c r="M62" s="152"/>
      <c r="O62" s="130"/>
    </row>
    <row r="63" spans="1:15" s="36" customFormat="1" ht="14.25" x14ac:dyDescent="0.2">
      <c r="A63" s="21">
        <v>11</v>
      </c>
      <c r="B63" s="21" t="s">
        <v>463</v>
      </c>
      <c r="C63" s="65" t="s">
        <v>93</v>
      </c>
      <c r="D63" s="67" t="s">
        <v>19</v>
      </c>
      <c r="E63" s="16"/>
      <c r="F63" s="31">
        <v>2</v>
      </c>
      <c r="G63" s="133">
        <f>H63/F63</f>
        <v>0</v>
      </c>
      <c r="H63" s="133">
        <f>SUM(H65:H66)</f>
        <v>0</v>
      </c>
      <c r="I63" s="133">
        <f>J63/F63</f>
        <v>6.25</v>
      </c>
      <c r="J63" s="133">
        <f>SUM(J65:J66)</f>
        <v>12.5</v>
      </c>
      <c r="K63" s="133">
        <f>L63/F63</f>
        <v>4.6551999999999996E-2</v>
      </c>
      <c r="L63" s="133">
        <f>SUM(L65:L66)</f>
        <v>9.3103999999999992E-2</v>
      </c>
      <c r="M63" s="133">
        <f>SUM(M65:M66)</f>
        <v>12.593104</v>
      </c>
      <c r="O63" s="130"/>
    </row>
    <row r="64" spans="1:15" s="19" customFormat="1" x14ac:dyDescent="0.25">
      <c r="A64" s="37"/>
      <c r="B64" s="134"/>
      <c r="C64" s="135" t="s">
        <v>266</v>
      </c>
      <c r="D64" s="136"/>
      <c r="E64" s="38"/>
      <c r="F64" s="39"/>
      <c r="G64" s="38"/>
      <c r="H64" s="38"/>
      <c r="I64" s="38"/>
      <c r="J64" s="38"/>
      <c r="K64" s="38"/>
      <c r="L64" s="161"/>
      <c r="M64" s="39"/>
      <c r="O64" s="130"/>
    </row>
    <row r="65" spans="1:15" s="44" customFormat="1" ht="14.25" x14ac:dyDescent="0.2">
      <c r="A65" s="140"/>
      <c r="B65" s="141" t="s">
        <v>277</v>
      </c>
      <c r="C65" s="40" t="s">
        <v>457</v>
      </c>
      <c r="D65" s="67" t="s">
        <v>459</v>
      </c>
      <c r="E65" s="164">
        <v>1</v>
      </c>
      <c r="F65" s="41">
        <f>E65*F63</f>
        <v>2</v>
      </c>
      <c r="G65" s="42">
        <v>0</v>
      </c>
      <c r="H65" s="42">
        <f>F65*G65</f>
        <v>0</v>
      </c>
      <c r="I65" s="42">
        <f>5*1.25</f>
        <v>6.25</v>
      </c>
      <c r="J65" s="42">
        <f>F65*I65</f>
        <v>12.5</v>
      </c>
      <c r="K65" s="38">
        <v>0</v>
      </c>
      <c r="L65" s="38">
        <f>F65*K65</f>
        <v>0</v>
      </c>
      <c r="M65" s="43">
        <f>H65+J65+L65</f>
        <v>12.5</v>
      </c>
      <c r="O65" s="130"/>
    </row>
    <row r="66" spans="1:15" s="146" customFormat="1" x14ac:dyDescent="0.2">
      <c r="A66" s="45"/>
      <c r="B66" s="85"/>
      <c r="C66" s="142" t="s">
        <v>452</v>
      </c>
      <c r="D66" s="67" t="s">
        <v>18</v>
      </c>
      <c r="E66" s="38">
        <f>1.1/100*1.15*1.15</f>
        <v>1.4547499999999998E-2</v>
      </c>
      <c r="F66" s="38">
        <f>F63*E66</f>
        <v>2.9094999999999996E-2</v>
      </c>
      <c r="G66" s="42">
        <v>0</v>
      </c>
      <c r="H66" s="42">
        <f>F66*G66</f>
        <v>0</v>
      </c>
      <c r="I66" s="42">
        <v>0</v>
      </c>
      <c r="J66" s="42">
        <f>F66*I66</f>
        <v>0</v>
      </c>
      <c r="K66" s="38">
        <v>3.2</v>
      </c>
      <c r="L66" s="38">
        <f>F66*K66</f>
        <v>9.3103999999999992E-2</v>
      </c>
      <c r="M66" s="43">
        <f>H66+J66+L66</f>
        <v>9.3103999999999992E-2</v>
      </c>
      <c r="O66" s="130"/>
    </row>
    <row r="67" spans="1:15" ht="15.75" thickBot="1" x14ac:dyDescent="0.3">
      <c r="A67" s="148"/>
      <c r="B67" s="149"/>
      <c r="C67" s="149"/>
      <c r="D67" s="150"/>
      <c r="E67" s="151"/>
      <c r="F67" s="151"/>
      <c r="G67" s="151"/>
      <c r="H67" s="151"/>
      <c r="I67" s="151"/>
      <c r="J67" s="151"/>
      <c r="K67" s="151"/>
      <c r="L67" s="151"/>
      <c r="M67" s="152"/>
      <c r="O67" s="130"/>
    </row>
    <row r="68" spans="1:15" s="36" customFormat="1" ht="14.25" x14ac:dyDescent="0.2">
      <c r="A68" s="21">
        <v>12</v>
      </c>
      <c r="B68" s="21" t="s">
        <v>463</v>
      </c>
      <c r="C68" s="65" t="s">
        <v>94</v>
      </c>
      <c r="D68" s="67" t="s">
        <v>19</v>
      </c>
      <c r="E68" s="16"/>
      <c r="F68" s="31">
        <v>6</v>
      </c>
      <c r="G68" s="133">
        <f>H68/F68</f>
        <v>0</v>
      </c>
      <c r="H68" s="133">
        <f>SUM(H70:H71)</f>
        <v>0</v>
      </c>
      <c r="I68" s="133">
        <f>J68/F68</f>
        <v>12.5</v>
      </c>
      <c r="J68" s="133">
        <f>SUM(J70:J71)</f>
        <v>75</v>
      </c>
      <c r="K68" s="133">
        <f>L68/F68</f>
        <v>4.6551999999999989E-2</v>
      </c>
      <c r="L68" s="133">
        <f>SUM(L70:L71)</f>
        <v>0.27931199999999995</v>
      </c>
      <c r="M68" s="133">
        <f>SUM(M70:M71)</f>
        <v>75.279312000000004</v>
      </c>
      <c r="O68" s="130"/>
    </row>
    <row r="69" spans="1:15" s="19" customFormat="1" x14ac:dyDescent="0.25">
      <c r="A69" s="37"/>
      <c r="B69" s="134"/>
      <c r="C69" s="135" t="s">
        <v>266</v>
      </c>
      <c r="D69" s="136"/>
      <c r="E69" s="38"/>
      <c r="F69" s="39"/>
      <c r="G69" s="38"/>
      <c r="H69" s="38"/>
      <c r="I69" s="38"/>
      <c r="J69" s="38"/>
      <c r="K69" s="38"/>
      <c r="L69" s="161"/>
      <c r="M69" s="39"/>
      <c r="O69" s="130"/>
    </row>
    <row r="70" spans="1:15" s="44" customFormat="1" ht="14.25" x14ac:dyDescent="0.2">
      <c r="A70" s="140"/>
      <c r="B70" s="141" t="s">
        <v>277</v>
      </c>
      <c r="C70" s="40" t="s">
        <v>457</v>
      </c>
      <c r="D70" s="67" t="s">
        <v>459</v>
      </c>
      <c r="E70" s="164">
        <v>2</v>
      </c>
      <c r="F70" s="41">
        <f>E70*F68</f>
        <v>12</v>
      </c>
      <c r="G70" s="42">
        <v>0</v>
      </c>
      <c r="H70" s="42">
        <f>F70*G70</f>
        <v>0</v>
      </c>
      <c r="I70" s="42">
        <f>5*1.25</f>
        <v>6.25</v>
      </c>
      <c r="J70" s="42">
        <f>F70*I70</f>
        <v>75</v>
      </c>
      <c r="K70" s="38">
        <v>0</v>
      </c>
      <c r="L70" s="38">
        <f>F70*K70</f>
        <v>0</v>
      </c>
      <c r="M70" s="43">
        <f>H70+J70+L70</f>
        <v>75</v>
      </c>
      <c r="O70" s="130"/>
    </row>
    <row r="71" spans="1:15" s="146" customFormat="1" x14ac:dyDescent="0.2">
      <c r="A71" s="45"/>
      <c r="B71" s="85"/>
      <c r="C71" s="142" t="s">
        <v>452</v>
      </c>
      <c r="D71" s="67" t="s">
        <v>18</v>
      </c>
      <c r="E71" s="38">
        <f>1.1/100*1.15*1.15</f>
        <v>1.4547499999999998E-2</v>
      </c>
      <c r="F71" s="38">
        <f>F68*E71</f>
        <v>8.7284999999999988E-2</v>
      </c>
      <c r="G71" s="42">
        <v>0</v>
      </c>
      <c r="H71" s="42">
        <f>F71*G71</f>
        <v>0</v>
      </c>
      <c r="I71" s="42">
        <v>0</v>
      </c>
      <c r="J71" s="42">
        <f>F71*I71</f>
        <v>0</v>
      </c>
      <c r="K71" s="38">
        <v>3.2</v>
      </c>
      <c r="L71" s="38">
        <f>F71*K71</f>
        <v>0.27931199999999995</v>
      </c>
      <c r="M71" s="43">
        <f>H71+J71+L71</f>
        <v>0.27931199999999995</v>
      </c>
      <c r="O71" s="130"/>
    </row>
    <row r="72" spans="1:15" ht="15.75" thickBot="1" x14ac:dyDescent="0.3">
      <c r="A72" s="148"/>
      <c r="B72" s="149"/>
      <c r="C72" s="149"/>
      <c r="D72" s="150"/>
      <c r="E72" s="151"/>
      <c r="F72" s="151"/>
      <c r="G72" s="151"/>
      <c r="H72" s="151"/>
      <c r="I72" s="151"/>
      <c r="J72" s="151"/>
      <c r="K72" s="151"/>
      <c r="L72" s="151"/>
      <c r="M72" s="152"/>
      <c r="O72" s="130"/>
    </row>
    <row r="73" spans="1:15" s="36" customFormat="1" ht="14.25" x14ac:dyDescent="0.2">
      <c r="A73" s="21">
        <v>13</v>
      </c>
      <c r="B73" s="21" t="s">
        <v>463</v>
      </c>
      <c r="C73" s="65" t="s">
        <v>102</v>
      </c>
      <c r="D73" s="67" t="s">
        <v>19</v>
      </c>
      <c r="E73" s="16"/>
      <c r="F73" s="31">
        <v>2</v>
      </c>
      <c r="G73" s="133">
        <f>H73/F73</f>
        <v>0</v>
      </c>
      <c r="H73" s="133">
        <f>SUM(H75:H76)</f>
        <v>0</v>
      </c>
      <c r="I73" s="133">
        <f>J73/F73</f>
        <v>6.25</v>
      </c>
      <c r="J73" s="133">
        <f>SUM(J75:J76)</f>
        <v>12.5</v>
      </c>
      <c r="K73" s="133">
        <f>L73/F73</f>
        <v>4.6551999999999996E-2</v>
      </c>
      <c r="L73" s="133">
        <f>SUM(L75:L76)</f>
        <v>9.3103999999999992E-2</v>
      </c>
      <c r="M73" s="133">
        <f>SUM(M75:M76)</f>
        <v>12.593104</v>
      </c>
      <c r="O73" s="130"/>
    </row>
    <row r="74" spans="1:15" s="19" customFormat="1" x14ac:dyDescent="0.25">
      <c r="A74" s="37"/>
      <c r="B74" s="134"/>
      <c r="C74" s="135" t="s">
        <v>266</v>
      </c>
      <c r="D74" s="136"/>
      <c r="E74" s="38"/>
      <c r="F74" s="39"/>
      <c r="G74" s="38"/>
      <c r="H74" s="38"/>
      <c r="I74" s="38"/>
      <c r="J74" s="38"/>
      <c r="K74" s="38"/>
      <c r="L74" s="161"/>
      <c r="M74" s="39"/>
      <c r="O74" s="130"/>
    </row>
    <row r="75" spans="1:15" s="44" customFormat="1" ht="14.25" x14ac:dyDescent="0.2">
      <c r="A75" s="140"/>
      <c r="B75" s="141" t="s">
        <v>277</v>
      </c>
      <c r="C75" s="40" t="s">
        <v>457</v>
      </c>
      <c r="D75" s="67" t="s">
        <v>459</v>
      </c>
      <c r="E75" s="164">
        <v>1</v>
      </c>
      <c r="F75" s="41">
        <f>E75*F73</f>
        <v>2</v>
      </c>
      <c r="G75" s="42">
        <v>0</v>
      </c>
      <c r="H75" s="42">
        <f>F75*G75</f>
        <v>0</v>
      </c>
      <c r="I75" s="42">
        <f>5*1.25</f>
        <v>6.25</v>
      </c>
      <c r="J75" s="42">
        <f>F75*I75</f>
        <v>12.5</v>
      </c>
      <c r="K75" s="38">
        <v>0</v>
      </c>
      <c r="L75" s="38">
        <f>F75*K75</f>
        <v>0</v>
      </c>
      <c r="M75" s="43">
        <f>H75+J75+L75</f>
        <v>12.5</v>
      </c>
      <c r="O75" s="130"/>
    </row>
    <row r="76" spans="1:15" s="146" customFormat="1" x14ac:dyDescent="0.2">
      <c r="A76" s="45"/>
      <c r="B76" s="85"/>
      <c r="C76" s="142" t="s">
        <v>452</v>
      </c>
      <c r="D76" s="67" t="s">
        <v>18</v>
      </c>
      <c r="E76" s="38">
        <f>1.1/100*1.15*1.15</f>
        <v>1.4547499999999998E-2</v>
      </c>
      <c r="F76" s="38">
        <f>F73*E76</f>
        <v>2.9094999999999996E-2</v>
      </c>
      <c r="G76" s="42">
        <v>0</v>
      </c>
      <c r="H76" s="42">
        <f>F76*G76</f>
        <v>0</v>
      </c>
      <c r="I76" s="42">
        <v>0</v>
      </c>
      <c r="J76" s="42">
        <f>F76*I76</f>
        <v>0</v>
      </c>
      <c r="K76" s="38">
        <v>3.2</v>
      </c>
      <c r="L76" s="38">
        <f>F76*K76</f>
        <v>9.3103999999999992E-2</v>
      </c>
      <c r="M76" s="43">
        <f>H76+J76+L76</f>
        <v>9.3103999999999992E-2</v>
      </c>
      <c r="O76" s="130"/>
    </row>
    <row r="77" spans="1:15" ht="15.75" thickBot="1" x14ac:dyDescent="0.3">
      <c r="A77" s="148"/>
      <c r="B77" s="149"/>
      <c r="C77" s="149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O77" s="130"/>
    </row>
    <row r="78" spans="1:15" s="36" customFormat="1" ht="14.25" x14ac:dyDescent="0.2">
      <c r="A78" s="21">
        <v>14</v>
      </c>
      <c r="B78" s="21" t="s">
        <v>463</v>
      </c>
      <c r="C78" s="65" t="s">
        <v>103</v>
      </c>
      <c r="D78" s="67" t="s">
        <v>19</v>
      </c>
      <c r="E78" s="16"/>
      <c r="F78" s="31">
        <v>4</v>
      </c>
      <c r="G78" s="133">
        <f>H78/F78</f>
        <v>0</v>
      </c>
      <c r="H78" s="133">
        <f>SUM(H80:H81)</f>
        <v>0</v>
      </c>
      <c r="I78" s="133">
        <f>J78/F78</f>
        <v>12.5</v>
      </c>
      <c r="J78" s="133">
        <f>SUM(J80:J81)</f>
        <v>50</v>
      </c>
      <c r="K78" s="133">
        <f>L78/F78</f>
        <v>4.6551999999999996E-2</v>
      </c>
      <c r="L78" s="133">
        <f>SUM(L80:L81)</f>
        <v>0.18620799999999998</v>
      </c>
      <c r="M78" s="133">
        <f>SUM(M80:M81)</f>
        <v>50.186208000000001</v>
      </c>
      <c r="O78" s="130"/>
    </row>
    <row r="79" spans="1:15" s="19" customFormat="1" x14ac:dyDescent="0.25">
      <c r="A79" s="37"/>
      <c r="B79" s="134"/>
      <c r="C79" s="135" t="s">
        <v>266</v>
      </c>
      <c r="D79" s="136"/>
      <c r="E79" s="38"/>
      <c r="F79" s="39"/>
      <c r="G79" s="38"/>
      <c r="H79" s="38"/>
      <c r="I79" s="38"/>
      <c r="J79" s="38"/>
      <c r="K79" s="38"/>
      <c r="L79" s="161"/>
      <c r="M79" s="39"/>
      <c r="O79" s="130"/>
    </row>
    <row r="80" spans="1:15" s="44" customFormat="1" ht="14.25" x14ac:dyDescent="0.2">
      <c r="A80" s="140"/>
      <c r="B80" s="141" t="s">
        <v>277</v>
      </c>
      <c r="C80" s="40" t="s">
        <v>457</v>
      </c>
      <c r="D80" s="67" t="s">
        <v>459</v>
      </c>
      <c r="E80" s="164">
        <v>2</v>
      </c>
      <c r="F80" s="41">
        <f>E80*F78</f>
        <v>8</v>
      </c>
      <c r="G80" s="42">
        <v>0</v>
      </c>
      <c r="H80" s="42">
        <f>F80*G80</f>
        <v>0</v>
      </c>
      <c r="I80" s="42">
        <f>5*1.25</f>
        <v>6.25</v>
      </c>
      <c r="J80" s="42">
        <f>F80*I80</f>
        <v>50</v>
      </c>
      <c r="K80" s="38">
        <v>0</v>
      </c>
      <c r="L80" s="38">
        <f>F80*K80</f>
        <v>0</v>
      </c>
      <c r="M80" s="43">
        <f>H80+J80+L80</f>
        <v>50</v>
      </c>
      <c r="O80" s="130"/>
    </row>
    <row r="81" spans="1:15" s="146" customFormat="1" x14ac:dyDescent="0.2">
      <c r="A81" s="45"/>
      <c r="B81" s="85"/>
      <c r="C81" s="142" t="s">
        <v>452</v>
      </c>
      <c r="D81" s="67" t="s">
        <v>18</v>
      </c>
      <c r="E81" s="38">
        <f>1.1/100*1.15*1.15</f>
        <v>1.4547499999999998E-2</v>
      </c>
      <c r="F81" s="38">
        <f>F78*E81</f>
        <v>5.8189999999999992E-2</v>
      </c>
      <c r="G81" s="42">
        <v>0</v>
      </c>
      <c r="H81" s="42">
        <f>F81*G81</f>
        <v>0</v>
      </c>
      <c r="I81" s="42">
        <v>0</v>
      </c>
      <c r="J81" s="42">
        <f>F81*I81</f>
        <v>0</v>
      </c>
      <c r="K81" s="38">
        <v>3.2</v>
      </c>
      <c r="L81" s="38">
        <f>F81*K81</f>
        <v>0.18620799999999998</v>
      </c>
      <c r="M81" s="43">
        <f>H81+J81+L81</f>
        <v>0.18620799999999998</v>
      </c>
      <c r="O81" s="130"/>
    </row>
    <row r="82" spans="1:15" ht="15.75" thickBot="1" x14ac:dyDescent="0.3">
      <c r="A82" s="148"/>
      <c r="B82" s="149"/>
      <c r="C82" s="149"/>
      <c r="D82" s="150"/>
      <c r="E82" s="151"/>
      <c r="F82" s="151"/>
      <c r="G82" s="151"/>
      <c r="H82" s="151"/>
      <c r="I82" s="151"/>
      <c r="J82" s="151"/>
      <c r="K82" s="151"/>
      <c r="L82" s="151"/>
      <c r="M82" s="152"/>
      <c r="O82" s="130"/>
    </row>
    <row r="83" spans="1:15" s="36" customFormat="1" ht="14.25" x14ac:dyDescent="0.2">
      <c r="A83" s="21">
        <v>15</v>
      </c>
      <c r="B83" s="21" t="s">
        <v>464</v>
      </c>
      <c r="C83" s="65" t="s">
        <v>46</v>
      </c>
      <c r="D83" s="67" t="s">
        <v>19</v>
      </c>
      <c r="E83" s="16"/>
      <c r="F83" s="31">
        <v>37</v>
      </c>
      <c r="G83" s="133">
        <f>H83/F83</f>
        <v>0</v>
      </c>
      <c r="H83" s="133">
        <f>SUM(H85:H86)</f>
        <v>0</v>
      </c>
      <c r="I83" s="133">
        <f>J83/F83</f>
        <v>6.25</v>
      </c>
      <c r="J83" s="133">
        <f>SUM(J85:J86)</f>
        <v>231.25</v>
      </c>
      <c r="K83" s="133">
        <f>L83/F83</f>
        <v>4.7821599999999992E-2</v>
      </c>
      <c r="L83" s="133">
        <f>SUM(L85:L86)</f>
        <v>1.7693991999999996</v>
      </c>
      <c r="M83" s="133">
        <f>SUM(M85:M86)</f>
        <v>233.01939920000001</v>
      </c>
      <c r="O83" s="130"/>
    </row>
    <row r="84" spans="1:15" s="19" customFormat="1" x14ac:dyDescent="0.25">
      <c r="A84" s="37"/>
      <c r="B84" s="134"/>
      <c r="C84" s="135" t="s">
        <v>266</v>
      </c>
      <c r="D84" s="136"/>
      <c r="E84" s="38"/>
      <c r="F84" s="39"/>
      <c r="G84" s="38"/>
      <c r="H84" s="38"/>
      <c r="I84" s="38"/>
      <c r="J84" s="38"/>
      <c r="K84" s="38"/>
      <c r="L84" s="161"/>
      <c r="M84" s="39"/>
      <c r="O84" s="130"/>
    </row>
    <row r="85" spans="1:15" s="44" customFormat="1" ht="14.25" x14ac:dyDescent="0.2">
      <c r="A85" s="140"/>
      <c r="B85" s="141" t="s">
        <v>277</v>
      </c>
      <c r="C85" s="40" t="s">
        <v>457</v>
      </c>
      <c r="D85" s="67" t="s">
        <v>459</v>
      </c>
      <c r="E85" s="164">
        <v>1</v>
      </c>
      <c r="F85" s="41">
        <f>E85*F83</f>
        <v>37</v>
      </c>
      <c r="G85" s="42">
        <v>0</v>
      </c>
      <c r="H85" s="42">
        <f>F85*G85</f>
        <v>0</v>
      </c>
      <c r="I85" s="42">
        <f>5*1.25</f>
        <v>6.25</v>
      </c>
      <c r="J85" s="42">
        <f>F85*I85</f>
        <v>231.25</v>
      </c>
      <c r="K85" s="38">
        <v>0</v>
      </c>
      <c r="L85" s="38">
        <f>F85*K85</f>
        <v>0</v>
      </c>
      <c r="M85" s="43">
        <f>H85+J85+L85</f>
        <v>231.25</v>
      </c>
      <c r="O85" s="130"/>
    </row>
    <row r="86" spans="1:15" s="146" customFormat="1" x14ac:dyDescent="0.2">
      <c r="A86" s="45"/>
      <c r="B86" s="85"/>
      <c r="C86" s="142" t="s">
        <v>452</v>
      </c>
      <c r="D86" s="67" t="s">
        <v>18</v>
      </c>
      <c r="E86" s="38">
        <f>1.13/100*1.15*1.15</f>
        <v>1.4944249999999996E-2</v>
      </c>
      <c r="F86" s="38">
        <f>F83*E86</f>
        <v>0.55293724999999982</v>
      </c>
      <c r="G86" s="42">
        <v>0</v>
      </c>
      <c r="H86" s="42">
        <f>F86*G86</f>
        <v>0</v>
      </c>
      <c r="I86" s="42">
        <v>0</v>
      </c>
      <c r="J86" s="42">
        <f>F86*I86</f>
        <v>0</v>
      </c>
      <c r="K86" s="38">
        <v>3.2</v>
      </c>
      <c r="L86" s="38">
        <f>F86*K86</f>
        <v>1.7693991999999996</v>
      </c>
      <c r="M86" s="43">
        <f>H86+J86+L86</f>
        <v>1.7693991999999996</v>
      </c>
      <c r="O86" s="130"/>
    </row>
    <row r="87" spans="1:15" ht="15.75" thickBot="1" x14ac:dyDescent="0.3">
      <c r="A87" s="148"/>
      <c r="B87" s="149"/>
      <c r="C87" s="149"/>
      <c r="D87" s="150"/>
      <c r="E87" s="151"/>
      <c r="F87" s="151"/>
      <c r="G87" s="151"/>
      <c r="H87" s="151"/>
      <c r="I87" s="151"/>
      <c r="J87" s="151"/>
      <c r="K87" s="151"/>
      <c r="L87" s="151"/>
      <c r="M87" s="152"/>
      <c r="O87" s="130"/>
    </row>
    <row r="88" spans="1:15" s="36" customFormat="1" ht="24" x14ac:dyDescent="0.2">
      <c r="A88" s="21">
        <v>16</v>
      </c>
      <c r="B88" s="141" t="s">
        <v>277</v>
      </c>
      <c r="C88" s="65" t="s">
        <v>47</v>
      </c>
      <c r="D88" s="67" t="s">
        <v>19</v>
      </c>
      <c r="E88" s="16"/>
      <c r="F88" s="31">
        <v>2</v>
      </c>
      <c r="G88" s="133">
        <f>H88/F88</f>
        <v>0</v>
      </c>
      <c r="H88" s="133">
        <f>SUM(H90:H91)</f>
        <v>0</v>
      </c>
      <c r="I88" s="133">
        <f>J88/F88</f>
        <v>10</v>
      </c>
      <c r="J88" s="133">
        <f>SUM(J90:J91)</f>
        <v>20</v>
      </c>
      <c r="K88" s="133">
        <f>L88/F88</f>
        <v>0</v>
      </c>
      <c r="L88" s="133">
        <f>SUM(L90:L91)</f>
        <v>0</v>
      </c>
      <c r="M88" s="133">
        <f>SUM(M90:M91)</f>
        <v>20</v>
      </c>
      <c r="O88" s="130"/>
    </row>
    <row r="89" spans="1:15" s="19" customFormat="1" x14ac:dyDescent="0.25">
      <c r="A89" s="37"/>
      <c r="B89" s="134"/>
      <c r="C89" s="135" t="s">
        <v>266</v>
      </c>
      <c r="D89" s="136"/>
      <c r="E89" s="38"/>
      <c r="F89" s="39"/>
      <c r="G89" s="38"/>
      <c r="H89" s="38"/>
      <c r="I89" s="38"/>
      <c r="J89" s="38"/>
      <c r="K89" s="38"/>
      <c r="L89" s="161"/>
      <c r="M89" s="39"/>
      <c r="O89" s="130"/>
    </row>
    <row r="90" spans="1:15" s="44" customFormat="1" ht="14.25" x14ac:dyDescent="0.2">
      <c r="A90" s="140"/>
      <c r="B90" s="141"/>
      <c r="C90" s="40" t="s">
        <v>457</v>
      </c>
      <c r="D90" s="67" t="s">
        <v>459</v>
      </c>
      <c r="E90" s="164">
        <v>1</v>
      </c>
      <c r="F90" s="41">
        <f>E90*F88</f>
        <v>2</v>
      </c>
      <c r="G90" s="42">
        <v>0</v>
      </c>
      <c r="H90" s="42">
        <f>F90*G90</f>
        <v>0</v>
      </c>
      <c r="I90" s="42">
        <f>8*1.25</f>
        <v>10</v>
      </c>
      <c r="J90" s="42">
        <f>F90*I90</f>
        <v>20</v>
      </c>
      <c r="K90" s="38">
        <v>0</v>
      </c>
      <c r="L90" s="38">
        <f>F90*K90</f>
        <v>0</v>
      </c>
      <c r="M90" s="43">
        <f>H90+J90+L90</f>
        <v>20</v>
      </c>
      <c r="O90" s="130"/>
    </row>
    <row r="91" spans="1:15" ht="15.75" thickBot="1" x14ac:dyDescent="0.3">
      <c r="A91" s="148"/>
      <c r="B91" s="149"/>
      <c r="C91" s="149"/>
      <c r="D91" s="150"/>
      <c r="E91" s="151"/>
      <c r="F91" s="151"/>
      <c r="G91" s="151"/>
      <c r="H91" s="151"/>
      <c r="I91" s="151"/>
      <c r="J91" s="151"/>
      <c r="K91" s="151"/>
      <c r="L91" s="151"/>
      <c r="M91" s="152"/>
      <c r="O91" s="130"/>
    </row>
    <row r="92" spans="1:15" s="36" customFormat="1" ht="14.25" x14ac:dyDescent="0.2">
      <c r="A92" s="21">
        <v>17</v>
      </c>
      <c r="B92" s="141" t="s">
        <v>277</v>
      </c>
      <c r="C92" s="65" t="s">
        <v>48</v>
      </c>
      <c r="D92" s="67" t="s">
        <v>29</v>
      </c>
      <c r="E92" s="16"/>
      <c r="F92" s="31">
        <v>40</v>
      </c>
      <c r="G92" s="133">
        <f>H92/F92</f>
        <v>0</v>
      </c>
      <c r="H92" s="133">
        <f>SUM(H94)</f>
        <v>0</v>
      </c>
      <c r="I92" s="133">
        <f>J92/F92</f>
        <v>1.25</v>
      </c>
      <c r="J92" s="133">
        <f>SUM(J94)</f>
        <v>50</v>
      </c>
      <c r="K92" s="133">
        <f>L92/F92</f>
        <v>0</v>
      </c>
      <c r="L92" s="133">
        <f>SUM(L94)</f>
        <v>0</v>
      </c>
      <c r="M92" s="133">
        <f>SUM(M94)</f>
        <v>50</v>
      </c>
      <c r="O92" s="130"/>
    </row>
    <row r="93" spans="1:15" s="19" customFormat="1" x14ac:dyDescent="0.25">
      <c r="A93" s="37"/>
      <c r="B93" s="134"/>
      <c r="C93" s="135" t="s">
        <v>266</v>
      </c>
      <c r="D93" s="136"/>
      <c r="E93" s="38"/>
      <c r="F93" s="39"/>
      <c r="G93" s="38"/>
      <c r="H93" s="38"/>
      <c r="I93" s="38"/>
      <c r="J93" s="38"/>
      <c r="K93" s="38"/>
      <c r="L93" s="161"/>
      <c r="M93" s="39"/>
      <c r="O93" s="130"/>
    </row>
    <row r="94" spans="1:15" s="44" customFormat="1" ht="14.25" x14ac:dyDescent="0.2">
      <c r="A94" s="140"/>
      <c r="B94" s="141"/>
      <c r="C94" s="40" t="s">
        <v>457</v>
      </c>
      <c r="D94" s="67" t="s">
        <v>29</v>
      </c>
      <c r="E94" s="164">
        <v>1</v>
      </c>
      <c r="F94" s="41">
        <f>E94*F92</f>
        <v>40</v>
      </c>
      <c r="G94" s="42">
        <v>0</v>
      </c>
      <c r="H94" s="42">
        <f>F94*G94</f>
        <v>0</v>
      </c>
      <c r="I94" s="42">
        <f>1.25</f>
        <v>1.25</v>
      </c>
      <c r="J94" s="42">
        <f>F94*I94</f>
        <v>50</v>
      </c>
      <c r="K94" s="38">
        <v>0</v>
      </c>
      <c r="L94" s="38">
        <f>F94*K94</f>
        <v>0</v>
      </c>
      <c r="M94" s="43">
        <f>H94+J94+L94</f>
        <v>50</v>
      </c>
      <c r="O94" s="130"/>
    </row>
    <row r="95" spans="1:15" ht="15.75" thickBot="1" x14ac:dyDescent="0.3">
      <c r="A95" s="148"/>
      <c r="B95" s="149"/>
      <c r="C95" s="149"/>
      <c r="D95" s="150"/>
      <c r="E95" s="151"/>
      <c r="F95" s="151"/>
      <c r="G95" s="151"/>
      <c r="H95" s="151"/>
      <c r="I95" s="151" t="s">
        <v>465</v>
      </c>
      <c r="J95" s="151"/>
      <c r="K95" s="151"/>
      <c r="L95" s="151"/>
      <c r="M95" s="152"/>
      <c r="O95" s="130"/>
    </row>
    <row r="96" spans="1:15" s="34" customFormat="1" x14ac:dyDescent="0.25">
      <c r="A96" s="48"/>
      <c r="B96" s="156"/>
      <c r="C96" s="70" t="s">
        <v>21</v>
      </c>
      <c r="D96" s="69"/>
      <c r="E96" s="50"/>
      <c r="F96" s="50"/>
      <c r="G96" s="51"/>
      <c r="H96" s="159">
        <f>H92+H88+H83+H78+H73+H68+H63+H58+H53+H48+H43+H38+H33+H28+H23+H18+H13</f>
        <v>0</v>
      </c>
      <c r="I96" s="52"/>
      <c r="J96" s="159">
        <f>J92+J88+J83+J78+J73+J68+J63+J58+J53+J48+J43+J38+J33+J28+J23+J18+J13</f>
        <v>2536.5074999999997</v>
      </c>
      <c r="K96" s="52"/>
      <c r="L96" s="159">
        <f>L92+L88+L83+L78+L73+L68+L63+L58+L53+L48+L43+L38+L33+L28+L23+L18+L13</f>
        <v>148.80600719999998</v>
      </c>
      <c r="M96" s="159">
        <f>M92+M88+M83+M78+M73+M68+M63+M58+M53+M48+M43+M38+M33+M28+M23+M18+M13</f>
        <v>2685.3135072</v>
      </c>
      <c r="O96" s="130"/>
    </row>
    <row r="97" spans="1:15" s="84" customFormat="1" ht="25.5" x14ac:dyDescent="0.2">
      <c r="A97" s="109"/>
      <c r="B97" s="25">
        <v>0.75</v>
      </c>
      <c r="C97" s="72" t="s">
        <v>49</v>
      </c>
      <c r="D97" s="9" t="s">
        <v>18</v>
      </c>
      <c r="E97" s="230"/>
      <c r="F97" s="4"/>
      <c r="G97" s="4"/>
      <c r="H97" s="4"/>
      <c r="I97" s="4"/>
      <c r="J97" s="4"/>
      <c r="K97" s="4"/>
      <c r="L97" s="4"/>
      <c r="M97" s="246">
        <f>J96*B97</f>
        <v>1902.3806249999998</v>
      </c>
      <c r="O97" s="130"/>
    </row>
    <row r="98" spans="1:15" s="84" customFormat="1" x14ac:dyDescent="0.2">
      <c r="A98" s="120"/>
      <c r="B98" s="55"/>
      <c r="C98" s="70" t="s">
        <v>106</v>
      </c>
      <c r="D98" s="56" t="s">
        <v>0</v>
      </c>
      <c r="E98" s="57"/>
      <c r="F98" s="58"/>
      <c r="G98" s="59"/>
      <c r="H98" s="59"/>
      <c r="I98" s="59"/>
      <c r="J98" s="59"/>
      <c r="K98" s="59"/>
      <c r="L98" s="59"/>
      <c r="M98" s="247">
        <f>SUM(M96:M97)</f>
        <v>4587.6941322000002</v>
      </c>
      <c r="O98" s="130"/>
    </row>
    <row r="99" spans="1:15" s="36" customFormat="1" ht="14.25" x14ac:dyDescent="0.2">
      <c r="A99" s="21"/>
      <c r="B99" s="126"/>
      <c r="C99" s="76" t="s">
        <v>50</v>
      </c>
      <c r="D99" s="79"/>
      <c r="E99" s="16"/>
      <c r="F99" s="27"/>
      <c r="G99" s="17"/>
      <c r="H99" s="17"/>
      <c r="I99" s="17"/>
      <c r="J99" s="17"/>
      <c r="K99" s="17"/>
      <c r="L99" s="17"/>
      <c r="M99" s="16"/>
      <c r="O99" s="130"/>
    </row>
    <row r="100" spans="1:15" s="84" customFormat="1" x14ac:dyDescent="0.2">
      <c r="A100" s="45">
        <v>1</v>
      </c>
      <c r="B100" s="25"/>
      <c r="C100" s="47" t="s">
        <v>51</v>
      </c>
      <c r="D100" s="67" t="s">
        <v>29</v>
      </c>
      <c r="E100" s="164"/>
      <c r="F100" s="41">
        <v>3</v>
      </c>
      <c r="G100" s="42">
        <v>1.7</v>
      </c>
      <c r="H100" s="42">
        <f>F100*G100</f>
        <v>5.0999999999999996</v>
      </c>
      <c r="I100" s="42">
        <v>0</v>
      </c>
      <c r="J100" s="42">
        <f t="shared" ref="J100:J124" si="0">F100*I100</f>
        <v>0</v>
      </c>
      <c r="K100" s="38">
        <v>0</v>
      </c>
      <c r="L100" s="38">
        <f t="shared" ref="L100:L124" si="1">F100*K100</f>
        <v>0</v>
      </c>
      <c r="M100" s="43">
        <f>H100+J100+L100</f>
        <v>5.0999999999999996</v>
      </c>
      <c r="O100" s="130"/>
    </row>
    <row r="101" spans="1:15" s="84" customFormat="1" x14ac:dyDescent="0.2">
      <c r="A101" s="45">
        <v>2</v>
      </c>
      <c r="B101" s="25"/>
      <c r="C101" s="47" t="s">
        <v>52</v>
      </c>
      <c r="D101" s="67" t="s">
        <v>29</v>
      </c>
      <c r="E101" s="164"/>
      <c r="F101" s="41">
        <f>350-320</f>
        <v>30</v>
      </c>
      <c r="G101" s="42">
        <v>1.05</v>
      </c>
      <c r="H101" s="42">
        <f t="shared" ref="H101:H121" si="2">F101*G101</f>
        <v>31.5</v>
      </c>
      <c r="I101" s="42">
        <v>0</v>
      </c>
      <c r="J101" s="42">
        <f t="shared" si="0"/>
        <v>0</v>
      </c>
      <c r="K101" s="38">
        <v>0</v>
      </c>
      <c r="L101" s="38">
        <f t="shared" si="1"/>
        <v>0</v>
      </c>
      <c r="M101" s="43">
        <f t="shared" ref="M101:M121" si="3">H101+J101+L101</f>
        <v>31.5</v>
      </c>
      <c r="O101" s="130"/>
    </row>
    <row r="102" spans="1:15" s="84" customFormat="1" x14ac:dyDescent="0.2">
      <c r="A102" s="45">
        <v>3</v>
      </c>
      <c r="B102" s="25"/>
      <c r="C102" s="47" t="s">
        <v>53</v>
      </c>
      <c r="D102" s="67" t="s">
        <v>29</v>
      </c>
      <c r="E102" s="164"/>
      <c r="F102" s="41">
        <v>0</v>
      </c>
      <c r="G102" s="42">
        <v>1.55</v>
      </c>
      <c r="H102" s="42">
        <f t="shared" si="2"/>
        <v>0</v>
      </c>
      <c r="I102" s="42">
        <v>0</v>
      </c>
      <c r="J102" s="42">
        <f t="shared" si="0"/>
        <v>0</v>
      </c>
      <c r="K102" s="38">
        <v>0</v>
      </c>
      <c r="L102" s="38">
        <f t="shared" si="1"/>
        <v>0</v>
      </c>
      <c r="M102" s="43">
        <f t="shared" si="3"/>
        <v>0</v>
      </c>
      <c r="O102" s="130"/>
    </row>
    <row r="103" spans="1:15" s="84" customFormat="1" x14ac:dyDescent="0.2">
      <c r="A103" s="45">
        <v>4</v>
      </c>
      <c r="B103" s="25"/>
      <c r="C103" s="47" t="s">
        <v>71</v>
      </c>
      <c r="D103" s="67" t="s">
        <v>29</v>
      </c>
      <c r="E103" s="164"/>
      <c r="F103" s="41">
        <v>0</v>
      </c>
      <c r="G103" s="42">
        <v>11.9</v>
      </c>
      <c r="H103" s="42">
        <f t="shared" si="2"/>
        <v>0</v>
      </c>
      <c r="I103" s="42">
        <v>0</v>
      </c>
      <c r="J103" s="42">
        <f t="shared" si="0"/>
        <v>0</v>
      </c>
      <c r="K103" s="38">
        <v>0</v>
      </c>
      <c r="L103" s="38">
        <f t="shared" si="1"/>
        <v>0</v>
      </c>
      <c r="M103" s="43">
        <f t="shared" si="3"/>
        <v>0</v>
      </c>
      <c r="O103" s="130"/>
    </row>
    <row r="104" spans="1:15" s="84" customFormat="1" ht="25.5" x14ac:dyDescent="0.2">
      <c r="A104" s="45">
        <v>5</v>
      </c>
      <c r="B104" s="25"/>
      <c r="C104" s="47" t="s">
        <v>54</v>
      </c>
      <c r="D104" s="67" t="s">
        <v>29</v>
      </c>
      <c r="E104" s="164"/>
      <c r="F104" s="41">
        <v>0</v>
      </c>
      <c r="G104" s="42">
        <v>42.5</v>
      </c>
      <c r="H104" s="42">
        <f t="shared" si="2"/>
        <v>0</v>
      </c>
      <c r="I104" s="42">
        <v>0</v>
      </c>
      <c r="J104" s="42">
        <f t="shared" si="0"/>
        <v>0</v>
      </c>
      <c r="K104" s="38">
        <v>0</v>
      </c>
      <c r="L104" s="38">
        <f t="shared" si="1"/>
        <v>0</v>
      </c>
      <c r="M104" s="43">
        <f t="shared" si="3"/>
        <v>0</v>
      </c>
      <c r="O104" s="130"/>
    </row>
    <row r="105" spans="1:15" s="84" customFormat="1" x14ac:dyDescent="0.2">
      <c r="A105" s="45">
        <v>6</v>
      </c>
      <c r="B105" s="248"/>
      <c r="C105" s="66" t="s">
        <v>57</v>
      </c>
      <c r="D105" s="68" t="s">
        <v>19</v>
      </c>
      <c r="E105" s="191"/>
      <c r="F105" s="41">
        <v>0</v>
      </c>
      <c r="G105" s="42">
        <v>25</v>
      </c>
      <c r="H105" s="42">
        <f t="shared" si="2"/>
        <v>0</v>
      </c>
      <c r="I105" s="42">
        <v>0</v>
      </c>
      <c r="J105" s="42">
        <f t="shared" si="0"/>
        <v>0</v>
      </c>
      <c r="K105" s="38">
        <v>0</v>
      </c>
      <c r="L105" s="38">
        <f t="shared" si="1"/>
        <v>0</v>
      </c>
      <c r="M105" s="43">
        <f t="shared" si="3"/>
        <v>0</v>
      </c>
      <c r="O105" s="130"/>
    </row>
    <row r="106" spans="1:15" s="84" customFormat="1" x14ac:dyDescent="0.2">
      <c r="A106" s="45">
        <v>7</v>
      </c>
      <c r="B106" s="248"/>
      <c r="C106" s="66" t="s">
        <v>58</v>
      </c>
      <c r="D106" s="68" t="s">
        <v>55</v>
      </c>
      <c r="E106" s="191"/>
      <c r="F106" s="41">
        <f>16-13</f>
        <v>3</v>
      </c>
      <c r="G106" s="42">
        <v>0.5</v>
      </c>
      <c r="H106" s="42">
        <f t="shared" si="2"/>
        <v>1.5</v>
      </c>
      <c r="I106" s="42">
        <v>0</v>
      </c>
      <c r="J106" s="42">
        <f t="shared" si="0"/>
        <v>0</v>
      </c>
      <c r="K106" s="38">
        <v>0</v>
      </c>
      <c r="L106" s="38">
        <f t="shared" si="1"/>
        <v>0</v>
      </c>
      <c r="M106" s="43">
        <f t="shared" si="3"/>
        <v>1.5</v>
      </c>
      <c r="O106" s="130"/>
    </row>
    <row r="107" spans="1:15" s="84" customFormat="1" x14ac:dyDescent="0.2">
      <c r="A107" s="45">
        <v>8</v>
      </c>
      <c r="B107" s="248"/>
      <c r="C107" s="66" t="s">
        <v>59</v>
      </c>
      <c r="D107" s="68" t="s">
        <v>19</v>
      </c>
      <c r="E107" s="191"/>
      <c r="F107" s="41">
        <v>0</v>
      </c>
      <c r="G107" s="42">
        <v>8.5</v>
      </c>
      <c r="H107" s="42">
        <f t="shared" si="2"/>
        <v>0</v>
      </c>
      <c r="I107" s="42">
        <v>0</v>
      </c>
      <c r="J107" s="42">
        <f t="shared" si="0"/>
        <v>0</v>
      </c>
      <c r="K107" s="38">
        <v>0</v>
      </c>
      <c r="L107" s="38">
        <f t="shared" si="1"/>
        <v>0</v>
      </c>
      <c r="M107" s="43">
        <f t="shared" si="3"/>
        <v>0</v>
      </c>
      <c r="O107" s="130"/>
    </row>
    <row r="108" spans="1:15" s="84" customFormat="1" x14ac:dyDescent="0.2">
      <c r="A108" s="45">
        <v>9</v>
      </c>
      <c r="B108" s="248"/>
      <c r="C108" s="66" t="s">
        <v>60</v>
      </c>
      <c r="D108" s="68" t="s">
        <v>19</v>
      </c>
      <c r="E108" s="191"/>
      <c r="F108" s="41">
        <f>9-6</f>
        <v>3</v>
      </c>
      <c r="G108" s="42">
        <v>8.5</v>
      </c>
      <c r="H108" s="42">
        <f t="shared" si="2"/>
        <v>25.5</v>
      </c>
      <c r="I108" s="42">
        <v>0</v>
      </c>
      <c r="J108" s="42">
        <f t="shared" si="0"/>
        <v>0</v>
      </c>
      <c r="K108" s="38">
        <v>0</v>
      </c>
      <c r="L108" s="38">
        <f t="shared" si="1"/>
        <v>0</v>
      </c>
      <c r="M108" s="43">
        <f t="shared" si="3"/>
        <v>25.5</v>
      </c>
      <c r="O108" s="130"/>
    </row>
    <row r="109" spans="1:15" s="84" customFormat="1" x14ac:dyDescent="0.2">
      <c r="A109" s="45">
        <v>10</v>
      </c>
      <c r="B109" s="248"/>
      <c r="C109" s="66" t="s">
        <v>72</v>
      </c>
      <c r="D109" s="68" t="s">
        <v>19</v>
      </c>
      <c r="E109" s="191"/>
      <c r="F109" s="41">
        <v>0</v>
      </c>
      <c r="G109" s="42">
        <f>90/1.18</f>
        <v>76.271186440677965</v>
      </c>
      <c r="H109" s="42">
        <f t="shared" si="2"/>
        <v>0</v>
      </c>
      <c r="I109" s="42">
        <v>0</v>
      </c>
      <c r="J109" s="42">
        <f t="shared" si="0"/>
        <v>0</v>
      </c>
      <c r="K109" s="38">
        <v>0</v>
      </c>
      <c r="L109" s="38">
        <f t="shared" si="1"/>
        <v>0</v>
      </c>
      <c r="M109" s="43">
        <f t="shared" si="3"/>
        <v>0</v>
      </c>
      <c r="O109" s="130"/>
    </row>
    <row r="110" spans="1:15" s="84" customFormat="1" x14ac:dyDescent="0.2">
      <c r="A110" s="45">
        <v>11</v>
      </c>
      <c r="B110" s="248"/>
      <c r="C110" s="66" t="s">
        <v>61</v>
      </c>
      <c r="D110" s="68" t="s">
        <v>19</v>
      </c>
      <c r="E110" s="191"/>
      <c r="F110" s="41">
        <v>0</v>
      </c>
      <c r="G110" s="42">
        <v>390</v>
      </c>
      <c r="H110" s="42">
        <f t="shared" si="2"/>
        <v>0</v>
      </c>
      <c r="I110" s="42">
        <v>0</v>
      </c>
      <c r="J110" s="42">
        <f t="shared" si="0"/>
        <v>0</v>
      </c>
      <c r="K110" s="38">
        <v>0</v>
      </c>
      <c r="L110" s="38">
        <f t="shared" si="1"/>
        <v>0</v>
      </c>
      <c r="M110" s="43">
        <f t="shared" si="3"/>
        <v>0</v>
      </c>
      <c r="O110" s="130"/>
    </row>
    <row r="111" spans="1:15" s="84" customFormat="1" x14ac:dyDescent="0.2">
      <c r="A111" s="45">
        <v>12</v>
      </c>
      <c r="B111" s="248"/>
      <c r="C111" s="66" t="s">
        <v>86</v>
      </c>
      <c r="D111" s="68" t="s">
        <v>19</v>
      </c>
      <c r="E111" s="191"/>
      <c r="F111" s="41">
        <v>0</v>
      </c>
      <c r="G111" s="42">
        <v>340</v>
      </c>
      <c r="H111" s="42">
        <f t="shared" si="2"/>
        <v>0</v>
      </c>
      <c r="I111" s="42">
        <v>0</v>
      </c>
      <c r="J111" s="42">
        <f t="shared" si="0"/>
        <v>0</v>
      </c>
      <c r="K111" s="38">
        <v>0</v>
      </c>
      <c r="L111" s="38">
        <f t="shared" si="1"/>
        <v>0</v>
      </c>
      <c r="M111" s="43">
        <f t="shared" si="3"/>
        <v>0</v>
      </c>
      <c r="O111" s="130"/>
    </row>
    <row r="112" spans="1:15" s="84" customFormat="1" ht="24.75" x14ac:dyDescent="0.2">
      <c r="A112" s="45">
        <v>13</v>
      </c>
      <c r="B112" s="248"/>
      <c r="C112" s="66" t="s">
        <v>87</v>
      </c>
      <c r="D112" s="68" t="s">
        <v>19</v>
      </c>
      <c r="E112" s="191"/>
      <c r="F112" s="41">
        <v>0</v>
      </c>
      <c r="G112" s="42">
        <f>340+150</f>
        <v>490</v>
      </c>
      <c r="H112" s="42">
        <f t="shared" si="2"/>
        <v>0</v>
      </c>
      <c r="I112" s="42">
        <v>0</v>
      </c>
      <c r="J112" s="42">
        <f t="shared" si="0"/>
        <v>0</v>
      </c>
      <c r="K112" s="38">
        <v>0</v>
      </c>
      <c r="L112" s="38">
        <f t="shared" si="1"/>
        <v>0</v>
      </c>
      <c r="M112" s="43">
        <f t="shared" si="3"/>
        <v>0</v>
      </c>
      <c r="O112" s="130"/>
    </row>
    <row r="113" spans="1:15" s="84" customFormat="1" x14ac:dyDescent="0.2">
      <c r="A113" s="45">
        <v>14</v>
      </c>
      <c r="B113" s="248"/>
      <c r="C113" s="66" t="s">
        <v>104</v>
      </c>
      <c r="D113" s="68" t="s">
        <v>19</v>
      </c>
      <c r="E113" s="191"/>
      <c r="F113" s="41">
        <v>16</v>
      </c>
      <c r="G113" s="42">
        <v>10</v>
      </c>
      <c r="H113" s="42">
        <f t="shared" si="2"/>
        <v>160</v>
      </c>
      <c r="I113" s="42">
        <v>0</v>
      </c>
      <c r="J113" s="42">
        <f>F113*I113</f>
        <v>0</v>
      </c>
      <c r="K113" s="38">
        <v>0</v>
      </c>
      <c r="L113" s="38">
        <f>F113*K113</f>
        <v>0</v>
      </c>
      <c r="M113" s="43">
        <f t="shared" si="3"/>
        <v>160</v>
      </c>
      <c r="O113" s="130"/>
    </row>
    <row r="114" spans="1:15" s="84" customFormat="1" x14ac:dyDescent="0.2">
      <c r="A114" s="45">
        <v>15</v>
      </c>
      <c r="B114" s="248"/>
      <c r="C114" s="66" t="s">
        <v>62</v>
      </c>
      <c r="D114" s="68" t="s">
        <v>19</v>
      </c>
      <c r="E114" s="191"/>
      <c r="F114" s="41">
        <v>0</v>
      </c>
      <c r="G114" s="42">
        <v>4</v>
      </c>
      <c r="H114" s="42">
        <f t="shared" si="2"/>
        <v>0</v>
      </c>
      <c r="I114" s="42">
        <v>0</v>
      </c>
      <c r="J114" s="42">
        <f t="shared" si="0"/>
        <v>0</v>
      </c>
      <c r="K114" s="38">
        <v>0</v>
      </c>
      <c r="L114" s="38">
        <f t="shared" si="1"/>
        <v>0</v>
      </c>
      <c r="M114" s="43">
        <f t="shared" si="3"/>
        <v>0</v>
      </c>
      <c r="O114" s="130"/>
    </row>
    <row r="115" spans="1:15" s="84" customFormat="1" x14ac:dyDescent="0.2">
      <c r="A115" s="45">
        <v>16</v>
      </c>
      <c r="B115" s="248"/>
      <c r="C115" s="66" t="s">
        <v>84</v>
      </c>
      <c r="D115" s="68" t="s">
        <v>19</v>
      </c>
      <c r="E115" s="191"/>
      <c r="F115" s="41">
        <f>6-4</f>
        <v>2</v>
      </c>
      <c r="G115" s="42">
        <v>5.5</v>
      </c>
      <c r="H115" s="42">
        <f t="shared" si="2"/>
        <v>11</v>
      </c>
      <c r="I115" s="42">
        <v>0</v>
      </c>
      <c r="J115" s="42">
        <f t="shared" si="0"/>
        <v>0</v>
      </c>
      <c r="K115" s="38">
        <v>0</v>
      </c>
      <c r="L115" s="38">
        <f t="shared" si="1"/>
        <v>0</v>
      </c>
      <c r="M115" s="43">
        <f t="shared" si="3"/>
        <v>11</v>
      </c>
      <c r="O115" s="130"/>
    </row>
    <row r="116" spans="1:15" s="84" customFormat="1" x14ac:dyDescent="0.2">
      <c r="A116" s="45">
        <v>17</v>
      </c>
      <c r="B116" s="248"/>
      <c r="C116" s="66" t="s">
        <v>62</v>
      </c>
      <c r="D116" s="68" t="s">
        <v>19</v>
      </c>
      <c r="E116" s="191"/>
      <c r="F116" s="41">
        <v>2</v>
      </c>
      <c r="G116" s="42">
        <v>4</v>
      </c>
      <c r="H116" s="42">
        <f>F116*G116</f>
        <v>8</v>
      </c>
      <c r="I116" s="42">
        <v>0</v>
      </c>
      <c r="J116" s="42">
        <f>F116*I116</f>
        <v>0</v>
      </c>
      <c r="K116" s="38">
        <v>0</v>
      </c>
      <c r="L116" s="38">
        <f>F116*K116</f>
        <v>0</v>
      </c>
      <c r="M116" s="43">
        <f>H116+J116+L116</f>
        <v>8</v>
      </c>
      <c r="O116" s="130"/>
    </row>
    <row r="117" spans="1:15" s="84" customFormat="1" x14ac:dyDescent="0.2">
      <c r="A117" s="45">
        <v>18</v>
      </c>
      <c r="B117" s="248"/>
      <c r="C117" s="66" t="s">
        <v>84</v>
      </c>
      <c r="D117" s="68" t="s">
        <v>19</v>
      </c>
      <c r="E117" s="191"/>
      <c r="F117" s="41">
        <v>4</v>
      </c>
      <c r="G117" s="42">
        <v>5.5</v>
      </c>
      <c r="H117" s="42">
        <f>F117*G117</f>
        <v>22</v>
      </c>
      <c r="I117" s="42">
        <v>0</v>
      </c>
      <c r="J117" s="42">
        <f>F117*I117</f>
        <v>0</v>
      </c>
      <c r="K117" s="38">
        <v>0</v>
      </c>
      <c r="L117" s="38">
        <f>F117*K117</f>
        <v>0</v>
      </c>
      <c r="M117" s="43">
        <f>H117+J117+L117</f>
        <v>22</v>
      </c>
      <c r="O117" s="130"/>
    </row>
    <row r="118" spans="1:15" s="84" customFormat="1" x14ac:dyDescent="0.2">
      <c r="A118" s="45">
        <v>19</v>
      </c>
      <c r="B118" s="248"/>
      <c r="C118" s="66" t="s">
        <v>63</v>
      </c>
      <c r="D118" s="68" t="s">
        <v>19</v>
      </c>
      <c r="E118" s="191"/>
      <c r="F118" s="41">
        <v>0</v>
      </c>
      <c r="G118" s="42">
        <v>4</v>
      </c>
      <c r="H118" s="42">
        <f t="shared" si="2"/>
        <v>0</v>
      </c>
      <c r="I118" s="42">
        <v>0</v>
      </c>
      <c r="J118" s="42">
        <f t="shared" si="0"/>
        <v>0</v>
      </c>
      <c r="K118" s="38">
        <v>0</v>
      </c>
      <c r="L118" s="38">
        <f t="shared" si="1"/>
        <v>0</v>
      </c>
      <c r="M118" s="43">
        <f t="shared" si="3"/>
        <v>0</v>
      </c>
      <c r="O118" s="130"/>
    </row>
    <row r="119" spans="1:15" s="84" customFormat="1" x14ac:dyDescent="0.2">
      <c r="A119" s="45">
        <v>20</v>
      </c>
      <c r="B119" s="248"/>
      <c r="C119" s="66" t="s">
        <v>64</v>
      </c>
      <c r="D119" s="68" t="s">
        <v>19</v>
      </c>
      <c r="E119" s="191"/>
      <c r="F119" s="41">
        <f>22-15</f>
        <v>7</v>
      </c>
      <c r="G119" s="42">
        <v>0.8</v>
      </c>
      <c r="H119" s="42">
        <f t="shared" si="2"/>
        <v>5.6000000000000005</v>
      </c>
      <c r="I119" s="42">
        <v>0</v>
      </c>
      <c r="J119" s="42">
        <f t="shared" si="0"/>
        <v>0</v>
      </c>
      <c r="K119" s="38">
        <v>0</v>
      </c>
      <c r="L119" s="38">
        <f t="shared" si="1"/>
        <v>0</v>
      </c>
      <c r="M119" s="43">
        <f t="shared" si="3"/>
        <v>5.6000000000000005</v>
      </c>
      <c r="O119" s="130"/>
    </row>
    <row r="120" spans="1:15" s="84" customFormat="1" x14ac:dyDescent="0.2">
      <c r="A120" s="45">
        <v>21</v>
      </c>
      <c r="B120" s="248"/>
      <c r="C120" s="66" t="s">
        <v>65</v>
      </c>
      <c r="D120" s="68" t="s">
        <v>19</v>
      </c>
      <c r="E120" s="191"/>
      <c r="F120" s="41">
        <v>0</v>
      </c>
      <c r="G120" s="42">
        <v>76.5</v>
      </c>
      <c r="H120" s="42">
        <f t="shared" si="2"/>
        <v>0</v>
      </c>
      <c r="I120" s="42">
        <v>0</v>
      </c>
      <c r="J120" s="42">
        <f t="shared" si="0"/>
        <v>0</v>
      </c>
      <c r="K120" s="38">
        <v>0</v>
      </c>
      <c r="L120" s="38">
        <f t="shared" si="1"/>
        <v>0</v>
      </c>
      <c r="M120" s="43">
        <f t="shared" si="3"/>
        <v>0</v>
      </c>
      <c r="O120" s="130"/>
    </row>
    <row r="121" spans="1:15" s="84" customFormat="1" x14ac:dyDescent="0.2">
      <c r="A121" s="45">
        <v>22</v>
      </c>
      <c r="B121" s="248"/>
      <c r="C121" s="65" t="s">
        <v>66</v>
      </c>
      <c r="D121" s="67" t="s">
        <v>29</v>
      </c>
      <c r="E121" s="16"/>
      <c r="F121" s="41">
        <v>0</v>
      </c>
      <c r="G121" s="42">
        <v>0.8</v>
      </c>
      <c r="H121" s="42">
        <f t="shared" si="2"/>
        <v>0</v>
      </c>
      <c r="I121" s="42">
        <v>0</v>
      </c>
      <c r="J121" s="42">
        <f t="shared" si="0"/>
        <v>0</v>
      </c>
      <c r="K121" s="38">
        <v>0</v>
      </c>
      <c r="L121" s="38">
        <f t="shared" si="1"/>
        <v>0</v>
      </c>
      <c r="M121" s="43">
        <f t="shared" si="3"/>
        <v>0</v>
      </c>
      <c r="O121" s="130"/>
    </row>
    <row r="122" spans="1:15" s="84" customFormat="1" ht="36" x14ac:dyDescent="0.2">
      <c r="A122" s="45">
        <v>23</v>
      </c>
      <c r="B122" s="248"/>
      <c r="C122" s="66" t="s">
        <v>67</v>
      </c>
      <c r="D122" s="67" t="s">
        <v>29</v>
      </c>
      <c r="E122" s="16"/>
      <c r="F122" s="41">
        <v>0</v>
      </c>
      <c r="G122" s="42">
        <v>8.5</v>
      </c>
      <c r="H122" s="42">
        <f>F122*G122</f>
        <v>0</v>
      </c>
      <c r="I122" s="42">
        <v>0</v>
      </c>
      <c r="J122" s="42">
        <f t="shared" si="0"/>
        <v>0</v>
      </c>
      <c r="K122" s="38">
        <v>0</v>
      </c>
      <c r="L122" s="38">
        <f t="shared" si="1"/>
        <v>0</v>
      </c>
      <c r="M122" s="43">
        <f>H122+J122+L122</f>
        <v>0</v>
      </c>
      <c r="O122" s="130"/>
    </row>
    <row r="123" spans="1:15" s="84" customFormat="1" x14ac:dyDescent="0.2">
      <c r="A123" s="45">
        <v>24</v>
      </c>
      <c r="B123" s="248"/>
      <c r="C123" s="54" t="s">
        <v>68</v>
      </c>
      <c r="D123" s="67" t="s">
        <v>29</v>
      </c>
      <c r="E123" s="16"/>
      <c r="F123" s="41">
        <v>0</v>
      </c>
      <c r="G123" s="42">
        <v>2</v>
      </c>
      <c r="H123" s="42">
        <f>F123*G123</f>
        <v>0</v>
      </c>
      <c r="I123" s="42">
        <v>0</v>
      </c>
      <c r="J123" s="42">
        <f>F123*I123</f>
        <v>0</v>
      </c>
      <c r="K123" s="38">
        <v>0</v>
      </c>
      <c r="L123" s="38">
        <f>F123*K123</f>
        <v>0</v>
      </c>
      <c r="M123" s="43">
        <f>H123+J123+L123</f>
        <v>0</v>
      </c>
      <c r="O123" s="130"/>
    </row>
    <row r="124" spans="1:15" s="84" customFormat="1" ht="24" x14ac:dyDescent="0.2">
      <c r="A124" s="45">
        <v>25</v>
      </c>
      <c r="B124" s="248"/>
      <c r="C124" s="66" t="s">
        <v>69</v>
      </c>
      <c r="D124" s="68" t="s">
        <v>18</v>
      </c>
      <c r="E124" s="16"/>
      <c r="F124" s="41">
        <v>1</v>
      </c>
      <c r="G124" s="42">
        <v>80</v>
      </c>
      <c r="H124" s="42">
        <f>F124*G124</f>
        <v>80</v>
      </c>
      <c r="I124" s="42">
        <v>0</v>
      </c>
      <c r="J124" s="42">
        <f t="shared" si="0"/>
        <v>0</v>
      </c>
      <c r="K124" s="38">
        <v>0</v>
      </c>
      <c r="L124" s="38">
        <f t="shared" si="1"/>
        <v>0</v>
      </c>
      <c r="M124" s="43">
        <f>H124+J124+L124</f>
        <v>80</v>
      </c>
      <c r="O124" s="130"/>
    </row>
    <row r="125" spans="1:15" s="34" customFormat="1" x14ac:dyDescent="0.25">
      <c r="A125" s="48"/>
      <c r="B125" s="156"/>
      <c r="C125" s="70" t="s">
        <v>30</v>
      </c>
      <c r="D125" s="69"/>
      <c r="E125" s="50"/>
      <c r="F125" s="50"/>
      <c r="G125" s="51"/>
      <c r="H125" s="52">
        <f t="shared" ref="H125:M125" si="4">SUM(H100:H124)</f>
        <v>350.20000000000005</v>
      </c>
      <c r="I125" s="52">
        <f t="shared" si="4"/>
        <v>0</v>
      </c>
      <c r="J125" s="52">
        <f t="shared" si="4"/>
        <v>0</v>
      </c>
      <c r="K125" s="52">
        <f t="shared" si="4"/>
        <v>0</v>
      </c>
      <c r="L125" s="52">
        <f t="shared" si="4"/>
        <v>0</v>
      </c>
      <c r="M125" s="53">
        <f t="shared" si="4"/>
        <v>350.20000000000005</v>
      </c>
      <c r="O125" s="130"/>
    </row>
    <row r="126" spans="1:15" s="34" customFormat="1" x14ac:dyDescent="0.25">
      <c r="A126" s="48"/>
      <c r="B126" s="156"/>
      <c r="C126" s="70" t="s">
        <v>56</v>
      </c>
      <c r="D126" s="49" t="s">
        <v>92</v>
      </c>
      <c r="E126" s="50"/>
      <c r="F126" s="50"/>
      <c r="G126" s="51"/>
      <c r="H126" s="52">
        <f>H96+H125</f>
        <v>350.20000000000005</v>
      </c>
      <c r="I126" s="52">
        <f>SUM(I101:I125)</f>
        <v>0</v>
      </c>
      <c r="J126" s="52">
        <f>J96+J125</f>
        <v>2536.5074999999997</v>
      </c>
      <c r="K126" s="52">
        <f>SUM(K101:K125)</f>
        <v>0</v>
      </c>
      <c r="L126" s="52">
        <f>L96+L125</f>
        <v>148.80600719999998</v>
      </c>
      <c r="M126" s="53">
        <f>M98+M125</f>
        <v>4937.8941322000001</v>
      </c>
      <c r="O126" s="130"/>
    </row>
    <row r="127" spans="1:15" s="84" customFormat="1" ht="25.5" x14ac:dyDescent="0.2">
      <c r="A127" s="109"/>
      <c r="B127" s="25">
        <v>0.03</v>
      </c>
      <c r="C127" s="72" t="s">
        <v>74</v>
      </c>
      <c r="D127" s="8" t="s">
        <v>0</v>
      </c>
      <c r="E127" s="230"/>
      <c r="F127" s="4"/>
      <c r="G127" s="4"/>
      <c r="H127" s="4"/>
      <c r="I127" s="4"/>
      <c r="J127" s="4"/>
      <c r="K127" s="4"/>
      <c r="L127" s="4"/>
      <c r="M127" s="246">
        <f>H126*B127</f>
        <v>10.506</v>
      </c>
      <c r="O127" s="130"/>
    </row>
    <row r="128" spans="1:15" s="84" customFormat="1" x14ac:dyDescent="0.2">
      <c r="A128" s="120"/>
      <c r="B128" s="55"/>
      <c r="C128" s="70" t="s">
        <v>22</v>
      </c>
      <c r="D128" s="56" t="s">
        <v>0</v>
      </c>
      <c r="E128" s="57"/>
      <c r="F128" s="58"/>
      <c r="G128" s="59"/>
      <c r="H128" s="59"/>
      <c r="I128" s="59"/>
      <c r="J128" s="59"/>
      <c r="K128" s="59"/>
      <c r="L128" s="59"/>
      <c r="M128" s="247">
        <f>SUM(M126:M127)</f>
        <v>4948.4001322000004</v>
      </c>
      <c r="O128" s="130"/>
    </row>
    <row r="129" spans="1:16" s="84" customFormat="1" ht="20.100000000000001" customHeight="1" thickBot="1" x14ac:dyDescent="0.25">
      <c r="A129" s="118"/>
      <c r="B129" s="232">
        <v>0.08</v>
      </c>
      <c r="C129" s="99" t="s">
        <v>25</v>
      </c>
      <c r="D129" s="233" t="s">
        <v>0</v>
      </c>
      <c r="E129" s="234"/>
      <c r="F129" s="100"/>
      <c r="G129" s="100"/>
      <c r="H129" s="100"/>
      <c r="I129" s="100"/>
      <c r="J129" s="100"/>
      <c r="K129" s="100"/>
      <c r="L129" s="100"/>
      <c r="M129" s="249">
        <f>M128*B129</f>
        <v>395.87201057600004</v>
      </c>
      <c r="O129" s="130"/>
    </row>
    <row r="130" spans="1:16" s="84" customFormat="1" ht="20.100000000000001" customHeight="1" thickBot="1" x14ac:dyDescent="0.25">
      <c r="A130" s="121"/>
      <c r="B130" s="250"/>
      <c r="C130" s="101" t="s">
        <v>24</v>
      </c>
      <c r="D130" s="101" t="s">
        <v>0</v>
      </c>
      <c r="E130" s="251"/>
      <c r="F130" s="252"/>
      <c r="G130" s="253"/>
      <c r="H130" s="253"/>
      <c r="I130" s="253"/>
      <c r="J130" s="253"/>
      <c r="K130" s="253"/>
      <c r="L130" s="253"/>
      <c r="M130" s="254">
        <f>SUM(M128:M129)</f>
        <v>5344.2721427760007</v>
      </c>
      <c r="O130" s="130"/>
    </row>
    <row r="131" spans="1:16" s="84" customFormat="1" ht="20.100000000000001" customHeight="1" x14ac:dyDescent="0.25">
      <c r="B131" s="22"/>
      <c r="G131" s="112"/>
      <c r="H131" s="112"/>
      <c r="I131" s="112"/>
      <c r="J131" s="112"/>
      <c r="K131" s="112"/>
      <c r="L131" s="112"/>
      <c r="M131" s="113"/>
    </row>
    <row r="132" spans="1:16" s="84" customFormat="1" ht="36" customHeight="1" x14ac:dyDescent="0.25">
      <c r="B132" s="255" t="s">
        <v>466</v>
      </c>
      <c r="C132" s="371" t="s">
        <v>247</v>
      </c>
      <c r="D132" s="371"/>
      <c r="E132" s="371"/>
      <c r="F132" s="371"/>
      <c r="G132" s="371"/>
      <c r="H132" s="371"/>
      <c r="I132" s="371"/>
      <c r="J132" s="371"/>
      <c r="K132" s="371"/>
      <c r="L132" s="371"/>
      <c r="M132" s="125"/>
      <c r="N132" s="106"/>
      <c r="O132" s="106"/>
      <c r="P132" s="106"/>
    </row>
    <row r="133" spans="1:16" s="84" customFormat="1" ht="20.100000000000001" customHeight="1" x14ac:dyDescent="0.25">
      <c r="B133" s="22"/>
      <c r="G133" s="112"/>
      <c r="H133" s="112"/>
      <c r="I133" s="112"/>
      <c r="J133" s="112"/>
      <c r="K133" s="112"/>
      <c r="L133" s="112"/>
      <c r="M133" s="113"/>
    </row>
    <row r="134" spans="1:16" s="84" customFormat="1" ht="20.100000000000001" customHeight="1" x14ac:dyDescent="0.25">
      <c r="B134" s="23"/>
      <c r="C134" s="240" t="s">
        <v>448</v>
      </c>
      <c r="G134" s="112"/>
      <c r="H134" s="112"/>
      <c r="I134" s="112"/>
      <c r="J134" s="112"/>
      <c r="K134" s="112"/>
      <c r="L134" s="112"/>
      <c r="M134" s="113"/>
    </row>
    <row r="135" spans="1:16" s="84" customFormat="1" ht="20.100000000000001" customHeight="1" x14ac:dyDescent="0.25">
      <c r="B135" s="23"/>
      <c r="C135" s="116" t="s">
        <v>449</v>
      </c>
      <c r="D135" s="116"/>
      <c r="G135" s="112"/>
      <c r="H135" s="112"/>
      <c r="I135" s="112"/>
      <c r="J135" s="112"/>
      <c r="K135" s="112"/>
      <c r="L135" s="112"/>
      <c r="M135" s="113"/>
    </row>
    <row r="136" spans="1:16" ht="20.100000000000001" customHeight="1" x14ac:dyDescent="0.25">
      <c r="C136" s="116"/>
      <c r="D136" s="116"/>
      <c r="M136" s="115"/>
    </row>
    <row r="137" spans="1:16" ht="20.100000000000001" customHeight="1" x14ac:dyDescent="0.25">
      <c r="C137" s="24"/>
      <c r="M137" s="115"/>
    </row>
    <row r="138" spans="1:16" ht="20.100000000000001" customHeight="1" x14ac:dyDescent="0.25">
      <c r="C138" s="23"/>
      <c r="M138" s="115"/>
    </row>
    <row r="139" spans="1:16" ht="20.100000000000001" customHeight="1" x14ac:dyDescent="0.25">
      <c r="C139" s="23"/>
      <c r="M139" s="115"/>
    </row>
    <row r="140" spans="1:16" x14ac:dyDescent="0.25">
      <c r="C140" s="23"/>
      <c r="M140" s="115"/>
    </row>
    <row r="141" spans="1:16" x14ac:dyDescent="0.25">
      <c r="C141" s="23"/>
    </row>
    <row r="142" spans="1:16" x14ac:dyDescent="0.25">
      <c r="C142" s="23"/>
    </row>
    <row r="143" spans="1:16" x14ac:dyDescent="0.25">
      <c r="C143" s="23"/>
    </row>
    <row r="144" spans="1:16" x14ac:dyDescent="0.25">
      <c r="C144" s="23"/>
    </row>
  </sheetData>
  <mergeCells count="20">
    <mergeCell ref="I9:J9"/>
    <mergeCell ref="K9:L9"/>
    <mergeCell ref="M9:M10"/>
    <mergeCell ref="C132:L132"/>
    <mergeCell ref="A7:H7"/>
    <mergeCell ref="J7:M7"/>
    <mergeCell ref="A8:A10"/>
    <mergeCell ref="B8:B10"/>
    <mergeCell ref="C8:C10"/>
    <mergeCell ref="D8:D10"/>
    <mergeCell ref="E8:E10"/>
    <mergeCell ref="F8:F10"/>
    <mergeCell ref="G8:M8"/>
    <mergeCell ref="G9:H9"/>
    <mergeCell ref="A1:M1"/>
    <mergeCell ref="A3:M3"/>
    <mergeCell ref="A4:M4"/>
    <mergeCell ref="A5:M5"/>
    <mergeCell ref="A6:G6"/>
    <mergeCell ref="K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23"/>
  <sheetViews>
    <sheetView topLeftCell="A196" workbookViewId="0">
      <selection activeCell="O201" sqref="O201"/>
    </sheetView>
  </sheetViews>
  <sheetFormatPr defaultColWidth="9.140625" defaultRowHeight="15" x14ac:dyDescent="0.25"/>
  <cols>
    <col min="1" max="1" width="5.140625" style="87" customWidth="1"/>
    <col min="2" max="2" width="8.7109375" style="19" customWidth="1"/>
    <col min="3" max="3" width="45.28515625" style="87" customWidth="1"/>
    <col min="4" max="4" width="7.140625" style="87" customWidth="1"/>
    <col min="5" max="5" width="8.85546875" style="87" customWidth="1"/>
    <col min="6" max="6" width="7.42578125" style="87" customWidth="1"/>
    <col min="7" max="8" width="9.7109375" style="114" customWidth="1"/>
    <col min="9" max="9" width="7.42578125" style="114" customWidth="1"/>
    <col min="10" max="10" width="8.7109375" style="114" customWidth="1"/>
    <col min="11" max="11" width="7.42578125" style="114" customWidth="1"/>
    <col min="12" max="12" width="8.140625" style="114" customWidth="1"/>
    <col min="13" max="13" width="9.42578125" style="87" customWidth="1"/>
    <col min="14" max="15" width="11.42578125" style="87" bestFit="1" customWidth="1"/>
    <col min="16" max="16384" width="9.140625" style="87"/>
  </cols>
  <sheetData>
    <row r="1" spans="1:21" s="106" customFormat="1" ht="21.75" customHeight="1" x14ac:dyDescent="0.25">
      <c r="A1" s="359" t="s">
        <v>96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21" s="106" customFormat="1" ht="13.5" customHeight="1" x14ac:dyDescent="0.25">
      <c r="A2" s="10"/>
      <c r="B2" s="122"/>
      <c r="C2" s="10"/>
      <c r="D2" s="10"/>
      <c r="E2" s="10"/>
      <c r="F2" s="10"/>
      <c r="G2" s="11"/>
      <c r="H2" s="11"/>
      <c r="I2" s="11"/>
      <c r="J2" s="11"/>
      <c r="K2" s="11"/>
      <c r="L2" s="11"/>
      <c r="M2" s="10"/>
    </row>
    <row r="3" spans="1:21" s="12" customFormat="1" ht="21" customHeight="1" x14ac:dyDescent="0.25">
      <c r="A3" s="360" t="s">
        <v>107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21" s="12" customFormat="1" ht="21.75" customHeight="1" x14ac:dyDescent="0.25">
      <c r="A4" s="360" t="s">
        <v>167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21" s="12" customFormat="1" ht="21.75" customHeight="1" x14ac:dyDescent="0.2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</row>
    <row r="6" spans="1:21" s="15" customFormat="1" ht="18" customHeight="1" x14ac:dyDescent="0.25">
      <c r="A6" s="372" t="s">
        <v>26</v>
      </c>
      <c r="B6" s="372"/>
      <c r="C6" s="372"/>
      <c r="D6" s="372"/>
      <c r="E6" s="372"/>
      <c r="F6" s="372"/>
      <c r="G6" s="372"/>
      <c r="H6" s="14"/>
      <c r="J6" s="105">
        <f>M207/1000</f>
        <v>24.603538428</v>
      </c>
      <c r="K6" s="363" t="s">
        <v>4</v>
      </c>
      <c r="L6" s="363"/>
      <c r="M6" s="363"/>
    </row>
    <row r="7" spans="1:21" s="106" customFormat="1" ht="14.25" customHeight="1" x14ac:dyDescent="0.25">
      <c r="A7" s="372" t="s">
        <v>36</v>
      </c>
      <c r="B7" s="373"/>
      <c r="C7" s="373"/>
      <c r="D7" s="373"/>
      <c r="E7" s="373"/>
      <c r="F7" s="373"/>
      <c r="G7" s="373"/>
      <c r="H7" s="373"/>
      <c r="I7" s="107"/>
      <c r="J7" s="368" t="s">
        <v>5</v>
      </c>
      <c r="K7" s="368"/>
      <c r="L7" s="368"/>
      <c r="M7" s="368"/>
      <c r="O7" s="63" t="s">
        <v>3</v>
      </c>
    </row>
    <row r="8" spans="1:21" s="106" customFormat="1" ht="26.25" customHeight="1" x14ac:dyDescent="0.25">
      <c r="A8" s="364" t="s">
        <v>1</v>
      </c>
      <c r="B8" s="369" t="s">
        <v>262</v>
      </c>
      <c r="C8" s="364" t="s">
        <v>6</v>
      </c>
      <c r="D8" s="370" t="s">
        <v>7</v>
      </c>
      <c r="E8" s="365" t="s">
        <v>263</v>
      </c>
      <c r="F8" s="366" t="s">
        <v>8</v>
      </c>
      <c r="G8" s="364" t="s">
        <v>9</v>
      </c>
      <c r="H8" s="364"/>
      <c r="I8" s="364"/>
      <c r="J8" s="364"/>
      <c r="K8" s="364"/>
      <c r="L8" s="364"/>
      <c r="M8" s="364"/>
      <c r="N8" s="108"/>
      <c r="O8" s="108"/>
      <c r="P8" s="108"/>
      <c r="Q8" s="108"/>
      <c r="R8" s="108"/>
      <c r="S8" s="108"/>
      <c r="T8" s="108"/>
    </row>
    <row r="9" spans="1:21" s="106" customFormat="1" ht="27.75" customHeight="1" x14ac:dyDescent="0.25">
      <c r="A9" s="364"/>
      <c r="B9" s="369"/>
      <c r="C9" s="364"/>
      <c r="D9" s="370"/>
      <c r="E9" s="365"/>
      <c r="F9" s="366"/>
      <c r="G9" s="364" t="s">
        <v>10</v>
      </c>
      <c r="H9" s="364"/>
      <c r="I9" s="364" t="s">
        <v>11</v>
      </c>
      <c r="J9" s="364"/>
      <c r="K9" s="365" t="s">
        <v>12</v>
      </c>
      <c r="L9" s="365"/>
      <c r="M9" s="366" t="s">
        <v>13</v>
      </c>
      <c r="N9" s="108"/>
      <c r="O9" s="108"/>
      <c r="P9" s="108"/>
      <c r="Q9" s="108"/>
      <c r="R9" s="108"/>
      <c r="S9" s="108"/>
      <c r="T9" s="108"/>
    </row>
    <row r="10" spans="1:21" s="106" customFormat="1" ht="28.5" customHeight="1" x14ac:dyDescent="0.25">
      <c r="A10" s="364"/>
      <c r="B10" s="369"/>
      <c r="C10" s="364"/>
      <c r="D10" s="370"/>
      <c r="E10" s="365"/>
      <c r="F10" s="366"/>
      <c r="G10" s="124" t="s">
        <v>14</v>
      </c>
      <c r="H10" s="124" t="s">
        <v>15</v>
      </c>
      <c r="I10" s="124" t="s">
        <v>14</v>
      </c>
      <c r="J10" s="124" t="s">
        <v>15</v>
      </c>
      <c r="K10" s="124" t="s">
        <v>14</v>
      </c>
      <c r="L10" s="124" t="s">
        <v>15</v>
      </c>
      <c r="M10" s="366"/>
      <c r="N10" s="108"/>
      <c r="O10" s="108"/>
      <c r="P10" s="108"/>
      <c r="Q10" s="108"/>
      <c r="R10" s="108"/>
      <c r="S10" s="108"/>
      <c r="T10" s="108"/>
    </row>
    <row r="11" spans="1:21" s="2" customFormat="1" ht="19.5" customHeight="1" x14ac:dyDescent="0.25">
      <c r="A11" s="26" t="s">
        <v>264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1"/>
      <c r="O11" s="1"/>
      <c r="P11" s="1"/>
      <c r="Q11" s="1"/>
      <c r="R11" s="1"/>
      <c r="S11" s="1"/>
      <c r="T11" s="1"/>
      <c r="U11" s="1"/>
    </row>
    <row r="12" spans="1:21" s="36" customFormat="1" ht="25.5" customHeight="1" x14ac:dyDescent="0.2">
      <c r="A12" s="21">
        <v>1</v>
      </c>
      <c r="B12" s="173" t="s">
        <v>277</v>
      </c>
      <c r="C12" s="65" t="s">
        <v>467</v>
      </c>
      <c r="D12" s="67" t="s">
        <v>16</v>
      </c>
      <c r="E12" s="16"/>
      <c r="F12" s="31">
        <v>2</v>
      </c>
      <c r="G12" s="133">
        <f>H12/F12</f>
        <v>0</v>
      </c>
      <c r="H12" s="133">
        <f>SUM(H14:H15)</f>
        <v>0</v>
      </c>
      <c r="I12" s="133">
        <f>J12/F12</f>
        <v>2400</v>
      </c>
      <c r="J12" s="133">
        <f>SUM(J14:J15)</f>
        <v>4800</v>
      </c>
      <c r="K12" s="133">
        <f>L12/F12</f>
        <v>0</v>
      </c>
      <c r="L12" s="133">
        <f>SUM(L14:L15)</f>
        <v>0</v>
      </c>
      <c r="M12" s="133">
        <f>SUM(M14:M15)</f>
        <v>4800</v>
      </c>
      <c r="O12" s="130"/>
    </row>
    <row r="13" spans="1:21" s="19" customFormat="1" ht="20.100000000000001" customHeight="1" x14ac:dyDescent="0.25">
      <c r="A13" s="37"/>
      <c r="B13" s="136"/>
      <c r="C13" s="135" t="s">
        <v>266</v>
      </c>
      <c r="D13" s="136"/>
      <c r="E13" s="38"/>
      <c r="F13" s="39"/>
      <c r="G13" s="38"/>
      <c r="H13" s="38"/>
      <c r="I13" s="38"/>
      <c r="J13" s="38"/>
      <c r="K13" s="38"/>
      <c r="L13" s="161"/>
      <c r="M13" s="39"/>
      <c r="O13" s="130"/>
    </row>
    <row r="14" spans="1:21" s="44" customFormat="1" ht="20.100000000000001" customHeight="1" x14ac:dyDescent="0.2">
      <c r="A14" s="140"/>
      <c r="B14" s="173"/>
      <c r="C14" s="142" t="s">
        <v>278</v>
      </c>
      <c r="D14" s="67" t="s">
        <v>16</v>
      </c>
      <c r="E14" s="164">
        <v>1</v>
      </c>
      <c r="F14" s="41">
        <f>E14*F12</f>
        <v>2</v>
      </c>
      <c r="G14" s="42">
        <v>0</v>
      </c>
      <c r="H14" s="42">
        <f>F14*G14</f>
        <v>0</v>
      </c>
      <c r="I14" s="42">
        <v>2400</v>
      </c>
      <c r="J14" s="42">
        <f>F14*I14</f>
        <v>4800</v>
      </c>
      <c r="K14" s="38">
        <v>0</v>
      </c>
      <c r="L14" s="38">
        <f>F14*K14</f>
        <v>0</v>
      </c>
      <c r="M14" s="43">
        <f>H14+J14+L14</f>
        <v>4800</v>
      </c>
      <c r="O14" s="130"/>
    </row>
    <row r="15" spans="1:21" s="146" customFormat="1" ht="165.75" customHeight="1" x14ac:dyDescent="0.2">
      <c r="A15" s="256"/>
      <c r="B15" s="68"/>
      <c r="C15" s="257" t="s">
        <v>468</v>
      </c>
      <c r="D15" s="68" t="s">
        <v>469</v>
      </c>
      <c r="E15" s="61">
        <v>0</v>
      </c>
      <c r="F15" s="61">
        <f>F12*E15</f>
        <v>0</v>
      </c>
      <c r="G15" s="42">
        <v>67956.62</v>
      </c>
      <c r="H15" s="60">
        <f>F15*G15</f>
        <v>0</v>
      </c>
      <c r="I15" s="60">
        <v>0</v>
      </c>
      <c r="J15" s="60">
        <f>F15*I15</f>
        <v>0</v>
      </c>
      <c r="K15" s="61">
        <v>0</v>
      </c>
      <c r="L15" s="61">
        <f>F15*K15</f>
        <v>0</v>
      </c>
      <c r="M15" s="62">
        <f>H15+J15+L15</f>
        <v>0</v>
      </c>
      <c r="O15" s="130"/>
    </row>
    <row r="16" spans="1:21" ht="20.100000000000001" customHeight="1" thickBot="1" x14ac:dyDescent="0.3">
      <c r="A16" s="148"/>
      <c r="B16" s="150"/>
      <c r="C16" s="150"/>
      <c r="D16" s="150"/>
      <c r="E16" s="151"/>
      <c r="F16" s="151"/>
      <c r="G16" s="151"/>
      <c r="H16" s="151"/>
      <c r="I16" s="151"/>
      <c r="J16" s="151"/>
      <c r="K16" s="151"/>
      <c r="L16" s="151"/>
      <c r="M16" s="152"/>
      <c r="O16" s="130"/>
    </row>
    <row r="17" spans="1:15" s="36" customFormat="1" ht="14.25" x14ac:dyDescent="0.2">
      <c r="A17" s="21">
        <v>2</v>
      </c>
      <c r="B17" s="173" t="s">
        <v>277</v>
      </c>
      <c r="C17" s="65" t="s">
        <v>470</v>
      </c>
      <c r="D17" s="67" t="s">
        <v>17</v>
      </c>
      <c r="E17" s="16"/>
      <c r="F17" s="31">
        <f>38*3.14*0.315</f>
        <v>37.585800000000006</v>
      </c>
      <c r="G17" s="133">
        <f>H17/F17</f>
        <v>0</v>
      </c>
      <c r="H17" s="133">
        <f>SUM(H19:H20)</f>
        <v>0</v>
      </c>
      <c r="I17" s="133">
        <f>J17/F17</f>
        <v>6.25</v>
      </c>
      <c r="J17" s="133">
        <f>SUM(J19:J20)</f>
        <v>234.91125000000005</v>
      </c>
      <c r="K17" s="133">
        <f>L17/F17</f>
        <v>0</v>
      </c>
      <c r="L17" s="133">
        <f>SUM(L19:L20)</f>
        <v>0</v>
      </c>
      <c r="M17" s="133">
        <f>SUM(M19:M20)</f>
        <v>234.91125000000005</v>
      </c>
      <c r="O17" s="130"/>
    </row>
    <row r="18" spans="1:15" s="19" customFormat="1" x14ac:dyDescent="0.25">
      <c r="A18" s="37"/>
      <c r="B18" s="136"/>
      <c r="C18" s="135" t="s">
        <v>266</v>
      </c>
      <c r="D18" s="136"/>
      <c r="E18" s="38"/>
      <c r="F18" s="39"/>
      <c r="G18" s="38"/>
      <c r="H18" s="38"/>
      <c r="I18" s="38"/>
      <c r="J18" s="38"/>
      <c r="K18" s="38"/>
      <c r="L18" s="161"/>
      <c r="M18" s="39"/>
      <c r="O18" s="130"/>
    </row>
    <row r="19" spans="1:15" s="44" customFormat="1" ht="12.75" x14ac:dyDescent="0.25">
      <c r="A19" s="140"/>
      <c r="B19" s="258"/>
      <c r="C19" s="142" t="s">
        <v>414</v>
      </c>
      <c r="D19" s="67" t="s">
        <v>17</v>
      </c>
      <c r="E19" s="164">
        <v>1</v>
      </c>
      <c r="F19" s="41">
        <f>E19*F17</f>
        <v>37.585800000000006</v>
      </c>
      <c r="G19" s="42">
        <v>0</v>
      </c>
      <c r="H19" s="42">
        <f>F19*G19</f>
        <v>0</v>
      </c>
      <c r="I19" s="42">
        <f>5*1.25</f>
        <v>6.25</v>
      </c>
      <c r="J19" s="42">
        <f>F19*I19</f>
        <v>234.91125000000005</v>
      </c>
      <c r="K19" s="38">
        <v>0</v>
      </c>
      <c r="L19" s="38">
        <f>F19*K19</f>
        <v>0</v>
      </c>
      <c r="M19" s="43">
        <f>H19+J19+L19</f>
        <v>234.91125000000005</v>
      </c>
    </row>
    <row r="20" spans="1:15" s="146" customFormat="1" ht="25.5" x14ac:dyDescent="0.25">
      <c r="A20" s="256"/>
      <c r="B20" s="67"/>
      <c r="C20" s="259" t="s">
        <v>471</v>
      </c>
      <c r="D20" s="67" t="s">
        <v>17</v>
      </c>
      <c r="E20" s="61">
        <v>0</v>
      </c>
      <c r="F20" s="61">
        <f>F17*E20</f>
        <v>0</v>
      </c>
      <c r="G20" s="60">
        <v>26.5</v>
      </c>
      <c r="H20" s="60">
        <f>F20*G20</f>
        <v>0</v>
      </c>
      <c r="I20" s="60">
        <v>0</v>
      </c>
      <c r="J20" s="60">
        <f>F20*I20</f>
        <v>0</v>
      </c>
      <c r="K20" s="61">
        <v>0</v>
      </c>
      <c r="L20" s="61">
        <f>F20*K20</f>
        <v>0</v>
      </c>
      <c r="M20" s="62">
        <f>H20+J20+L20</f>
        <v>0</v>
      </c>
    </row>
    <row r="21" spans="1:15" s="146" customFormat="1" ht="15.75" thickBot="1" x14ac:dyDescent="0.3">
      <c r="A21" s="260"/>
      <c r="B21" s="150"/>
      <c r="C21" s="261"/>
      <c r="D21" s="150"/>
      <c r="E21" s="189"/>
      <c r="F21" s="189"/>
      <c r="G21" s="188"/>
      <c r="H21" s="188"/>
      <c r="I21" s="188"/>
      <c r="J21" s="188"/>
      <c r="K21" s="189"/>
      <c r="L21" s="189"/>
      <c r="M21" s="190"/>
    </row>
    <row r="22" spans="1:15" s="36" customFormat="1" ht="14.25" x14ac:dyDescent="0.2">
      <c r="A22" s="21">
        <v>3</v>
      </c>
      <c r="B22" s="173" t="s">
        <v>277</v>
      </c>
      <c r="C22" s="65" t="s">
        <v>472</v>
      </c>
      <c r="D22" s="67" t="s">
        <v>17</v>
      </c>
      <c r="E22" s="16"/>
      <c r="F22" s="31">
        <f>24*3.14*0.355</f>
        <v>26.752799999999997</v>
      </c>
      <c r="G22" s="133">
        <f>H22/F22</f>
        <v>0</v>
      </c>
      <c r="H22" s="133">
        <f>SUM(H24:H25)</f>
        <v>0</v>
      </c>
      <c r="I22" s="133">
        <f>J22/F22</f>
        <v>6.25</v>
      </c>
      <c r="J22" s="133">
        <f>SUM(J24:J25)</f>
        <v>167.20499999999998</v>
      </c>
      <c r="K22" s="133">
        <f>L22/F22</f>
        <v>0</v>
      </c>
      <c r="L22" s="133">
        <f>SUM(L24:L25)</f>
        <v>0</v>
      </c>
      <c r="M22" s="133">
        <f>SUM(M24:M25)</f>
        <v>167.20499999999998</v>
      </c>
    </row>
    <row r="23" spans="1:15" s="19" customFormat="1" ht="13.5" x14ac:dyDescent="0.25">
      <c r="A23" s="37"/>
      <c r="B23" s="136"/>
      <c r="C23" s="135" t="s">
        <v>266</v>
      </c>
      <c r="D23" s="136"/>
      <c r="E23" s="38"/>
      <c r="F23" s="39"/>
      <c r="G23" s="38"/>
      <c r="H23" s="38"/>
      <c r="I23" s="38"/>
      <c r="J23" s="38"/>
      <c r="K23" s="38"/>
      <c r="L23" s="161"/>
      <c r="M23" s="39"/>
    </row>
    <row r="24" spans="1:15" s="44" customFormat="1" ht="12.75" x14ac:dyDescent="0.25">
      <c r="A24" s="140"/>
      <c r="B24" s="258"/>
      <c r="C24" s="142" t="s">
        <v>414</v>
      </c>
      <c r="D24" s="67" t="s">
        <v>17</v>
      </c>
      <c r="E24" s="164">
        <v>1</v>
      </c>
      <c r="F24" s="41">
        <f>E24*F22</f>
        <v>26.752799999999997</v>
      </c>
      <c r="G24" s="42">
        <v>0</v>
      </c>
      <c r="H24" s="42">
        <f>F24*G24</f>
        <v>0</v>
      </c>
      <c r="I24" s="42">
        <f>5*1.25</f>
        <v>6.25</v>
      </c>
      <c r="J24" s="42">
        <f>F24*I24</f>
        <v>167.20499999999998</v>
      </c>
      <c r="K24" s="38">
        <v>0</v>
      </c>
      <c r="L24" s="38">
        <f>F24*K24</f>
        <v>0</v>
      </c>
      <c r="M24" s="43">
        <f>H24+J24+L24</f>
        <v>167.20499999999998</v>
      </c>
    </row>
    <row r="25" spans="1:15" s="146" customFormat="1" ht="25.5" x14ac:dyDescent="0.25">
      <c r="A25" s="256"/>
      <c r="B25" s="67"/>
      <c r="C25" s="259" t="s">
        <v>471</v>
      </c>
      <c r="D25" s="67" t="s">
        <v>17</v>
      </c>
      <c r="E25" s="61">
        <v>0</v>
      </c>
      <c r="F25" s="61">
        <f>F22*E25</f>
        <v>0</v>
      </c>
      <c r="G25" s="60">
        <v>26.5</v>
      </c>
      <c r="H25" s="60">
        <f>F25*G25</f>
        <v>0</v>
      </c>
      <c r="I25" s="60">
        <v>0</v>
      </c>
      <c r="J25" s="60">
        <f>F25*I25</f>
        <v>0</v>
      </c>
      <c r="K25" s="61">
        <v>0</v>
      </c>
      <c r="L25" s="61">
        <f>F25*K25</f>
        <v>0</v>
      </c>
      <c r="M25" s="62">
        <f>H25+J25+L25</f>
        <v>0</v>
      </c>
    </row>
    <row r="26" spans="1:15" s="146" customFormat="1" ht="15.75" thickBot="1" x14ac:dyDescent="0.3">
      <c r="A26" s="260"/>
      <c r="B26" s="150"/>
      <c r="C26" s="261"/>
      <c r="D26" s="150"/>
      <c r="E26" s="189"/>
      <c r="F26" s="189"/>
      <c r="G26" s="188"/>
      <c r="H26" s="188"/>
      <c r="I26" s="188"/>
      <c r="J26" s="188"/>
      <c r="K26" s="189"/>
      <c r="L26" s="189"/>
      <c r="M26" s="190"/>
    </row>
    <row r="27" spans="1:15" s="36" customFormat="1" ht="14.25" x14ac:dyDescent="0.2">
      <c r="A27" s="21">
        <v>4</v>
      </c>
      <c r="B27" s="173" t="s">
        <v>277</v>
      </c>
      <c r="C27" s="65" t="s">
        <v>473</v>
      </c>
      <c r="D27" s="67" t="s">
        <v>17</v>
      </c>
      <c r="E27" s="16"/>
      <c r="F27" s="31">
        <f>24*3.14*0.4</f>
        <v>30.144000000000002</v>
      </c>
      <c r="G27" s="133">
        <f>H27/F27</f>
        <v>0</v>
      </c>
      <c r="H27" s="133">
        <f>SUM(H29:H30)</f>
        <v>0</v>
      </c>
      <c r="I27" s="133">
        <f>J27/F27</f>
        <v>6.25</v>
      </c>
      <c r="J27" s="133">
        <f>SUM(J29:J30)</f>
        <v>188.4</v>
      </c>
      <c r="K27" s="133">
        <f>L27/F27</f>
        <v>0</v>
      </c>
      <c r="L27" s="133">
        <f>SUM(L29:L30)</f>
        <v>0</v>
      </c>
      <c r="M27" s="133">
        <f>SUM(M29:M30)</f>
        <v>188.4</v>
      </c>
    </row>
    <row r="28" spans="1:15" s="19" customFormat="1" ht="13.5" x14ac:dyDescent="0.25">
      <c r="A28" s="37"/>
      <c r="B28" s="136"/>
      <c r="C28" s="135" t="s">
        <v>266</v>
      </c>
      <c r="D28" s="136"/>
      <c r="E28" s="38"/>
      <c r="F28" s="39"/>
      <c r="G28" s="38"/>
      <c r="H28" s="38"/>
      <c r="I28" s="38"/>
      <c r="J28" s="38"/>
      <c r="K28" s="38"/>
      <c r="L28" s="161"/>
      <c r="M28" s="39"/>
    </row>
    <row r="29" spans="1:15" s="44" customFormat="1" ht="12.75" x14ac:dyDescent="0.25">
      <c r="A29" s="140"/>
      <c r="B29" s="258"/>
      <c r="C29" s="142" t="s">
        <v>414</v>
      </c>
      <c r="D29" s="67" t="s">
        <v>17</v>
      </c>
      <c r="E29" s="164">
        <v>1</v>
      </c>
      <c r="F29" s="41">
        <f>E29*F27</f>
        <v>30.144000000000002</v>
      </c>
      <c r="G29" s="42">
        <v>0</v>
      </c>
      <c r="H29" s="42">
        <f>F29*G29</f>
        <v>0</v>
      </c>
      <c r="I29" s="42">
        <f>5*1.25</f>
        <v>6.25</v>
      </c>
      <c r="J29" s="42">
        <f>F29*I29</f>
        <v>188.4</v>
      </c>
      <c r="K29" s="38">
        <v>0</v>
      </c>
      <c r="L29" s="38">
        <f>F29*K29</f>
        <v>0</v>
      </c>
      <c r="M29" s="43">
        <f>H29+J29+L29</f>
        <v>188.4</v>
      </c>
    </row>
    <row r="30" spans="1:15" s="146" customFormat="1" ht="25.5" x14ac:dyDescent="0.25">
      <c r="A30" s="256"/>
      <c r="B30" s="67"/>
      <c r="C30" s="259" t="s">
        <v>471</v>
      </c>
      <c r="D30" s="67" t="s">
        <v>17</v>
      </c>
      <c r="E30" s="61">
        <v>0</v>
      </c>
      <c r="F30" s="61">
        <f>F27*E30</f>
        <v>0</v>
      </c>
      <c r="G30" s="60">
        <v>26.5</v>
      </c>
      <c r="H30" s="60">
        <f>F30*G30</f>
        <v>0</v>
      </c>
      <c r="I30" s="60">
        <v>0</v>
      </c>
      <c r="J30" s="60">
        <f>F30*I30</f>
        <v>0</v>
      </c>
      <c r="K30" s="61">
        <v>0</v>
      </c>
      <c r="L30" s="61">
        <f>F30*K30</f>
        <v>0</v>
      </c>
      <c r="M30" s="62">
        <f>H30+J30+L30</f>
        <v>0</v>
      </c>
    </row>
    <row r="31" spans="1:15" s="146" customFormat="1" ht="15.75" thickBot="1" x14ac:dyDescent="0.3">
      <c r="A31" s="260"/>
      <c r="B31" s="150"/>
      <c r="C31" s="261"/>
      <c r="D31" s="150"/>
      <c r="E31" s="189"/>
      <c r="F31" s="189"/>
      <c r="G31" s="188"/>
      <c r="H31" s="188"/>
      <c r="I31" s="188"/>
      <c r="J31" s="188"/>
      <c r="K31" s="189"/>
      <c r="L31" s="189"/>
      <c r="M31" s="190"/>
    </row>
    <row r="32" spans="1:15" s="36" customFormat="1" ht="14.25" x14ac:dyDescent="0.2">
      <c r="A32" s="21">
        <v>5</v>
      </c>
      <c r="B32" s="173" t="s">
        <v>277</v>
      </c>
      <c r="C32" s="65" t="s">
        <v>474</v>
      </c>
      <c r="D32" s="67" t="s">
        <v>17</v>
      </c>
      <c r="E32" s="16"/>
      <c r="F32" s="31">
        <f>24*3.14*0.45</f>
        <v>33.911999999999999</v>
      </c>
      <c r="G32" s="133">
        <f>H32/F32</f>
        <v>0</v>
      </c>
      <c r="H32" s="133">
        <f>SUM(H34:H35)</f>
        <v>0</v>
      </c>
      <c r="I32" s="133">
        <f>J32/F32</f>
        <v>6.25</v>
      </c>
      <c r="J32" s="133">
        <f>SUM(J34:J35)</f>
        <v>211.95</v>
      </c>
      <c r="K32" s="133">
        <f>L32/F32</f>
        <v>0</v>
      </c>
      <c r="L32" s="133">
        <f>SUM(L34:L35)</f>
        <v>0</v>
      </c>
      <c r="M32" s="133">
        <f>SUM(M34:M35)</f>
        <v>211.95</v>
      </c>
      <c r="O32" s="97"/>
    </row>
    <row r="33" spans="1:13" s="19" customFormat="1" ht="13.5" x14ac:dyDescent="0.25">
      <c r="A33" s="37"/>
      <c r="B33" s="136"/>
      <c r="C33" s="135" t="s">
        <v>266</v>
      </c>
      <c r="D33" s="136"/>
      <c r="E33" s="38"/>
      <c r="F33" s="39"/>
      <c r="G33" s="38"/>
      <c r="H33" s="38"/>
      <c r="I33" s="38"/>
      <c r="J33" s="38"/>
      <c r="K33" s="38"/>
      <c r="L33" s="161"/>
      <c r="M33" s="39"/>
    </row>
    <row r="34" spans="1:13" s="44" customFormat="1" ht="12.75" x14ac:dyDescent="0.25">
      <c r="A34" s="140"/>
      <c r="B34" s="258"/>
      <c r="C34" s="142" t="s">
        <v>414</v>
      </c>
      <c r="D34" s="67" t="s">
        <v>17</v>
      </c>
      <c r="E34" s="164">
        <v>1</v>
      </c>
      <c r="F34" s="41">
        <f>E34*F32</f>
        <v>33.911999999999999</v>
      </c>
      <c r="G34" s="42">
        <v>0</v>
      </c>
      <c r="H34" s="42">
        <f>F34*G34</f>
        <v>0</v>
      </c>
      <c r="I34" s="42">
        <f>5*1.25</f>
        <v>6.25</v>
      </c>
      <c r="J34" s="42">
        <f>F34*I34</f>
        <v>211.95</v>
      </c>
      <c r="K34" s="38">
        <v>0</v>
      </c>
      <c r="L34" s="38">
        <f>F34*K34</f>
        <v>0</v>
      </c>
      <c r="M34" s="43">
        <f>H34+J34+L34</f>
        <v>211.95</v>
      </c>
    </row>
    <row r="35" spans="1:13" s="146" customFormat="1" ht="25.5" x14ac:dyDescent="0.25">
      <c r="A35" s="256"/>
      <c r="B35" s="67"/>
      <c r="C35" s="259" t="s">
        <v>471</v>
      </c>
      <c r="D35" s="67" t="s">
        <v>17</v>
      </c>
      <c r="E35" s="61">
        <v>0</v>
      </c>
      <c r="F35" s="61">
        <f>F32*E35</f>
        <v>0</v>
      </c>
      <c r="G35" s="60">
        <v>26.5</v>
      </c>
      <c r="H35" s="60">
        <f>F35*G35</f>
        <v>0</v>
      </c>
      <c r="I35" s="60">
        <v>0</v>
      </c>
      <c r="J35" s="60">
        <f>F35*I35</f>
        <v>0</v>
      </c>
      <c r="K35" s="61">
        <v>0</v>
      </c>
      <c r="L35" s="61">
        <f>F35*K35</f>
        <v>0</v>
      </c>
      <c r="M35" s="62">
        <f>H35+J35+L35</f>
        <v>0</v>
      </c>
    </row>
    <row r="36" spans="1:13" s="146" customFormat="1" ht="15.75" thickBot="1" x14ac:dyDescent="0.3">
      <c r="A36" s="260"/>
      <c r="B36" s="150"/>
      <c r="C36" s="261"/>
      <c r="D36" s="150"/>
      <c r="E36" s="189"/>
      <c r="F36" s="189"/>
      <c r="G36" s="188"/>
      <c r="H36" s="188"/>
      <c r="I36" s="188"/>
      <c r="J36" s="188"/>
      <c r="K36" s="189"/>
      <c r="L36" s="189"/>
      <c r="M36" s="190"/>
    </row>
    <row r="37" spans="1:13" s="36" customFormat="1" ht="14.25" x14ac:dyDescent="0.2">
      <c r="A37" s="21">
        <v>6</v>
      </c>
      <c r="B37" s="173" t="s">
        <v>277</v>
      </c>
      <c r="C37" s="65" t="s">
        <v>475</v>
      </c>
      <c r="D37" s="67" t="s">
        <v>17</v>
      </c>
      <c r="E37" s="16"/>
      <c r="F37" s="31">
        <f>24*3.14*0.5</f>
        <v>37.68</v>
      </c>
      <c r="G37" s="133">
        <f>H37/F37</f>
        <v>0</v>
      </c>
      <c r="H37" s="133">
        <f>SUM(H39:H40)</f>
        <v>0</v>
      </c>
      <c r="I37" s="133">
        <f>J37/F37</f>
        <v>6.25</v>
      </c>
      <c r="J37" s="133">
        <f>SUM(J39:J40)</f>
        <v>235.5</v>
      </c>
      <c r="K37" s="133">
        <f>L37/F37</f>
        <v>0</v>
      </c>
      <c r="L37" s="133">
        <f>SUM(L39:L40)</f>
        <v>0</v>
      </c>
      <c r="M37" s="133">
        <f>SUM(M39:M40)</f>
        <v>235.5</v>
      </c>
    </row>
    <row r="38" spans="1:13" s="19" customFormat="1" ht="13.5" x14ac:dyDescent="0.25">
      <c r="A38" s="37"/>
      <c r="B38" s="136"/>
      <c r="C38" s="135" t="s">
        <v>266</v>
      </c>
      <c r="D38" s="136"/>
      <c r="E38" s="38"/>
      <c r="F38" s="39"/>
      <c r="G38" s="38"/>
      <c r="H38" s="38"/>
      <c r="I38" s="38"/>
      <c r="J38" s="38"/>
      <c r="K38" s="38"/>
      <c r="L38" s="161"/>
      <c r="M38" s="39"/>
    </row>
    <row r="39" spans="1:13" s="44" customFormat="1" ht="12.75" x14ac:dyDescent="0.25">
      <c r="A39" s="140"/>
      <c r="B39" s="258"/>
      <c r="C39" s="142" t="s">
        <v>414</v>
      </c>
      <c r="D39" s="67" t="s">
        <v>17</v>
      </c>
      <c r="E39" s="164">
        <v>1</v>
      </c>
      <c r="F39" s="41">
        <f>E39*F37</f>
        <v>37.68</v>
      </c>
      <c r="G39" s="42">
        <v>0</v>
      </c>
      <c r="H39" s="42">
        <f>F39*G39</f>
        <v>0</v>
      </c>
      <c r="I39" s="42">
        <f>5*1.25</f>
        <v>6.25</v>
      </c>
      <c r="J39" s="42">
        <f>F39*I39</f>
        <v>235.5</v>
      </c>
      <c r="K39" s="38">
        <v>0</v>
      </c>
      <c r="L39" s="38">
        <f>F39*K39</f>
        <v>0</v>
      </c>
      <c r="M39" s="43">
        <f>H39+J39+L39</f>
        <v>235.5</v>
      </c>
    </row>
    <row r="40" spans="1:13" s="146" customFormat="1" ht="25.5" x14ac:dyDescent="0.25">
      <c r="A40" s="256"/>
      <c r="B40" s="67"/>
      <c r="C40" s="259" t="s">
        <v>471</v>
      </c>
      <c r="D40" s="67" t="s">
        <v>17</v>
      </c>
      <c r="E40" s="61">
        <v>0</v>
      </c>
      <c r="F40" s="61">
        <f>F37*E40</f>
        <v>0</v>
      </c>
      <c r="G40" s="60">
        <v>26.5</v>
      </c>
      <c r="H40" s="60">
        <f>F40*G40</f>
        <v>0</v>
      </c>
      <c r="I40" s="60">
        <v>0</v>
      </c>
      <c r="J40" s="60">
        <f>F40*I40</f>
        <v>0</v>
      </c>
      <c r="K40" s="61">
        <v>0</v>
      </c>
      <c r="L40" s="61">
        <f>F40*K40</f>
        <v>0</v>
      </c>
      <c r="M40" s="62">
        <f>H40+J40+L40</f>
        <v>0</v>
      </c>
    </row>
    <row r="41" spans="1:13" s="146" customFormat="1" ht="15.75" thickBot="1" x14ac:dyDescent="0.3">
      <c r="A41" s="260"/>
      <c r="B41" s="150"/>
      <c r="C41" s="261"/>
      <c r="D41" s="150"/>
      <c r="E41" s="189"/>
      <c r="F41" s="189"/>
      <c r="G41" s="188"/>
      <c r="H41" s="188"/>
      <c r="I41" s="188"/>
      <c r="J41" s="188"/>
      <c r="K41" s="189"/>
      <c r="L41" s="189"/>
      <c r="M41" s="190"/>
    </row>
    <row r="42" spans="1:13" s="36" customFormat="1" ht="14.25" x14ac:dyDescent="0.2">
      <c r="A42" s="21">
        <v>7</v>
      </c>
      <c r="B42" s="173" t="s">
        <v>277</v>
      </c>
      <c r="C42" s="65" t="s">
        <v>476</v>
      </c>
      <c r="D42" s="67" t="s">
        <v>17</v>
      </c>
      <c r="E42" s="16"/>
      <c r="F42" s="31">
        <f>24*3.14*0.56</f>
        <v>42.201600000000006</v>
      </c>
      <c r="G42" s="133">
        <f>H42/F42</f>
        <v>0</v>
      </c>
      <c r="H42" s="133">
        <f>SUM(H44:H45)</f>
        <v>0</v>
      </c>
      <c r="I42" s="133">
        <f>J42/F42</f>
        <v>6.25</v>
      </c>
      <c r="J42" s="133">
        <f>SUM(J44:J45)</f>
        <v>263.76000000000005</v>
      </c>
      <c r="K42" s="133">
        <f>L42/F42</f>
        <v>0</v>
      </c>
      <c r="L42" s="133">
        <f>SUM(L44:L45)</f>
        <v>0</v>
      </c>
      <c r="M42" s="133">
        <f>SUM(M44:M45)</f>
        <v>263.76000000000005</v>
      </c>
    </row>
    <row r="43" spans="1:13" s="19" customFormat="1" ht="13.5" x14ac:dyDescent="0.25">
      <c r="A43" s="37"/>
      <c r="B43" s="136"/>
      <c r="C43" s="135" t="s">
        <v>266</v>
      </c>
      <c r="D43" s="136"/>
      <c r="E43" s="38"/>
      <c r="F43" s="39"/>
      <c r="G43" s="38"/>
      <c r="H43" s="38"/>
      <c r="I43" s="38"/>
      <c r="J43" s="38"/>
      <c r="K43" s="38"/>
      <c r="L43" s="161"/>
      <c r="M43" s="39"/>
    </row>
    <row r="44" spans="1:13" s="44" customFormat="1" ht="12.75" x14ac:dyDescent="0.25">
      <c r="A44" s="140"/>
      <c r="B44" s="258"/>
      <c r="C44" s="142" t="s">
        <v>414</v>
      </c>
      <c r="D44" s="67" t="s">
        <v>17</v>
      </c>
      <c r="E44" s="164">
        <v>1</v>
      </c>
      <c r="F44" s="41">
        <f>E44*F42</f>
        <v>42.201600000000006</v>
      </c>
      <c r="G44" s="42">
        <v>0</v>
      </c>
      <c r="H44" s="42">
        <f>F44*G44</f>
        <v>0</v>
      </c>
      <c r="I44" s="42">
        <f>5*1.25</f>
        <v>6.25</v>
      </c>
      <c r="J44" s="42">
        <f>F44*I44</f>
        <v>263.76000000000005</v>
      </c>
      <c r="K44" s="38">
        <v>0</v>
      </c>
      <c r="L44" s="38">
        <f>F44*K44</f>
        <v>0</v>
      </c>
      <c r="M44" s="43">
        <f>H44+J44+L44</f>
        <v>263.76000000000005</v>
      </c>
    </row>
    <row r="45" spans="1:13" s="146" customFormat="1" ht="25.5" x14ac:dyDescent="0.25">
      <c r="A45" s="256"/>
      <c r="B45" s="67"/>
      <c r="C45" s="259" t="s">
        <v>477</v>
      </c>
      <c r="D45" s="67" t="s">
        <v>17</v>
      </c>
      <c r="E45" s="61">
        <v>0</v>
      </c>
      <c r="F45" s="61">
        <f>F42*E45</f>
        <v>0</v>
      </c>
      <c r="G45" s="60">
        <v>29.05</v>
      </c>
      <c r="H45" s="60">
        <f>F45*G45</f>
        <v>0</v>
      </c>
      <c r="I45" s="60">
        <v>0</v>
      </c>
      <c r="J45" s="60">
        <f>F45*I45</f>
        <v>0</v>
      </c>
      <c r="K45" s="61">
        <v>0</v>
      </c>
      <c r="L45" s="61">
        <f>F45*K45</f>
        <v>0</v>
      </c>
      <c r="M45" s="62">
        <f>H45+J45+L45</f>
        <v>0</v>
      </c>
    </row>
    <row r="46" spans="1:13" s="146" customFormat="1" ht="15.75" thickBot="1" x14ac:dyDescent="0.3">
      <c r="A46" s="260"/>
      <c r="B46" s="150"/>
      <c r="C46" s="261"/>
      <c r="D46" s="150"/>
      <c r="E46" s="189"/>
      <c r="F46" s="189"/>
      <c r="G46" s="188"/>
      <c r="H46" s="188"/>
      <c r="I46" s="188"/>
      <c r="J46" s="188"/>
      <c r="K46" s="189"/>
      <c r="L46" s="189"/>
      <c r="M46" s="190"/>
    </row>
    <row r="47" spans="1:13" s="36" customFormat="1" ht="14.25" x14ac:dyDescent="0.2">
      <c r="A47" s="21">
        <v>8</v>
      </c>
      <c r="B47" s="173" t="s">
        <v>277</v>
      </c>
      <c r="C47" s="65" t="s">
        <v>478</v>
      </c>
      <c r="D47" s="67" t="s">
        <v>17</v>
      </c>
      <c r="E47" s="16"/>
      <c r="F47" s="31">
        <f>30*3.14*0.6</f>
        <v>56.52</v>
      </c>
      <c r="G47" s="133">
        <f>H47/F47</f>
        <v>0</v>
      </c>
      <c r="H47" s="133">
        <f>SUM(H49:H50)</f>
        <v>0</v>
      </c>
      <c r="I47" s="133">
        <f>J47/F47</f>
        <v>6.25</v>
      </c>
      <c r="J47" s="133">
        <f>SUM(J49:J50)</f>
        <v>353.25</v>
      </c>
      <c r="K47" s="133">
        <f>L47/F47</f>
        <v>0</v>
      </c>
      <c r="L47" s="133">
        <f>SUM(L49:L50)</f>
        <v>0</v>
      </c>
      <c r="M47" s="133">
        <f>SUM(M49:M50)</f>
        <v>353.25</v>
      </c>
    </row>
    <row r="48" spans="1:13" s="19" customFormat="1" ht="13.5" x14ac:dyDescent="0.25">
      <c r="A48" s="37"/>
      <c r="B48" s="136"/>
      <c r="C48" s="135" t="s">
        <v>266</v>
      </c>
      <c r="D48" s="136"/>
      <c r="E48" s="38"/>
      <c r="F48" s="39"/>
      <c r="G48" s="38"/>
      <c r="H48" s="38"/>
      <c r="I48" s="38"/>
      <c r="J48" s="38"/>
      <c r="K48" s="38"/>
      <c r="L48" s="161"/>
      <c r="M48" s="39"/>
    </row>
    <row r="49" spans="1:13" s="44" customFormat="1" ht="12.75" x14ac:dyDescent="0.25">
      <c r="A49" s="140"/>
      <c r="B49" s="258"/>
      <c r="C49" s="142" t="s">
        <v>414</v>
      </c>
      <c r="D49" s="67" t="s">
        <v>17</v>
      </c>
      <c r="E49" s="164">
        <v>1</v>
      </c>
      <c r="F49" s="41">
        <f>E49*F47</f>
        <v>56.52</v>
      </c>
      <c r="G49" s="42">
        <v>0</v>
      </c>
      <c r="H49" s="42">
        <f>F49*G49</f>
        <v>0</v>
      </c>
      <c r="I49" s="42">
        <f>5*1.25</f>
        <v>6.25</v>
      </c>
      <c r="J49" s="42">
        <f>F49*I49</f>
        <v>353.25</v>
      </c>
      <c r="K49" s="38">
        <v>0</v>
      </c>
      <c r="L49" s="38">
        <f>F49*K49</f>
        <v>0</v>
      </c>
      <c r="M49" s="43">
        <f>H49+J49+L49</f>
        <v>353.25</v>
      </c>
    </row>
    <row r="50" spans="1:13" s="146" customFormat="1" ht="25.5" x14ac:dyDescent="0.25">
      <c r="A50" s="256"/>
      <c r="B50" s="67"/>
      <c r="C50" s="259" t="s">
        <v>477</v>
      </c>
      <c r="D50" s="67" t="s">
        <v>17</v>
      </c>
      <c r="E50" s="61">
        <v>0</v>
      </c>
      <c r="F50" s="61">
        <f>F47*E50</f>
        <v>0</v>
      </c>
      <c r="G50" s="60">
        <v>29.05</v>
      </c>
      <c r="H50" s="60">
        <f>F50*G50</f>
        <v>0</v>
      </c>
      <c r="I50" s="60">
        <v>0</v>
      </c>
      <c r="J50" s="60">
        <f>F50*I50</f>
        <v>0</v>
      </c>
      <c r="K50" s="61">
        <v>0</v>
      </c>
      <c r="L50" s="61">
        <f>F50*K50</f>
        <v>0</v>
      </c>
      <c r="M50" s="62">
        <f>H50+J50+L50</f>
        <v>0</v>
      </c>
    </row>
    <row r="51" spans="1:13" s="146" customFormat="1" ht="15.75" thickBot="1" x14ac:dyDescent="0.3">
      <c r="A51" s="260"/>
      <c r="B51" s="150"/>
      <c r="C51" s="261"/>
      <c r="D51" s="150"/>
      <c r="E51" s="189"/>
      <c r="F51" s="189"/>
      <c r="G51" s="188"/>
      <c r="H51" s="188"/>
      <c r="I51" s="188"/>
      <c r="J51" s="188"/>
      <c r="K51" s="189"/>
      <c r="L51" s="189"/>
      <c r="M51" s="190"/>
    </row>
    <row r="52" spans="1:13" s="36" customFormat="1" ht="14.25" x14ac:dyDescent="0.2">
      <c r="A52" s="21">
        <v>9</v>
      </c>
      <c r="B52" s="173" t="s">
        <v>277</v>
      </c>
      <c r="C52" s="65" t="s">
        <v>479</v>
      </c>
      <c r="D52" s="67" t="s">
        <v>17</v>
      </c>
      <c r="E52" s="16"/>
      <c r="F52" s="31">
        <f>50*3.14*0.63</f>
        <v>98.91</v>
      </c>
      <c r="G52" s="133">
        <f>H52/F52</f>
        <v>0</v>
      </c>
      <c r="H52" s="133">
        <f>SUM(H54:H55)</f>
        <v>0</v>
      </c>
      <c r="I52" s="133">
        <f>J52/F52</f>
        <v>6.25</v>
      </c>
      <c r="J52" s="133">
        <f>SUM(J54:J55)</f>
        <v>618.1875</v>
      </c>
      <c r="K52" s="133">
        <f>L52/F52</f>
        <v>0</v>
      </c>
      <c r="L52" s="133">
        <f>SUM(L54:L55)</f>
        <v>0</v>
      </c>
      <c r="M52" s="133">
        <f>SUM(M54:M55)</f>
        <v>618.1875</v>
      </c>
    </row>
    <row r="53" spans="1:13" s="19" customFormat="1" ht="13.5" x14ac:dyDescent="0.25">
      <c r="A53" s="37"/>
      <c r="B53" s="136"/>
      <c r="C53" s="135" t="s">
        <v>266</v>
      </c>
      <c r="D53" s="136"/>
      <c r="E53" s="38"/>
      <c r="F53" s="39"/>
      <c r="G53" s="38"/>
      <c r="H53" s="38"/>
      <c r="I53" s="38"/>
      <c r="J53" s="38"/>
      <c r="K53" s="38"/>
      <c r="L53" s="161"/>
      <c r="M53" s="39"/>
    </row>
    <row r="54" spans="1:13" s="44" customFormat="1" ht="12.75" x14ac:dyDescent="0.25">
      <c r="A54" s="140"/>
      <c r="B54" s="258"/>
      <c r="C54" s="142" t="s">
        <v>414</v>
      </c>
      <c r="D54" s="67" t="s">
        <v>17</v>
      </c>
      <c r="E54" s="164">
        <v>1</v>
      </c>
      <c r="F54" s="41">
        <f>E54*F52</f>
        <v>98.91</v>
      </c>
      <c r="G54" s="42">
        <v>0</v>
      </c>
      <c r="H54" s="42">
        <f>F54*G54</f>
        <v>0</v>
      </c>
      <c r="I54" s="42">
        <f>5*1.25</f>
        <v>6.25</v>
      </c>
      <c r="J54" s="42">
        <f>F54*I54</f>
        <v>618.1875</v>
      </c>
      <c r="K54" s="38">
        <v>0</v>
      </c>
      <c r="L54" s="38">
        <f>F54*K54</f>
        <v>0</v>
      </c>
      <c r="M54" s="43">
        <f>H54+J54+L54</f>
        <v>618.1875</v>
      </c>
    </row>
    <row r="55" spans="1:13" s="146" customFormat="1" ht="25.5" x14ac:dyDescent="0.25">
      <c r="A55" s="256"/>
      <c r="B55" s="67"/>
      <c r="C55" s="259" t="s">
        <v>477</v>
      </c>
      <c r="D55" s="67" t="s">
        <v>17</v>
      </c>
      <c r="E55" s="61">
        <v>0</v>
      </c>
      <c r="F55" s="61">
        <f>F52*E55</f>
        <v>0</v>
      </c>
      <c r="G55" s="60">
        <v>29.05</v>
      </c>
      <c r="H55" s="60">
        <f>F55*G55</f>
        <v>0</v>
      </c>
      <c r="I55" s="60">
        <v>0</v>
      </c>
      <c r="J55" s="60">
        <f>F55*I55</f>
        <v>0</v>
      </c>
      <c r="K55" s="61">
        <v>0</v>
      </c>
      <c r="L55" s="61">
        <f>F55*K55</f>
        <v>0</v>
      </c>
      <c r="M55" s="62">
        <f>H55+J55+L55</f>
        <v>0</v>
      </c>
    </row>
    <row r="56" spans="1:13" s="146" customFormat="1" ht="15.75" thickBot="1" x14ac:dyDescent="0.3">
      <c r="A56" s="260"/>
      <c r="B56" s="150"/>
      <c r="C56" s="261"/>
      <c r="D56" s="150"/>
      <c r="E56" s="189"/>
      <c r="F56" s="189"/>
      <c r="G56" s="188"/>
      <c r="H56" s="188"/>
      <c r="I56" s="188"/>
      <c r="J56" s="188"/>
      <c r="K56" s="189"/>
      <c r="L56" s="189"/>
      <c r="M56" s="190"/>
    </row>
    <row r="57" spans="1:13" s="36" customFormat="1" ht="14.25" x14ac:dyDescent="0.2">
      <c r="A57" s="21">
        <v>10</v>
      </c>
      <c r="B57" s="173" t="s">
        <v>277</v>
      </c>
      <c r="C57" s="65" t="s">
        <v>480</v>
      </c>
      <c r="D57" s="67" t="s">
        <v>78</v>
      </c>
      <c r="E57" s="16"/>
      <c r="F57" s="31">
        <v>16</v>
      </c>
      <c r="G57" s="133">
        <f>H57/F57</f>
        <v>0</v>
      </c>
      <c r="H57" s="133">
        <f>SUM(H59:H60)</f>
        <v>0</v>
      </c>
      <c r="I57" s="133">
        <f>J57/F57</f>
        <v>1.5</v>
      </c>
      <c r="J57" s="133">
        <f>SUM(J59:J60)</f>
        <v>24</v>
      </c>
      <c r="K57" s="133">
        <f>L57/F57</f>
        <v>0</v>
      </c>
      <c r="L57" s="133">
        <f>SUM(L59:L60)</f>
        <v>0</v>
      </c>
      <c r="M57" s="133">
        <f>SUM(M59:M60)</f>
        <v>24</v>
      </c>
    </row>
    <row r="58" spans="1:13" s="19" customFormat="1" ht="13.5" x14ac:dyDescent="0.25">
      <c r="A58" s="37"/>
      <c r="B58" s="136"/>
      <c r="C58" s="135" t="s">
        <v>266</v>
      </c>
      <c r="D58" s="136"/>
      <c r="E58" s="38"/>
      <c r="F58" s="39"/>
      <c r="G58" s="38"/>
      <c r="H58" s="38"/>
      <c r="I58" s="38"/>
      <c r="J58" s="38"/>
      <c r="K58" s="38"/>
      <c r="L58" s="161"/>
      <c r="M58" s="39"/>
    </row>
    <row r="59" spans="1:13" s="44" customFormat="1" ht="12.75" x14ac:dyDescent="0.25">
      <c r="A59" s="140"/>
      <c r="B59" s="173"/>
      <c r="C59" s="142" t="s">
        <v>278</v>
      </c>
      <c r="D59" s="67" t="s">
        <v>78</v>
      </c>
      <c r="E59" s="164">
        <v>1</v>
      </c>
      <c r="F59" s="41">
        <f>E59*F57</f>
        <v>16</v>
      </c>
      <c r="G59" s="42">
        <v>0</v>
      </c>
      <c r="H59" s="42">
        <f>F59*G59</f>
        <v>0</v>
      </c>
      <c r="I59" s="42">
        <f>1.2*1.25</f>
        <v>1.5</v>
      </c>
      <c r="J59" s="42">
        <f>F59*I59</f>
        <v>24</v>
      </c>
      <c r="K59" s="38">
        <v>0</v>
      </c>
      <c r="L59" s="38">
        <f>F59*K59</f>
        <v>0</v>
      </c>
      <c r="M59" s="43">
        <f>H59+J59+L59</f>
        <v>24</v>
      </c>
    </row>
    <row r="60" spans="1:13" s="146" customFormat="1" x14ac:dyDescent="0.25">
      <c r="A60" s="256"/>
      <c r="B60" s="68"/>
      <c r="C60" s="47" t="s">
        <v>481</v>
      </c>
      <c r="D60" s="67" t="s">
        <v>78</v>
      </c>
      <c r="E60" s="61">
        <v>0</v>
      </c>
      <c r="F60" s="61">
        <f>F57*E60</f>
        <v>0</v>
      </c>
      <c r="G60" s="60">
        <v>8.39</v>
      </c>
      <c r="H60" s="60">
        <f>F60*G60</f>
        <v>0</v>
      </c>
      <c r="I60" s="60">
        <v>0</v>
      </c>
      <c r="J60" s="60">
        <f>F60*I60</f>
        <v>0</v>
      </c>
      <c r="K60" s="61">
        <v>0</v>
      </c>
      <c r="L60" s="61">
        <f>F60*K60</f>
        <v>0</v>
      </c>
      <c r="M60" s="62">
        <f>H60+J60+L60</f>
        <v>0</v>
      </c>
    </row>
    <row r="61" spans="1:13" s="146" customFormat="1" ht="15.75" thickBot="1" x14ac:dyDescent="0.3">
      <c r="A61" s="260"/>
      <c r="B61" s="150"/>
      <c r="C61" s="261"/>
      <c r="D61" s="150"/>
      <c r="E61" s="189"/>
      <c r="F61" s="189"/>
      <c r="G61" s="188"/>
      <c r="H61" s="188"/>
      <c r="I61" s="188"/>
      <c r="J61" s="188"/>
      <c r="K61" s="189"/>
      <c r="L61" s="189"/>
      <c r="M61" s="190"/>
    </row>
    <row r="62" spans="1:13" s="36" customFormat="1" ht="14.25" x14ac:dyDescent="0.2">
      <c r="A62" s="21">
        <v>11</v>
      </c>
      <c r="B62" s="173" t="s">
        <v>277</v>
      </c>
      <c r="C62" s="65" t="s">
        <v>482</v>
      </c>
      <c r="D62" s="67" t="s">
        <v>78</v>
      </c>
      <c r="E62" s="16"/>
      <c r="F62" s="31">
        <v>12</v>
      </c>
      <c r="G62" s="133">
        <f>H62/F62</f>
        <v>0</v>
      </c>
      <c r="H62" s="133">
        <f>SUM(H64:H65)</f>
        <v>0</v>
      </c>
      <c r="I62" s="133">
        <f>J62/F62</f>
        <v>1.5</v>
      </c>
      <c r="J62" s="133">
        <f>SUM(J64:J65)</f>
        <v>18</v>
      </c>
      <c r="K62" s="133">
        <f>L62/F62</f>
        <v>0</v>
      </c>
      <c r="L62" s="133">
        <f>SUM(L64:L65)</f>
        <v>0</v>
      </c>
      <c r="M62" s="133">
        <f>SUM(M64:M65)</f>
        <v>18</v>
      </c>
    </row>
    <row r="63" spans="1:13" s="19" customFormat="1" ht="13.5" x14ac:dyDescent="0.25">
      <c r="A63" s="37"/>
      <c r="B63" s="136"/>
      <c r="C63" s="135" t="s">
        <v>266</v>
      </c>
      <c r="D63" s="136"/>
      <c r="E63" s="38"/>
      <c r="F63" s="39"/>
      <c r="G63" s="38"/>
      <c r="H63" s="38"/>
      <c r="I63" s="38"/>
      <c r="J63" s="38"/>
      <c r="K63" s="38"/>
      <c r="L63" s="161"/>
      <c r="M63" s="39"/>
    </row>
    <row r="64" spans="1:13" s="44" customFormat="1" ht="12.75" x14ac:dyDescent="0.25">
      <c r="A64" s="140"/>
      <c r="B64" s="173"/>
      <c r="C64" s="142" t="s">
        <v>278</v>
      </c>
      <c r="D64" s="67" t="s">
        <v>78</v>
      </c>
      <c r="E64" s="164">
        <v>1</v>
      </c>
      <c r="F64" s="41">
        <f>E64*F62</f>
        <v>12</v>
      </c>
      <c r="G64" s="42">
        <v>0</v>
      </c>
      <c r="H64" s="42">
        <f>F64*G64</f>
        <v>0</v>
      </c>
      <c r="I64" s="42">
        <f>1.2*1.25</f>
        <v>1.5</v>
      </c>
      <c r="J64" s="42">
        <f>F64*I64</f>
        <v>18</v>
      </c>
      <c r="K64" s="38">
        <v>0</v>
      </c>
      <c r="L64" s="38">
        <f>F64*K64</f>
        <v>0</v>
      </c>
      <c r="M64" s="43">
        <f>H64+J64+L64</f>
        <v>18</v>
      </c>
    </row>
    <row r="65" spans="1:13" s="146" customFormat="1" x14ac:dyDescent="0.25">
      <c r="A65" s="256"/>
      <c r="B65" s="68"/>
      <c r="C65" s="47" t="s">
        <v>483</v>
      </c>
      <c r="D65" s="67" t="s">
        <v>78</v>
      </c>
      <c r="E65" s="61">
        <v>0</v>
      </c>
      <c r="F65" s="61">
        <f>F62*E65</f>
        <v>0</v>
      </c>
      <c r="G65" s="60">
        <v>8.39</v>
      </c>
      <c r="H65" s="60">
        <f>F65*G65</f>
        <v>0</v>
      </c>
      <c r="I65" s="60">
        <v>0</v>
      </c>
      <c r="J65" s="60">
        <f>F65*I65</f>
        <v>0</v>
      </c>
      <c r="K65" s="61">
        <v>0</v>
      </c>
      <c r="L65" s="61">
        <f>F65*K65</f>
        <v>0</v>
      </c>
      <c r="M65" s="62">
        <f>H65+J65+L65</f>
        <v>0</v>
      </c>
    </row>
    <row r="66" spans="1:13" s="146" customFormat="1" ht="15.75" thickBot="1" x14ac:dyDescent="0.3">
      <c r="A66" s="260"/>
      <c r="B66" s="150"/>
      <c r="C66" s="261"/>
      <c r="D66" s="150"/>
      <c r="E66" s="189"/>
      <c r="F66" s="189"/>
      <c r="G66" s="188"/>
      <c r="H66" s="188"/>
      <c r="I66" s="188"/>
      <c r="J66" s="188"/>
      <c r="K66" s="189"/>
      <c r="L66" s="189"/>
      <c r="M66" s="190"/>
    </row>
    <row r="67" spans="1:13" s="36" customFormat="1" ht="14.25" x14ac:dyDescent="0.2">
      <c r="A67" s="21">
        <v>12</v>
      </c>
      <c r="B67" s="173" t="s">
        <v>277</v>
      </c>
      <c r="C67" s="65" t="s">
        <v>484</v>
      </c>
      <c r="D67" s="67" t="s">
        <v>78</v>
      </c>
      <c r="E67" s="16"/>
      <c r="F67" s="31">
        <v>12</v>
      </c>
      <c r="G67" s="133">
        <f>H67/F67</f>
        <v>0</v>
      </c>
      <c r="H67" s="133">
        <f>SUM(H69:H70)</f>
        <v>0</v>
      </c>
      <c r="I67" s="133">
        <f>J67/F67</f>
        <v>1.5</v>
      </c>
      <c r="J67" s="133">
        <f>SUM(J69:J70)</f>
        <v>18</v>
      </c>
      <c r="K67" s="133">
        <f>L67/F67</f>
        <v>0</v>
      </c>
      <c r="L67" s="133">
        <f>SUM(L69:L70)</f>
        <v>0</v>
      </c>
      <c r="M67" s="133">
        <f>SUM(M69:M70)</f>
        <v>18</v>
      </c>
    </row>
    <row r="68" spans="1:13" s="19" customFormat="1" ht="13.5" x14ac:dyDescent="0.25">
      <c r="A68" s="37"/>
      <c r="B68" s="136"/>
      <c r="C68" s="135" t="s">
        <v>266</v>
      </c>
      <c r="D68" s="136"/>
      <c r="E68" s="38"/>
      <c r="F68" s="39"/>
      <c r="G68" s="38"/>
      <c r="H68" s="38"/>
      <c r="I68" s="38"/>
      <c r="J68" s="38"/>
      <c r="K68" s="38"/>
      <c r="L68" s="161"/>
      <c r="M68" s="39"/>
    </row>
    <row r="69" spans="1:13" s="44" customFormat="1" ht="12.75" x14ac:dyDescent="0.25">
      <c r="A69" s="140"/>
      <c r="B69" s="173"/>
      <c r="C69" s="142" t="s">
        <v>278</v>
      </c>
      <c r="D69" s="67" t="s">
        <v>78</v>
      </c>
      <c r="E69" s="164">
        <v>1</v>
      </c>
      <c r="F69" s="41">
        <f>E69*F67</f>
        <v>12</v>
      </c>
      <c r="G69" s="42">
        <v>0</v>
      </c>
      <c r="H69" s="42">
        <f>F69*G69</f>
        <v>0</v>
      </c>
      <c r="I69" s="42">
        <f>1.2*1.25</f>
        <v>1.5</v>
      </c>
      <c r="J69" s="42">
        <f>F69*I69</f>
        <v>18</v>
      </c>
      <c r="K69" s="38">
        <v>0</v>
      </c>
      <c r="L69" s="38">
        <f>F69*K69</f>
        <v>0</v>
      </c>
      <c r="M69" s="43">
        <f>H69+J69+L69</f>
        <v>18</v>
      </c>
    </row>
    <row r="70" spans="1:13" s="146" customFormat="1" x14ac:dyDescent="0.25">
      <c r="A70" s="256"/>
      <c r="B70" s="68"/>
      <c r="C70" s="47" t="s">
        <v>485</v>
      </c>
      <c r="D70" s="67" t="s">
        <v>78</v>
      </c>
      <c r="E70" s="61">
        <v>0</v>
      </c>
      <c r="F70" s="61">
        <f>F67*E70</f>
        <v>0</v>
      </c>
      <c r="G70" s="60">
        <v>8.39</v>
      </c>
      <c r="H70" s="60">
        <f>F70*G70</f>
        <v>0</v>
      </c>
      <c r="I70" s="60">
        <v>0</v>
      </c>
      <c r="J70" s="60">
        <f>F70*I70</f>
        <v>0</v>
      </c>
      <c r="K70" s="61">
        <v>0</v>
      </c>
      <c r="L70" s="61">
        <f>F70*K70</f>
        <v>0</v>
      </c>
      <c r="M70" s="62">
        <f>H70+J70+L70</f>
        <v>0</v>
      </c>
    </row>
    <row r="71" spans="1:13" s="146" customFormat="1" ht="15.75" thickBot="1" x14ac:dyDescent="0.3">
      <c r="A71" s="260"/>
      <c r="B71" s="150"/>
      <c r="C71" s="261"/>
      <c r="D71" s="150"/>
      <c r="E71" s="189"/>
      <c r="F71" s="189"/>
      <c r="G71" s="188"/>
      <c r="H71" s="188"/>
      <c r="I71" s="188"/>
      <c r="J71" s="188"/>
      <c r="K71" s="189"/>
      <c r="L71" s="189"/>
      <c r="M71" s="190"/>
    </row>
    <row r="72" spans="1:13" s="36" customFormat="1" ht="14.25" x14ac:dyDescent="0.2">
      <c r="A72" s="21">
        <v>13</v>
      </c>
      <c r="B72" s="173" t="s">
        <v>277</v>
      </c>
      <c r="C72" s="65" t="s">
        <v>486</v>
      </c>
      <c r="D72" s="67" t="s">
        <v>78</v>
      </c>
      <c r="E72" s="16"/>
      <c r="F72" s="31">
        <v>12</v>
      </c>
      <c r="G72" s="133">
        <f>H72/F72</f>
        <v>0</v>
      </c>
      <c r="H72" s="133">
        <f>SUM(H74:H75)</f>
        <v>0</v>
      </c>
      <c r="I72" s="133">
        <f>J72/F72</f>
        <v>1.5</v>
      </c>
      <c r="J72" s="133">
        <f>SUM(J74:J75)</f>
        <v>18</v>
      </c>
      <c r="K72" s="133">
        <f>L72/F72</f>
        <v>0</v>
      </c>
      <c r="L72" s="133">
        <f>SUM(L74:L75)</f>
        <v>0</v>
      </c>
      <c r="M72" s="133">
        <f>SUM(M74:M75)</f>
        <v>18</v>
      </c>
    </row>
    <row r="73" spans="1:13" s="19" customFormat="1" ht="13.5" x14ac:dyDescent="0.25">
      <c r="A73" s="37"/>
      <c r="B73" s="173"/>
      <c r="C73" s="135" t="s">
        <v>266</v>
      </c>
      <c r="D73" s="136"/>
      <c r="E73" s="38"/>
      <c r="F73" s="39"/>
      <c r="G73" s="38"/>
      <c r="H73" s="38"/>
      <c r="I73" s="38"/>
      <c r="J73" s="38"/>
      <c r="K73" s="38"/>
      <c r="L73" s="161"/>
      <c r="M73" s="39"/>
    </row>
    <row r="74" spans="1:13" s="44" customFormat="1" ht="12.75" x14ac:dyDescent="0.25">
      <c r="A74" s="140"/>
      <c r="B74" s="173"/>
      <c r="C74" s="142" t="s">
        <v>278</v>
      </c>
      <c r="D74" s="67" t="s">
        <v>78</v>
      </c>
      <c r="E74" s="164">
        <v>1</v>
      </c>
      <c r="F74" s="41">
        <f>E74*F72</f>
        <v>12</v>
      </c>
      <c r="G74" s="42">
        <v>0</v>
      </c>
      <c r="H74" s="42">
        <f>F74*G74</f>
        <v>0</v>
      </c>
      <c r="I74" s="42">
        <f>1.2*1.25</f>
        <v>1.5</v>
      </c>
      <c r="J74" s="42">
        <f>F74*I74</f>
        <v>18</v>
      </c>
      <c r="K74" s="38">
        <v>0</v>
      </c>
      <c r="L74" s="38">
        <f>F74*K74</f>
        <v>0</v>
      </c>
      <c r="M74" s="43">
        <f>H74+J74+L74</f>
        <v>18</v>
      </c>
    </row>
    <row r="75" spans="1:13" s="146" customFormat="1" x14ac:dyDescent="0.25">
      <c r="A75" s="256"/>
      <c r="B75" s="68"/>
      <c r="C75" s="47" t="s">
        <v>487</v>
      </c>
      <c r="D75" s="67" t="s">
        <v>78</v>
      </c>
      <c r="E75" s="61">
        <v>0</v>
      </c>
      <c r="F75" s="61">
        <f>F72*E75</f>
        <v>0</v>
      </c>
      <c r="G75" s="60">
        <v>8.39</v>
      </c>
      <c r="H75" s="60">
        <f>F75*G75</f>
        <v>0</v>
      </c>
      <c r="I75" s="60">
        <v>0</v>
      </c>
      <c r="J75" s="60">
        <f>F75*I75</f>
        <v>0</v>
      </c>
      <c r="K75" s="61">
        <v>0</v>
      </c>
      <c r="L75" s="61">
        <f>F75*K75</f>
        <v>0</v>
      </c>
      <c r="M75" s="62">
        <f>H75+J75+L75</f>
        <v>0</v>
      </c>
    </row>
    <row r="76" spans="1:13" s="146" customFormat="1" ht="15.75" thickBot="1" x14ac:dyDescent="0.3">
      <c r="A76" s="260"/>
      <c r="B76" s="150"/>
      <c r="C76" s="261"/>
      <c r="D76" s="150"/>
      <c r="E76" s="189"/>
      <c r="F76" s="189"/>
      <c r="G76" s="188"/>
      <c r="H76" s="188"/>
      <c r="I76" s="188"/>
      <c r="J76" s="188"/>
      <c r="K76" s="189"/>
      <c r="L76" s="189"/>
      <c r="M76" s="190"/>
    </row>
    <row r="77" spans="1:13" s="36" customFormat="1" ht="14.25" x14ac:dyDescent="0.2">
      <c r="A77" s="21">
        <v>14</v>
      </c>
      <c r="B77" s="173" t="s">
        <v>277</v>
      </c>
      <c r="C77" s="65" t="s">
        <v>488</v>
      </c>
      <c r="D77" s="67" t="s">
        <v>78</v>
      </c>
      <c r="E77" s="16"/>
      <c r="F77" s="31">
        <v>12</v>
      </c>
      <c r="G77" s="133">
        <f>H77/F77</f>
        <v>0</v>
      </c>
      <c r="H77" s="133">
        <f>SUM(H79:H80)</f>
        <v>0</v>
      </c>
      <c r="I77" s="133">
        <f>J77/F77</f>
        <v>1.5</v>
      </c>
      <c r="J77" s="133">
        <f>SUM(J79:J80)</f>
        <v>18</v>
      </c>
      <c r="K77" s="133">
        <f>L77/F77</f>
        <v>0</v>
      </c>
      <c r="L77" s="133">
        <f>SUM(L79:L80)</f>
        <v>0</v>
      </c>
      <c r="M77" s="133">
        <f>SUM(M79:M80)</f>
        <v>18</v>
      </c>
    </row>
    <row r="78" spans="1:13" s="19" customFormat="1" ht="13.5" x14ac:dyDescent="0.25">
      <c r="A78" s="37"/>
      <c r="B78" s="136"/>
      <c r="C78" s="135" t="s">
        <v>266</v>
      </c>
      <c r="D78" s="136"/>
      <c r="E78" s="38"/>
      <c r="F78" s="39"/>
      <c r="G78" s="38"/>
      <c r="H78" s="38"/>
      <c r="I78" s="38"/>
      <c r="J78" s="38"/>
      <c r="K78" s="38"/>
      <c r="L78" s="161"/>
      <c r="M78" s="39"/>
    </row>
    <row r="79" spans="1:13" s="44" customFormat="1" ht="12.75" x14ac:dyDescent="0.25">
      <c r="A79" s="140"/>
      <c r="B79" s="173"/>
      <c r="C79" s="142" t="s">
        <v>278</v>
      </c>
      <c r="D79" s="67" t="s">
        <v>78</v>
      </c>
      <c r="E79" s="164">
        <v>1</v>
      </c>
      <c r="F79" s="41">
        <f>E79*F77</f>
        <v>12</v>
      </c>
      <c r="G79" s="42">
        <v>0</v>
      </c>
      <c r="H79" s="42">
        <f>F79*G79</f>
        <v>0</v>
      </c>
      <c r="I79" s="42">
        <f>1.2*1.25</f>
        <v>1.5</v>
      </c>
      <c r="J79" s="42">
        <f>F79*I79</f>
        <v>18</v>
      </c>
      <c r="K79" s="38">
        <v>0</v>
      </c>
      <c r="L79" s="38">
        <f>F79*K79</f>
        <v>0</v>
      </c>
      <c r="M79" s="43">
        <f>H79+J79+L79</f>
        <v>18</v>
      </c>
    </row>
    <row r="80" spans="1:13" s="146" customFormat="1" x14ac:dyDescent="0.25">
      <c r="A80" s="256"/>
      <c r="B80" s="68"/>
      <c r="C80" s="47" t="s">
        <v>489</v>
      </c>
      <c r="D80" s="67" t="s">
        <v>78</v>
      </c>
      <c r="E80" s="61">
        <v>0</v>
      </c>
      <c r="F80" s="61">
        <f>F77*E80</f>
        <v>0</v>
      </c>
      <c r="G80" s="60">
        <v>8.39</v>
      </c>
      <c r="H80" s="60">
        <f>F80*G80</f>
        <v>0</v>
      </c>
      <c r="I80" s="60">
        <v>0</v>
      </c>
      <c r="J80" s="60">
        <f>F80*I80</f>
        <v>0</v>
      </c>
      <c r="K80" s="61">
        <v>0</v>
      </c>
      <c r="L80" s="61">
        <f>F80*K80</f>
        <v>0</v>
      </c>
      <c r="M80" s="62">
        <f>H80+J80+L80</f>
        <v>0</v>
      </c>
    </row>
    <row r="81" spans="1:13" s="146" customFormat="1" ht="15.75" thickBot="1" x14ac:dyDescent="0.3">
      <c r="A81" s="260"/>
      <c r="B81" s="150"/>
      <c r="C81" s="261"/>
      <c r="D81" s="150"/>
      <c r="E81" s="189"/>
      <c r="F81" s="189"/>
      <c r="G81" s="188"/>
      <c r="H81" s="188"/>
      <c r="I81" s="188"/>
      <c r="J81" s="188"/>
      <c r="K81" s="189"/>
      <c r="L81" s="189"/>
      <c r="M81" s="190"/>
    </row>
    <row r="82" spans="1:13" s="36" customFormat="1" ht="14.25" x14ac:dyDescent="0.2">
      <c r="A82" s="21">
        <v>15</v>
      </c>
      <c r="B82" s="173" t="s">
        <v>277</v>
      </c>
      <c r="C82" s="65" t="s">
        <v>490</v>
      </c>
      <c r="D82" s="67" t="s">
        <v>78</v>
      </c>
      <c r="E82" s="16"/>
      <c r="F82" s="31">
        <v>12</v>
      </c>
      <c r="G82" s="133">
        <f>H82/F82</f>
        <v>0</v>
      </c>
      <c r="H82" s="133">
        <f>SUM(H84:H85)</f>
        <v>0</v>
      </c>
      <c r="I82" s="133">
        <f>J82/F82</f>
        <v>1.5</v>
      </c>
      <c r="J82" s="133">
        <f>SUM(J84:J85)</f>
        <v>18</v>
      </c>
      <c r="K82" s="133">
        <f>L82/F82</f>
        <v>0</v>
      </c>
      <c r="L82" s="133">
        <f>SUM(L84:L85)</f>
        <v>0</v>
      </c>
      <c r="M82" s="133">
        <f>SUM(M84:M85)</f>
        <v>18</v>
      </c>
    </row>
    <row r="83" spans="1:13" s="19" customFormat="1" ht="13.5" x14ac:dyDescent="0.25">
      <c r="A83" s="37"/>
      <c r="B83" s="136"/>
      <c r="C83" s="135" t="s">
        <v>491</v>
      </c>
      <c r="D83" s="136"/>
      <c r="E83" s="38"/>
      <c r="F83" s="39"/>
      <c r="G83" s="38"/>
      <c r="H83" s="38"/>
      <c r="I83" s="38"/>
      <c r="J83" s="38"/>
      <c r="K83" s="38"/>
      <c r="L83" s="161"/>
      <c r="M83" s="39"/>
    </row>
    <row r="84" spans="1:13" s="44" customFormat="1" ht="12.75" x14ac:dyDescent="0.25">
      <c r="A84" s="140"/>
      <c r="B84" s="173"/>
      <c r="C84" s="142" t="s">
        <v>278</v>
      </c>
      <c r="D84" s="67" t="s">
        <v>78</v>
      </c>
      <c r="E84" s="164">
        <v>1</v>
      </c>
      <c r="F84" s="41">
        <f>E84*F82</f>
        <v>12</v>
      </c>
      <c r="G84" s="42">
        <v>0</v>
      </c>
      <c r="H84" s="42">
        <f>F84*G84</f>
        <v>0</v>
      </c>
      <c r="I84" s="42">
        <f>1.2*1.25</f>
        <v>1.5</v>
      </c>
      <c r="J84" s="42">
        <f>F84*I84</f>
        <v>18</v>
      </c>
      <c r="K84" s="38">
        <v>0</v>
      </c>
      <c r="L84" s="38">
        <f>F84*K84</f>
        <v>0</v>
      </c>
      <c r="M84" s="43">
        <f>H84+J84+L84</f>
        <v>18</v>
      </c>
    </row>
    <row r="85" spans="1:13" s="146" customFormat="1" x14ac:dyDescent="0.25">
      <c r="A85" s="256"/>
      <c r="B85" s="68"/>
      <c r="C85" s="47" t="s">
        <v>492</v>
      </c>
      <c r="D85" s="67" t="s">
        <v>78</v>
      </c>
      <c r="E85" s="61">
        <v>0</v>
      </c>
      <c r="F85" s="61">
        <f>F82*E85</f>
        <v>0</v>
      </c>
      <c r="G85" s="60">
        <v>8.39</v>
      </c>
      <c r="H85" s="60">
        <f>F85*G85</f>
        <v>0</v>
      </c>
      <c r="I85" s="60">
        <v>0</v>
      </c>
      <c r="J85" s="60">
        <f>F85*I85</f>
        <v>0</v>
      </c>
      <c r="K85" s="61">
        <v>0</v>
      </c>
      <c r="L85" s="61">
        <f>F85*K85</f>
        <v>0</v>
      </c>
      <c r="M85" s="62">
        <f>H85+J85+L85</f>
        <v>0</v>
      </c>
    </row>
    <row r="86" spans="1:13" s="146" customFormat="1" ht="15.75" thickBot="1" x14ac:dyDescent="0.3">
      <c r="A86" s="260"/>
      <c r="B86" s="150"/>
      <c r="C86" s="261"/>
      <c r="D86" s="150"/>
      <c r="E86" s="189"/>
      <c r="F86" s="189"/>
      <c r="G86" s="188"/>
      <c r="H86" s="188"/>
      <c r="I86" s="188"/>
      <c r="J86" s="188"/>
      <c r="K86" s="189"/>
      <c r="L86" s="189"/>
      <c r="M86" s="190"/>
    </row>
    <row r="87" spans="1:13" s="36" customFormat="1" ht="14.25" x14ac:dyDescent="0.2">
      <c r="A87" s="21">
        <v>16</v>
      </c>
      <c r="B87" s="21"/>
      <c r="C87" s="65" t="s">
        <v>493</v>
      </c>
      <c r="D87" s="67" t="s">
        <v>78</v>
      </c>
      <c r="E87" s="16"/>
      <c r="F87" s="31">
        <v>15</v>
      </c>
      <c r="G87" s="133">
        <f>H87/F87</f>
        <v>0</v>
      </c>
      <c r="H87" s="133">
        <f>SUM(H89:H90)</f>
        <v>0</v>
      </c>
      <c r="I87" s="133">
        <f>J87/F87</f>
        <v>1.5</v>
      </c>
      <c r="J87" s="133">
        <f>SUM(J89:J90)</f>
        <v>22.5</v>
      </c>
      <c r="K87" s="133">
        <f>L87/F87</f>
        <v>0</v>
      </c>
      <c r="L87" s="133">
        <f>SUM(L89:L90)</f>
        <v>0</v>
      </c>
      <c r="M87" s="133">
        <f>SUM(M89:M90)</f>
        <v>22.5</v>
      </c>
    </row>
    <row r="88" spans="1:13" s="19" customFormat="1" ht="13.5" x14ac:dyDescent="0.25">
      <c r="A88" s="37"/>
      <c r="B88" s="136"/>
      <c r="C88" s="135" t="s">
        <v>266</v>
      </c>
      <c r="D88" s="136"/>
      <c r="E88" s="38"/>
      <c r="F88" s="39"/>
      <c r="G88" s="38"/>
      <c r="H88" s="38"/>
      <c r="I88" s="38"/>
      <c r="J88" s="38"/>
      <c r="K88" s="38"/>
      <c r="L88" s="161"/>
      <c r="M88" s="39"/>
    </row>
    <row r="89" spans="1:13" s="44" customFormat="1" ht="12.75" x14ac:dyDescent="0.25">
      <c r="A89" s="140"/>
      <c r="B89" s="173" t="s">
        <v>277</v>
      </c>
      <c r="C89" s="142" t="s">
        <v>278</v>
      </c>
      <c r="D89" s="67" t="s">
        <v>78</v>
      </c>
      <c r="E89" s="164">
        <v>1</v>
      </c>
      <c r="F89" s="41">
        <f>E89*F87</f>
        <v>15</v>
      </c>
      <c r="G89" s="42">
        <v>0</v>
      </c>
      <c r="H89" s="42">
        <f>F89*G89</f>
        <v>0</v>
      </c>
      <c r="I89" s="42">
        <f>1.2*1.25</f>
        <v>1.5</v>
      </c>
      <c r="J89" s="42">
        <f>F89*I89</f>
        <v>22.5</v>
      </c>
      <c r="K89" s="38">
        <v>0</v>
      </c>
      <c r="L89" s="38">
        <f>F89*K89</f>
        <v>0</v>
      </c>
      <c r="M89" s="43">
        <f>H89+J89+L89</f>
        <v>22.5</v>
      </c>
    </row>
    <row r="90" spans="1:13" s="146" customFormat="1" x14ac:dyDescent="0.25">
      <c r="A90" s="256"/>
      <c r="B90" s="68"/>
      <c r="C90" s="47" t="s">
        <v>494</v>
      </c>
      <c r="D90" s="67" t="s">
        <v>78</v>
      </c>
      <c r="E90" s="61">
        <v>0</v>
      </c>
      <c r="F90" s="61">
        <f>F87*E90</f>
        <v>0</v>
      </c>
      <c r="G90" s="60">
        <v>8.39</v>
      </c>
      <c r="H90" s="60">
        <f>F90*G90</f>
        <v>0</v>
      </c>
      <c r="I90" s="60">
        <v>0</v>
      </c>
      <c r="J90" s="60">
        <f>F90*I90</f>
        <v>0</v>
      </c>
      <c r="K90" s="61">
        <v>0</v>
      </c>
      <c r="L90" s="61">
        <f>F90*K90</f>
        <v>0</v>
      </c>
      <c r="M90" s="62">
        <f>H90+J90+L90</f>
        <v>0</v>
      </c>
    </row>
    <row r="91" spans="1:13" s="146" customFormat="1" ht="15.75" thickBot="1" x14ac:dyDescent="0.3">
      <c r="A91" s="260"/>
      <c r="B91" s="150"/>
      <c r="C91" s="261"/>
      <c r="D91" s="150"/>
      <c r="E91" s="189"/>
      <c r="F91" s="189"/>
      <c r="G91" s="188"/>
      <c r="H91" s="188"/>
      <c r="I91" s="188"/>
      <c r="J91" s="188"/>
      <c r="K91" s="189"/>
      <c r="L91" s="189"/>
      <c r="M91" s="190"/>
    </row>
    <row r="92" spans="1:13" s="36" customFormat="1" ht="14.25" x14ac:dyDescent="0.2">
      <c r="A92" s="21">
        <v>17</v>
      </c>
      <c r="B92" s="173" t="s">
        <v>277</v>
      </c>
      <c r="C92" s="65" t="s">
        <v>495</v>
      </c>
      <c r="D92" s="67" t="s">
        <v>78</v>
      </c>
      <c r="E92" s="16"/>
      <c r="F92" s="31">
        <v>25</v>
      </c>
      <c r="G92" s="133">
        <f>H92/F92</f>
        <v>0</v>
      </c>
      <c r="H92" s="133">
        <f>SUM(H94:H95)</f>
        <v>0</v>
      </c>
      <c r="I92" s="133">
        <f>J92/F92</f>
        <v>1.5</v>
      </c>
      <c r="J92" s="133">
        <f>SUM(J94:J95)</f>
        <v>37.5</v>
      </c>
      <c r="K92" s="133">
        <f>L92/F92</f>
        <v>0</v>
      </c>
      <c r="L92" s="133">
        <f>SUM(L94:L95)</f>
        <v>0</v>
      </c>
      <c r="M92" s="133">
        <f>SUM(M94:M95)</f>
        <v>37.5</v>
      </c>
    </row>
    <row r="93" spans="1:13" s="19" customFormat="1" ht="13.5" x14ac:dyDescent="0.25">
      <c r="A93" s="37"/>
      <c r="B93" s="136"/>
      <c r="C93" s="135" t="s">
        <v>266</v>
      </c>
      <c r="D93" s="136"/>
      <c r="E93" s="38"/>
      <c r="F93" s="39"/>
      <c r="G93" s="38"/>
      <c r="H93" s="38"/>
      <c r="I93" s="38"/>
      <c r="J93" s="38"/>
      <c r="K93" s="38"/>
      <c r="L93" s="161"/>
      <c r="M93" s="39"/>
    </row>
    <row r="94" spans="1:13" s="44" customFormat="1" ht="12.75" x14ac:dyDescent="0.25">
      <c r="A94" s="140"/>
      <c r="B94" s="173"/>
      <c r="C94" s="142" t="s">
        <v>278</v>
      </c>
      <c r="D94" s="67" t="s">
        <v>78</v>
      </c>
      <c r="E94" s="164">
        <v>1</v>
      </c>
      <c r="F94" s="41">
        <f>E94*F92</f>
        <v>25</v>
      </c>
      <c r="G94" s="42">
        <v>0</v>
      </c>
      <c r="H94" s="42">
        <f>F94*G94</f>
        <v>0</v>
      </c>
      <c r="I94" s="42">
        <f>1.2*1.25</f>
        <v>1.5</v>
      </c>
      <c r="J94" s="42">
        <f>F94*I94</f>
        <v>37.5</v>
      </c>
      <c r="K94" s="38">
        <v>0</v>
      </c>
      <c r="L94" s="38">
        <f>F94*K94</f>
        <v>0</v>
      </c>
      <c r="M94" s="43">
        <f>H94+J94+L94</f>
        <v>37.5</v>
      </c>
    </row>
    <row r="95" spans="1:13" s="146" customFormat="1" x14ac:dyDescent="0.25">
      <c r="A95" s="256"/>
      <c r="B95" s="68"/>
      <c r="C95" s="47" t="s">
        <v>496</v>
      </c>
      <c r="D95" s="67" t="s">
        <v>78</v>
      </c>
      <c r="E95" s="61">
        <v>0</v>
      </c>
      <c r="F95" s="61">
        <f>F92*E95</f>
        <v>0</v>
      </c>
      <c r="G95" s="60">
        <v>8.39</v>
      </c>
      <c r="H95" s="60">
        <f>F95*G95</f>
        <v>0</v>
      </c>
      <c r="I95" s="60">
        <v>0</v>
      </c>
      <c r="J95" s="60">
        <f>F95*I95</f>
        <v>0</v>
      </c>
      <c r="K95" s="61">
        <v>0</v>
      </c>
      <c r="L95" s="61">
        <f>F95*K95</f>
        <v>0</v>
      </c>
      <c r="M95" s="62">
        <f>H95+J95+L95</f>
        <v>0</v>
      </c>
    </row>
    <row r="96" spans="1:13" s="146" customFormat="1" ht="15.75" thickBot="1" x14ac:dyDescent="0.3">
      <c r="A96" s="260"/>
      <c r="B96" s="150"/>
      <c r="C96" s="261"/>
      <c r="D96" s="150"/>
      <c r="E96" s="189"/>
      <c r="F96" s="189"/>
      <c r="G96" s="188"/>
      <c r="H96" s="188"/>
      <c r="I96" s="188"/>
      <c r="J96" s="188"/>
      <c r="K96" s="189"/>
      <c r="L96" s="189"/>
      <c r="M96" s="190"/>
    </row>
    <row r="97" spans="1:13" s="36" customFormat="1" ht="26.25" x14ac:dyDescent="0.2">
      <c r="A97" s="21">
        <v>18</v>
      </c>
      <c r="B97" s="173" t="s">
        <v>277</v>
      </c>
      <c r="C97" s="65" t="s">
        <v>497</v>
      </c>
      <c r="D97" s="67" t="s">
        <v>78</v>
      </c>
      <c r="E97" s="16"/>
      <c r="F97" s="31">
        <v>3</v>
      </c>
      <c r="G97" s="133">
        <f>H97/F97</f>
        <v>0</v>
      </c>
      <c r="H97" s="133">
        <f>SUM(H99:H100)</f>
        <v>0</v>
      </c>
      <c r="I97" s="133">
        <f>J97/F97</f>
        <v>6.25</v>
      </c>
      <c r="J97" s="133">
        <f>SUM(J99:J100)</f>
        <v>18.75</v>
      </c>
      <c r="K97" s="133">
        <f>L97/F97</f>
        <v>0</v>
      </c>
      <c r="L97" s="133">
        <f>SUM(L99:L100)</f>
        <v>0</v>
      </c>
      <c r="M97" s="133">
        <f>SUM(M99:M100)</f>
        <v>18.75</v>
      </c>
    </row>
    <row r="98" spans="1:13" s="19" customFormat="1" ht="13.5" x14ac:dyDescent="0.25">
      <c r="A98" s="37"/>
      <c r="B98" s="136"/>
      <c r="C98" s="135" t="s">
        <v>266</v>
      </c>
      <c r="D98" s="136"/>
      <c r="E98" s="38"/>
      <c r="F98" s="39"/>
      <c r="G98" s="38"/>
      <c r="H98" s="38"/>
      <c r="I98" s="38"/>
      <c r="J98" s="38"/>
      <c r="K98" s="38"/>
      <c r="L98" s="161"/>
      <c r="M98" s="39"/>
    </row>
    <row r="99" spans="1:13" s="44" customFormat="1" ht="12.75" x14ac:dyDescent="0.25">
      <c r="A99" s="140"/>
      <c r="B99" s="173"/>
      <c r="C99" s="142" t="s">
        <v>278</v>
      </c>
      <c r="D99" s="67" t="s">
        <v>78</v>
      </c>
      <c r="E99" s="164">
        <v>1</v>
      </c>
      <c r="F99" s="41">
        <f>E99*F97</f>
        <v>3</v>
      </c>
      <c r="G99" s="42">
        <v>0</v>
      </c>
      <c r="H99" s="42">
        <f>F99*G99</f>
        <v>0</v>
      </c>
      <c r="I99" s="42">
        <f>5*1.25</f>
        <v>6.25</v>
      </c>
      <c r="J99" s="42">
        <f>F99*I99</f>
        <v>18.75</v>
      </c>
      <c r="K99" s="38">
        <v>0</v>
      </c>
      <c r="L99" s="38">
        <f>F99*K99</f>
        <v>0</v>
      </c>
      <c r="M99" s="43">
        <f>H99+J99+L99</f>
        <v>18.75</v>
      </c>
    </row>
    <row r="100" spans="1:13" s="146" customFormat="1" x14ac:dyDescent="0.25">
      <c r="A100" s="256"/>
      <c r="B100" s="68"/>
      <c r="C100" s="47" t="s">
        <v>498</v>
      </c>
      <c r="D100" s="67" t="s">
        <v>78</v>
      </c>
      <c r="E100" s="61">
        <v>0</v>
      </c>
      <c r="F100" s="61">
        <f>F97*E100</f>
        <v>0</v>
      </c>
      <c r="G100" s="262">
        <v>16.75</v>
      </c>
      <c r="H100" s="60">
        <f>F100*G100</f>
        <v>0</v>
      </c>
      <c r="I100" s="60">
        <v>0</v>
      </c>
      <c r="J100" s="60">
        <f>F100*I100</f>
        <v>0</v>
      </c>
      <c r="K100" s="61">
        <v>0</v>
      </c>
      <c r="L100" s="61">
        <f>F100*K100</f>
        <v>0</v>
      </c>
      <c r="M100" s="62">
        <f>H100+J100+L100</f>
        <v>0</v>
      </c>
    </row>
    <row r="101" spans="1:13" s="146" customFormat="1" ht="15.75" thickBot="1" x14ac:dyDescent="0.3">
      <c r="A101" s="260"/>
      <c r="B101" s="150"/>
      <c r="C101" s="261"/>
      <c r="D101" s="150"/>
      <c r="E101" s="189"/>
      <c r="F101" s="189"/>
      <c r="G101" s="188"/>
      <c r="H101" s="188"/>
      <c r="I101" s="188"/>
      <c r="J101" s="188"/>
      <c r="K101" s="189"/>
      <c r="L101" s="189"/>
      <c r="M101" s="190"/>
    </row>
    <row r="102" spans="1:13" s="36" customFormat="1" ht="26.25" x14ac:dyDescent="0.2">
      <c r="A102" s="21">
        <v>19</v>
      </c>
      <c r="B102" s="173" t="s">
        <v>277</v>
      </c>
      <c r="C102" s="65" t="s">
        <v>499</v>
      </c>
      <c r="D102" s="67" t="s">
        <v>78</v>
      </c>
      <c r="E102" s="16"/>
      <c r="F102" s="31">
        <v>4</v>
      </c>
      <c r="G102" s="133">
        <f>H102/F102</f>
        <v>0</v>
      </c>
      <c r="H102" s="133">
        <f>SUM(H104:H105)</f>
        <v>0</v>
      </c>
      <c r="I102" s="133">
        <f>J102/F102</f>
        <v>6.25</v>
      </c>
      <c r="J102" s="133">
        <f>SUM(J104:J105)</f>
        <v>25</v>
      </c>
      <c r="K102" s="133">
        <f>L102/F102</f>
        <v>0</v>
      </c>
      <c r="L102" s="133">
        <f>SUM(L104:L105)</f>
        <v>0</v>
      </c>
      <c r="M102" s="133">
        <f>SUM(M104:M105)</f>
        <v>25</v>
      </c>
    </row>
    <row r="103" spans="1:13" s="19" customFormat="1" ht="13.5" x14ac:dyDescent="0.25">
      <c r="A103" s="37"/>
      <c r="B103" s="136"/>
      <c r="C103" s="135" t="s">
        <v>266</v>
      </c>
      <c r="D103" s="136"/>
      <c r="E103" s="38"/>
      <c r="F103" s="39"/>
      <c r="G103" s="38"/>
      <c r="H103" s="38"/>
      <c r="I103" s="38"/>
      <c r="J103" s="38"/>
      <c r="K103" s="38"/>
      <c r="L103" s="161"/>
      <c r="M103" s="39"/>
    </row>
    <row r="104" spans="1:13" s="44" customFormat="1" ht="12.75" x14ac:dyDescent="0.25">
      <c r="A104" s="140"/>
      <c r="B104" s="173"/>
      <c r="C104" s="142" t="s">
        <v>278</v>
      </c>
      <c r="D104" s="67" t="s">
        <v>78</v>
      </c>
      <c r="E104" s="164">
        <v>1</v>
      </c>
      <c r="F104" s="41">
        <f>E104*F102</f>
        <v>4</v>
      </c>
      <c r="G104" s="42">
        <v>0</v>
      </c>
      <c r="H104" s="42">
        <f>F104*G104</f>
        <v>0</v>
      </c>
      <c r="I104" s="42">
        <f>5*1.25</f>
        <v>6.25</v>
      </c>
      <c r="J104" s="42">
        <f>F104*I104</f>
        <v>25</v>
      </c>
      <c r="K104" s="38">
        <v>0</v>
      </c>
      <c r="L104" s="38">
        <f>F104*K104</f>
        <v>0</v>
      </c>
      <c r="M104" s="43">
        <f>H104+J104+L104</f>
        <v>25</v>
      </c>
    </row>
    <row r="105" spans="1:13" s="146" customFormat="1" x14ac:dyDescent="0.25">
      <c r="A105" s="256"/>
      <c r="B105" s="68"/>
      <c r="C105" s="47" t="s">
        <v>500</v>
      </c>
      <c r="D105" s="67" t="s">
        <v>78</v>
      </c>
      <c r="E105" s="61">
        <v>0</v>
      </c>
      <c r="F105" s="61">
        <f>F102*E105</f>
        <v>0</v>
      </c>
      <c r="G105" s="60">
        <v>16.75</v>
      </c>
      <c r="H105" s="60">
        <f>F105*G105</f>
        <v>0</v>
      </c>
      <c r="I105" s="60">
        <v>0</v>
      </c>
      <c r="J105" s="60">
        <f>F105*I105</f>
        <v>0</v>
      </c>
      <c r="K105" s="61">
        <v>0</v>
      </c>
      <c r="L105" s="61">
        <f>F105*K105</f>
        <v>0</v>
      </c>
      <c r="M105" s="62">
        <f>H105+J105+L105</f>
        <v>0</v>
      </c>
    </row>
    <row r="106" spans="1:13" s="146" customFormat="1" ht="15.75" thickBot="1" x14ac:dyDescent="0.3">
      <c r="A106" s="260"/>
      <c r="B106" s="150"/>
      <c r="C106" s="261"/>
      <c r="D106" s="150"/>
      <c r="E106" s="189"/>
      <c r="F106" s="189"/>
      <c r="G106" s="188"/>
      <c r="H106" s="188"/>
      <c r="I106" s="188"/>
      <c r="J106" s="188"/>
      <c r="K106" s="189"/>
      <c r="L106" s="189"/>
      <c r="M106" s="190"/>
    </row>
    <row r="107" spans="1:13" s="36" customFormat="1" ht="26.25" x14ac:dyDescent="0.2">
      <c r="A107" s="21">
        <v>20</v>
      </c>
      <c r="B107" s="173" t="s">
        <v>277</v>
      </c>
      <c r="C107" s="65" t="s">
        <v>501</v>
      </c>
      <c r="D107" s="67" t="s">
        <v>78</v>
      </c>
      <c r="E107" s="16"/>
      <c r="F107" s="31">
        <v>4</v>
      </c>
      <c r="G107" s="133">
        <f>H107/F107</f>
        <v>0</v>
      </c>
      <c r="H107" s="133">
        <f>SUM(H109:H110)</f>
        <v>0</v>
      </c>
      <c r="I107" s="133">
        <f>J107/F107</f>
        <v>6.25</v>
      </c>
      <c r="J107" s="133">
        <f>SUM(J109:J110)</f>
        <v>25</v>
      </c>
      <c r="K107" s="133">
        <f>L107/F107</f>
        <v>0</v>
      </c>
      <c r="L107" s="133">
        <f>SUM(L109:L110)</f>
        <v>0</v>
      </c>
      <c r="M107" s="133">
        <f>SUM(M109:M110)</f>
        <v>25</v>
      </c>
    </row>
    <row r="108" spans="1:13" s="19" customFormat="1" ht="13.5" x14ac:dyDescent="0.25">
      <c r="A108" s="37"/>
      <c r="B108" s="136"/>
      <c r="C108" s="135" t="s">
        <v>266</v>
      </c>
      <c r="D108" s="136"/>
      <c r="E108" s="38"/>
      <c r="F108" s="39"/>
      <c r="G108" s="38"/>
      <c r="H108" s="38"/>
      <c r="I108" s="38"/>
      <c r="J108" s="38"/>
      <c r="K108" s="38"/>
      <c r="L108" s="161"/>
      <c r="M108" s="39"/>
    </row>
    <row r="109" spans="1:13" s="44" customFormat="1" ht="12.75" x14ac:dyDescent="0.25">
      <c r="A109" s="140"/>
      <c r="B109" s="173"/>
      <c r="C109" s="142" t="s">
        <v>278</v>
      </c>
      <c r="D109" s="67" t="s">
        <v>78</v>
      </c>
      <c r="E109" s="164">
        <v>1</v>
      </c>
      <c r="F109" s="41">
        <f>E109*F107</f>
        <v>4</v>
      </c>
      <c r="G109" s="42">
        <v>0</v>
      </c>
      <c r="H109" s="42">
        <f>F109*G109</f>
        <v>0</v>
      </c>
      <c r="I109" s="42">
        <f>5*1.25</f>
        <v>6.25</v>
      </c>
      <c r="J109" s="42">
        <f>F109*I109</f>
        <v>25</v>
      </c>
      <c r="K109" s="38">
        <v>0</v>
      </c>
      <c r="L109" s="38">
        <f>F109*K109</f>
        <v>0</v>
      </c>
      <c r="M109" s="43">
        <f>H109+J109+L109</f>
        <v>25</v>
      </c>
    </row>
    <row r="110" spans="1:13" s="146" customFormat="1" x14ac:dyDescent="0.25">
      <c r="A110" s="256"/>
      <c r="B110" s="68"/>
      <c r="C110" s="47" t="s">
        <v>502</v>
      </c>
      <c r="D110" s="67" t="s">
        <v>78</v>
      </c>
      <c r="E110" s="61">
        <v>0</v>
      </c>
      <c r="F110" s="61">
        <f>F107*E110</f>
        <v>0</v>
      </c>
      <c r="G110" s="60">
        <v>18.829999999999998</v>
      </c>
      <c r="H110" s="60">
        <f>F110*G110</f>
        <v>0</v>
      </c>
      <c r="I110" s="60">
        <v>0</v>
      </c>
      <c r="J110" s="60">
        <f>F110*I110</f>
        <v>0</v>
      </c>
      <c r="K110" s="61">
        <v>0</v>
      </c>
      <c r="L110" s="61">
        <f>F110*K110</f>
        <v>0</v>
      </c>
      <c r="M110" s="62">
        <f>H110+J110+L110</f>
        <v>0</v>
      </c>
    </row>
    <row r="111" spans="1:13" s="146" customFormat="1" ht="15.75" thickBot="1" x14ac:dyDescent="0.3">
      <c r="A111" s="260"/>
      <c r="B111" s="150"/>
      <c r="C111" s="261"/>
      <c r="D111" s="150"/>
      <c r="E111" s="189"/>
      <c r="F111" s="189"/>
      <c r="G111" s="188"/>
      <c r="H111" s="188"/>
      <c r="I111" s="188"/>
      <c r="J111" s="188"/>
      <c r="K111" s="189"/>
      <c r="L111" s="189"/>
      <c r="M111" s="190"/>
    </row>
    <row r="112" spans="1:13" s="36" customFormat="1" ht="26.25" x14ac:dyDescent="0.2">
      <c r="A112" s="21">
        <v>21</v>
      </c>
      <c r="B112" s="173" t="s">
        <v>277</v>
      </c>
      <c r="C112" s="65" t="s">
        <v>503</v>
      </c>
      <c r="D112" s="67" t="s">
        <v>78</v>
      </c>
      <c r="E112" s="16"/>
      <c r="F112" s="31">
        <v>4</v>
      </c>
      <c r="G112" s="133">
        <f>H112/F112</f>
        <v>0</v>
      </c>
      <c r="H112" s="133">
        <f>SUM(H114:H115)</f>
        <v>0</v>
      </c>
      <c r="I112" s="133">
        <f>J112/F112</f>
        <v>6.25</v>
      </c>
      <c r="J112" s="133">
        <f>SUM(J114:J115)</f>
        <v>25</v>
      </c>
      <c r="K112" s="133">
        <f>L112/F112</f>
        <v>0</v>
      </c>
      <c r="L112" s="133">
        <f>SUM(L114:L115)</f>
        <v>0</v>
      </c>
      <c r="M112" s="133">
        <f>SUM(M114:M115)</f>
        <v>25</v>
      </c>
    </row>
    <row r="113" spans="1:13" s="19" customFormat="1" ht="13.5" x14ac:dyDescent="0.25">
      <c r="A113" s="37"/>
      <c r="B113" s="136"/>
      <c r="C113" s="135" t="s">
        <v>266</v>
      </c>
      <c r="D113" s="136"/>
      <c r="E113" s="38"/>
      <c r="F113" s="39"/>
      <c r="G113" s="38"/>
      <c r="H113" s="38"/>
      <c r="I113" s="38"/>
      <c r="J113" s="38"/>
      <c r="K113" s="38"/>
      <c r="L113" s="161"/>
      <c r="M113" s="39"/>
    </row>
    <row r="114" spans="1:13" s="44" customFormat="1" ht="12.75" x14ac:dyDescent="0.25">
      <c r="A114" s="140"/>
      <c r="B114" s="173"/>
      <c r="C114" s="142" t="s">
        <v>278</v>
      </c>
      <c r="D114" s="67" t="s">
        <v>78</v>
      </c>
      <c r="E114" s="164">
        <v>1</v>
      </c>
      <c r="F114" s="41">
        <f>E114*F112</f>
        <v>4</v>
      </c>
      <c r="G114" s="42">
        <v>0</v>
      </c>
      <c r="H114" s="42">
        <f>F114*G114</f>
        <v>0</v>
      </c>
      <c r="I114" s="42">
        <f>5*1.25</f>
        <v>6.25</v>
      </c>
      <c r="J114" s="42">
        <f>F114*I114</f>
        <v>25</v>
      </c>
      <c r="K114" s="38">
        <v>0</v>
      </c>
      <c r="L114" s="38">
        <f>F114*K114</f>
        <v>0</v>
      </c>
      <c r="M114" s="43">
        <f>H114+J114+L114</f>
        <v>25</v>
      </c>
    </row>
    <row r="115" spans="1:13" s="146" customFormat="1" x14ac:dyDescent="0.25">
      <c r="A115" s="256"/>
      <c r="B115" s="68"/>
      <c r="C115" s="47" t="s">
        <v>504</v>
      </c>
      <c r="D115" s="67" t="s">
        <v>78</v>
      </c>
      <c r="E115" s="61">
        <v>0</v>
      </c>
      <c r="F115" s="61">
        <f>F112*E115</f>
        <v>0</v>
      </c>
      <c r="G115" s="60">
        <v>20.92</v>
      </c>
      <c r="H115" s="60">
        <f>F115*G115</f>
        <v>0</v>
      </c>
      <c r="I115" s="60">
        <v>0</v>
      </c>
      <c r="J115" s="60">
        <f>F115*I115</f>
        <v>0</v>
      </c>
      <c r="K115" s="61">
        <v>0</v>
      </c>
      <c r="L115" s="61">
        <f>F115*K115</f>
        <v>0</v>
      </c>
      <c r="M115" s="62">
        <f>H115+J115+L115</f>
        <v>0</v>
      </c>
    </row>
    <row r="116" spans="1:13" s="146" customFormat="1" ht="15.75" thickBot="1" x14ac:dyDescent="0.3">
      <c r="A116" s="260"/>
      <c r="B116" s="150"/>
      <c r="C116" s="261"/>
      <c r="D116" s="150"/>
      <c r="E116" s="189"/>
      <c r="F116" s="189"/>
      <c r="G116" s="188"/>
      <c r="H116" s="188"/>
      <c r="I116" s="188"/>
      <c r="J116" s="188"/>
      <c r="K116" s="189"/>
      <c r="L116" s="189"/>
      <c r="M116" s="190"/>
    </row>
    <row r="117" spans="1:13" s="36" customFormat="1" ht="26.25" x14ac:dyDescent="0.2">
      <c r="A117" s="21">
        <v>22</v>
      </c>
      <c r="B117" s="173" t="s">
        <v>277</v>
      </c>
      <c r="C117" s="65" t="s">
        <v>505</v>
      </c>
      <c r="D117" s="67" t="s">
        <v>78</v>
      </c>
      <c r="E117" s="16"/>
      <c r="F117" s="31">
        <v>4</v>
      </c>
      <c r="G117" s="133">
        <f>H117/F117</f>
        <v>0</v>
      </c>
      <c r="H117" s="133">
        <f>SUM(H119:H120)</f>
        <v>0</v>
      </c>
      <c r="I117" s="133">
        <f>J117/F117</f>
        <v>6.25</v>
      </c>
      <c r="J117" s="133">
        <f>SUM(J119:J120)</f>
        <v>25</v>
      </c>
      <c r="K117" s="133">
        <f>L117/F117</f>
        <v>0</v>
      </c>
      <c r="L117" s="133">
        <f>SUM(L119:L120)</f>
        <v>0</v>
      </c>
      <c r="M117" s="133">
        <f>SUM(M119:M120)</f>
        <v>25</v>
      </c>
    </row>
    <row r="118" spans="1:13" s="19" customFormat="1" ht="13.5" x14ac:dyDescent="0.25">
      <c r="A118" s="37"/>
      <c r="B118" s="136"/>
      <c r="C118" s="135" t="s">
        <v>266</v>
      </c>
      <c r="D118" s="136"/>
      <c r="E118" s="38"/>
      <c r="F118" s="39"/>
      <c r="G118" s="38"/>
      <c r="H118" s="38"/>
      <c r="I118" s="38"/>
      <c r="J118" s="38"/>
      <c r="K118" s="38"/>
      <c r="L118" s="161"/>
      <c r="M118" s="39"/>
    </row>
    <row r="119" spans="1:13" s="44" customFormat="1" ht="12.75" x14ac:dyDescent="0.25">
      <c r="A119" s="140"/>
      <c r="B119" s="173"/>
      <c r="C119" s="142" t="s">
        <v>278</v>
      </c>
      <c r="D119" s="67" t="s">
        <v>78</v>
      </c>
      <c r="E119" s="164">
        <v>1</v>
      </c>
      <c r="F119" s="41">
        <f>E119*F117</f>
        <v>4</v>
      </c>
      <c r="G119" s="42">
        <v>0</v>
      </c>
      <c r="H119" s="42">
        <f>F119*G119</f>
        <v>0</v>
      </c>
      <c r="I119" s="42">
        <f>5*1.25</f>
        <v>6.25</v>
      </c>
      <c r="J119" s="42">
        <f>F119*I119</f>
        <v>25</v>
      </c>
      <c r="K119" s="38">
        <v>0</v>
      </c>
      <c r="L119" s="38">
        <f>F119*K119</f>
        <v>0</v>
      </c>
      <c r="M119" s="43">
        <f>H119+J119+L119</f>
        <v>25</v>
      </c>
    </row>
    <row r="120" spans="1:13" s="146" customFormat="1" x14ac:dyDescent="0.25">
      <c r="A120" s="256"/>
      <c r="B120" s="68"/>
      <c r="C120" s="47" t="s">
        <v>506</v>
      </c>
      <c r="D120" s="67" t="s">
        <v>78</v>
      </c>
      <c r="E120" s="61">
        <v>0</v>
      </c>
      <c r="F120" s="61">
        <f>F117*E120</f>
        <v>0</v>
      </c>
      <c r="G120" s="60">
        <v>23.36</v>
      </c>
      <c r="H120" s="60">
        <f>F120*G120</f>
        <v>0</v>
      </c>
      <c r="I120" s="60">
        <v>0</v>
      </c>
      <c r="J120" s="60">
        <f>F120*I120</f>
        <v>0</v>
      </c>
      <c r="K120" s="61">
        <v>0</v>
      </c>
      <c r="L120" s="61">
        <f>F120*K120</f>
        <v>0</v>
      </c>
      <c r="M120" s="62">
        <f>H120+J120+L120</f>
        <v>0</v>
      </c>
    </row>
    <row r="121" spans="1:13" s="146" customFormat="1" ht="15.75" thickBot="1" x14ac:dyDescent="0.3">
      <c r="A121" s="260"/>
      <c r="B121" s="150"/>
      <c r="C121" s="261"/>
      <c r="D121" s="150"/>
      <c r="E121" s="189"/>
      <c r="F121" s="189"/>
      <c r="G121" s="188"/>
      <c r="H121" s="188"/>
      <c r="I121" s="188"/>
      <c r="J121" s="188"/>
      <c r="K121" s="189"/>
      <c r="L121" s="189"/>
      <c r="M121" s="190"/>
    </row>
    <row r="122" spans="1:13" s="36" customFormat="1" ht="26.25" x14ac:dyDescent="0.2">
      <c r="A122" s="21">
        <v>23</v>
      </c>
      <c r="B122" s="173" t="s">
        <v>277</v>
      </c>
      <c r="C122" s="65" t="s">
        <v>507</v>
      </c>
      <c r="D122" s="67" t="s">
        <v>78</v>
      </c>
      <c r="E122" s="16"/>
      <c r="F122" s="31">
        <v>4</v>
      </c>
      <c r="G122" s="133">
        <f>H122/F122</f>
        <v>0</v>
      </c>
      <c r="H122" s="133">
        <f>SUM(H124:H125)</f>
        <v>0</v>
      </c>
      <c r="I122" s="133">
        <f>J122/F122</f>
        <v>6.25</v>
      </c>
      <c r="J122" s="133">
        <f>SUM(J124:J125)</f>
        <v>25</v>
      </c>
      <c r="K122" s="133">
        <f>L122/F122</f>
        <v>0</v>
      </c>
      <c r="L122" s="133">
        <f>SUM(L124:L125)</f>
        <v>0</v>
      </c>
      <c r="M122" s="133">
        <f>SUM(M124:M125)</f>
        <v>25</v>
      </c>
    </row>
    <row r="123" spans="1:13" s="19" customFormat="1" ht="13.5" x14ac:dyDescent="0.25">
      <c r="A123" s="37"/>
      <c r="B123" s="136"/>
      <c r="C123" s="135" t="s">
        <v>266</v>
      </c>
      <c r="D123" s="136"/>
      <c r="E123" s="38"/>
      <c r="F123" s="39"/>
      <c r="G123" s="38"/>
      <c r="H123" s="38"/>
      <c r="I123" s="38"/>
      <c r="J123" s="38"/>
      <c r="K123" s="38"/>
      <c r="L123" s="161"/>
      <c r="M123" s="39"/>
    </row>
    <row r="124" spans="1:13" s="44" customFormat="1" ht="12.75" x14ac:dyDescent="0.25">
      <c r="A124" s="140"/>
      <c r="B124" s="173"/>
      <c r="C124" s="142" t="s">
        <v>278</v>
      </c>
      <c r="D124" s="67" t="s">
        <v>78</v>
      </c>
      <c r="E124" s="164">
        <v>1</v>
      </c>
      <c r="F124" s="41">
        <f>E124*F122</f>
        <v>4</v>
      </c>
      <c r="G124" s="42">
        <v>0</v>
      </c>
      <c r="H124" s="42">
        <f>F124*G124</f>
        <v>0</v>
      </c>
      <c r="I124" s="42">
        <f>5*1.25</f>
        <v>6.25</v>
      </c>
      <c r="J124" s="42">
        <f>F124*I124</f>
        <v>25</v>
      </c>
      <c r="K124" s="38">
        <v>0</v>
      </c>
      <c r="L124" s="38">
        <f>F124*K124</f>
        <v>0</v>
      </c>
      <c r="M124" s="43">
        <f>H124+J124+L124</f>
        <v>25</v>
      </c>
    </row>
    <row r="125" spans="1:13" s="146" customFormat="1" x14ac:dyDescent="0.25">
      <c r="A125" s="256"/>
      <c r="B125" s="68"/>
      <c r="C125" s="47" t="s">
        <v>508</v>
      </c>
      <c r="D125" s="67" t="s">
        <v>78</v>
      </c>
      <c r="E125" s="61">
        <v>0</v>
      </c>
      <c r="F125" s="61">
        <f>F122*E125</f>
        <v>0</v>
      </c>
      <c r="G125" s="60">
        <v>26.25</v>
      </c>
      <c r="H125" s="60">
        <f>F125*G125</f>
        <v>0</v>
      </c>
      <c r="I125" s="60">
        <v>0</v>
      </c>
      <c r="J125" s="60">
        <f>F125*I125</f>
        <v>0</v>
      </c>
      <c r="K125" s="61">
        <v>0</v>
      </c>
      <c r="L125" s="61">
        <f>F125*K125</f>
        <v>0</v>
      </c>
      <c r="M125" s="62">
        <f>H125+J125+L125</f>
        <v>0</v>
      </c>
    </row>
    <row r="126" spans="1:13" s="146" customFormat="1" ht="15.75" thickBot="1" x14ac:dyDescent="0.3">
      <c r="A126" s="260"/>
      <c r="B126" s="150"/>
      <c r="C126" s="261"/>
      <c r="D126" s="150"/>
      <c r="E126" s="189"/>
      <c r="F126" s="189"/>
      <c r="G126" s="188"/>
      <c r="H126" s="188"/>
      <c r="I126" s="188"/>
      <c r="J126" s="188"/>
      <c r="K126" s="189"/>
      <c r="L126" s="189"/>
      <c r="M126" s="190"/>
    </row>
    <row r="127" spans="1:13" s="36" customFormat="1" ht="26.25" x14ac:dyDescent="0.2">
      <c r="A127" s="21">
        <v>24</v>
      </c>
      <c r="B127" s="173" t="s">
        <v>277</v>
      </c>
      <c r="C127" s="65" t="s">
        <v>509</v>
      </c>
      <c r="D127" s="67" t="s">
        <v>78</v>
      </c>
      <c r="E127" s="16"/>
      <c r="F127" s="31">
        <v>4</v>
      </c>
      <c r="G127" s="133">
        <f>H127/F127</f>
        <v>0</v>
      </c>
      <c r="H127" s="133">
        <f>SUM(H129:H130)</f>
        <v>0</v>
      </c>
      <c r="I127" s="133">
        <f>J127/F127</f>
        <v>6.25</v>
      </c>
      <c r="J127" s="133">
        <f>SUM(J129:J130)</f>
        <v>25</v>
      </c>
      <c r="K127" s="133">
        <f>L127/F127</f>
        <v>0</v>
      </c>
      <c r="L127" s="133">
        <f>SUM(L129:L130)</f>
        <v>0</v>
      </c>
      <c r="M127" s="133">
        <f>SUM(M129:M130)</f>
        <v>25</v>
      </c>
    </row>
    <row r="128" spans="1:13" s="19" customFormat="1" ht="13.5" x14ac:dyDescent="0.25">
      <c r="A128" s="37"/>
      <c r="B128" s="136"/>
      <c r="C128" s="135" t="s">
        <v>266</v>
      </c>
      <c r="D128" s="136"/>
      <c r="E128" s="38"/>
      <c r="F128" s="39"/>
      <c r="G128" s="38"/>
      <c r="H128" s="38"/>
      <c r="I128" s="38"/>
      <c r="J128" s="38"/>
      <c r="K128" s="38"/>
      <c r="L128" s="161"/>
      <c r="M128" s="39"/>
    </row>
    <row r="129" spans="1:13" s="44" customFormat="1" ht="12.75" x14ac:dyDescent="0.25">
      <c r="A129" s="140"/>
      <c r="B129" s="173"/>
      <c r="C129" s="142" t="s">
        <v>278</v>
      </c>
      <c r="D129" s="67" t="s">
        <v>78</v>
      </c>
      <c r="E129" s="164">
        <v>1</v>
      </c>
      <c r="F129" s="41">
        <f>E129*F127</f>
        <v>4</v>
      </c>
      <c r="G129" s="42">
        <v>0</v>
      </c>
      <c r="H129" s="42">
        <f>F129*G129</f>
        <v>0</v>
      </c>
      <c r="I129" s="42">
        <f>5*1.25</f>
        <v>6.25</v>
      </c>
      <c r="J129" s="42">
        <f>F129*I129</f>
        <v>25</v>
      </c>
      <c r="K129" s="38">
        <v>0</v>
      </c>
      <c r="L129" s="38">
        <f>F129*K129</f>
        <v>0</v>
      </c>
      <c r="M129" s="43">
        <f>H129+J129+L129</f>
        <v>25</v>
      </c>
    </row>
    <row r="130" spans="1:13" s="146" customFormat="1" x14ac:dyDescent="0.25">
      <c r="A130" s="256"/>
      <c r="B130" s="68"/>
      <c r="C130" s="47" t="s">
        <v>510</v>
      </c>
      <c r="D130" s="67" t="s">
        <v>78</v>
      </c>
      <c r="E130" s="61">
        <v>0</v>
      </c>
      <c r="F130" s="61">
        <f>F127*E130</f>
        <v>0</v>
      </c>
      <c r="G130" s="60">
        <v>27.21</v>
      </c>
      <c r="H130" s="60">
        <f>F130*G130</f>
        <v>0</v>
      </c>
      <c r="I130" s="60">
        <v>0</v>
      </c>
      <c r="J130" s="60">
        <f>F130*I130</f>
        <v>0</v>
      </c>
      <c r="K130" s="61">
        <v>0</v>
      </c>
      <c r="L130" s="61">
        <f>F130*K130</f>
        <v>0</v>
      </c>
      <c r="M130" s="62">
        <f>H130+J130+L130</f>
        <v>0</v>
      </c>
    </row>
    <row r="131" spans="1:13" s="146" customFormat="1" ht="15.75" thickBot="1" x14ac:dyDescent="0.3">
      <c r="A131" s="260"/>
      <c r="B131" s="150"/>
      <c r="C131" s="261"/>
      <c r="D131" s="150"/>
      <c r="E131" s="189"/>
      <c r="F131" s="189"/>
      <c r="G131" s="188"/>
      <c r="H131" s="188"/>
      <c r="I131" s="188"/>
      <c r="J131" s="188"/>
      <c r="K131" s="189"/>
      <c r="L131" s="189"/>
      <c r="M131" s="190"/>
    </row>
    <row r="132" spans="1:13" s="36" customFormat="1" ht="14.25" x14ac:dyDescent="0.2">
      <c r="A132" s="21">
        <v>25</v>
      </c>
      <c r="B132" s="173" t="s">
        <v>277</v>
      </c>
      <c r="C132" s="65" t="s">
        <v>511</v>
      </c>
      <c r="D132" s="67" t="s">
        <v>78</v>
      </c>
      <c r="E132" s="16"/>
      <c r="F132" s="31">
        <v>8</v>
      </c>
      <c r="G132" s="133">
        <f>H132/F132</f>
        <v>6.28</v>
      </c>
      <c r="H132" s="133">
        <f>SUM(H134:H135)</f>
        <v>50.24</v>
      </c>
      <c r="I132" s="133">
        <f>J132/F132</f>
        <v>6.25</v>
      </c>
      <c r="J132" s="133">
        <f>SUM(J134:J135)</f>
        <v>50</v>
      </c>
      <c r="K132" s="133">
        <f>L132/F132</f>
        <v>0</v>
      </c>
      <c r="L132" s="133">
        <f>SUM(L134:L135)</f>
        <v>0</v>
      </c>
      <c r="M132" s="133">
        <f>SUM(M134:M135)</f>
        <v>100.24000000000001</v>
      </c>
    </row>
    <row r="133" spans="1:13" s="19" customFormat="1" ht="13.5" x14ac:dyDescent="0.25">
      <c r="A133" s="37"/>
      <c r="B133" s="136"/>
      <c r="C133" s="135" t="s">
        <v>266</v>
      </c>
      <c r="D133" s="136"/>
      <c r="E133" s="38"/>
      <c r="F133" s="39"/>
      <c r="G133" s="38"/>
      <c r="H133" s="38"/>
      <c r="I133" s="38"/>
      <c r="J133" s="38"/>
      <c r="K133" s="38"/>
      <c r="L133" s="161"/>
      <c r="M133" s="39"/>
    </row>
    <row r="134" spans="1:13" s="44" customFormat="1" ht="12.75" x14ac:dyDescent="0.25">
      <c r="A134" s="140"/>
      <c r="B134" s="173"/>
      <c r="C134" s="142" t="s">
        <v>278</v>
      </c>
      <c r="D134" s="67" t="s">
        <v>78</v>
      </c>
      <c r="E134" s="164">
        <v>1</v>
      </c>
      <c r="F134" s="41">
        <f>E134*F132</f>
        <v>8</v>
      </c>
      <c r="G134" s="42">
        <v>0</v>
      </c>
      <c r="H134" s="42">
        <f>F134*G134</f>
        <v>0</v>
      </c>
      <c r="I134" s="42">
        <f>5*1.25</f>
        <v>6.25</v>
      </c>
      <c r="J134" s="42">
        <f>F134*I134</f>
        <v>50</v>
      </c>
      <c r="K134" s="38">
        <v>0</v>
      </c>
      <c r="L134" s="38">
        <f>F134*K134</f>
        <v>0</v>
      </c>
      <c r="M134" s="43">
        <f>H134+J134+L134</f>
        <v>50</v>
      </c>
    </row>
    <row r="135" spans="1:13" s="146" customFormat="1" x14ac:dyDescent="0.25">
      <c r="A135" s="256"/>
      <c r="B135" s="68"/>
      <c r="C135" s="47" t="s">
        <v>512</v>
      </c>
      <c r="D135" s="67" t="s">
        <v>78</v>
      </c>
      <c r="E135" s="61">
        <v>1</v>
      </c>
      <c r="F135" s="61">
        <f>F132*E135</f>
        <v>8</v>
      </c>
      <c r="G135" s="262">
        <v>6.28</v>
      </c>
      <c r="H135" s="60">
        <f>F135*G135</f>
        <v>50.24</v>
      </c>
      <c r="I135" s="60">
        <v>0</v>
      </c>
      <c r="J135" s="60">
        <f>F135*I135</f>
        <v>0</v>
      </c>
      <c r="K135" s="61">
        <v>0</v>
      </c>
      <c r="L135" s="61">
        <f>F135*K135</f>
        <v>0</v>
      </c>
      <c r="M135" s="62">
        <f>H135+J135+L135</f>
        <v>50.24</v>
      </c>
    </row>
    <row r="136" spans="1:13" s="146" customFormat="1" ht="15.75" thickBot="1" x14ac:dyDescent="0.3">
      <c r="A136" s="260"/>
      <c r="B136" s="150"/>
      <c r="C136" s="261"/>
      <c r="D136" s="150"/>
      <c r="E136" s="189"/>
      <c r="F136" s="189"/>
      <c r="G136" s="188"/>
      <c r="H136" s="188"/>
      <c r="I136" s="188"/>
      <c r="J136" s="188"/>
      <c r="K136" s="189"/>
      <c r="L136" s="189"/>
      <c r="M136" s="190"/>
    </row>
    <row r="137" spans="1:13" s="36" customFormat="1" ht="24" x14ac:dyDescent="0.2">
      <c r="A137" s="21">
        <v>26</v>
      </c>
      <c r="B137" s="173" t="s">
        <v>277</v>
      </c>
      <c r="C137" s="66" t="s">
        <v>513</v>
      </c>
      <c r="D137" s="68" t="s">
        <v>17</v>
      </c>
      <c r="E137" s="16"/>
      <c r="F137" s="64">
        <v>200</v>
      </c>
      <c r="G137" s="133">
        <f>H137/F137</f>
        <v>5.1475</v>
      </c>
      <c r="H137" s="133">
        <f>SUM(H139:H140)</f>
        <v>1029.5</v>
      </c>
      <c r="I137" s="133">
        <f>J137/F137</f>
        <v>3.25</v>
      </c>
      <c r="J137" s="133">
        <f>SUM(J139:J140)</f>
        <v>650</v>
      </c>
      <c r="K137" s="133">
        <f>L137/F137</f>
        <v>0</v>
      </c>
      <c r="L137" s="133">
        <f>SUM(L139:L140)</f>
        <v>0</v>
      </c>
      <c r="M137" s="133">
        <f>SUM(M139:M140)</f>
        <v>1679.5</v>
      </c>
    </row>
    <row r="138" spans="1:13" s="19" customFormat="1" ht="13.5" x14ac:dyDescent="0.25">
      <c r="A138" s="37"/>
      <c r="B138" s="136"/>
      <c r="C138" s="135" t="s">
        <v>266</v>
      </c>
      <c r="D138" s="136"/>
      <c r="E138" s="38"/>
      <c r="F138" s="39"/>
      <c r="G138" s="38"/>
      <c r="H138" s="38"/>
      <c r="I138" s="38"/>
      <c r="J138" s="38"/>
      <c r="K138" s="38"/>
      <c r="L138" s="161"/>
      <c r="M138" s="39"/>
    </row>
    <row r="139" spans="1:13" s="44" customFormat="1" ht="12.75" x14ac:dyDescent="0.25">
      <c r="A139" s="140"/>
      <c r="B139" s="173"/>
      <c r="C139" s="142" t="s">
        <v>278</v>
      </c>
      <c r="D139" s="68" t="s">
        <v>17</v>
      </c>
      <c r="E139" s="164">
        <v>1</v>
      </c>
      <c r="F139" s="41">
        <f>E139*F137</f>
        <v>200</v>
      </c>
      <c r="G139" s="42">
        <v>0</v>
      </c>
      <c r="H139" s="42">
        <f>F139*G139</f>
        <v>0</v>
      </c>
      <c r="I139" s="42">
        <f>2.6*1.25</f>
        <v>3.25</v>
      </c>
      <c r="J139" s="42">
        <f>F139*I139</f>
        <v>650</v>
      </c>
      <c r="K139" s="38">
        <v>0</v>
      </c>
      <c r="L139" s="38">
        <f>F139*K139</f>
        <v>0</v>
      </c>
      <c r="M139" s="43">
        <f>H139+J139+L139</f>
        <v>650</v>
      </c>
    </row>
    <row r="140" spans="1:13" s="44" customFormat="1" ht="12.75" x14ac:dyDescent="0.25">
      <c r="A140" s="140"/>
      <c r="B140" s="173"/>
      <c r="C140" s="142" t="s">
        <v>514</v>
      </c>
      <c r="D140" s="68" t="s">
        <v>17</v>
      </c>
      <c r="E140" s="164">
        <v>0.25</v>
      </c>
      <c r="F140" s="41">
        <f>F137*E140</f>
        <v>50</v>
      </c>
      <c r="G140" s="42">
        <v>20.59</v>
      </c>
      <c r="H140" s="42">
        <f>F140*G140</f>
        <v>1029.5</v>
      </c>
      <c r="I140" s="42">
        <v>0</v>
      </c>
      <c r="J140" s="42">
        <f>F140*I140</f>
        <v>0</v>
      </c>
      <c r="K140" s="38">
        <v>0</v>
      </c>
      <c r="L140" s="38">
        <f>F140*K140</f>
        <v>0</v>
      </c>
      <c r="M140" s="43">
        <f>H140+J140+L140</f>
        <v>1029.5</v>
      </c>
    </row>
    <row r="141" spans="1:13" ht="15.75" thickBot="1" x14ac:dyDescent="0.3">
      <c r="A141" s="148"/>
      <c r="B141" s="150"/>
      <c r="C141" s="150"/>
      <c r="D141" s="150"/>
      <c r="E141" s="151"/>
      <c r="F141" s="151"/>
      <c r="G141" s="151"/>
      <c r="H141" s="151"/>
      <c r="I141" s="151"/>
      <c r="J141" s="151"/>
      <c r="K141" s="151"/>
      <c r="L141" s="151"/>
      <c r="M141" s="152"/>
    </row>
    <row r="142" spans="1:13" s="36" customFormat="1" ht="24" x14ac:dyDescent="0.2">
      <c r="A142" s="21">
        <v>28</v>
      </c>
      <c r="B142" s="173" t="s">
        <v>277</v>
      </c>
      <c r="C142" s="66" t="s">
        <v>515</v>
      </c>
      <c r="D142" s="68" t="s">
        <v>17</v>
      </c>
      <c r="E142" s="16"/>
      <c r="F142" s="64">
        <v>170</v>
      </c>
      <c r="G142" s="133">
        <f>H142/F142</f>
        <v>0</v>
      </c>
      <c r="H142" s="133">
        <f>SUM(H144:H145)</f>
        <v>0</v>
      </c>
      <c r="I142" s="133">
        <f>J142/F142</f>
        <v>3</v>
      </c>
      <c r="J142" s="133">
        <f>SUM(J144:J145)</f>
        <v>510</v>
      </c>
      <c r="K142" s="133">
        <f>L142/F142</f>
        <v>0</v>
      </c>
      <c r="L142" s="133">
        <f>SUM(L144:L145)</f>
        <v>0</v>
      </c>
      <c r="M142" s="133">
        <f>SUM(M144:M145)</f>
        <v>510</v>
      </c>
    </row>
    <row r="143" spans="1:13" s="19" customFormat="1" ht="13.5" x14ac:dyDescent="0.25">
      <c r="A143" s="37"/>
      <c r="B143" s="136"/>
      <c r="C143" s="135" t="s">
        <v>266</v>
      </c>
      <c r="D143" s="136"/>
      <c r="E143" s="38"/>
      <c r="F143" s="39"/>
      <c r="G143" s="38"/>
      <c r="H143" s="38"/>
      <c r="I143" s="38"/>
      <c r="J143" s="38"/>
      <c r="K143" s="38"/>
      <c r="L143" s="161"/>
      <c r="M143" s="39"/>
    </row>
    <row r="144" spans="1:13" s="44" customFormat="1" ht="12.75" x14ac:dyDescent="0.25">
      <c r="A144" s="140"/>
      <c r="B144" s="173"/>
      <c r="C144" s="142" t="s">
        <v>278</v>
      </c>
      <c r="D144" s="68" t="s">
        <v>17</v>
      </c>
      <c r="E144" s="164">
        <v>1</v>
      </c>
      <c r="F144" s="41">
        <f>E144*F142</f>
        <v>170</v>
      </c>
      <c r="G144" s="42">
        <v>0</v>
      </c>
      <c r="H144" s="42">
        <f>F144*G144</f>
        <v>0</v>
      </c>
      <c r="I144" s="42">
        <f>2.4*1.25</f>
        <v>3</v>
      </c>
      <c r="J144" s="42">
        <f>F144*I144</f>
        <v>510</v>
      </c>
      <c r="K144" s="38">
        <v>0</v>
      </c>
      <c r="L144" s="38">
        <f>F144*K144</f>
        <v>0</v>
      </c>
      <c r="M144" s="43">
        <f>H144+J144+L144</f>
        <v>510</v>
      </c>
    </row>
    <row r="145" spans="1:15" s="44" customFormat="1" ht="12.75" x14ac:dyDescent="0.25">
      <c r="A145" s="140"/>
      <c r="B145" s="173"/>
      <c r="C145" s="142" t="s">
        <v>516</v>
      </c>
      <c r="D145" s="68" t="s">
        <v>17</v>
      </c>
      <c r="E145" s="164">
        <v>0</v>
      </c>
      <c r="F145" s="41">
        <f>F142*E145</f>
        <v>0</v>
      </c>
      <c r="G145" s="42">
        <v>16</v>
      </c>
      <c r="H145" s="42">
        <f>F145*G145</f>
        <v>0</v>
      </c>
      <c r="I145" s="42">
        <v>0</v>
      </c>
      <c r="J145" s="42">
        <f>F145*I145</f>
        <v>0</v>
      </c>
      <c r="K145" s="38">
        <v>0</v>
      </c>
      <c r="L145" s="38">
        <f>F145*K145</f>
        <v>0</v>
      </c>
      <c r="M145" s="43">
        <f>H145+J145+L145</f>
        <v>0</v>
      </c>
      <c r="N145" s="44">
        <f>40*16</f>
        <v>640</v>
      </c>
    </row>
    <row r="146" spans="1:15" ht="15.75" thickBot="1" x14ac:dyDescent="0.3">
      <c r="A146" s="148"/>
      <c r="B146" s="150"/>
      <c r="C146" s="150"/>
      <c r="D146" s="150"/>
      <c r="E146" s="151"/>
      <c r="F146" s="151"/>
      <c r="G146" s="151"/>
      <c r="H146" s="151"/>
      <c r="I146" s="151"/>
      <c r="J146" s="151"/>
      <c r="K146" s="151"/>
      <c r="L146" s="151"/>
      <c r="M146" s="152"/>
    </row>
    <row r="147" spans="1:15" s="36" customFormat="1" ht="14.25" x14ac:dyDescent="0.2">
      <c r="A147" s="21">
        <v>29</v>
      </c>
      <c r="B147" s="173" t="s">
        <v>277</v>
      </c>
      <c r="C147" s="65" t="s">
        <v>517</v>
      </c>
      <c r="D147" s="67" t="s">
        <v>17</v>
      </c>
      <c r="E147" s="16"/>
      <c r="F147" s="31">
        <v>310</v>
      </c>
      <c r="G147" s="133">
        <f>H147/F147</f>
        <v>0</v>
      </c>
      <c r="H147" s="133">
        <f>SUM(H149:H150)</f>
        <v>0</v>
      </c>
      <c r="I147" s="133">
        <f>J147/F147</f>
        <v>6.25</v>
      </c>
      <c r="J147" s="133">
        <f>SUM(J149:J150)</f>
        <v>1937.5</v>
      </c>
      <c r="K147" s="133">
        <f>L147/F147</f>
        <v>0</v>
      </c>
      <c r="L147" s="133">
        <f>SUM(L149:L150)</f>
        <v>0</v>
      </c>
      <c r="M147" s="133">
        <f>SUM(M149:M150)</f>
        <v>1937.5</v>
      </c>
    </row>
    <row r="148" spans="1:15" s="19" customFormat="1" ht="13.5" x14ac:dyDescent="0.25">
      <c r="A148" s="37"/>
      <c r="B148" s="136"/>
      <c r="C148" s="135" t="s">
        <v>266</v>
      </c>
      <c r="D148" s="136"/>
      <c r="E148" s="38"/>
      <c r="F148" s="39"/>
      <c r="G148" s="38"/>
      <c r="H148" s="38"/>
      <c r="I148" s="38"/>
      <c r="J148" s="38"/>
      <c r="K148" s="38"/>
      <c r="L148" s="161"/>
      <c r="M148" s="39"/>
    </row>
    <row r="149" spans="1:15" s="44" customFormat="1" ht="12.75" x14ac:dyDescent="0.25">
      <c r="A149" s="140"/>
      <c r="B149" s="258"/>
      <c r="C149" s="142" t="s">
        <v>414</v>
      </c>
      <c r="D149" s="67" t="s">
        <v>17</v>
      </c>
      <c r="E149" s="164">
        <v>1</v>
      </c>
      <c r="F149" s="41">
        <f>E149*F147</f>
        <v>310</v>
      </c>
      <c r="G149" s="42">
        <v>0</v>
      </c>
      <c r="H149" s="42">
        <f>F149*G149</f>
        <v>0</v>
      </c>
      <c r="I149" s="42">
        <f>5*1.25</f>
        <v>6.25</v>
      </c>
      <c r="J149" s="42">
        <f>F149*I149</f>
        <v>1937.5</v>
      </c>
      <c r="K149" s="38">
        <v>0</v>
      </c>
      <c r="L149" s="38">
        <f>F149*K149</f>
        <v>0</v>
      </c>
      <c r="M149" s="43">
        <f>H149+J149+L149</f>
        <v>1937.5</v>
      </c>
    </row>
    <row r="150" spans="1:15" s="146" customFormat="1" ht="25.5" x14ac:dyDescent="0.25">
      <c r="A150" s="256"/>
      <c r="B150" s="67"/>
      <c r="C150" s="259" t="s">
        <v>477</v>
      </c>
      <c r="D150" s="67" t="s">
        <v>17</v>
      </c>
      <c r="E150" s="61">
        <v>0</v>
      </c>
      <c r="F150" s="61">
        <f>F147*E150</f>
        <v>0</v>
      </c>
      <c r="G150" s="60">
        <v>29.05</v>
      </c>
      <c r="H150" s="60">
        <f>F150*G150</f>
        <v>0</v>
      </c>
      <c r="I150" s="60">
        <v>0</v>
      </c>
      <c r="J150" s="60">
        <f>F150*I150</f>
        <v>0</v>
      </c>
      <c r="K150" s="61">
        <v>0</v>
      </c>
      <c r="L150" s="61">
        <f>F150*K150</f>
        <v>0</v>
      </c>
      <c r="M150" s="62">
        <f>H150+J150+L150</f>
        <v>0</v>
      </c>
      <c r="O150" s="146">
        <f>168+400</f>
        <v>568</v>
      </c>
    </row>
    <row r="151" spans="1:15" s="146" customFormat="1" ht="15.75" thickBot="1" x14ac:dyDescent="0.3">
      <c r="A151" s="260"/>
      <c r="B151" s="150"/>
      <c r="C151" s="261"/>
      <c r="D151" s="150"/>
      <c r="E151" s="189"/>
      <c r="F151" s="189"/>
      <c r="G151" s="188"/>
      <c r="H151" s="188"/>
      <c r="I151" s="188"/>
      <c r="J151" s="188"/>
      <c r="K151" s="189"/>
      <c r="L151" s="189"/>
      <c r="M151" s="190"/>
      <c r="O151" s="146">
        <f>O150*0.3</f>
        <v>170.4</v>
      </c>
    </row>
    <row r="152" spans="1:15" s="19" customFormat="1" ht="13.5" x14ac:dyDescent="0.25">
      <c r="A152" s="37">
        <v>30</v>
      </c>
      <c r="B152" s="173" t="s">
        <v>277</v>
      </c>
      <c r="C152" s="75" t="s">
        <v>20</v>
      </c>
      <c r="D152" s="68" t="s">
        <v>17</v>
      </c>
      <c r="E152" s="38"/>
      <c r="F152" s="41">
        <v>310</v>
      </c>
      <c r="G152" s="133">
        <f>H152/F152</f>
        <v>1.5840000000000001</v>
      </c>
      <c r="H152" s="133">
        <f>SUM(H154:H155)</f>
        <v>491.04</v>
      </c>
      <c r="I152" s="133">
        <f>J152/F152</f>
        <v>0</v>
      </c>
      <c r="J152" s="133">
        <f>SUM(J154:J155)</f>
        <v>0</v>
      </c>
      <c r="K152" s="133">
        <f>L152/F152</f>
        <v>0</v>
      </c>
      <c r="L152" s="133">
        <f>SUM(L154:L155)</f>
        <v>0</v>
      </c>
      <c r="M152" s="133">
        <f>SUM(M154:M155)</f>
        <v>491.04</v>
      </c>
    </row>
    <row r="153" spans="1:15" s="19" customFormat="1" ht="13.5" x14ac:dyDescent="0.25">
      <c r="A153" s="37"/>
      <c r="B153" s="136"/>
      <c r="C153" s="135" t="s">
        <v>266</v>
      </c>
      <c r="D153" s="136"/>
      <c r="E153" s="38"/>
      <c r="F153" s="39"/>
      <c r="G153" s="38"/>
      <c r="H153" s="38"/>
      <c r="I153" s="38"/>
      <c r="J153" s="38"/>
      <c r="K153" s="38"/>
      <c r="L153" s="161"/>
      <c r="M153" s="39"/>
    </row>
    <row r="154" spans="1:15" s="44" customFormat="1" ht="12.75" x14ac:dyDescent="0.25">
      <c r="A154" s="140"/>
      <c r="B154" s="173"/>
      <c r="C154" s="142" t="s">
        <v>518</v>
      </c>
      <c r="D154" s="67" t="s">
        <v>17</v>
      </c>
      <c r="E154" s="164"/>
      <c r="F154" s="41">
        <v>310</v>
      </c>
      <c r="G154" s="42">
        <f>5.28*0.3</f>
        <v>1.5840000000000001</v>
      </c>
      <c r="H154" s="42">
        <f>F154*G154</f>
        <v>491.04</v>
      </c>
      <c r="I154" s="42">
        <v>0</v>
      </c>
      <c r="J154" s="42">
        <f>F154*I154</f>
        <v>0</v>
      </c>
      <c r="K154" s="38">
        <v>0</v>
      </c>
      <c r="L154" s="38">
        <f>F154*K154</f>
        <v>0</v>
      </c>
      <c r="M154" s="43">
        <f>H154+J154+L154</f>
        <v>491.04</v>
      </c>
    </row>
    <row r="155" spans="1:15" s="44" customFormat="1" ht="13.5" thickBot="1" x14ac:dyDescent="0.3">
      <c r="A155" s="263"/>
      <c r="B155" s="264"/>
      <c r="C155" s="185"/>
      <c r="D155" s="150"/>
      <c r="E155" s="186"/>
      <c r="F155" s="265"/>
      <c r="G155" s="188"/>
      <c r="H155" s="188"/>
      <c r="I155" s="188"/>
      <c r="J155" s="188"/>
      <c r="K155" s="189"/>
      <c r="L155" s="189"/>
      <c r="M155" s="190"/>
    </row>
    <row r="156" spans="1:15" s="36" customFormat="1" ht="37.5" x14ac:dyDescent="0.2">
      <c r="A156" s="21">
        <v>31</v>
      </c>
      <c r="B156" s="173" t="s">
        <v>277</v>
      </c>
      <c r="C156" s="66" t="s">
        <v>519</v>
      </c>
      <c r="D156" s="68" t="s">
        <v>19</v>
      </c>
      <c r="E156" s="16"/>
      <c r="F156" s="64">
        <v>80</v>
      </c>
      <c r="G156" s="133">
        <f>H156/F156</f>
        <v>0</v>
      </c>
      <c r="H156" s="133">
        <f>SUM(H158:H159)</f>
        <v>0</v>
      </c>
      <c r="I156" s="133">
        <f>J156/F156</f>
        <v>6.25</v>
      </c>
      <c r="J156" s="133">
        <f>SUM(J158:J159)</f>
        <v>500</v>
      </c>
      <c r="K156" s="133">
        <f>L156/F156</f>
        <v>0</v>
      </c>
      <c r="L156" s="133">
        <f>SUM(L158:L159)</f>
        <v>0</v>
      </c>
      <c r="M156" s="133">
        <f>SUM(M158:M159)</f>
        <v>500</v>
      </c>
    </row>
    <row r="157" spans="1:15" s="19" customFormat="1" ht="13.5" x14ac:dyDescent="0.25">
      <c r="A157" s="37"/>
      <c r="B157" s="136"/>
      <c r="C157" s="135" t="s">
        <v>266</v>
      </c>
      <c r="D157" s="136"/>
      <c r="E157" s="38"/>
      <c r="F157" s="39"/>
      <c r="G157" s="38"/>
      <c r="H157" s="38"/>
      <c r="I157" s="38"/>
      <c r="J157" s="38"/>
      <c r="K157" s="38"/>
      <c r="L157" s="161"/>
      <c r="M157" s="39"/>
    </row>
    <row r="158" spans="1:15" s="19" customFormat="1" ht="13.5" x14ac:dyDescent="0.25">
      <c r="A158" s="37"/>
      <c r="B158" s="136"/>
      <c r="C158" s="142" t="s">
        <v>278</v>
      </c>
      <c r="D158" s="67" t="s">
        <v>2</v>
      </c>
      <c r="E158" s="164">
        <v>1</v>
      </c>
      <c r="F158" s="41">
        <f>F156*E158</f>
        <v>80</v>
      </c>
      <c r="G158" s="42">
        <v>0</v>
      </c>
      <c r="H158" s="42">
        <f>F158*G158</f>
        <v>0</v>
      </c>
      <c r="I158" s="42">
        <f>5*1.25</f>
        <v>6.25</v>
      </c>
      <c r="J158" s="42">
        <f>F158*I158</f>
        <v>500</v>
      </c>
      <c r="K158" s="38">
        <v>0</v>
      </c>
      <c r="L158" s="38">
        <f>F158*K158</f>
        <v>0</v>
      </c>
      <c r="M158" s="43">
        <f>H158+J158+L158</f>
        <v>500</v>
      </c>
    </row>
    <row r="159" spans="1:15" s="44" customFormat="1" ht="25.5" x14ac:dyDescent="0.25">
      <c r="A159" s="140"/>
      <c r="B159" s="173"/>
      <c r="C159" s="54" t="s">
        <v>520</v>
      </c>
      <c r="D159" s="68" t="s">
        <v>19</v>
      </c>
      <c r="E159" s="164">
        <v>0</v>
      </c>
      <c r="F159" s="41">
        <f>F156*E159</f>
        <v>0</v>
      </c>
      <c r="G159" s="42">
        <v>128</v>
      </c>
      <c r="H159" s="42">
        <f>F159*G159</f>
        <v>0</v>
      </c>
      <c r="I159" s="42">
        <v>0</v>
      </c>
      <c r="J159" s="42">
        <f>F159*I159</f>
        <v>0</v>
      </c>
      <c r="K159" s="38">
        <v>0</v>
      </c>
      <c r="L159" s="38">
        <f>F159*K159</f>
        <v>0</v>
      </c>
      <c r="M159" s="43">
        <f>H159+J159+L159</f>
        <v>0</v>
      </c>
    </row>
    <row r="160" spans="1:15" ht="15.75" thickBot="1" x14ac:dyDescent="0.3">
      <c r="A160" s="148"/>
      <c r="B160" s="150"/>
      <c r="C160" s="150"/>
      <c r="D160" s="150"/>
      <c r="E160" s="151"/>
      <c r="F160" s="151"/>
      <c r="G160" s="151"/>
      <c r="H160" s="151"/>
      <c r="I160" s="151"/>
      <c r="J160" s="151"/>
      <c r="K160" s="151"/>
      <c r="L160" s="151"/>
      <c r="M160" s="152"/>
    </row>
    <row r="161" spans="1:13" s="36" customFormat="1" ht="37.5" x14ac:dyDescent="0.2">
      <c r="A161" s="21">
        <v>32</v>
      </c>
      <c r="B161" s="173" t="s">
        <v>277</v>
      </c>
      <c r="C161" s="66" t="s">
        <v>521</v>
      </c>
      <c r="D161" s="68" t="s">
        <v>19</v>
      </c>
      <c r="E161" s="16"/>
      <c r="F161" s="64">
        <v>32</v>
      </c>
      <c r="G161" s="133">
        <f>H161/F161</f>
        <v>0</v>
      </c>
      <c r="H161" s="133">
        <f>SUM(H163:H164)</f>
        <v>0</v>
      </c>
      <c r="I161" s="133">
        <f>J161/F161</f>
        <v>6.25</v>
      </c>
      <c r="J161" s="133">
        <f>SUM(J163:J164)</f>
        <v>200</v>
      </c>
      <c r="K161" s="133">
        <f>L161/F161</f>
        <v>0</v>
      </c>
      <c r="L161" s="133">
        <f>SUM(L163:L164)</f>
        <v>0</v>
      </c>
      <c r="M161" s="133">
        <f>SUM(M163:M164)</f>
        <v>200</v>
      </c>
    </row>
    <row r="162" spans="1:13" s="19" customFormat="1" ht="13.5" x14ac:dyDescent="0.25">
      <c r="A162" s="37"/>
      <c r="B162" s="136"/>
      <c r="C162" s="135" t="s">
        <v>266</v>
      </c>
      <c r="D162" s="136"/>
      <c r="E162" s="38"/>
      <c r="F162" s="39"/>
      <c r="G162" s="38"/>
      <c r="H162" s="38"/>
      <c r="I162" s="38"/>
      <c r="J162" s="38"/>
      <c r="K162" s="38"/>
      <c r="L162" s="161"/>
      <c r="M162" s="39"/>
    </row>
    <row r="163" spans="1:13" s="19" customFormat="1" ht="13.5" x14ac:dyDescent="0.25">
      <c r="A163" s="37"/>
      <c r="B163" s="136"/>
      <c r="C163" s="142" t="s">
        <v>278</v>
      </c>
      <c r="D163" s="67" t="s">
        <v>2</v>
      </c>
      <c r="E163" s="164">
        <v>1</v>
      </c>
      <c r="F163" s="41">
        <f>F161*E163</f>
        <v>32</v>
      </c>
      <c r="G163" s="42">
        <v>0</v>
      </c>
      <c r="H163" s="42">
        <f>F163*G163</f>
        <v>0</v>
      </c>
      <c r="I163" s="42">
        <f>5*1.25</f>
        <v>6.25</v>
      </c>
      <c r="J163" s="42">
        <f>F163*I163</f>
        <v>200</v>
      </c>
      <c r="K163" s="38">
        <v>0</v>
      </c>
      <c r="L163" s="38">
        <f>F163*K163</f>
        <v>0</v>
      </c>
      <c r="M163" s="43">
        <f>H163+J163+L163</f>
        <v>200</v>
      </c>
    </row>
    <row r="164" spans="1:13" s="44" customFormat="1" ht="25.5" x14ac:dyDescent="0.25">
      <c r="A164" s="140"/>
      <c r="B164" s="173"/>
      <c r="C164" s="54" t="s">
        <v>520</v>
      </c>
      <c r="D164" s="68" t="s">
        <v>19</v>
      </c>
      <c r="E164" s="164">
        <v>0</v>
      </c>
      <c r="F164" s="41">
        <f>F161*E164</f>
        <v>0</v>
      </c>
      <c r="G164" s="42">
        <v>128</v>
      </c>
      <c r="H164" s="42">
        <f>F164*G164</f>
        <v>0</v>
      </c>
      <c r="I164" s="42">
        <v>0</v>
      </c>
      <c r="J164" s="42">
        <f>F164*I164</f>
        <v>0</v>
      </c>
      <c r="K164" s="38">
        <v>0</v>
      </c>
      <c r="L164" s="38">
        <f>F164*K164</f>
        <v>0</v>
      </c>
      <c r="M164" s="43">
        <f>H164+J164+L164</f>
        <v>0</v>
      </c>
    </row>
    <row r="165" spans="1:13" ht="15.75" thickBot="1" x14ac:dyDescent="0.3">
      <c r="A165" s="148"/>
      <c r="B165" s="150"/>
      <c r="C165" s="150"/>
      <c r="D165" s="150"/>
      <c r="E165" s="151"/>
      <c r="F165" s="151"/>
      <c r="G165" s="151"/>
      <c r="H165" s="151"/>
      <c r="I165" s="151"/>
      <c r="J165" s="151"/>
      <c r="K165" s="151"/>
      <c r="L165" s="151"/>
      <c r="M165" s="152"/>
    </row>
    <row r="166" spans="1:13" s="36" customFormat="1" ht="37.5" x14ac:dyDescent="0.2">
      <c r="A166" s="21">
        <v>33</v>
      </c>
      <c r="B166" s="173" t="s">
        <v>277</v>
      </c>
      <c r="C166" s="66" t="s">
        <v>522</v>
      </c>
      <c r="D166" s="68" t="s">
        <v>19</v>
      </c>
      <c r="E166" s="16"/>
      <c r="F166" s="64">
        <v>32</v>
      </c>
      <c r="G166" s="133">
        <f>H166/F166</f>
        <v>0</v>
      </c>
      <c r="H166" s="133">
        <f>SUM(H168:H169)</f>
        <v>0</v>
      </c>
      <c r="I166" s="133">
        <f>J166/F166</f>
        <v>6.25</v>
      </c>
      <c r="J166" s="133">
        <f>SUM(J168:J169)</f>
        <v>200</v>
      </c>
      <c r="K166" s="133">
        <f>L166/F166</f>
        <v>0</v>
      </c>
      <c r="L166" s="133">
        <f>SUM(L168:L169)</f>
        <v>0</v>
      </c>
      <c r="M166" s="133">
        <f>SUM(M168:M169)</f>
        <v>200</v>
      </c>
    </row>
    <row r="167" spans="1:13" s="19" customFormat="1" ht="13.5" x14ac:dyDescent="0.25">
      <c r="A167" s="37"/>
      <c r="B167" s="136"/>
      <c r="C167" s="135" t="s">
        <v>266</v>
      </c>
      <c r="D167" s="136"/>
      <c r="E167" s="38"/>
      <c r="F167" s="39"/>
      <c r="G167" s="38"/>
      <c r="H167" s="38"/>
      <c r="I167" s="38"/>
      <c r="J167" s="38"/>
      <c r="K167" s="38"/>
      <c r="L167" s="161"/>
      <c r="M167" s="39"/>
    </row>
    <row r="168" spans="1:13" s="19" customFormat="1" ht="13.5" x14ac:dyDescent="0.25">
      <c r="A168" s="37"/>
      <c r="B168" s="136"/>
      <c r="C168" s="142" t="s">
        <v>278</v>
      </c>
      <c r="D168" s="67" t="s">
        <v>2</v>
      </c>
      <c r="E168" s="164">
        <v>1</v>
      </c>
      <c r="F168" s="41">
        <f>F166*E168</f>
        <v>32</v>
      </c>
      <c r="G168" s="42">
        <v>0</v>
      </c>
      <c r="H168" s="42">
        <f>F168*G168</f>
        <v>0</v>
      </c>
      <c r="I168" s="42">
        <f>5*1.25</f>
        <v>6.25</v>
      </c>
      <c r="J168" s="42">
        <f>F168*I168</f>
        <v>200</v>
      </c>
      <c r="K168" s="38">
        <v>0</v>
      </c>
      <c r="L168" s="38">
        <f>F168*K168</f>
        <v>0</v>
      </c>
      <c r="M168" s="43">
        <f>H168+J168+L168</f>
        <v>200</v>
      </c>
    </row>
    <row r="169" spans="1:13" s="44" customFormat="1" ht="25.5" x14ac:dyDescent="0.25">
      <c r="A169" s="140"/>
      <c r="B169" s="173"/>
      <c r="C169" s="54" t="s">
        <v>520</v>
      </c>
      <c r="D169" s="68" t="s">
        <v>19</v>
      </c>
      <c r="E169" s="164">
        <v>0</v>
      </c>
      <c r="F169" s="41">
        <f>F166*E169</f>
        <v>0</v>
      </c>
      <c r="G169" s="42">
        <v>128</v>
      </c>
      <c r="H169" s="42">
        <f>F169*G169</f>
        <v>0</v>
      </c>
      <c r="I169" s="42">
        <v>0</v>
      </c>
      <c r="J169" s="42">
        <f>F169*I169</f>
        <v>0</v>
      </c>
      <c r="K169" s="38">
        <v>0</v>
      </c>
      <c r="L169" s="38">
        <f>F169*K169</f>
        <v>0</v>
      </c>
      <c r="M169" s="43">
        <f>H169+J169+L169</f>
        <v>0</v>
      </c>
    </row>
    <row r="170" spans="1:13" ht="15.75" thickBot="1" x14ac:dyDescent="0.3">
      <c r="A170" s="148"/>
      <c r="B170" s="150"/>
      <c r="C170" s="150"/>
      <c r="D170" s="150"/>
      <c r="E170" s="151"/>
      <c r="F170" s="151"/>
      <c r="G170" s="151"/>
      <c r="H170" s="151"/>
      <c r="I170" s="151"/>
      <c r="J170" s="151"/>
      <c r="K170" s="151"/>
      <c r="L170" s="151"/>
      <c r="M170" s="152"/>
    </row>
    <row r="171" spans="1:13" s="36" customFormat="1" ht="37.5" x14ac:dyDescent="0.2">
      <c r="A171" s="21">
        <v>34</v>
      </c>
      <c r="B171" s="173" t="s">
        <v>277</v>
      </c>
      <c r="C171" s="66" t="s">
        <v>523</v>
      </c>
      <c r="D171" s="68" t="s">
        <v>19</v>
      </c>
      <c r="E171" s="16"/>
      <c r="F171" s="64">
        <v>32</v>
      </c>
      <c r="G171" s="133">
        <f>H171/F171</f>
        <v>0</v>
      </c>
      <c r="H171" s="133">
        <f>SUM(H173:H174)</f>
        <v>0</v>
      </c>
      <c r="I171" s="133">
        <f>J171/F171</f>
        <v>6.25</v>
      </c>
      <c r="J171" s="133">
        <f>SUM(J173:J174)</f>
        <v>200</v>
      </c>
      <c r="K171" s="133">
        <f>L171/F171</f>
        <v>0</v>
      </c>
      <c r="L171" s="133">
        <f>SUM(L173:L174)</f>
        <v>0</v>
      </c>
      <c r="M171" s="133">
        <f>SUM(M173:M174)</f>
        <v>200</v>
      </c>
    </row>
    <row r="172" spans="1:13" s="19" customFormat="1" ht="13.5" x14ac:dyDescent="0.25">
      <c r="A172" s="37"/>
      <c r="B172" s="136"/>
      <c r="C172" s="135" t="s">
        <v>266</v>
      </c>
      <c r="D172" s="136"/>
      <c r="E172" s="38"/>
      <c r="F172" s="39"/>
      <c r="G172" s="38"/>
      <c r="H172" s="38"/>
      <c r="I172" s="38"/>
      <c r="J172" s="38"/>
      <c r="K172" s="38"/>
      <c r="L172" s="161"/>
      <c r="M172" s="39"/>
    </row>
    <row r="173" spans="1:13" s="19" customFormat="1" ht="13.5" x14ac:dyDescent="0.25">
      <c r="A173" s="37"/>
      <c r="B173" s="136"/>
      <c r="C173" s="142" t="s">
        <v>278</v>
      </c>
      <c r="D173" s="67" t="s">
        <v>2</v>
      </c>
      <c r="E173" s="164">
        <v>1</v>
      </c>
      <c r="F173" s="41">
        <f>F171*E173</f>
        <v>32</v>
      </c>
      <c r="G173" s="42">
        <v>0</v>
      </c>
      <c r="H173" s="42">
        <f>F173*G173</f>
        <v>0</v>
      </c>
      <c r="I173" s="42">
        <f>5*1.25</f>
        <v>6.25</v>
      </c>
      <c r="J173" s="42">
        <f>F173*I173</f>
        <v>200</v>
      </c>
      <c r="K173" s="38">
        <v>0</v>
      </c>
      <c r="L173" s="38">
        <f>F173*K173</f>
        <v>0</v>
      </c>
      <c r="M173" s="43">
        <f>H173+J173+L173</f>
        <v>200</v>
      </c>
    </row>
    <row r="174" spans="1:13" s="44" customFormat="1" ht="25.5" x14ac:dyDescent="0.25">
      <c r="A174" s="140"/>
      <c r="B174" s="173"/>
      <c r="C174" s="54" t="s">
        <v>520</v>
      </c>
      <c r="D174" s="68" t="s">
        <v>19</v>
      </c>
      <c r="E174" s="164">
        <v>0</v>
      </c>
      <c r="F174" s="41">
        <f>F171*E174</f>
        <v>0</v>
      </c>
      <c r="G174" s="42">
        <v>128</v>
      </c>
      <c r="H174" s="42">
        <f>F174*G174</f>
        <v>0</v>
      </c>
      <c r="I174" s="42">
        <v>0</v>
      </c>
      <c r="J174" s="42">
        <f>F174*I174</f>
        <v>0</v>
      </c>
      <c r="K174" s="38">
        <v>0</v>
      </c>
      <c r="L174" s="38">
        <f>F174*K174</f>
        <v>0</v>
      </c>
      <c r="M174" s="43">
        <f>H174+J174+L174</f>
        <v>0</v>
      </c>
    </row>
    <row r="175" spans="1:13" ht="15.75" thickBot="1" x14ac:dyDescent="0.3">
      <c r="A175" s="148"/>
      <c r="B175" s="150"/>
      <c r="C175" s="150"/>
      <c r="D175" s="150"/>
      <c r="E175" s="151"/>
      <c r="F175" s="151"/>
      <c r="G175" s="151"/>
      <c r="H175" s="151"/>
      <c r="I175" s="151"/>
      <c r="J175" s="151"/>
      <c r="K175" s="151"/>
      <c r="L175" s="151"/>
      <c r="M175" s="152"/>
    </row>
    <row r="176" spans="1:13" s="36" customFormat="1" ht="37.5" x14ac:dyDescent="0.2">
      <c r="A176" s="21">
        <v>35</v>
      </c>
      <c r="B176" s="173" t="s">
        <v>277</v>
      </c>
      <c r="C176" s="66" t="s">
        <v>524</v>
      </c>
      <c r="D176" s="68" t="s">
        <v>19</v>
      </c>
      <c r="E176" s="16"/>
      <c r="F176" s="64">
        <v>32</v>
      </c>
      <c r="G176" s="133">
        <f>H176/F176</f>
        <v>0</v>
      </c>
      <c r="H176" s="133">
        <f>SUM(H178:H179)</f>
        <v>0</v>
      </c>
      <c r="I176" s="133">
        <f>J176/F176</f>
        <v>6.25</v>
      </c>
      <c r="J176" s="133">
        <f>SUM(J178:J179)</f>
        <v>200</v>
      </c>
      <c r="K176" s="133">
        <f>L176/F176</f>
        <v>0</v>
      </c>
      <c r="L176" s="133">
        <f>SUM(L178:L179)</f>
        <v>0</v>
      </c>
      <c r="M176" s="133">
        <f>SUM(M178:M179)</f>
        <v>200</v>
      </c>
    </row>
    <row r="177" spans="1:13" s="19" customFormat="1" ht="13.5" x14ac:dyDescent="0.25">
      <c r="A177" s="37"/>
      <c r="B177" s="136"/>
      <c r="C177" s="135" t="s">
        <v>266</v>
      </c>
      <c r="D177" s="136"/>
      <c r="E177" s="38"/>
      <c r="F177" s="39"/>
      <c r="G177" s="38"/>
      <c r="H177" s="38"/>
      <c r="I177" s="38"/>
      <c r="J177" s="38"/>
      <c r="K177" s="38"/>
      <c r="L177" s="161"/>
      <c r="M177" s="39"/>
    </row>
    <row r="178" spans="1:13" s="19" customFormat="1" ht="13.5" x14ac:dyDescent="0.25">
      <c r="A178" s="37"/>
      <c r="B178" s="136"/>
      <c r="C178" s="142" t="s">
        <v>278</v>
      </c>
      <c r="D178" s="67" t="s">
        <v>2</v>
      </c>
      <c r="E178" s="164">
        <v>1</v>
      </c>
      <c r="F178" s="41">
        <f>F176*E178</f>
        <v>32</v>
      </c>
      <c r="G178" s="42">
        <v>0</v>
      </c>
      <c r="H178" s="42">
        <f>F178*G178</f>
        <v>0</v>
      </c>
      <c r="I178" s="42">
        <f>5*1.25</f>
        <v>6.25</v>
      </c>
      <c r="J178" s="42">
        <f>F178*I178</f>
        <v>200</v>
      </c>
      <c r="K178" s="38">
        <v>0</v>
      </c>
      <c r="L178" s="38">
        <f>F178*K178</f>
        <v>0</v>
      </c>
      <c r="M178" s="43">
        <f>H178+J178+L178</f>
        <v>200</v>
      </c>
    </row>
    <row r="179" spans="1:13" s="44" customFormat="1" ht="25.5" x14ac:dyDescent="0.25">
      <c r="A179" s="140"/>
      <c r="B179" s="173"/>
      <c r="C179" s="54" t="s">
        <v>520</v>
      </c>
      <c r="D179" s="68" t="s">
        <v>19</v>
      </c>
      <c r="E179" s="164">
        <v>0</v>
      </c>
      <c r="F179" s="41">
        <f>F176*E179</f>
        <v>0</v>
      </c>
      <c r="G179" s="42">
        <v>128</v>
      </c>
      <c r="H179" s="42">
        <f>F179*G179</f>
        <v>0</v>
      </c>
      <c r="I179" s="42">
        <v>0</v>
      </c>
      <c r="J179" s="42">
        <f>F179*I179</f>
        <v>0</v>
      </c>
      <c r="K179" s="38">
        <v>0</v>
      </c>
      <c r="L179" s="38">
        <f>F179*K179</f>
        <v>0</v>
      </c>
      <c r="M179" s="43">
        <f>H179+J179+L179</f>
        <v>0</v>
      </c>
    </row>
    <row r="180" spans="1:13" ht="15.75" thickBot="1" x14ac:dyDescent="0.3">
      <c r="A180" s="148"/>
      <c r="B180" s="150"/>
      <c r="C180" s="150"/>
      <c r="D180" s="150"/>
      <c r="E180" s="151"/>
      <c r="F180" s="151"/>
      <c r="G180" s="151"/>
      <c r="H180" s="151"/>
      <c r="I180" s="151"/>
      <c r="J180" s="151"/>
      <c r="K180" s="151"/>
      <c r="L180" s="151"/>
      <c r="M180" s="152"/>
    </row>
    <row r="181" spans="1:13" s="36" customFormat="1" ht="37.5" x14ac:dyDescent="0.2">
      <c r="A181" s="21">
        <v>36</v>
      </c>
      <c r="B181" s="173" t="s">
        <v>277</v>
      </c>
      <c r="C181" s="66" t="s">
        <v>525</v>
      </c>
      <c r="D181" s="68" t="s">
        <v>19</v>
      </c>
      <c r="E181" s="16"/>
      <c r="F181" s="64">
        <v>40</v>
      </c>
      <c r="G181" s="133">
        <f>H181/F181</f>
        <v>0</v>
      </c>
      <c r="H181" s="133">
        <f>SUM(H183:H184)</f>
        <v>0</v>
      </c>
      <c r="I181" s="133">
        <f>J181/F181</f>
        <v>6.25</v>
      </c>
      <c r="J181" s="133">
        <f>SUM(J183:J184)</f>
        <v>250</v>
      </c>
      <c r="K181" s="133">
        <f>L181/F181</f>
        <v>0</v>
      </c>
      <c r="L181" s="133">
        <f>SUM(L183:L184)</f>
        <v>0</v>
      </c>
      <c r="M181" s="133">
        <f>SUM(M183:M184)</f>
        <v>250</v>
      </c>
    </row>
    <row r="182" spans="1:13" s="19" customFormat="1" ht="13.5" x14ac:dyDescent="0.25">
      <c r="A182" s="37"/>
      <c r="B182" s="136"/>
      <c r="C182" s="135" t="s">
        <v>266</v>
      </c>
      <c r="D182" s="136"/>
      <c r="E182" s="38"/>
      <c r="F182" s="39"/>
      <c r="G182" s="38"/>
      <c r="H182" s="38"/>
      <c r="I182" s="38"/>
      <c r="J182" s="38"/>
      <c r="K182" s="38"/>
      <c r="L182" s="161"/>
      <c r="M182" s="39"/>
    </row>
    <row r="183" spans="1:13" s="19" customFormat="1" ht="13.5" x14ac:dyDescent="0.25">
      <c r="A183" s="37"/>
      <c r="B183" s="136"/>
      <c r="C183" s="142" t="s">
        <v>278</v>
      </c>
      <c r="D183" s="67" t="s">
        <v>2</v>
      </c>
      <c r="E183" s="164">
        <v>1</v>
      </c>
      <c r="F183" s="41">
        <f>F181*E183</f>
        <v>40</v>
      </c>
      <c r="G183" s="42">
        <v>0</v>
      </c>
      <c r="H183" s="42">
        <f>F183*G183</f>
        <v>0</v>
      </c>
      <c r="I183" s="42">
        <f>5*1.25</f>
        <v>6.25</v>
      </c>
      <c r="J183" s="42">
        <f>F183*I183</f>
        <v>250</v>
      </c>
      <c r="K183" s="38">
        <v>0</v>
      </c>
      <c r="L183" s="38">
        <f>F183*K183</f>
        <v>0</v>
      </c>
      <c r="M183" s="43">
        <f>H183+J183+L183</f>
        <v>250</v>
      </c>
    </row>
    <row r="184" spans="1:13" s="44" customFormat="1" ht="25.5" x14ac:dyDescent="0.25">
      <c r="A184" s="140"/>
      <c r="B184" s="173"/>
      <c r="C184" s="54" t="s">
        <v>520</v>
      </c>
      <c r="D184" s="68" t="s">
        <v>19</v>
      </c>
      <c r="E184" s="164">
        <v>0</v>
      </c>
      <c r="F184" s="41">
        <f>F181*E184</f>
        <v>0</v>
      </c>
      <c r="G184" s="42">
        <v>128</v>
      </c>
      <c r="H184" s="42">
        <f>F184*G184</f>
        <v>0</v>
      </c>
      <c r="I184" s="42">
        <v>0</v>
      </c>
      <c r="J184" s="42">
        <f>F184*I184</f>
        <v>0</v>
      </c>
      <c r="K184" s="38">
        <v>0</v>
      </c>
      <c r="L184" s="38">
        <f>F184*K184</f>
        <v>0</v>
      </c>
      <c r="M184" s="43">
        <f>H184+J184+L184</f>
        <v>0</v>
      </c>
    </row>
    <row r="185" spans="1:13" ht="15.75" thickBot="1" x14ac:dyDescent="0.3">
      <c r="A185" s="148"/>
      <c r="B185" s="150"/>
      <c r="C185" s="150"/>
      <c r="D185" s="150"/>
      <c r="E185" s="151"/>
      <c r="F185" s="151"/>
      <c r="G185" s="151"/>
      <c r="H185" s="151"/>
      <c r="I185" s="151"/>
      <c r="J185" s="151"/>
      <c r="K185" s="151"/>
      <c r="L185" s="151"/>
      <c r="M185" s="152"/>
    </row>
    <row r="186" spans="1:13" s="36" customFormat="1" ht="37.5" x14ac:dyDescent="0.2">
      <c r="A186" s="21">
        <v>37</v>
      </c>
      <c r="B186" s="173" t="s">
        <v>277</v>
      </c>
      <c r="C186" s="66" t="s">
        <v>526</v>
      </c>
      <c r="D186" s="68" t="s">
        <v>19</v>
      </c>
      <c r="E186" s="16"/>
      <c r="F186" s="64">
        <v>64</v>
      </c>
      <c r="G186" s="133">
        <f>H186/F186</f>
        <v>0</v>
      </c>
      <c r="H186" s="133">
        <f>SUM(H188:H189)</f>
        <v>0</v>
      </c>
      <c r="I186" s="133">
        <f>J186/F186</f>
        <v>6.25</v>
      </c>
      <c r="J186" s="133">
        <f>SUM(J188:J189)</f>
        <v>400</v>
      </c>
      <c r="K186" s="133">
        <f>L186/F186</f>
        <v>0</v>
      </c>
      <c r="L186" s="133">
        <f>SUM(L188:L189)</f>
        <v>0</v>
      </c>
      <c r="M186" s="133">
        <f>SUM(M188:M189)</f>
        <v>400</v>
      </c>
    </row>
    <row r="187" spans="1:13" s="19" customFormat="1" ht="13.5" x14ac:dyDescent="0.25">
      <c r="A187" s="37"/>
      <c r="B187" s="136"/>
      <c r="C187" s="135" t="s">
        <v>266</v>
      </c>
      <c r="D187" s="136"/>
      <c r="E187" s="38"/>
      <c r="F187" s="39"/>
      <c r="G187" s="38"/>
      <c r="H187" s="38"/>
      <c r="I187" s="38"/>
      <c r="J187" s="38"/>
      <c r="K187" s="38"/>
      <c r="L187" s="161"/>
      <c r="M187" s="39"/>
    </row>
    <row r="188" spans="1:13" s="19" customFormat="1" ht="13.5" x14ac:dyDescent="0.25">
      <c r="A188" s="37"/>
      <c r="B188" s="136"/>
      <c r="C188" s="142" t="s">
        <v>278</v>
      </c>
      <c r="D188" s="67" t="s">
        <v>2</v>
      </c>
      <c r="E188" s="164">
        <v>1</v>
      </c>
      <c r="F188" s="41">
        <f>F186*E188</f>
        <v>64</v>
      </c>
      <c r="G188" s="42">
        <v>0</v>
      </c>
      <c r="H188" s="42">
        <f>F188*G188</f>
        <v>0</v>
      </c>
      <c r="I188" s="42">
        <f>5*1.25</f>
        <v>6.25</v>
      </c>
      <c r="J188" s="42">
        <f>F188*I188</f>
        <v>400</v>
      </c>
      <c r="K188" s="38">
        <v>0</v>
      </c>
      <c r="L188" s="38">
        <f>F188*K188</f>
        <v>0</v>
      </c>
      <c r="M188" s="43">
        <f>H188+J188+L188</f>
        <v>400</v>
      </c>
    </row>
    <row r="189" spans="1:13" s="44" customFormat="1" ht="25.5" x14ac:dyDescent="0.25">
      <c r="A189" s="140"/>
      <c r="B189" s="173"/>
      <c r="C189" s="54" t="s">
        <v>520</v>
      </c>
      <c r="D189" s="68" t="s">
        <v>19</v>
      </c>
      <c r="E189" s="164">
        <v>0</v>
      </c>
      <c r="F189" s="41">
        <f>F186*E189</f>
        <v>0</v>
      </c>
      <c r="G189" s="42">
        <v>128</v>
      </c>
      <c r="H189" s="42">
        <f>F189*G189</f>
        <v>0</v>
      </c>
      <c r="I189" s="42">
        <v>0</v>
      </c>
      <c r="J189" s="42">
        <f>F189*I189</f>
        <v>0</v>
      </c>
      <c r="K189" s="38">
        <v>0</v>
      </c>
      <c r="L189" s="38">
        <f>F189*K189</f>
        <v>0</v>
      </c>
      <c r="M189" s="43">
        <f>H189+J189+L189</f>
        <v>0</v>
      </c>
    </row>
    <row r="190" spans="1:13" ht="15.75" thickBot="1" x14ac:dyDescent="0.3">
      <c r="A190" s="148"/>
      <c r="B190" s="150"/>
      <c r="C190" s="150"/>
      <c r="D190" s="150"/>
      <c r="E190" s="151"/>
      <c r="F190" s="151"/>
      <c r="G190" s="151"/>
      <c r="H190" s="151"/>
      <c r="I190" s="151"/>
      <c r="J190" s="151"/>
      <c r="K190" s="151"/>
      <c r="L190" s="151"/>
      <c r="M190" s="152"/>
    </row>
    <row r="191" spans="1:13" s="19" customFormat="1" ht="25.5" x14ac:dyDescent="0.25">
      <c r="A191" s="37">
        <v>38</v>
      </c>
      <c r="B191" s="173" t="s">
        <v>277</v>
      </c>
      <c r="C191" s="54" t="s">
        <v>527</v>
      </c>
      <c r="D191" s="68" t="s">
        <v>19</v>
      </c>
      <c r="E191" s="38"/>
      <c r="F191" s="39">
        <v>4</v>
      </c>
      <c r="G191" s="133">
        <f>H191/F191</f>
        <v>0</v>
      </c>
      <c r="H191" s="133">
        <f>SUM(H193:H194)</f>
        <v>0</v>
      </c>
      <c r="I191" s="133">
        <f>J191/F191</f>
        <v>6.25</v>
      </c>
      <c r="J191" s="133">
        <f>SUM(J193:J194)</f>
        <v>25</v>
      </c>
      <c r="K191" s="133">
        <f>L191/F191</f>
        <v>0</v>
      </c>
      <c r="L191" s="133">
        <f>SUM(L193:L194)</f>
        <v>0</v>
      </c>
      <c r="M191" s="133">
        <f>SUM(M193:M194)</f>
        <v>25</v>
      </c>
    </row>
    <row r="192" spans="1:13" s="19" customFormat="1" ht="13.5" x14ac:dyDescent="0.25">
      <c r="A192" s="37"/>
      <c r="B192" s="136"/>
      <c r="C192" s="135" t="s">
        <v>266</v>
      </c>
      <c r="D192" s="136"/>
      <c r="E192" s="38"/>
      <c r="F192" s="39"/>
      <c r="G192" s="38"/>
      <c r="H192" s="38"/>
      <c r="I192" s="38"/>
      <c r="J192" s="38"/>
      <c r="K192" s="38"/>
      <c r="L192" s="161"/>
      <c r="M192" s="39"/>
    </row>
    <row r="193" spans="1:15" s="44" customFormat="1" ht="12.75" x14ac:dyDescent="0.25">
      <c r="A193" s="140"/>
      <c r="B193" s="173"/>
      <c r="C193" s="142" t="s">
        <v>278</v>
      </c>
      <c r="D193" s="67" t="s">
        <v>17</v>
      </c>
      <c r="E193" s="164">
        <v>1</v>
      </c>
      <c r="F193" s="41">
        <f>E193*F191</f>
        <v>4</v>
      </c>
      <c r="G193" s="42">
        <v>0</v>
      </c>
      <c r="H193" s="42">
        <f>F193*G193</f>
        <v>0</v>
      </c>
      <c r="I193" s="42">
        <f>5*1.25</f>
        <v>6.25</v>
      </c>
      <c r="J193" s="42">
        <f>F193*I193</f>
        <v>25</v>
      </c>
      <c r="K193" s="38">
        <v>0</v>
      </c>
      <c r="L193" s="38">
        <f>F193*K193</f>
        <v>0</v>
      </c>
      <c r="M193" s="43">
        <f>H193+J193+L193</f>
        <v>25</v>
      </c>
    </row>
    <row r="194" spans="1:15" s="44" customFormat="1" ht="13.5" x14ac:dyDescent="0.25">
      <c r="A194" s="140"/>
      <c r="B194" s="173"/>
      <c r="C194" s="54" t="s">
        <v>528</v>
      </c>
      <c r="D194" s="67" t="s">
        <v>17</v>
      </c>
      <c r="E194" s="164">
        <v>0</v>
      </c>
      <c r="F194" s="41">
        <f>F191*E194</f>
        <v>0</v>
      </c>
      <c r="G194" s="42">
        <v>188</v>
      </c>
      <c r="H194" s="42">
        <f>F194*G194</f>
        <v>0</v>
      </c>
      <c r="I194" s="42">
        <v>0</v>
      </c>
      <c r="J194" s="42">
        <f>F194*I194</f>
        <v>0</v>
      </c>
      <c r="K194" s="38">
        <v>0</v>
      </c>
      <c r="L194" s="38">
        <f>F194*K194</f>
        <v>0</v>
      </c>
      <c r="M194" s="43">
        <f>H194+J194+L194</f>
        <v>0</v>
      </c>
    </row>
    <row r="195" spans="1:15" ht="15.75" thickBot="1" x14ac:dyDescent="0.3">
      <c r="A195" s="148"/>
      <c r="B195" s="150"/>
      <c r="C195" s="150"/>
      <c r="D195" s="150"/>
      <c r="E195" s="151"/>
      <c r="F195" s="151"/>
      <c r="G195" s="151"/>
      <c r="H195" s="151"/>
      <c r="I195" s="151"/>
      <c r="J195" s="151"/>
      <c r="K195" s="151"/>
      <c r="L195" s="151"/>
      <c r="M195" s="152"/>
    </row>
    <row r="196" spans="1:15" s="19" customFormat="1" ht="24.75" x14ac:dyDescent="0.25">
      <c r="A196" s="37">
        <v>39</v>
      </c>
      <c r="B196" s="173" t="s">
        <v>277</v>
      </c>
      <c r="C196" s="66" t="s">
        <v>529</v>
      </c>
      <c r="D196" s="68" t="s">
        <v>19</v>
      </c>
      <c r="E196" s="38"/>
      <c r="F196" s="39">
        <v>4</v>
      </c>
      <c r="G196" s="133">
        <f>H196/F196</f>
        <v>0</v>
      </c>
      <c r="H196" s="133">
        <f>SUM(H198:H199)</f>
        <v>0</v>
      </c>
      <c r="I196" s="133">
        <f>J196/F196</f>
        <v>10</v>
      </c>
      <c r="J196" s="133">
        <f>SUM(J198:J199)</f>
        <v>40</v>
      </c>
      <c r="K196" s="133">
        <f>L196/F196</f>
        <v>0</v>
      </c>
      <c r="L196" s="133">
        <f>SUM(L198:L199)</f>
        <v>0</v>
      </c>
      <c r="M196" s="133">
        <f>SUM(M198:M199)</f>
        <v>40</v>
      </c>
    </row>
    <row r="197" spans="1:15" s="19" customFormat="1" ht="13.5" x14ac:dyDescent="0.25">
      <c r="A197" s="37"/>
      <c r="B197" s="136"/>
      <c r="C197" s="135" t="s">
        <v>266</v>
      </c>
      <c r="D197" s="136"/>
      <c r="E197" s="38"/>
      <c r="F197" s="39"/>
      <c r="G197" s="38"/>
      <c r="H197" s="38"/>
      <c r="I197" s="38"/>
      <c r="J197" s="38"/>
      <c r="K197" s="38"/>
      <c r="L197" s="161"/>
      <c r="M197" s="39"/>
    </row>
    <row r="198" spans="1:15" s="44" customFormat="1" ht="12.75" x14ac:dyDescent="0.25">
      <c r="A198" s="140"/>
      <c r="B198" s="173"/>
      <c r="C198" s="142" t="s">
        <v>278</v>
      </c>
      <c r="D198" s="67" t="s">
        <v>17</v>
      </c>
      <c r="E198" s="164">
        <v>1</v>
      </c>
      <c r="F198" s="41">
        <f>E198*F196</f>
        <v>4</v>
      </c>
      <c r="G198" s="42">
        <v>0</v>
      </c>
      <c r="H198" s="42">
        <f>F198*G198</f>
        <v>0</v>
      </c>
      <c r="I198" s="42">
        <v>10</v>
      </c>
      <c r="J198" s="42">
        <f>F198*I198</f>
        <v>40</v>
      </c>
      <c r="K198" s="38">
        <v>0</v>
      </c>
      <c r="L198" s="38">
        <f>F198*K198</f>
        <v>0</v>
      </c>
      <c r="M198" s="43">
        <f>H198+J198+L198</f>
        <v>40</v>
      </c>
    </row>
    <row r="199" spans="1:15" s="44" customFormat="1" ht="13.5" x14ac:dyDescent="0.25">
      <c r="A199" s="140"/>
      <c r="B199" s="173"/>
      <c r="C199" s="54" t="s">
        <v>530</v>
      </c>
      <c r="D199" s="67" t="s">
        <v>17</v>
      </c>
      <c r="E199" s="164">
        <v>0</v>
      </c>
      <c r="F199" s="41">
        <f>F196*E199</f>
        <v>0</v>
      </c>
      <c r="G199" s="42">
        <v>120</v>
      </c>
      <c r="H199" s="42">
        <f>F199*G199</f>
        <v>0</v>
      </c>
      <c r="I199" s="42">
        <v>0</v>
      </c>
      <c r="J199" s="42">
        <f>F199*I199</f>
        <v>0</v>
      </c>
      <c r="K199" s="38">
        <v>0</v>
      </c>
      <c r="L199" s="38">
        <f>F199*K199</f>
        <v>0</v>
      </c>
      <c r="M199" s="43">
        <f>H199+J199+L199</f>
        <v>0</v>
      </c>
    </row>
    <row r="200" spans="1:15" ht="15.75" thickBot="1" x14ac:dyDescent="0.3">
      <c r="A200" s="148"/>
      <c r="B200" s="150"/>
      <c r="C200" s="150"/>
      <c r="D200" s="150"/>
      <c r="E200" s="151"/>
      <c r="F200" s="151"/>
      <c r="G200" s="151"/>
      <c r="H200" s="151"/>
      <c r="I200" s="151"/>
      <c r="J200" s="151"/>
      <c r="K200" s="151"/>
      <c r="L200" s="151"/>
      <c r="M200" s="152"/>
    </row>
    <row r="201" spans="1:15" s="34" customFormat="1" x14ac:dyDescent="0.25">
      <c r="A201" s="48"/>
      <c r="B201" s="48"/>
      <c r="C201" s="70" t="s">
        <v>21</v>
      </c>
      <c r="D201" s="69" t="s">
        <v>18</v>
      </c>
      <c r="E201" s="50"/>
      <c r="F201" s="50"/>
      <c r="G201" s="51"/>
      <c r="H201" s="159">
        <f>H196+H191+H186+H181+H176+H171+H166+H161+H156+H152+H147+H142+H137+H132+H127+H122+H117+H112+H107+H102+H97+H92+H87+H82+H77+H72+H67+H62+H57+H52+H47+H42+H37+H32+H27+H22+H17+H12</f>
        <v>1570.78</v>
      </c>
      <c r="I201" s="52"/>
      <c r="J201" s="159">
        <f>J196+J191+J186+J181+J176+J171+J166+J161+J156+J152+J147+J142+J137+J132+J127+J122+J117+J112+J107+J102+J97+J92+J87+J82+J77+J72+J67+J62+J57+J52+J47+J42+J37+J32+J27+J22+J17+J12</f>
        <v>12578.41375</v>
      </c>
      <c r="K201" s="52"/>
      <c r="L201" s="159">
        <f>L196+L191+L186+L181+L176+L171+L166+L161+L156+L152+L147+L142+L137+L132+L127+L122+L117+L112+L107+L102+L97+L92+L87+L82+L77+L72+L67+L62+L57+L52+L47+L42+L37+L32+L27+L22+L17+L12</f>
        <v>0</v>
      </c>
      <c r="M201" s="159">
        <f>M196+M191+M186+M181+M176+M171+M166+M161+M156+M152+M147+M142+M137+M132+M127+M122+M117+M112+M107+M102+M97+M92+M87+M82+M77+M72+M67+M62+M57+M52+M47+M42+M37+M32+M27+M22+M17+M12</f>
        <v>14149.193749999999</v>
      </c>
      <c r="O201" s="46">
        <f>H201+J201+L201</f>
        <v>14149.19375</v>
      </c>
    </row>
    <row r="202" spans="1:15" s="84" customFormat="1" ht="25.5" x14ac:dyDescent="0.25">
      <c r="A202" s="71"/>
      <c r="B202" s="25">
        <v>0.05</v>
      </c>
      <c r="C202" s="72" t="s">
        <v>23</v>
      </c>
      <c r="D202" s="8" t="s">
        <v>0</v>
      </c>
      <c r="E202" s="230"/>
      <c r="F202" s="4"/>
      <c r="G202" s="4"/>
      <c r="H202" s="4"/>
      <c r="I202" s="4"/>
      <c r="J202" s="4"/>
      <c r="K202" s="4"/>
      <c r="L202" s="4"/>
      <c r="M202" s="246">
        <f>H201*B202</f>
        <v>78.539000000000001</v>
      </c>
    </row>
    <row r="203" spans="1:15" s="84" customFormat="1" x14ac:dyDescent="0.25">
      <c r="A203" s="71"/>
      <c r="B203" s="25"/>
      <c r="C203" s="73" t="s">
        <v>22</v>
      </c>
      <c r="D203" s="7" t="s">
        <v>0</v>
      </c>
      <c r="E203" s="228"/>
      <c r="F203" s="4"/>
      <c r="G203" s="5"/>
      <c r="H203" s="5"/>
      <c r="I203" s="5"/>
      <c r="J203" s="5"/>
      <c r="K203" s="5"/>
      <c r="L203" s="5"/>
      <c r="M203" s="266">
        <f>SUM(M201:M202)</f>
        <v>14227.732749999999</v>
      </c>
      <c r="O203" s="111"/>
    </row>
    <row r="204" spans="1:15" s="84" customFormat="1" x14ac:dyDescent="0.25">
      <c r="A204" s="71"/>
      <c r="B204" s="25">
        <v>0.68</v>
      </c>
      <c r="C204" s="72" t="s">
        <v>85</v>
      </c>
      <c r="D204" s="8" t="s">
        <v>0</v>
      </c>
      <c r="E204" s="230"/>
      <c r="F204" s="4"/>
      <c r="G204" s="4"/>
      <c r="H204" s="4"/>
      <c r="I204" s="4"/>
      <c r="J204" s="4"/>
      <c r="K204" s="4"/>
      <c r="L204" s="4"/>
      <c r="M204" s="246">
        <f>J201*B204</f>
        <v>8553.3213500000002</v>
      </c>
    </row>
    <row r="205" spans="1:15" s="84" customFormat="1" x14ac:dyDescent="0.25">
      <c r="A205" s="71"/>
      <c r="B205" s="25"/>
      <c r="C205" s="73" t="s">
        <v>22</v>
      </c>
      <c r="D205" s="7" t="s">
        <v>0</v>
      </c>
      <c r="E205" s="228"/>
      <c r="F205" s="4"/>
      <c r="G205" s="5"/>
      <c r="H205" s="5"/>
      <c r="I205" s="5"/>
      <c r="J205" s="5"/>
      <c r="K205" s="5"/>
      <c r="L205" s="5"/>
      <c r="M205" s="266">
        <f>SUM(M203:M204)</f>
        <v>22781.054100000001</v>
      </c>
      <c r="O205" s="111"/>
    </row>
    <row r="206" spans="1:15" s="84" customFormat="1" ht="25.5" x14ac:dyDescent="0.25">
      <c r="A206" s="71"/>
      <c r="B206" s="25">
        <v>0.08</v>
      </c>
      <c r="C206" s="72" t="s">
        <v>79</v>
      </c>
      <c r="D206" s="8" t="s">
        <v>0</v>
      </c>
      <c r="E206" s="230"/>
      <c r="F206" s="4"/>
      <c r="G206" s="4"/>
      <c r="H206" s="4"/>
      <c r="I206" s="4"/>
      <c r="J206" s="4"/>
      <c r="K206" s="4"/>
      <c r="L206" s="4"/>
      <c r="M206" s="246">
        <f>(M205-H15)*B206</f>
        <v>1822.4843280000002</v>
      </c>
    </row>
    <row r="207" spans="1:15" s="84" customFormat="1" x14ac:dyDescent="0.25">
      <c r="A207" s="74"/>
      <c r="B207" s="55"/>
      <c r="C207" s="56" t="s">
        <v>24</v>
      </c>
      <c r="D207" s="56" t="s">
        <v>0</v>
      </c>
      <c r="E207" s="57"/>
      <c r="F207" s="58"/>
      <c r="G207" s="59"/>
      <c r="H207" s="59"/>
      <c r="I207" s="59"/>
      <c r="J207" s="59"/>
      <c r="K207" s="59"/>
      <c r="L207" s="59"/>
      <c r="M207" s="247">
        <f>SUM(M205:M206)</f>
        <v>24603.538428</v>
      </c>
      <c r="O207" s="111"/>
    </row>
    <row r="208" spans="1:15" s="84" customFormat="1" x14ac:dyDescent="0.25">
      <c r="A208" s="74"/>
      <c r="B208" s="55"/>
      <c r="C208" s="56" t="s">
        <v>80</v>
      </c>
      <c r="D208" s="56" t="s">
        <v>0</v>
      </c>
      <c r="E208" s="57"/>
      <c r="F208" s="58"/>
      <c r="G208" s="59"/>
      <c r="H208" s="59"/>
      <c r="I208" s="59"/>
      <c r="J208" s="59"/>
      <c r="K208" s="59"/>
      <c r="L208" s="59"/>
      <c r="M208" s="247">
        <f>M15</f>
        <v>0</v>
      </c>
      <c r="O208" s="111"/>
    </row>
    <row r="209" spans="2:16" s="84" customFormat="1" x14ac:dyDescent="0.25">
      <c r="B209" s="22"/>
      <c r="G209" s="112"/>
      <c r="H209" s="112"/>
      <c r="I209" s="112"/>
      <c r="J209" s="112"/>
      <c r="K209" s="112"/>
      <c r="L209" s="112"/>
      <c r="M209" s="113"/>
    </row>
    <row r="210" spans="2:16" s="84" customFormat="1" x14ac:dyDescent="0.25">
      <c r="B210" s="255" t="s">
        <v>466</v>
      </c>
      <c r="C210" s="371" t="s">
        <v>261</v>
      </c>
      <c r="D210" s="371"/>
      <c r="E210" s="371"/>
      <c r="F210" s="371"/>
      <c r="G210" s="371"/>
      <c r="H210" s="371"/>
      <c r="I210" s="371"/>
      <c r="J210" s="371"/>
      <c r="K210" s="371"/>
      <c r="L210" s="371"/>
      <c r="M210" s="125"/>
      <c r="N210" s="106"/>
      <c r="O210" s="106"/>
      <c r="P210" s="106"/>
    </row>
    <row r="211" spans="2:16" s="84" customFormat="1" x14ac:dyDescent="0.25">
      <c r="B211" s="22"/>
      <c r="G211" s="112"/>
      <c r="H211" s="112"/>
      <c r="I211" s="112"/>
      <c r="J211" s="112"/>
      <c r="K211" s="112"/>
      <c r="L211" s="112"/>
      <c r="M211" s="113"/>
    </row>
    <row r="212" spans="2:16" s="84" customFormat="1" x14ac:dyDescent="0.25">
      <c r="B212" s="22"/>
      <c r="G212" s="112"/>
      <c r="H212" s="112"/>
      <c r="I212" s="112"/>
      <c r="J212" s="112"/>
      <c r="K212" s="112"/>
      <c r="L212" s="112"/>
      <c r="M212" s="113"/>
    </row>
    <row r="213" spans="2:16" s="84" customFormat="1" x14ac:dyDescent="0.25">
      <c r="B213" s="23"/>
      <c r="G213" s="112"/>
      <c r="H213" s="112"/>
      <c r="I213" s="112"/>
      <c r="J213" s="112"/>
      <c r="K213" s="112"/>
      <c r="L213" s="112"/>
      <c r="M213" s="113"/>
    </row>
    <row r="214" spans="2:16" s="84" customFormat="1" x14ac:dyDescent="0.25">
      <c r="B214" s="23"/>
      <c r="C214" s="22"/>
      <c r="G214" s="112"/>
      <c r="H214" s="112"/>
      <c r="I214" s="112"/>
      <c r="J214" s="112"/>
      <c r="K214" s="112"/>
      <c r="L214" s="112"/>
      <c r="M214" s="113"/>
    </row>
    <row r="215" spans="2:16" x14ac:dyDescent="0.25">
      <c r="C215" s="240" t="s">
        <v>448</v>
      </c>
      <c r="M215" s="115"/>
    </row>
    <row r="216" spans="2:16" x14ac:dyDescent="0.25">
      <c r="C216" s="116" t="s">
        <v>449</v>
      </c>
      <c r="M216" s="115"/>
    </row>
    <row r="217" spans="2:16" x14ac:dyDescent="0.25">
      <c r="C217" s="23"/>
      <c r="M217" s="115"/>
    </row>
    <row r="218" spans="2:16" x14ac:dyDescent="0.25">
      <c r="C218" s="23"/>
      <c r="M218" s="115"/>
    </row>
    <row r="219" spans="2:16" x14ac:dyDescent="0.25">
      <c r="C219" s="23"/>
      <c r="M219" s="115"/>
    </row>
    <row r="220" spans="2:16" x14ac:dyDescent="0.25">
      <c r="C220" s="23"/>
    </row>
    <row r="221" spans="2:16" x14ac:dyDescent="0.25">
      <c r="C221" s="23"/>
    </row>
    <row r="222" spans="2:16" x14ac:dyDescent="0.25">
      <c r="C222" s="23"/>
    </row>
    <row r="223" spans="2:16" x14ac:dyDescent="0.25">
      <c r="C223" s="23"/>
    </row>
  </sheetData>
  <mergeCells count="20">
    <mergeCell ref="I9:J9"/>
    <mergeCell ref="K9:L9"/>
    <mergeCell ref="M9:M10"/>
    <mergeCell ref="C210:L210"/>
    <mergeCell ref="A7:H7"/>
    <mergeCell ref="J7:M7"/>
    <mergeCell ref="A8:A10"/>
    <mergeCell ref="B8:B10"/>
    <mergeCell ref="C8:C10"/>
    <mergeCell ref="D8:D10"/>
    <mergeCell ref="E8:E10"/>
    <mergeCell ref="F8:F10"/>
    <mergeCell ref="G8:M8"/>
    <mergeCell ref="G9:H9"/>
    <mergeCell ref="A1:M1"/>
    <mergeCell ref="A3:M3"/>
    <mergeCell ref="A4:M4"/>
    <mergeCell ref="A5:M5"/>
    <mergeCell ref="A6:G6"/>
    <mergeCell ref="K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2"/>
  <sheetViews>
    <sheetView view="pageBreakPreview" topLeftCell="A76" zoomScale="60" workbookViewId="0">
      <selection activeCell="P23" sqref="P23"/>
    </sheetView>
  </sheetViews>
  <sheetFormatPr defaultColWidth="9.140625" defaultRowHeight="15" x14ac:dyDescent="0.25"/>
  <cols>
    <col min="1" max="1" width="5.140625" style="87" customWidth="1"/>
    <col min="2" max="2" width="11" style="19" customWidth="1"/>
    <col min="3" max="3" width="46.140625" style="87" customWidth="1"/>
    <col min="4" max="4" width="8.28515625" style="87" customWidth="1"/>
    <col min="5" max="5" width="8.85546875" style="87" customWidth="1"/>
    <col min="6" max="6" width="7.42578125" style="87" customWidth="1"/>
    <col min="7" max="7" width="7.42578125" style="114" customWidth="1"/>
    <col min="8" max="8" width="8.42578125" style="114" customWidth="1"/>
    <col min="9" max="9" width="7.42578125" style="114" customWidth="1"/>
    <col min="10" max="10" width="8.7109375" style="114" customWidth="1"/>
    <col min="11" max="11" width="7.42578125" style="114" customWidth="1"/>
    <col min="12" max="12" width="8.140625" style="114" customWidth="1"/>
    <col min="13" max="13" width="9.42578125" style="87" customWidth="1"/>
    <col min="14" max="16384" width="9.140625" style="87"/>
  </cols>
  <sheetData>
    <row r="1" spans="1:15" s="106" customFormat="1" x14ac:dyDescent="0.25">
      <c r="A1" s="359" t="s">
        <v>96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5" s="106" customFormat="1" ht="12" customHeight="1" x14ac:dyDescent="0.25">
      <c r="A2" s="10"/>
      <c r="B2" s="122"/>
      <c r="C2" s="10"/>
      <c r="D2" s="10"/>
      <c r="E2" s="10"/>
      <c r="F2" s="10"/>
      <c r="G2" s="11"/>
      <c r="H2" s="11"/>
      <c r="I2" s="11"/>
      <c r="J2" s="11"/>
      <c r="K2" s="11"/>
      <c r="L2" s="11"/>
      <c r="M2" s="10"/>
    </row>
    <row r="3" spans="1:15" s="12" customFormat="1" x14ac:dyDescent="0.25">
      <c r="A3" s="360" t="s">
        <v>241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5" s="12" customFormat="1" x14ac:dyDescent="0.25">
      <c r="A4" s="360" t="s">
        <v>110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5" s="12" customFormat="1" ht="15.75" x14ac:dyDescent="0.2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</row>
    <row r="6" spans="1:15" s="15" customFormat="1" ht="12.75" x14ac:dyDescent="0.25">
      <c r="A6" s="362" t="s">
        <v>109</v>
      </c>
      <c r="B6" s="362"/>
      <c r="C6" s="362"/>
      <c r="D6" s="362"/>
      <c r="E6" s="362"/>
      <c r="F6" s="362"/>
      <c r="G6" s="362"/>
      <c r="H6" s="14"/>
      <c r="J6" s="105">
        <f>M128/1000</f>
        <v>6.7531827662207986</v>
      </c>
      <c r="K6" s="363" t="s">
        <v>35</v>
      </c>
      <c r="L6" s="363"/>
      <c r="M6" s="363"/>
    </row>
    <row r="7" spans="1:15" s="106" customFormat="1" x14ac:dyDescent="0.25">
      <c r="A7" s="372" t="s">
        <v>36</v>
      </c>
      <c r="B7" s="373"/>
      <c r="C7" s="373"/>
      <c r="D7" s="373"/>
      <c r="E7" s="373"/>
      <c r="F7" s="373"/>
      <c r="G7" s="373"/>
      <c r="H7" s="373"/>
      <c r="I7" s="107"/>
      <c r="J7" s="368" t="s">
        <v>5</v>
      </c>
      <c r="K7" s="368"/>
      <c r="L7" s="368"/>
      <c r="M7" s="368"/>
    </row>
    <row r="8" spans="1:15" s="106" customFormat="1" x14ac:dyDescent="0.25">
      <c r="A8" s="364" t="s">
        <v>1</v>
      </c>
      <c r="B8" s="369" t="s">
        <v>262</v>
      </c>
      <c r="C8" s="364" t="s">
        <v>6</v>
      </c>
      <c r="D8" s="370" t="s">
        <v>7</v>
      </c>
      <c r="E8" s="365" t="s">
        <v>263</v>
      </c>
      <c r="F8" s="366" t="s">
        <v>8</v>
      </c>
      <c r="G8" s="364" t="s">
        <v>9</v>
      </c>
      <c r="H8" s="364"/>
      <c r="I8" s="364"/>
      <c r="J8" s="364"/>
      <c r="K8" s="364"/>
      <c r="L8" s="364"/>
      <c r="M8" s="364"/>
      <c r="N8" s="108"/>
    </row>
    <row r="9" spans="1:15" s="106" customFormat="1" ht="18" customHeight="1" x14ac:dyDescent="0.25">
      <c r="A9" s="364"/>
      <c r="B9" s="369"/>
      <c r="C9" s="364"/>
      <c r="D9" s="370"/>
      <c r="E9" s="365"/>
      <c r="F9" s="366"/>
      <c r="G9" s="364" t="s">
        <v>10</v>
      </c>
      <c r="H9" s="364"/>
      <c r="I9" s="364" t="s">
        <v>11</v>
      </c>
      <c r="J9" s="364"/>
      <c r="K9" s="365" t="s">
        <v>12</v>
      </c>
      <c r="L9" s="365"/>
      <c r="M9" s="366" t="s">
        <v>13</v>
      </c>
      <c r="N9" s="108"/>
    </row>
    <row r="10" spans="1:15" s="106" customFormat="1" x14ac:dyDescent="0.25">
      <c r="A10" s="364"/>
      <c r="B10" s="369"/>
      <c r="C10" s="364"/>
      <c r="D10" s="370"/>
      <c r="E10" s="365"/>
      <c r="F10" s="366"/>
      <c r="G10" s="124" t="s">
        <v>14</v>
      </c>
      <c r="H10" s="124" t="s">
        <v>15</v>
      </c>
      <c r="I10" s="124" t="s">
        <v>14</v>
      </c>
      <c r="J10" s="124" t="s">
        <v>15</v>
      </c>
      <c r="K10" s="124" t="s">
        <v>14</v>
      </c>
      <c r="L10" s="124" t="s">
        <v>15</v>
      </c>
      <c r="M10" s="366"/>
      <c r="N10" s="108"/>
    </row>
    <row r="11" spans="1:15" s="2" customFormat="1" ht="12" x14ac:dyDescent="0.25">
      <c r="A11" s="26" t="s">
        <v>264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1"/>
      <c r="O11" s="1"/>
    </row>
    <row r="12" spans="1:15" s="36" customFormat="1" ht="14.25" x14ac:dyDescent="0.2">
      <c r="A12" s="21"/>
      <c r="B12" s="126"/>
      <c r="C12" s="76" t="s">
        <v>117</v>
      </c>
      <c r="D12" s="79"/>
      <c r="E12" s="16"/>
      <c r="F12" s="27"/>
      <c r="G12" s="17"/>
      <c r="H12" s="17"/>
      <c r="I12" s="17"/>
      <c r="J12" s="17"/>
      <c r="K12" s="17"/>
      <c r="L12" s="17"/>
      <c r="M12" s="16"/>
    </row>
    <row r="13" spans="1:15" s="36" customFormat="1" ht="24" x14ac:dyDescent="0.2">
      <c r="A13" s="21">
        <v>1</v>
      </c>
      <c r="B13" s="131" t="s">
        <v>280</v>
      </c>
      <c r="C13" s="65" t="s">
        <v>165</v>
      </c>
      <c r="D13" s="67" t="s">
        <v>108</v>
      </c>
      <c r="E13" s="16"/>
      <c r="F13" s="31">
        <v>0.02</v>
      </c>
      <c r="G13" s="133">
        <f>H13/F13</f>
        <v>0</v>
      </c>
      <c r="H13" s="133">
        <f>SUM(H15:H16)</f>
        <v>0</v>
      </c>
      <c r="I13" s="133">
        <f>J13/F13</f>
        <v>867.98250000000007</v>
      </c>
      <c r="J13" s="133">
        <f>SUM(J15:J16)</f>
        <v>17.359650000000002</v>
      </c>
      <c r="K13" s="133">
        <f>L13/F13</f>
        <v>303.93440000000004</v>
      </c>
      <c r="L13" s="133">
        <f>SUM(L15:L16)</f>
        <v>6.0786880000000005</v>
      </c>
      <c r="M13" s="133">
        <f>SUM(M15:M16)</f>
        <v>23.438338000000002</v>
      </c>
      <c r="O13" s="130"/>
    </row>
    <row r="14" spans="1:15" s="19" customFormat="1" ht="22.5" x14ac:dyDescent="0.25">
      <c r="A14" s="37"/>
      <c r="B14" s="160" t="s">
        <v>281</v>
      </c>
      <c r="C14" s="135" t="s">
        <v>266</v>
      </c>
      <c r="D14" s="136"/>
      <c r="E14" s="38"/>
      <c r="F14" s="39"/>
      <c r="G14" s="38"/>
      <c r="H14" s="38"/>
      <c r="I14" s="38"/>
      <c r="J14" s="38"/>
      <c r="K14" s="38"/>
      <c r="L14" s="161"/>
      <c r="M14" s="39"/>
      <c r="O14" s="130"/>
    </row>
    <row r="15" spans="1:15" s="44" customFormat="1" ht="14.25" x14ac:dyDescent="0.2">
      <c r="A15" s="140"/>
      <c r="B15" s="141"/>
      <c r="C15" s="40" t="s">
        <v>531</v>
      </c>
      <c r="D15" s="67" t="s">
        <v>283</v>
      </c>
      <c r="E15" s="164">
        <f>100.2*1.75*1.1</f>
        <v>192.88500000000002</v>
      </c>
      <c r="F15" s="41">
        <f>E15*F13</f>
        <v>3.8577000000000004</v>
      </c>
      <c r="G15" s="42">
        <v>0</v>
      </c>
      <c r="H15" s="42">
        <f>F15*G15</f>
        <v>0</v>
      </c>
      <c r="I15" s="42">
        <f>3.6*1.25</f>
        <v>4.5</v>
      </c>
      <c r="J15" s="42">
        <f>F15*I15</f>
        <v>17.359650000000002</v>
      </c>
      <c r="K15" s="38">
        <v>0</v>
      </c>
      <c r="L15" s="38">
        <f>F15*K15</f>
        <v>0</v>
      </c>
      <c r="M15" s="43">
        <f>H15+J15+L15</f>
        <v>17.359650000000002</v>
      </c>
      <c r="O15" s="130"/>
    </row>
    <row r="16" spans="1:15" s="146" customFormat="1" x14ac:dyDescent="0.2">
      <c r="A16" s="45"/>
      <c r="B16" s="85"/>
      <c r="C16" s="142" t="s">
        <v>532</v>
      </c>
      <c r="D16" s="67" t="s">
        <v>18</v>
      </c>
      <c r="E16" s="38">
        <f>49.34*1.75*1.1</f>
        <v>94.979500000000002</v>
      </c>
      <c r="F16" s="38">
        <f>F13*E16</f>
        <v>1.8995900000000001</v>
      </c>
      <c r="G16" s="42">
        <v>0</v>
      </c>
      <c r="H16" s="42">
        <f>F16*G16</f>
        <v>0</v>
      </c>
      <c r="I16" s="42">
        <v>0</v>
      </c>
      <c r="J16" s="42">
        <f>F16*I16</f>
        <v>0</v>
      </c>
      <c r="K16" s="38">
        <v>3.2</v>
      </c>
      <c r="L16" s="38">
        <f>F16*K16</f>
        <v>6.0786880000000005</v>
      </c>
      <c r="M16" s="43">
        <f>H16+J16+L16</f>
        <v>6.0786880000000005</v>
      </c>
      <c r="O16" s="130"/>
    </row>
    <row r="17" spans="1:15" ht="15.75" thickBot="1" x14ac:dyDescent="0.3">
      <c r="A17" s="148"/>
      <c r="B17" s="149"/>
      <c r="C17" s="149"/>
      <c r="D17" s="150"/>
      <c r="E17" s="151"/>
      <c r="F17" s="151"/>
      <c r="G17" s="151"/>
      <c r="H17" s="151"/>
      <c r="I17" s="151"/>
      <c r="J17" s="151"/>
      <c r="K17" s="151"/>
      <c r="L17" s="151"/>
      <c r="M17" s="152"/>
      <c r="O17" s="130"/>
    </row>
    <row r="18" spans="1:15" s="36" customFormat="1" ht="24" x14ac:dyDescent="0.2">
      <c r="A18" s="21">
        <v>2</v>
      </c>
      <c r="B18" s="131" t="s">
        <v>533</v>
      </c>
      <c r="C18" s="65" t="s">
        <v>111</v>
      </c>
      <c r="D18" s="67" t="s">
        <v>19</v>
      </c>
      <c r="E18" s="16"/>
      <c r="F18" s="31">
        <v>5</v>
      </c>
      <c r="G18" s="133">
        <f>H18/F18</f>
        <v>228.00799999999998</v>
      </c>
      <c r="H18" s="133">
        <f>SUM(H20:H25)</f>
        <v>1140.04</v>
      </c>
      <c r="I18" s="133">
        <f>J18/F18</f>
        <v>37.5</v>
      </c>
      <c r="J18" s="133">
        <f>SUM(J20:J25)</f>
        <v>187.5</v>
      </c>
      <c r="K18" s="133">
        <f>L18/F18</f>
        <v>0.55015999999999998</v>
      </c>
      <c r="L18" s="133">
        <f>SUM(L20:L25)</f>
        <v>2.7507999999999999</v>
      </c>
      <c r="M18" s="133">
        <f>SUM(M20:M25)</f>
        <v>1330.2908</v>
      </c>
      <c r="O18" s="130"/>
    </row>
    <row r="19" spans="1:15" s="19" customFormat="1" x14ac:dyDescent="0.25">
      <c r="A19" s="37"/>
      <c r="B19" s="134"/>
      <c r="C19" s="135" t="s">
        <v>266</v>
      </c>
      <c r="D19" s="136"/>
      <c r="E19" s="38"/>
      <c r="F19" s="39"/>
      <c r="G19" s="38"/>
      <c r="H19" s="38"/>
      <c r="I19" s="38"/>
      <c r="J19" s="38"/>
      <c r="K19" s="38"/>
      <c r="L19" s="161"/>
      <c r="M19" s="39"/>
      <c r="O19" s="130"/>
    </row>
    <row r="20" spans="1:15" s="44" customFormat="1" ht="14.25" x14ac:dyDescent="0.2">
      <c r="A20" s="140"/>
      <c r="B20" s="141" t="s">
        <v>277</v>
      </c>
      <c r="C20" s="40" t="s">
        <v>457</v>
      </c>
      <c r="D20" s="67" t="s">
        <v>19</v>
      </c>
      <c r="E20" s="164">
        <v>1</v>
      </c>
      <c r="F20" s="41">
        <f>E20*F18</f>
        <v>5</v>
      </c>
      <c r="G20" s="42">
        <v>0</v>
      </c>
      <c r="H20" s="42">
        <f t="shared" ref="H20:H25" si="0">F20*G20</f>
        <v>0</v>
      </c>
      <c r="I20" s="42">
        <f>30*1.25</f>
        <v>37.5</v>
      </c>
      <c r="J20" s="42">
        <f t="shared" ref="J20:J25" si="1">F20*I20</f>
        <v>187.5</v>
      </c>
      <c r="K20" s="38">
        <v>0</v>
      </c>
      <c r="L20" s="38">
        <f t="shared" ref="L20:L25" si="2">F20*K20</f>
        <v>0</v>
      </c>
      <c r="M20" s="43">
        <f t="shared" ref="M20:M25" si="3">H20+J20+L20</f>
        <v>187.5</v>
      </c>
      <c r="O20" s="130"/>
    </row>
    <row r="21" spans="1:15" s="146" customFormat="1" x14ac:dyDescent="0.2">
      <c r="A21" s="45"/>
      <c r="B21" s="85"/>
      <c r="C21" s="142" t="s">
        <v>452</v>
      </c>
      <c r="D21" s="67" t="s">
        <v>18</v>
      </c>
      <c r="E21" s="38">
        <f>0.13*1.15*1.15</f>
        <v>0.17192499999999997</v>
      </c>
      <c r="F21" s="38">
        <f>F18*E21</f>
        <v>0.85962499999999986</v>
      </c>
      <c r="G21" s="42">
        <v>0</v>
      </c>
      <c r="H21" s="42">
        <f t="shared" si="0"/>
        <v>0</v>
      </c>
      <c r="I21" s="42">
        <v>0</v>
      </c>
      <c r="J21" s="42">
        <f t="shared" si="1"/>
        <v>0</v>
      </c>
      <c r="K21" s="38">
        <v>3.2</v>
      </c>
      <c r="L21" s="38">
        <f t="shared" si="2"/>
        <v>2.7507999999999999</v>
      </c>
      <c r="M21" s="43">
        <f t="shared" si="3"/>
        <v>2.7507999999999999</v>
      </c>
      <c r="O21" s="130"/>
    </row>
    <row r="22" spans="1:15" s="146" customFormat="1" x14ac:dyDescent="0.2">
      <c r="A22" s="193"/>
      <c r="B22" s="267" t="s">
        <v>534</v>
      </c>
      <c r="C22" s="166" t="s">
        <v>535</v>
      </c>
      <c r="D22" s="167" t="s">
        <v>16</v>
      </c>
      <c r="E22" s="268"/>
      <c r="F22" s="268">
        <v>4</v>
      </c>
      <c r="G22" s="42">
        <v>200</v>
      </c>
      <c r="H22" s="42">
        <f t="shared" si="0"/>
        <v>800</v>
      </c>
      <c r="I22" s="42">
        <v>0</v>
      </c>
      <c r="J22" s="42">
        <f t="shared" si="1"/>
        <v>0</v>
      </c>
      <c r="K22" s="38">
        <v>0</v>
      </c>
      <c r="L22" s="38">
        <f t="shared" si="2"/>
        <v>0</v>
      </c>
      <c r="M22" s="43">
        <f t="shared" si="3"/>
        <v>800</v>
      </c>
      <c r="O22" s="130"/>
    </row>
    <row r="23" spans="1:15" s="146" customFormat="1" ht="25.5" x14ac:dyDescent="0.2">
      <c r="A23" s="193"/>
      <c r="B23" s="194"/>
      <c r="C23" s="166" t="s">
        <v>536</v>
      </c>
      <c r="D23" s="167" t="s">
        <v>16</v>
      </c>
      <c r="E23" s="268"/>
      <c r="F23" s="268">
        <v>1</v>
      </c>
      <c r="G23" s="170">
        <v>250</v>
      </c>
      <c r="H23" s="42">
        <f t="shared" si="0"/>
        <v>250</v>
      </c>
      <c r="I23" s="42">
        <v>0</v>
      </c>
      <c r="J23" s="42">
        <f t="shared" si="1"/>
        <v>0</v>
      </c>
      <c r="K23" s="38">
        <v>0</v>
      </c>
      <c r="L23" s="38">
        <f t="shared" si="2"/>
        <v>0</v>
      </c>
      <c r="M23" s="43">
        <f t="shared" si="3"/>
        <v>250</v>
      </c>
      <c r="O23" s="130"/>
    </row>
    <row r="24" spans="1:15" s="146" customFormat="1" x14ac:dyDescent="0.2">
      <c r="A24" s="193"/>
      <c r="B24" s="194"/>
      <c r="C24" s="166" t="s">
        <v>537</v>
      </c>
      <c r="D24" s="167" t="s">
        <v>19</v>
      </c>
      <c r="E24" s="268">
        <v>1</v>
      </c>
      <c r="F24" s="268">
        <f>F18*E24</f>
        <v>5</v>
      </c>
      <c r="G24" s="42">
        <v>15</v>
      </c>
      <c r="H24" s="42">
        <f t="shared" si="0"/>
        <v>75</v>
      </c>
      <c r="I24" s="42">
        <v>0</v>
      </c>
      <c r="J24" s="42">
        <f t="shared" si="1"/>
        <v>0</v>
      </c>
      <c r="K24" s="38">
        <v>0</v>
      </c>
      <c r="L24" s="38">
        <f t="shared" si="2"/>
        <v>0</v>
      </c>
      <c r="M24" s="43">
        <f t="shared" si="3"/>
        <v>75</v>
      </c>
      <c r="O24" s="130"/>
    </row>
    <row r="25" spans="1:15" s="146" customFormat="1" x14ac:dyDescent="0.2">
      <c r="A25" s="193"/>
      <c r="B25" s="194"/>
      <c r="C25" s="166" t="s">
        <v>295</v>
      </c>
      <c r="D25" s="167" t="s">
        <v>19</v>
      </c>
      <c r="E25" s="268">
        <v>0.94</v>
      </c>
      <c r="F25" s="268">
        <f>F18*E25</f>
        <v>4.6999999999999993</v>
      </c>
      <c r="G25" s="42">
        <v>3.2</v>
      </c>
      <c r="H25" s="42">
        <f t="shared" si="0"/>
        <v>15.04</v>
      </c>
      <c r="I25" s="42">
        <v>0</v>
      </c>
      <c r="J25" s="42">
        <f t="shared" si="1"/>
        <v>0</v>
      </c>
      <c r="K25" s="38">
        <v>0</v>
      </c>
      <c r="L25" s="38">
        <f t="shared" si="2"/>
        <v>0</v>
      </c>
      <c r="M25" s="43">
        <f t="shared" si="3"/>
        <v>15.04</v>
      </c>
      <c r="O25" s="130"/>
    </row>
    <row r="26" spans="1:15" ht="15.75" thickBot="1" x14ac:dyDescent="0.3">
      <c r="A26" s="148"/>
      <c r="B26" s="149"/>
      <c r="C26" s="149"/>
      <c r="D26" s="150"/>
      <c r="E26" s="151"/>
      <c r="F26" s="151"/>
      <c r="G26" s="151"/>
      <c r="H26" s="151"/>
      <c r="I26" s="151"/>
      <c r="J26" s="151"/>
      <c r="K26" s="151"/>
      <c r="L26" s="151"/>
      <c r="M26" s="152"/>
      <c r="O26" s="130"/>
    </row>
    <row r="27" spans="1:15" s="36" customFormat="1" ht="24" x14ac:dyDescent="0.2">
      <c r="A27" s="21">
        <v>3</v>
      </c>
      <c r="B27" s="131" t="s">
        <v>538</v>
      </c>
      <c r="C27" s="65" t="s">
        <v>112</v>
      </c>
      <c r="D27" s="67" t="s">
        <v>16</v>
      </c>
      <c r="E27" s="16"/>
      <c r="F27" s="31">
        <v>2</v>
      </c>
      <c r="G27" s="133">
        <f>H27/F27</f>
        <v>70.896000000000001</v>
      </c>
      <c r="H27" s="133">
        <f>SUM(H29:H32)</f>
        <v>141.792</v>
      </c>
      <c r="I27" s="133">
        <f>J27/F27</f>
        <v>37.5</v>
      </c>
      <c r="J27" s="133">
        <f>SUM(J29:J32)</f>
        <v>75</v>
      </c>
      <c r="K27" s="133">
        <f>L27/F27</f>
        <v>0.21159999999999998</v>
      </c>
      <c r="L27" s="133">
        <f>SUM(L29:L32)</f>
        <v>0.42319999999999997</v>
      </c>
      <c r="M27" s="133">
        <f>SUM(M29:M32)</f>
        <v>217.21520000000001</v>
      </c>
      <c r="O27" s="130"/>
    </row>
    <row r="28" spans="1:15" s="19" customFormat="1" x14ac:dyDescent="0.25">
      <c r="A28" s="37"/>
      <c r="B28" s="134"/>
      <c r="C28" s="135" t="s">
        <v>266</v>
      </c>
      <c r="D28" s="136"/>
      <c r="E28" s="38"/>
      <c r="F28" s="39"/>
      <c r="G28" s="38"/>
      <c r="H28" s="38"/>
      <c r="I28" s="38"/>
      <c r="J28" s="38"/>
      <c r="K28" s="38"/>
      <c r="L28" s="161"/>
      <c r="M28" s="39"/>
      <c r="O28" s="130"/>
    </row>
    <row r="29" spans="1:15" s="44" customFormat="1" ht="14.25" x14ac:dyDescent="0.2">
      <c r="A29" s="140"/>
      <c r="B29" s="141" t="s">
        <v>277</v>
      </c>
      <c r="C29" s="40" t="s">
        <v>457</v>
      </c>
      <c r="D29" s="67" t="s">
        <v>19</v>
      </c>
      <c r="E29" s="164">
        <v>1</v>
      </c>
      <c r="F29" s="41">
        <f>E29*F27</f>
        <v>2</v>
      </c>
      <c r="G29" s="42">
        <v>0</v>
      </c>
      <c r="H29" s="42">
        <f>F29*G29</f>
        <v>0</v>
      </c>
      <c r="I29" s="42">
        <f>30*1.25</f>
        <v>37.5</v>
      </c>
      <c r="J29" s="42">
        <f>F29*I29</f>
        <v>75</v>
      </c>
      <c r="K29" s="38">
        <v>0</v>
      </c>
      <c r="L29" s="38">
        <f>F29*K29</f>
        <v>0</v>
      </c>
      <c r="M29" s="43">
        <f>H29+J29+L29</f>
        <v>75</v>
      </c>
      <c r="O29" s="130"/>
    </row>
    <row r="30" spans="1:15" s="146" customFormat="1" x14ac:dyDescent="0.2">
      <c r="A30" s="45"/>
      <c r="B30" s="85"/>
      <c r="C30" s="142" t="s">
        <v>452</v>
      </c>
      <c r="D30" s="67" t="s">
        <v>18</v>
      </c>
      <c r="E30" s="38">
        <f>0.05*1.15*1.15</f>
        <v>6.6124999999999989E-2</v>
      </c>
      <c r="F30" s="38">
        <f>F27*E30</f>
        <v>0.13224999999999998</v>
      </c>
      <c r="G30" s="42">
        <v>0</v>
      </c>
      <c r="H30" s="42">
        <f>F30*G30</f>
        <v>0</v>
      </c>
      <c r="I30" s="42">
        <v>0</v>
      </c>
      <c r="J30" s="42">
        <f>F30*I30</f>
        <v>0</v>
      </c>
      <c r="K30" s="38">
        <v>3.2</v>
      </c>
      <c r="L30" s="38">
        <f>F30*K30</f>
        <v>0.42319999999999997</v>
      </c>
      <c r="M30" s="43">
        <f>H30+J30+L30</f>
        <v>0.42319999999999997</v>
      </c>
      <c r="O30" s="130"/>
    </row>
    <row r="31" spans="1:15" s="146" customFormat="1" x14ac:dyDescent="0.2">
      <c r="A31" s="193"/>
      <c r="B31" s="267" t="s">
        <v>539</v>
      </c>
      <c r="C31" s="166" t="s">
        <v>540</v>
      </c>
      <c r="D31" s="167" t="s">
        <v>16</v>
      </c>
      <c r="E31" s="268">
        <v>1</v>
      </c>
      <c r="F31" s="268">
        <f>F27*E31</f>
        <v>2</v>
      </c>
      <c r="G31" s="42">
        <v>70</v>
      </c>
      <c r="H31" s="42">
        <f>F31*G31</f>
        <v>140</v>
      </c>
      <c r="I31" s="42">
        <v>0</v>
      </c>
      <c r="J31" s="42">
        <f>F31*I31</f>
        <v>0</v>
      </c>
      <c r="K31" s="38">
        <v>0</v>
      </c>
      <c r="L31" s="38">
        <f>F31*K31</f>
        <v>0</v>
      </c>
      <c r="M31" s="43">
        <f>H31+J31+L31</f>
        <v>140</v>
      </c>
      <c r="O31" s="130"/>
    </row>
    <row r="32" spans="1:15" s="146" customFormat="1" x14ac:dyDescent="0.2">
      <c r="A32" s="193"/>
      <c r="B32" s="194"/>
      <c r="C32" s="166" t="s">
        <v>295</v>
      </c>
      <c r="D32" s="167" t="s">
        <v>19</v>
      </c>
      <c r="E32" s="268">
        <v>0.28000000000000003</v>
      </c>
      <c r="F32" s="268">
        <f>F27*E32</f>
        <v>0.56000000000000005</v>
      </c>
      <c r="G32" s="42">
        <v>3.2</v>
      </c>
      <c r="H32" s="42">
        <f>F32*G32</f>
        <v>1.7920000000000003</v>
      </c>
      <c r="I32" s="42">
        <v>0</v>
      </c>
      <c r="J32" s="42">
        <f>F32*I32</f>
        <v>0</v>
      </c>
      <c r="K32" s="38">
        <v>0</v>
      </c>
      <c r="L32" s="38">
        <f>F32*K32</f>
        <v>0</v>
      </c>
      <c r="M32" s="43">
        <f>H32+J32+L32</f>
        <v>1.7920000000000003</v>
      </c>
      <c r="O32" s="130"/>
    </row>
    <row r="33" spans="1:15" ht="15.75" thickBot="1" x14ac:dyDescent="0.3">
      <c r="A33" s="148"/>
      <c r="B33" s="149"/>
      <c r="C33" s="149"/>
      <c r="D33" s="150"/>
      <c r="E33" s="151"/>
      <c r="F33" s="151"/>
      <c r="G33" s="151"/>
      <c r="H33" s="151"/>
      <c r="I33" s="151"/>
      <c r="J33" s="151"/>
      <c r="K33" s="151"/>
      <c r="L33" s="151"/>
      <c r="M33" s="152"/>
      <c r="O33" s="130"/>
    </row>
    <row r="34" spans="1:15" s="36" customFormat="1" ht="24" x14ac:dyDescent="0.2">
      <c r="A34" s="21">
        <v>4</v>
      </c>
      <c r="B34" s="131" t="s">
        <v>541</v>
      </c>
      <c r="C34" s="65" t="s">
        <v>113</v>
      </c>
      <c r="D34" s="67" t="s">
        <v>16</v>
      </c>
      <c r="E34" s="16"/>
      <c r="F34" s="31">
        <v>7</v>
      </c>
      <c r="G34" s="133">
        <f>H34/F34</f>
        <v>110.91428571428573</v>
      </c>
      <c r="H34" s="133">
        <f>SUM(H36:H40)</f>
        <v>776.40000000000009</v>
      </c>
      <c r="I34" s="133">
        <f>J34/F34</f>
        <v>37.5</v>
      </c>
      <c r="J34" s="133">
        <f>SUM(J36:J40)</f>
        <v>262.5</v>
      </c>
      <c r="K34" s="133">
        <f>L34/F34</f>
        <v>0.25391999999999998</v>
      </c>
      <c r="L34" s="133">
        <f>SUM(L36:L40)</f>
        <v>1.7774399999999997</v>
      </c>
      <c r="M34" s="133">
        <f>SUM(M36:M40)</f>
        <v>1040.6774400000002</v>
      </c>
      <c r="O34" s="130"/>
    </row>
    <row r="35" spans="1:15" s="19" customFormat="1" x14ac:dyDescent="0.25">
      <c r="A35" s="37"/>
      <c r="B35" s="134"/>
      <c r="C35" s="135" t="s">
        <v>266</v>
      </c>
      <c r="D35" s="136"/>
      <c r="E35" s="38"/>
      <c r="F35" s="39"/>
      <c r="G35" s="38"/>
      <c r="H35" s="38"/>
      <c r="I35" s="38"/>
      <c r="J35" s="38"/>
      <c r="K35" s="38"/>
      <c r="L35" s="161"/>
      <c r="M35" s="39"/>
      <c r="O35" s="130"/>
    </row>
    <row r="36" spans="1:15" s="44" customFormat="1" ht="14.25" x14ac:dyDescent="0.2">
      <c r="A36" s="140"/>
      <c r="B36" s="141" t="s">
        <v>277</v>
      </c>
      <c r="C36" s="40" t="s">
        <v>457</v>
      </c>
      <c r="D36" s="67" t="s">
        <v>19</v>
      </c>
      <c r="E36" s="164">
        <v>1</v>
      </c>
      <c r="F36" s="41">
        <f>E36*F34</f>
        <v>7</v>
      </c>
      <c r="G36" s="42">
        <v>0</v>
      </c>
      <c r="H36" s="42">
        <f>F36*G36</f>
        <v>0</v>
      </c>
      <c r="I36" s="42">
        <f>30*1.25</f>
        <v>37.5</v>
      </c>
      <c r="J36" s="42">
        <f>F36*I36</f>
        <v>262.5</v>
      </c>
      <c r="K36" s="38">
        <v>0</v>
      </c>
      <c r="L36" s="38">
        <f>F36*K36</f>
        <v>0</v>
      </c>
      <c r="M36" s="43">
        <f>H36+J36+L36</f>
        <v>262.5</v>
      </c>
      <c r="O36" s="130"/>
    </row>
    <row r="37" spans="1:15" s="146" customFormat="1" x14ac:dyDescent="0.2">
      <c r="A37" s="45"/>
      <c r="B37" s="85"/>
      <c r="C37" s="142" t="s">
        <v>452</v>
      </c>
      <c r="D37" s="67" t="s">
        <v>18</v>
      </c>
      <c r="E37" s="38">
        <f>0.06*1.15*1.15</f>
        <v>7.934999999999999E-2</v>
      </c>
      <c r="F37" s="38">
        <f>F34*E37</f>
        <v>0.55544999999999989</v>
      </c>
      <c r="G37" s="42">
        <v>0</v>
      </c>
      <c r="H37" s="42">
        <f>F37*G37</f>
        <v>0</v>
      </c>
      <c r="I37" s="42">
        <v>0</v>
      </c>
      <c r="J37" s="42">
        <f>F37*I37</f>
        <v>0</v>
      </c>
      <c r="K37" s="38">
        <v>3.2</v>
      </c>
      <c r="L37" s="38">
        <f>F37*K37</f>
        <v>1.7774399999999997</v>
      </c>
      <c r="M37" s="43">
        <f>H37+J37+L37</f>
        <v>1.7774399999999997</v>
      </c>
      <c r="O37" s="130"/>
    </row>
    <row r="38" spans="1:15" s="146" customFormat="1" x14ac:dyDescent="0.2">
      <c r="A38" s="193"/>
      <c r="B38" s="267" t="s">
        <v>542</v>
      </c>
      <c r="C38" s="166" t="s">
        <v>543</v>
      </c>
      <c r="D38" s="167" t="s">
        <v>16</v>
      </c>
      <c r="E38" s="268">
        <v>1</v>
      </c>
      <c r="F38" s="268">
        <f>F34*E38</f>
        <v>7</v>
      </c>
      <c r="G38" s="170">
        <v>110</v>
      </c>
      <c r="H38" s="42">
        <f>F38*G38</f>
        <v>770</v>
      </c>
      <c r="I38" s="42">
        <v>0</v>
      </c>
      <c r="J38" s="42">
        <f>F38*I38</f>
        <v>0</v>
      </c>
      <c r="K38" s="38">
        <v>0</v>
      </c>
      <c r="L38" s="38">
        <f>F38*K38</f>
        <v>0</v>
      </c>
      <c r="M38" s="43">
        <f>H38+J38+L38</f>
        <v>770</v>
      </c>
      <c r="O38" s="130"/>
    </row>
    <row r="39" spans="1:15" s="146" customFormat="1" x14ac:dyDescent="0.2">
      <c r="A39" s="193"/>
      <c r="B39" s="194"/>
      <c r="C39" s="166" t="s">
        <v>544</v>
      </c>
      <c r="D39" s="167" t="s">
        <v>19</v>
      </c>
      <c r="E39" s="268">
        <v>1</v>
      </c>
      <c r="F39" s="268">
        <f>E39*F34</f>
        <v>7</v>
      </c>
      <c r="G39" s="170">
        <v>10</v>
      </c>
      <c r="H39" s="42">
        <v>3.2</v>
      </c>
      <c r="I39" s="42">
        <v>0</v>
      </c>
      <c r="J39" s="42">
        <f>F39*I39</f>
        <v>0</v>
      </c>
      <c r="K39" s="38">
        <v>0</v>
      </c>
      <c r="L39" s="38">
        <f>F39*K39</f>
        <v>0</v>
      </c>
      <c r="M39" s="43">
        <f>H39+J39+L39</f>
        <v>3.2</v>
      </c>
      <c r="O39" s="130"/>
    </row>
    <row r="40" spans="1:15" s="146" customFormat="1" x14ac:dyDescent="0.2">
      <c r="A40" s="193"/>
      <c r="B40" s="194"/>
      <c r="C40" s="166" t="s">
        <v>295</v>
      </c>
      <c r="D40" s="167" t="s">
        <v>19</v>
      </c>
      <c r="E40" s="268">
        <v>0.28999999999999998</v>
      </c>
      <c r="F40" s="268">
        <f>F34*E40</f>
        <v>2.0299999999999998</v>
      </c>
      <c r="G40" s="42">
        <v>3.2</v>
      </c>
      <c r="H40" s="42">
        <v>3.2</v>
      </c>
      <c r="I40" s="42">
        <v>0</v>
      </c>
      <c r="J40" s="42">
        <f>F40*I40</f>
        <v>0</v>
      </c>
      <c r="K40" s="38">
        <v>0</v>
      </c>
      <c r="L40" s="38">
        <f>F40*K40</f>
        <v>0</v>
      </c>
      <c r="M40" s="43">
        <f>H40+J40+L40</f>
        <v>3.2</v>
      </c>
      <c r="O40" s="130"/>
    </row>
    <row r="41" spans="1:15" ht="15.75" thickBot="1" x14ac:dyDescent="0.3">
      <c r="A41" s="148"/>
      <c r="B41" s="149"/>
      <c r="C41" s="149"/>
      <c r="D41" s="150"/>
      <c r="E41" s="151"/>
      <c r="F41" s="151"/>
      <c r="G41" s="151"/>
      <c r="H41" s="151"/>
      <c r="I41" s="151"/>
      <c r="J41" s="151"/>
      <c r="K41" s="151"/>
      <c r="L41" s="151"/>
      <c r="M41" s="152"/>
      <c r="O41" s="130"/>
    </row>
    <row r="42" spans="1:15" s="36" customFormat="1" ht="24" x14ac:dyDescent="0.2">
      <c r="A42" s="21">
        <v>5</v>
      </c>
      <c r="B42" s="131" t="s">
        <v>545</v>
      </c>
      <c r="C42" s="65" t="s">
        <v>114</v>
      </c>
      <c r="D42" s="67" t="s">
        <v>16</v>
      </c>
      <c r="E42" s="16"/>
      <c r="F42" s="31">
        <v>3</v>
      </c>
      <c r="G42" s="133">
        <f>H42/F42</f>
        <v>13.066666666666668</v>
      </c>
      <c r="H42" s="133">
        <f>SUM(H44:H47)</f>
        <v>39.200000000000003</v>
      </c>
      <c r="I42" s="133">
        <f>J42/F42</f>
        <v>15</v>
      </c>
      <c r="J42" s="133">
        <f>SUM(J44:J47)</f>
        <v>45</v>
      </c>
      <c r="K42" s="133">
        <f>L42/F42</f>
        <v>0.12695999999999999</v>
      </c>
      <c r="L42" s="133">
        <f>SUM(L44:L47)</f>
        <v>0.38088</v>
      </c>
      <c r="M42" s="133">
        <f>SUM(M44:M47)</f>
        <v>84.580879999999993</v>
      </c>
      <c r="O42" s="130"/>
    </row>
    <row r="43" spans="1:15" s="19" customFormat="1" x14ac:dyDescent="0.25">
      <c r="A43" s="37"/>
      <c r="B43" s="134"/>
      <c r="C43" s="135" t="s">
        <v>266</v>
      </c>
      <c r="D43" s="136"/>
      <c r="E43" s="38"/>
      <c r="F43" s="39"/>
      <c r="G43" s="38"/>
      <c r="H43" s="38"/>
      <c r="I43" s="38"/>
      <c r="J43" s="38"/>
      <c r="K43" s="38"/>
      <c r="L43" s="161"/>
      <c r="M43" s="39"/>
      <c r="O43" s="130"/>
    </row>
    <row r="44" spans="1:15" s="44" customFormat="1" ht="14.25" x14ac:dyDescent="0.2">
      <c r="A44" s="140"/>
      <c r="B44" s="141" t="s">
        <v>277</v>
      </c>
      <c r="C44" s="40" t="s">
        <v>457</v>
      </c>
      <c r="D44" s="67" t="s">
        <v>19</v>
      </c>
      <c r="E44" s="164">
        <v>1</v>
      </c>
      <c r="F44" s="41">
        <f>E44*F42</f>
        <v>3</v>
      </c>
      <c r="G44" s="42">
        <v>0</v>
      </c>
      <c r="H44" s="42">
        <f>F44*G44</f>
        <v>0</v>
      </c>
      <c r="I44" s="42">
        <f>12*1.25</f>
        <v>15</v>
      </c>
      <c r="J44" s="42">
        <f>F44*I44</f>
        <v>45</v>
      </c>
      <c r="K44" s="38">
        <v>0</v>
      </c>
      <c r="L44" s="38">
        <f>F44*K44</f>
        <v>0</v>
      </c>
      <c r="M44" s="43">
        <f>H44+J44+L44</f>
        <v>45</v>
      </c>
      <c r="O44" s="130"/>
    </row>
    <row r="45" spans="1:15" s="146" customFormat="1" x14ac:dyDescent="0.2">
      <c r="A45" s="45"/>
      <c r="B45" s="85"/>
      <c r="C45" s="142" t="s">
        <v>452</v>
      </c>
      <c r="D45" s="67" t="s">
        <v>18</v>
      </c>
      <c r="E45" s="38">
        <f>0.03*1.15*1.15</f>
        <v>3.9674999999999995E-2</v>
      </c>
      <c r="F45" s="38">
        <f>F42*E45</f>
        <v>0.11902499999999999</v>
      </c>
      <c r="G45" s="42">
        <v>0</v>
      </c>
      <c r="H45" s="42">
        <f>F45*G45</f>
        <v>0</v>
      </c>
      <c r="I45" s="42">
        <v>0</v>
      </c>
      <c r="J45" s="42">
        <f>F45*I45</f>
        <v>0</v>
      </c>
      <c r="K45" s="38">
        <v>3.2</v>
      </c>
      <c r="L45" s="38">
        <f>F45*K45</f>
        <v>0.38088</v>
      </c>
      <c r="M45" s="43">
        <f>H45+J45+L45</f>
        <v>0.38088</v>
      </c>
      <c r="O45" s="130"/>
    </row>
    <row r="46" spans="1:15" s="146" customFormat="1" x14ac:dyDescent="0.2">
      <c r="A46" s="193"/>
      <c r="B46" s="267" t="s">
        <v>546</v>
      </c>
      <c r="C46" s="166" t="s">
        <v>547</v>
      </c>
      <c r="D46" s="167" t="s">
        <v>16</v>
      </c>
      <c r="E46" s="268">
        <v>1</v>
      </c>
      <c r="F46" s="268">
        <f>F42*E46</f>
        <v>3</v>
      </c>
      <c r="G46" s="170">
        <v>12</v>
      </c>
      <c r="H46" s="42">
        <f>F46*G46</f>
        <v>36</v>
      </c>
      <c r="I46" s="42">
        <v>0</v>
      </c>
      <c r="J46" s="42">
        <f>F46*I46</f>
        <v>0</v>
      </c>
      <c r="K46" s="38">
        <v>0</v>
      </c>
      <c r="L46" s="38">
        <f>F46*K46</f>
        <v>0</v>
      </c>
      <c r="M46" s="43">
        <f>H46+J46+L46</f>
        <v>36</v>
      </c>
      <c r="O46" s="130"/>
    </row>
    <row r="47" spans="1:15" s="146" customFormat="1" x14ac:dyDescent="0.2">
      <c r="A47" s="193"/>
      <c r="B47" s="194"/>
      <c r="C47" s="166" t="s">
        <v>295</v>
      </c>
      <c r="D47" s="167" t="s">
        <v>19</v>
      </c>
      <c r="E47" s="268">
        <v>0.18</v>
      </c>
      <c r="F47" s="268">
        <f>F42*E47</f>
        <v>0.54</v>
      </c>
      <c r="G47" s="42">
        <v>3.2</v>
      </c>
      <c r="H47" s="42">
        <v>3.2</v>
      </c>
      <c r="I47" s="42">
        <v>0</v>
      </c>
      <c r="J47" s="42">
        <f>F47*I47</f>
        <v>0</v>
      </c>
      <c r="K47" s="38">
        <v>0</v>
      </c>
      <c r="L47" s="38">
        <f>F47*K47</f>
        <v>0</v>
      </c>
      <c r="M47" s="43">
        <f>H47+J47+L47</f>
        <v>3.2</v>
      </c>
      <c r="O47" s="130"/>
    </row>
    <row r="48" spans="1:15" ht="15.75" thickBot="1" x14ac:dyDescent="0.3">
      <c r="A48" s="148"/>
      <c r="B48" s="149"/>
      <c r="C48" s="149"/>
      <c r="D48" s="150"/>
      <c r="E48" s="151"/>
      <c r="F48" s="151"/>
      <c r="G48" s="151"/>
      <c r="H48" s="151"/>
      <c r="I48" s="151"/>
      <c r="J48" s="151"/>
      <c r="K48" s="151"/>
      <c r="L48" s="151"/>
      <c r="M48" s="152"/>
      <c r="O48" s="130"/>
    </row>
    <row r="49" spans="1:15" s="36" customFormat="1" ht="24" x14ac:dyDescent="0.2">
      <c r="A49" s="21">
        <v>6</v>
      </c>
      <c r="B49" s="131" t="s">
        <v>548</v>
      </c>
      <c r="C49" s="65" t="s">
        <v>115</v>
      </c>
      <c r="D49" s="67" t="s">
        <v>16</v>
      </c>
      <c r="E49" s="16"/>
      <c r="F49" s="31">
        <v>7</v>
      </c>
      <c r="G49" s="133">
        <f>H49/F49</f>
        <v>60.223999999999997</v>
      </c>
      <c r="H49" s="133">
        <f>SUM(H51:H54)</f>
        <v>421.56799999999998</v>
      </c>
      <c r="I49" s="133">
        <f>J49/F49</f>
        <v>10</v>
      </c>
      <c r="J49" s="133">
        <f>SUM(J51:J54)</f>
        <v>70</v>
      </c>
      <c r="K49" s="133">
        <f>L49/F49</f>
        <v>4.2320000000000003E-2</v>
      </c>
      <c r="L49" s="133">
        <f>SUM(L51:L54)</f>
        <v>0.29624</v>
      </c>
      <c r="M49" s="133">
        <f>SUM(M51:M54)</f>
        <v>491.86424</v>
      </c>
      <c r="O49" s="130"/>
    </row>
    <row r="50" spans="1:15" s="19" customFormat="1" x14ac:dyDescent="0.25">
      <c r="A50" s="37"/>
      <c r="B50" s="134"/>
      <c r="C50" s="135" t="s">
        <v>266</v>
      </c>
      <c r="D50" s="136"/>
      <c r="E50" s="38"/>
      <c r="F50" s="39"/>
      <c r="G50" s="38"/>
      <c r="H50" s="38"/>
      <c r="I50" s="38"/>
      <c r="J50" s="38"/>
      <c r="K50" s="38"/>
      <c r="L50" s="161"/>
      <c r="M50" s="39"/>
      <c r="O50" s="130"/>
    </row>
    <row r="51" spans="1:15" s="44" customFormat="1" ht="14.25" x14ac:dyDescent="0.2">
      <c r="A51" s="140"/>
      <c r="B51" s="141" t="s">
        <v>277</v>
      </c>
      <c r="C51" s="40" t="s">
        <v>457</v>
      </c>
      <c r="D51" s="67" t="s">
        <v>19</v>
      </c>
      <c r="E51" s="164">
        <v>1</v>
      </c>
      <c r="F51" s="41">
        <f>E51*F49</f>
        <v>7</v>
      </c>
      <c r="G51" s="42">
        <v>0</v>
      </c>
      <c r="H51" s="42">
        <f>F51*G51</f>
        <v>0</v>
      </c>
      <c r="I51" s="42">
        <f>8*1.25</f>
        <v>10</v>
      </c>
      <c r="J51" s="42">
        <f>F51*I51</f>
        <v>70</v>
      </c>
      <c r="K51" s="38">
        <v>0</v>
      </c>
      <c r="L51" s="38">
        <f>F51*K51</f>
        <v>0</v>
      </c>
      <c r="M51" s="43">
        <f>H51+J51+L51</f>
        <v>70</v>
      </c>
      <c r="O51" s="130"/>
    </row>
    <row r="52" spans="1:15" s="146" customFormat="1" x14ac:dyDescent="0.2">
      <c r="A52" s="45"/>
      <c r="B52" s="85"/>
      <c r="C52" s="142" t="s">
        <v>452</v>
      </c>
      <c r="D52" s="67" t="s">
        <v>18</v>
      </c>
      <c r="E52" s="38">
        <f>0.01*1.15*1.15</f>
        <v>1.3224999999999999E-2</v>
      </c>
      <c r="F52" s="38">
        <f>F49*E52</f>
        <v>9.2574999999999991E-2</v>
      </c>
      <c r="G52" s="42">
        <v>0</v>
      </c>
      <c r="H52" s="42">
        <f>F52*G52</f>
        <v>0</v>
      </c>
      <c r="I52" s="42">
        <v>0</v>
      </c>
      <c r="J52" s="42">
        <f>F52*I52</f>
        <v>0</v>
      </c>
      <c r="K52" s="38">
        <v>3.2</v>
      </c>
      <c r="L52" s="38">
        <f>F52*K52</f>
        <v>0.29624</v>
      </c>
      <c r="M52" s="43">
        <f>H52+J52+L52</f>
        <v>0.29624</v>
      </c>
      <c r="O52" s="130"/>
    </row>
    <row r="53" spans="1:15" s="146" customFormat="1" x14ac:dyDescent="0.2">
      <c r="A53" s="193"/>
      <c r="B53" s="267" t="s">
        <v>549</v>
      </c>
      <c r="C53" s="166" t="s">
        <v>550</v>
      </c>
      <c r="D53" s="167" t="s">
        <v>16</v>
      </c>
      <c r="E53" s="268">
        <v>1</v>
      </c>
      <c r="F53" s="268">
        <f>F49*E53</f>
        <v>7</v>
      </c>
      <c r="G53" s="42">
        <v>60</v>
      </c>
      <c r="H53" s="42">
        <f>F53*G53</f>
        <v>420</v>
      </c>
      <c r="I53" s="42">
        <v>0</v>
      </c>
      <c r="J53" s="42">
        <f>F53*I53</f>
        <v>0</v>
      </c>
      <c r="K53" s="38">
        <v>0</v>
      </c>
      <c r="L53" s="38">
        <f>F53*K53</f>
        <v>0</v>
      </c>
      <c r="M53" s="43">
        <f>H53+J53+L53</f>
        <v>420</v>
      </c>
      <c r="O53" s="130"/>
    </row>
    <row r="54" spans="1:15" s="146" customFormat="1" x14ac:dyDescent="0.2">
      <c r="A54" s="193"/>
      <c r="B54" s="194"/>
      <c r="C54" s="166" t="s">
        <v>295</v>
      </c>
      <c r="D54" s="167" t="s">
        <v>19</v>
      </c>
      <c r="E54" s="268">
        <v>7.0000000000000007E-2</v>
      </c>
      <c r="F54" s="268">
        <f>F49*E54</f>
        <v>0.49000000000000005</v>
      </c>
      <c r="G54" s="42">
        <v>3.2</v>
      </c>
      <c r="H54" s="42">
        <f>F54*G54</f>
        <v>1.5680000000000003</v>
      </c>
      <c r="I54" s="42">
        <v>0</v>
      </c>
      <c r="J54" s="42">
        <f>F54*I54</f>
        <v>0</v>
      </c>
      <c r="K54" s="38">
        <v>0</v>
      </c>
      <c r="L54" s="38">
        <f>F54*K54</f>
        <v>0</v>
      </c>
      <c r="M54" s="43">
        <f>H54+J54+L54</f>
        <v>1.5680000000000003</v>
      </c>
      <c r="O54" s="130"/>
    </row>
    <row r="55" spans="1:15" ht="15.75" thickBot="1" x14ac:dyDescent="0.3">
      <c r="A55" s="148"/>
      <c r="B55" s="149"/>
      <c r="C55" s="149"/>
      <c r="D55" s="150"/>
      <c r="E55" s="151"/>
      <c r="F55" s="151"/>
      <c r="G55" s="151"/>
      <c r="H55" s="151"/>
      <c r="I55" s="151"/>
      <c r="J55" s="151"/>
      <c r="K55" s="151"/>
      <c r="L55" s="151"/>
      <c r="M55" s="152"/>
      <c r="O55" s="130"/>
    </row>
    <row r="56" spans="1:15" s="36" customFormat="1" ht="14.25" x14ac:dyDescent="0.2">
      <c r="A56" s="21">
        <v>7</v>
      </c>
      <c r="B56" s="21" t="s">
        <v>277</v>
      </c>
      <c r="C56" s="65" t="s">
        <v>116</v>
      </c>
      <c r="D56" s="67" t="s">
        <v>16</v>
      </c>
      <c r="E56" s="16"/>
      <c r="F56" s="31">
        <v>1</v>
      </c>
      <c r="G56" s="133">
        <f>H56/F56</f>
        <v>237.3</v>
      </c>
      <c r="H56" s="133">
        <f>SUM(H58:H59)</f>
        <v>237.3</v>
      </c>
      <c r="I56" s="133">
        <f>J56/F56</f>
        <v>37.5</v>
      </c>
      <c r="J56" s="133">
        <f>SUM(J58:J59)</f>
        <v>37.5</v>
      </c>
      <c r="K56" s="133">
        <f>L56/F56</f>
        <v>0</v>
      </c>
      <c r="L56" s="133">
        <f>SUM(L58:L59)</f>
        <v>0</v>
      </c>
      <c r="M56" s="133">
        <f>SUM(M58:M59)</f>
        <v>274.8</v>
      </c>
      <c r="O56" s="130"/>
    </row>
    <row r="57" spans="1:15" s="19" customFormat="1" x14ac:dyDescent="0.25">
      <c r="A57" s="37"/>
      <c r="B57" s="134"/>
      <c r="C57" s="135" t="s">
        <v>266</v>
      </c>
      <c r="D57" s="136"/>
      <c r="E57" s="38"/>
      <c r="F57" s="39"/>
      <c r="G57" s="38"/>
      <c r="H57" s="38"/>
      <c r="I57" s="38"/>
      <c r="J57" s="38"/>
      <c r="K57" s="38"/>
      <c r="L57" s="161"/>
      <c r="M57" s="39"/>
      <c r="O57" s="130"/>
    </row>
    <row r="58" spans="1:15" s="44" customFormat="1" ht="14.25" x14ac:dyDescent="0.2">
      <c r="A58" s="140"/>
      <c r="B58" s="141" t="s">
        <v>277</v>
      </c>
      <c r="C58" s="40" t="s">
        <v>457</v>
      </c>
      <c r="D58" s="67" t="s">
        <v>16</v>
      </c>
      <c r="E58" s="164">
        <v>1</v>
      </c>
      <c r="F58" s="41">
        <f>E58*F56</f>
        <v>1</v>
      </c>
      <c r="G58" s="42">
        <v>0</v>
      </c>
      <c r="H58" s="42">
        <f>F58*G58</f>
        <v>0</v>
      </c>
      <c r="I58" s="42">
        <f>30*1.25</f>
        <v>37.5</v>
      </c>
      <c r="J58" s="42">
        <f>F58*I58</f>
        <v>37.5</v>
      </c>
      <c r="K58" s="38">
        <v>0</v>
      </c>
      <c r="L58" s="38">
        <f>F58*K58</f>
        <v>0</v>
      </c>
      <c r="M58" s="43">
        <f>H58+J58+L58</f>
        <v>37.5</v>
      </c>
      <c r="O58" s="130"/>
    </row>
    <row r="59" spans="1:15" s="146" customFormat="1" x14ac:dyDescent="0.2">
      <c r="A59" s="193"/>
      <c r="B59" s="267" t="s">
        <v>551</v>
      </c>
      <c r="C59" s="166" t="s">
        <v>552</v>
      </c>
      <c r="D59" s="167" t="s">
        <v>16</v>
      </c>
      <c r="E59" s="268">
        <v>1</v>
      </c>
      <c r="F59" s="268">
        <f>F56*E59</f>
        <v>1</v>
      </c>
      <c r="G59" s="42">
        <v>237.3</v>
      </c>
      <c r="H59" s="42">
        <f>F59*G59</f>
        <v>237.3</v>
      </c>
      <c r="I59" s="42">
        <v>0</v>
      </c>
      <c r="J59" s="42">
        <f>F59*I59</f>
        <v>0</v>
      </c>
      <c r="K59" s="38">
        <v>0</v>
      </c>
      <c r="L59" s="38">
        <f>F59*K59</f>
        <v>0</v>
      </c>
      <c r="M59" s="43">
        <f>H59+J59+L59</f>
        <v>237.3</v>
      </c>
      <c r="O59" s="130"/>
    </row>
    <row r="60" spans="1:15" ht="15.75" thickBot="1" x14ac:dyDescent="0.3">
      <c r="A60" s="148"/>
      <c r="B60" s="149"/>
      <c r="C60" s="149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O60" s="130"/>
    </row>
    <row r="61" spans="1:15" s="36" customFormat="1" ht="14.25" x14ac:dyDescent="0.2">
      <c r="A61" s="21">
        <v>8</v>
      </c>
      <c r="B61" s="21" t="s">
        <v>277</v>
      </c>
      <c r="C61" s="65" t="s">
        <v>168</v>
      </c>
      <c r="D61" s="67" t="s">
        <v>16</v>
      </c>
      <c r="E61" s="16"/>
      <c r="F61" s="31">
        <v>6</v>
      </c>
      <c r="G61" s="133">
        <f>H61/F61</f>
        <v>85</v>
      </c>
      <c r="H61" s="133">
        <f>SUM(H63:H64)</f>
        <v>510</v>
      </c>
      <c r="I61" s="133">
        <f>J61/F61</f>
        <v>15</v>
      </c>
      <c r="J61" s="133">
        <f>SUM(J63:J64)</f>
        <v>90</v>
      </c>
      <c r="K61" s="133">
        <f>L61/F61</f>
        <v>0</v>
      </c>
      <c r="L61" s="133">
        <f>SUM(L63:L64)</f>
        <v>0</v>
      </c>
      <c r="M61" s="133">
        <f>SUM(M63:M64)</f>
        <v>600</v>
      </c>
      <c r="O61" s="130"/>
    </row>
    <row r="62" spans="1:15" s="19" customFormat="1" x14ac:dyDescent="0.25">
      <c r="A62" s="37"/>
      <c r="B62" s="134"/>
      <c r="C62" s="135" t="s">
        <v>266</v>
      </c>
      <c r="D62" s="136"/>
      <c r="E62" s="38"/>
      <c r="F62" s="39"/>
      <c r="G62" s="38"/>
      <c r="H62" s="38"/>
      <c r="I62" s="38"/>
      <c r="J62" s="38"/>
      <c r="K62" s="38"/>
      <c r="L62" s="161"/>
      <c r="M62" s="39"/>
      <c r="O62" s="130"/>
    </row>
    <row r="63" spans="1:15" s="44" customFormat="1" ht="14.25" x14ac:dyDescent="0.2">
      <c r="A63" s="140"/>
      <c r="B63" s="141" t="s">
        <v>277</v>
      </c>
      <c r="C63" s="40" t="s">
        <v>457</v>
      </c>
      <c r="D63" s="67" t="s">
        <v>16</v>
      </c>
      <c r="E63" s="164">
        <v>1</v>
      </c>
      <c r="F63" s="41">
        <f>E63*F61</f>
        <v>6</v>
      </c>
      <c r="G63" s="42">
        <v>0</v>
      </c>
      <c r="H63" s="42">
        <f>F63*G63</f>
        <v>0</v>
      </c>
      <c r="I63" s="42">
        <f>12*1.25</f>
        <v>15</v>
      </c>
      <c r="J63" s="42">
        <f>F63*I63</f>
        <v>90</v>
      </c>
      <c r="K63" s="38">
        <v>0</v>
      </c>
      <c r="L63" s="38">
        <f>F63*K63</f>
        <v>0</v>
      </c>
      <c r="M63" s="43">
        <f>H63+J63+L63</f>
        <v>90</v>
      </c>
      <c r="O63" s="130"/>
    </row>
    <row r="64" spans="1:15" s="146" customFormat="1" x14ac:dyDescent="0.2">
      <c r="A64" s="193"/>
      <c r="B64" s="267"/>
      <c r="C64" s="47" t="s">
        <v>553</v>
      </c>
      <c r="D64" s="167" t="s">
        <v>16</v>
      </c>
      <c r="E64" s="268">
        <v>1</v>
      </c>
      <c r="F64" s="268">
        <f>F61*E64</f>
        <v>6</v>
      </c>
      <c r="G64" s="42">
        <f>85</f>
        <v>85</v>
      </c>
      <c r="H64" s="42">
        <f>F64*G64</f>
        <v>510</v>
      </c>
      <c r="I64" s="42">
        <v>0</v>
      </c>
      <c r="J64" s="42">
        <f>F64*I64</f>
        <v>0</v>
      </c>
      <c r="K64" s="38">
        <v>0</v>
      </c>
      <c r="L64" s="38">
        <f>F64*K64</f>
        <v>0</v>
      </c>
      <c r="M64" s="43">
        <f>H64+J64+L64</f>
        <v>510</v>
      </c>
      <c r="O64" s="130"/>
    </row>
    <row r="65" spans="1:15" ht="15.75" thickBot="1" x14ac:dyDescent="0.3">
      <c r="A65" s="148"/>
      <c r="B65" s="149"/>
      <c r="C65" s="149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O65" s="130"/>
    </row>
    <row r="66" spans="1:15" s="36" customFormat="1" ht="14.25" x14ac:dyDescent="0.2">
      <c r="A66" s="21">
        <v>9</v>
      </c>
      <c r="B66" s="21" t="s">
        <v>277</v>
      </c>
      <c r="C66" s="65" t="s">
        <v>166</v>
      </c>
      <c r="D66" s="67" t="s">
        <v>16</v>
      </c>
      <c r="E66" s="16"/>
      <c r="F66" s="31">
        <v>7</v>
      </c>
      <c r="G66" s="133">
        <f>H66/F66</f>
        <v>60</v>
      </c>
      <c r="H66" s="133">
        <f>SUM(H68:H69)</f>
        <v>420</v>
      </c>
      <c r="I66" s="133">
        <f>J66/F66</f>
        <v>10</v>
      </c>
      <c r="J66" s="133">
        <f>SUM(J68:J69)</f>
        <v>70</v>
      </c>
      <c r="K66" s="133">
        <f>L66/F66</f>
        <v>0</v>
      </c>
      <c r="L66" s="133">
        <f>SUM(L68:L69)</f>
        <v>0</v>
      </c>
      <c r="M66" s="133">
        <f>SUM(M68:M69)</f>
        <v>490</v>
      </c>
      <c r="O66" s="130"/>
    </row>
    <row r="67" spans="1:15" s="19" customFormat="1" x14ac:dyDescent="0.25">
      <c r="A67" s="37"/>
      <c r="B67" s="134"/>
      <c r="C67" s="135" t="s">
        <v>266</v>
      </c>
      <c r="D67" s="136"/>
      <c r="E67" s="38"/>
      <c r="F67" s="39"/>
      <c r="G67" s="38"/>
      <c r="H67" s="38"/>
      <c r="I67" s="38"/>
      <c r="J67" s="38"/>
      <c r="K67" s="38"/>
      <c r="L67" s="161"/>
      <c r="M67" s="39"/>
      <c r="O67" s="130"/>
    </row>
    <row r="68" spans="1:15" s="44" customFormat="1" ht="14.25" x14ac:dyDescent="0.2">
      <c r="A68" s="140"/>
      <c r="B68" s="141" t="s">
        <v>277</v>
      </c>
      <c r="C68" s="40" t="s">
        <v>457</v>
      </c>
      <c r="D68" s="67" t="s">
        <v>16</v>
      </c>
      <c r="E68" s="164">
        <v>1</v>
      </c>
      <c r="F68" s="41">
        <f>E68*F66</f>
        <v>7</v>
      </c>
      <c r="G68" s="42">
        <v>0</v>
      </c>
      <c r="H68" s="42">
        <f>F68*G68</f>
        <v>0</v>
      </c>
      <c r="I68" s="42">
        <f>8*1.25</f>
        <v>10</v>
      </c>
      <c r="J68" s="42">
        <f>F68*I68</f>
        <v>70</v>
      </c>
      <c r="K68" s="38">
        <v>0</v>
      </c>
      <c r="L68" s="38">
        <f>F68*K68</f>
        <v>0</v>
      </c>
      <c r="M68" s="43">
        <f>H68+J68+L68</f>
        <v>70</v>
      </c>
      <c r="O68" s="130"/>
    </row>
    <row r="69" spans="1:15" s="146" customFormat="1" x14ac:dyDescent="0.2">
      <c r="A69" s="193"/>
      <c r="B69" s="267" t="s">
        <v>551</v>
      </c>
      <c r="C69" s="166" t="s">
        <v>554</v>
      </c>
      <c r="D69" s="167" t="s">
        <v>16</v>
      </c>
      <c r="E69" s="268">
        <v>1</v>
      </c>
      <c r="F69" s="268">
        <f>F66*E69</f>
        <v>7</v>
      </c>
      <c r="G69" s="42">
        <v>60</v>
      </c>
      <c r="H69" s="42">
        <f>F69*G69</f>
        <v>420</v>
      </c>
      <c r="I69" s="42">
        <v>0</v>
      </c>
      <c r="J69" s="42">
        <f>F69*I69</f>
        <v>0</v>
      </c>
      <c r="K69" s="38">
        <v>0</v>
      </c>
      <c r="L69" s="38">
        <f>F69*K69</f>
        <v>0</v>
      </c>
      <c r="M69" s="43">
        <f>H69+J69+L69</f>
        <v>420</v>
      </c>
      <c r="O69" s="130"/>
    </row>
    <row r="70" spans="1:15" ht="15.75" thickBot="1" x14ac:dyDescent="0.3">
      <c r="A70" s="148"/>
      <c r="B70" s="149"/>
      <c r="C70" s="149"/>
      <c r="D70" s="150"/>
      <c r="E70" s="151"/>
      <c r="F70" s="151"/>
      <c r="G70" s="151"/>
      <c r="H70" s="151"/>
      <c r="I70" s="151"/>
      <c r="J70" s="151"/>
      <c r="K70" s="151"/>
      <c r="L70" s="151"/>
      <c r="M70" s="152"/>
      <c r="O70" s="130"/>
    </row>
    <row r="71" spans="1:15" s="34" customFormat="1" x14ac:dyDescent="0.25">
      <c r="A71" s="48"/>
      <c r="B71" s="156"/>
      <c r="C71" s="70" t="s">
        <v>21</v>
      </c>
      <c r="D71" s="69"/>
      <c r="E71" s="50"/>
      <c r="F71" s="50"/>
      <c r="G71" s="51"/>
      <c r="H71" s="159">
        <f>H66+H61+H56+H49+H42+H34+H27+H18+H13</f>
        <v>3686.2999999999997</v>
      </c>
      <c r="I71" s="52"/>
      <c r="J71" s="159">
        <f>J66+J61+J56+J49+J42+J34+J27+J18+J13</f>
        <v>854.85964999999999</v>
      </c>
      <c r="K71" s="52"/>
      <c r="L71" s="159">
        <f>L66+L61+L56+L49+L42+L34+L27+L18+L13</f>
        <v>11.707248</v>
      </c>
      <c r="M71" s="159">
        <f>M66+M61+M56+M49+M42+M34+M27+M18+M13</f>
        <v>4552.8668980000002</v>
      </c>
      <c r="O71" s="130"/>
    </row>
    <row r="72" spans="1:15" s="36" customFormat="1" ht="14.25" x14ac:dyDescent="0.2">
      <c r="A72" s="21"/>
      <c r="B72" s="126"/>
      <c r="C72" s="76" t="s">
        <v>50</v>
      </c>
      <c r="D72" s="79"/>
      <c r="E72" s="16"/>
      <c r="F72" s="27"/>
      <c r="G72" s="17"/>
      <c r="H72" s="17"/>
      <c r="I72" s="17"/>
      <c r="J72" s="17"/>
      <c r="K72" s="17"/>
      <c r="L72" s="17"/>
      <c r="M72" s="16"/>
      <c r="O72" s="130"/>
    </row>
    <row r="73" spans="1:15" s="36" customFormat="1" ht="14.25" x14ac:dyDescent="0.2">
      <c r="A73" s="21"/>
      <c r="B73" s="126"/>
      <c r="C73" s="76" t="s">
        <v>145</v>
      </c>
      <c r="D73" s="79"/>
      <c r="E73" s="16"/>
      <c r="F73" s="27"/>
      <c r="G73" s="17"/>
      <c r="H73" s="17"/>
      <c r="I73" s="17"/>
      <c r="J73" s="17"/>
      <c r="K73" s="17"/>
      <c r="L73" s="17"/>
      <c r="M73" s="16"/>
      <c r="O73" s="130"/>
    </row>
    <row r="74" spans="1:15" s="84" customFormat="1" x14ac:dyDescent="0.2">
      <c r="A74" s="45">
        <v>1</v>
      </c>
      <c r="B74" s="25" t="s">
        <v>555</v>
      </c>
      <c r="C74" s="47" t="s">
        <v>118</v>
      </c>
      <c r="D74" s="67" t="s">
        <v>29</v>
      </c>
      <c r="E74" s="164"/>
      <c r="F74" s="41">
        <f>12+4</f>
        <v>16</v>
      </c>
      <c r="G74" s="42">
        <v>1.44</v>
      </c>
      <c r="H74" s="42">
        <f t="shared" ref="H74:H100" si="4">F74*G74</f>
        <v>23.04</v>
      </c>
      <c r="I74" s="42">
        <v>0</v>
      </c>
      <c r="J74" s="42">
        <f t="shared" ref="J74:J100" si="5">F74*I74</f>
        <v>0</v>
      </c>
      <c r="K74" s="38">
        <v>0</v>
      </c>
      <c r="L74" s="38">
        <f t="shared" ref="L74:L100" si="6">F74*K74</f>
        <v>0</v>
      </c>
      <c r="M74" s="43">
        <f t="shared" ref="M74:M100" si="7">H74+J74+L74</f>
        <v>23.04</v>
      </c>
      <c r="O74" s="130"/>
    </row>
    <row r="75" spans="1:15" s="84" customFormat="1" x14ac:dyDescent="0.2">
      <c r="A75" s="45">
        <v>2</v>
      </c>
      <c r="B75" s="25" t="s">
        <v>556</v>
      </c>
      <c r="C75" s="47" t="s">
        <v>119</v>
      </c>
      <c r="D75" s="67" t="s">
        <v>29</v>
      </c>
      <c r="E75" s="164"/>
      <c r="F75" s="41">
        <f>18+14</f>
        <v>32</v>
      </c>
      <c r="G75" s="42">
        <v>2.12</v>
      </c>
      <c r="H75" s="42">
        <f t="shared" si="4"/>
        <v>67.84</v>
      </c>
      <c r="I75" s="42">
        <v>0</v>
      </c>
      <c r="J75" s="42">
        <f t="shared" si="5"/>
        <v>0</v>
      </c>
      <c r="K75" s="38">
        <v>0</v>
      </c>
      <c r="L75" s="38">
        <f t="shared" si="6"/>
        <v>0</v>
      </c>
      <c r="M75" s="43">
        <f t="shared" si="7"/>
        <v>67.84</v>
      </c>
      <c r="O75" s="130"/>
    </row>
    <row r="76" spans="1:15" s="84" customFormat="1" x14ac:dyDescent="0.2">
      <c r="A76" s="45">
        <v>3</v>
      </c>
      <c r="B76" s="25" t="s">
        <v>557</v>
      </c>
      <c r="C76" s="47" t="s">
        <v>120</v>
      </c>
      <c r="D76" s="67" t="s">
        <v>29</v>
      </c>
      <c r="E76" s="164"/>
      <c r="F76" s="41">
        <f>4</f>
        <v>4</v>
      </c>
      <c r="G76" s="42">
        <v>3.4</v>
      </c>
      <c r="H76" s="42">
        <f t="shared" si="4"/>
        <v>13.6</v>
      </c>
      <c r="I76" s="42">
        <v>0</v>
      </c>
      <c r="J76" s="42">
        <f t="shared" si="5"/>
        <v>0</v>
      </c>
      <c r="K76" s="38">
        <v>0</v>
      </c>
      <c r="L76" s="38">
        <f t="shared" si="6"/>
        <v>0</v>
      </c>
      <c r="M76" s="43">
        <f t="shared" si="7"/>
        <v>13.6</v>
      </c>
      <c r="O76" s="130"/>
    </row>
    <row r="77" spans="1:15" s="84" customFormat="1" x14ac:dyDescent="0.2">
      <c r="A77" s="45">
        <v>4</v>
      </c>
      <c r="B77" s="25" t="s">
        <v>558</v>
      </c>
      <c r="C77" s="47" t="s">
        <v>121</v>
      </c>
      <c r="D77" s="67" t="s">
        <v>29</v>
      </c>
      <c r="E77" s="164"/>
      <c r="F77" s="41">
        <f>12+4</f>
        <v>16</v>
      </c>
      <c r="G77" s="42">
        <v>1.02</v>
      </c>
      <c r="H77" s="42">
        <f t="shared" si="4"/>
        <v>16.32</v>
      </c>
      <c r="I77" s="42">
        <v>0</v>
      </c>
      <c r="J77" s="42">
        <f t="shared" si="5"/>
        <v>0</v>
      </c>
      <c r="K77" s="38">
        <v>0</v>
      </c>
      <c r="L77" s="38">
        <f t="shared" si="6"/>
        <v>0</v>
      </c>
      <c r="M77" s="43">
        <f t="shared" si="7"/>
        <v>16.32</v>
      </c>
      <c r="O77" s="130"/>
    </row>
    <row r="78" spans="1:15" s="84" customFormat="1" x14ac:dyDescent="0.2">
      <c r="A78" s="45">
        <v>5</v>
      </c>
      <c r="B78" s="25" t="s">
        <v>559</v>
      </c>
      <c r="C78" s="47" t="s">
        <v>122</v>
      </c>
      <c r="D78" s="67" t="s">
        <v>29</v>
      </c>
      <c r="E78" s="164"/>
      <c r="F78" s="41">
        <f>14+18</f>
        <v>32</v>
      </c>
      <c r="G78" s="42">
        <v>1.27</v>
      </c>
      <c r="H78" s="42">
        <f t="shared" si="4"/>
        <v>40.64</v>
      </c>
      <c r="I78" s="42">
        <v>0</v>
      </c>
      <c r="J78" s="42">
        <f t="shared" si="5"/>
        <v>0</v>
      </c>
      <c r="K78" s="38">
        <v>0</v>
      </c>
      <c r="L78" s="38">
        <f t="shared" si="6"/>
        <v>0</v>
      </c>
      <c r="M78" s="43">
        <f t="shared" si="7"/>
        <v>40.64</v>
      </c>
      <c r="O78" s="130"/>
    </row>
    <row r="79" spans="1:15" s="84" customFormat="1" x14ac:dyDescent="0.2">
      <c r="A79" s="45">
        <v>6</v>
      </c>
      <c r="B79" s="25" t="s">
        <v>560</v>
      </c>
      <c r="C79" s="47" t="s">
        <v>123</v>
      </c>
      <c r="D79" s="67" t="s">
        <v>29</v>
      </c>
      <c r="E79" s="164"/>
      <c r="F79" s="41">
        <v>4</v>
      </c>
      <c r="G79" s="42">
        <v>1.69</v>
      </c>
      <c r="H79" s="42">
        <f t="shared" si="4"/>
        <v>6.76</v>
      </c>
      <c r="I79" s="42">
        <v>0</v>
      </c>
      <c r="J79" s="42">
        <f t="shared" si="5"/>
        <v>0</v>
      </c>
      <c r="K79" s="38">
        <v>0</v>
      </c>
      <c r="L79" s="38">
        <f t="shared" si="6"/>
        <v>0</v>
      </c>
      <c r="M79" s="43">
        <f t="shared" si="7"/>
        <v>6.76</v>
      </c>
      <c r="O79" s="130"/>
    </row>
    <row r="80" spans="1:15" s="84" customFormat="1" x14ac:dyDescent="0.2">
      <c r="A80" s="45">
        <v>7</v>
      </c>
      <c r="B80" s="25" t="s">
        <v>561</v>
      </c>
      <c r="C80" s="47" t="s">
        <v>124</v>
      </c>
      <c r="D80" s="67" t="s">
        <v>2</v>
      </c>
      <c r="E80" s="164"/>
      <c r="F80" s="41">
        <f>1+1</f>
        <v>2</v>
      </c>
      <c r="G80" s="42">
        <v>2.5</v>
      </c>
      <c r="H80" s="42">
        <f t="shared" si="4"/>
        <v>5</v>
      </c>
      <c r="I80" s="42">
        <v>0</v>
      </c>
      <c r="J80" s="42">
        <f t="shared" si="5"/>
        <v>0</v>
      </c>
      <c r="K80" s="38">
        <v>0</v>
      </c>
      <c r="L80" s="38">
        <f t="shared" si="6"/>
        <v>0</v>
      </c>
      <c r="M80" s="43">
        <f t="shared" si="7"/>
        <v>5</v>
      </c>
      <c r="O80" s="130"/>
    </row>
    <row r="81" spans="1:15" s="84" customFormat="1" x14ac:dyDescent="0.2">
      <c r="A81" s="45">
        <v>8</v>
      </c>
      <c r="B81" s="25" t="s">
        <v>562</v>
      </c>
      <c r="C81" s="47" t="s">
        <v>125</v>
      </c>
      <c r="D81" s="67" t="s">
        <v>2</v>
      </c>
      <c r="E81" s="164"/>
      <c r="F81" s="41">
        <f>14+7</f>
        <v>21</v>
      </c>
      <c r="G81" s="42">
        <v>1.4</v>
      </c>
      <c r="H81" s="42">
        <f t="shared" si="4"/>
        <v>29.4</v>
      </c>
      <c r="I81" s="42">
        <v>0</v>
      </c>
      <c r="J81" s="42">
        <f t="shared" si="5"/>
        <v>0</v>
      </c>
      <c r="K81" s="38">
        <v>0</v>
      </c>
      <c r="L81" s="38">
        <f t="shared" si="6"/>
        <v>0</v>
      </c>
      <c r="M81" s="43">
        <f t="shared" si="7"/>
        <v>29.4</v>
      </c>
      <c r="O81" s="130"/>
    </row>
    <row r="82" spans="1:15" s="84" customFormat="1" x14ac:dyDescent="0.2">
      <c r="A82" s="45">
        <v>9</v>
      </c>
      <c r="B82" s="25" t="s">
        <v>563</v>
      </c>
      <c r="C82" s="47" t="s">
        <v>126</v>
      </c>
      <c r="D82" s="67" t="s">
        <v>2</v>
      </c>
      <c r="E82" s="164"/>
      <c r="F82" s="41">
        <f>4+8</f>
        <v>12</v>
      </c>
      <c r="G82" s="42">
        <v>0.25</v>
      </c>
      <c r="H82" s="42">
        <f t="shared" si="4"/>
        <v>3</v>
      </c>
      <c r="I82" s="42">
        <v>0</v>
      </c>
      <c r="J82" s="42">
        <f t="shared" si="5"/>
        <v>0</v>
      </c>
      <c r="K82" s="38">
        <v>0</v>
      </c>
      <c r="L82" s="38">
        <f t="shared" si="6"/>
        <v>0</v>
      </c>
      <c r="M82" s="43">
        <f t="shared" si="7"/>
        <v>3</v>
      </c>
      <c r="O82" s="130"/>
    </row>
    <row r="83" spans="1:15" s="84" customFormat="1" x14ac:dyDescent="0.2">
      <c r="A83" s="45">
        <v>10</v>
      </c>
      <c r="B83" s="25" t="s">
        <v>564</v>
      </c>
      <c r="C83" s="47" t="s">
        <v>127</v>
      </c>
      <c r="D83" s="67" t="s">
        <v>2</v>
      </c>
      <c r="E83" s="164"/>
      <c r="F83" s="41">
        <f>3+8</f>
        <v>11</v>
      </c>
      <c r="G83" s="83">
        <v>0.34</v>
      </c>
      <c r="H83" s="83">
        <f t="shared" si="4"/>
        <v>3.74</v>
      </c>
      <c r="I83" s="42">
        <v>0</v>
      </c>
      <c r="J83" s="42">
        <f t="shared" si="5"/>
        <v>0</v>
      </c>
      <c r="K83" s="38">
        <v>0</v>
      </c>
      <c r="L83" s="38">
        <f t="shared" si="6"/>
        <v>0</v>
      </c>
      <c r="M83" s="43">
        <f t="shared" si="7"/>
        <v>3.74</v>
      </c>
      <c r="O83" s="130"/>
    </row>
    <row r="84" spans="1:15" s="84" customFormat="1" x14ac:dyDescent="0.2">
      <c r="A84" s="45">
        <v>11</v>
      </c>
      <c r="B84" s="25" t="s">
        <v>565</v>
      </c>
      <c r="C84" s="47" t="s">
        <v>128</v>
      </c>
      <c r="D84" s="67" t="s">
        <v>2</v>
      </c>
      <c r="E84" s="164"/>
      <c r="F84" s="41">
        <f>8</f>
        <v>8</v>
      </c>
      <c r="G84" s="42">
        <v>0.51</v>
      </c>
      <c r="H84" s="42">
        <f t="shared" si="4"/>
        <v>4.08</v>
      </c>
      <c r="I84" s="42">
        <v>0</v>
      </c>
      <c r="J84" s="42">
        <f t="shared" si="5"/>
        <v>0</v>
      </c>
      <c r="K84" s="38">
        <v>0</v>
      </c>
      <c r="L84" s="38">
        <f t="shared" si="6"/>
        <v>0</v>
      </c>
      <c r="M84" s="43">
        <f t="shared" si="7"/>
        <v>4.08</v>
      </c>
      <c r="O84" s="130"/>
    </row>
    <row r="85" spans="1:15" s="84" customFormat="1" x14ac:dyDescent="0.2">
      <c r="A85" s="45">
        <v>12</v>
      </c>
      <c r="B85" s="25" t="s">
        <v>566</v>
      </c>
      <c r="C85" s="47" t="s">
        <v>129</v>
      </c>
      <c r="D85" s="67" t="s">
        <v>2</v>
      </c>
      <c r="E85" s="164"/>
      <c r="F85" s="41">
        <f>7</f>
        <v>7</v>
      </c>
      <c r="G85" s="42">
        <v>7.6</v>
      </c>
      <c r="H85" s="42">
        <f t="shared" si="4"/>
        <v>53.199999999999996</v>
      </c>
      <c r="I85" s="42">
        <v>0</v>
      </c>
      <c r="J85" s="42">
        <f t="shared" si="5"/>
        <v>0</v>
      </c>
      <c r="K85" s="38">
        <v>0</v>
      </c>
      <c r="L85" s="38">
        <f t="shared" si="6"/>
        <v>0</v>
      </c>
      <c r="M85" s="43">
        <f t="shared" si="7"/>
        <v>53.199999999999996</v>
      </c>
      <c r="O85" s="130"/>
    </row>
    <row r="86" spans="1:15" s="84" customFormat="1" x14ac:dyDescent="0.2">
      <c r="A86" s="45">
        <v>13</v>
      </c>
      <c r="B86" s="25" t="s">
        <v>566</v>
      </c>
      <c r="C86" s="47" t="s">
        <v>130</v>
      </c>
      <c r="D86" s="67" t="s">
        <v>2</v>
      </c>
      <c r="E86" s="164"/>
      <c r="F86" s="41">
        <f>7+7</f>
        <v>14</v>
      </c>
      <c r="G86" s="42">
        <v>7.6</v>
      </c>
      <c r="H86" s="42">
        <f t="shared" si="4"/>
        <v>106.39999999999999</v>
      </c>
      <c r="I86" s="42">
        <v>0</v>
      </c>
      <c r="J86" s="42">
        <f t="shared" si="5"/>
        <v>0</v>
      </c>
      <c r="K86" s="38">
        <v>0</v>
      </c>
      <c r="L86" s="38">
        <f t="shared" si="6"/>
        <v>0</v>
      </c>
      <c r="M86" s="43">
        <f t="shared" si="7"/>
        <v>106.39999999999999</v>
      </c>
      <c r="O86" s="130"/>
    </row>
    <row r="87" spans="1:15" s="84" customFormat="1" x14ac:dyDescent="0.2">
      <c r="A87" s="45">
        <v>14</v>
      </c>
      <c r="B87" s="25" t="s">
        <v>567</v>
      </c>
      <c r="C87" s="47" t="s">
        <v>131</v>
      </c>
      <c r="D87" s="67" t="s">
        <v>2</v>
      </c>
      <c r="E87" s="164"/>
      <c r="F87" s="41">
        <f>2+2</f>
        <v>4</v>
      </c>
      <c r="G87" s="83">
        <v>0.25</v>
      </c>
      <c r="H87" s="83">
        <f t="shared" si="4"/>
        <v>1</v>
      </c>
      <c r="I87" s="42">
        <v>0</v>
      </c>
      <c r="J87" s="42">
        <f t="shared" si="5"/>
        <v>0</v>
      </c>
      <c r="K87" s="38">
        <v>0</v>
      </c>
      <c r="L87" s="38">
        <f t="shared" si="6"/>
        <v>0</v>
      </c>
      <c r="M87" s="43">
        <f t="shared" si="7"/>
        <v>1</v>
      </c>
      <c r="O87" s="130"/>
    </row>
    <row r="88" spans="1:15" s="84" customFormat="1" x14ac:dyDescent="0.2">
      <c r="A88" s="45">
        <v>15</v>
      </c>
      <c r="B88" s="25" t="s">
        <v>568</v>
      </c>
      <c r="C88" s="47" t="s">
        <v>132</v>
      </c>
      <c r="D88" s="67" t="s">
        <v>2</v>
      </c>
      <c r="E88" s="164"/>
      <c r="F88" s="41">
        <v>2</v>
      </c>
      <c r="G88" s="42">
        <v>0.51</v>
      </c>
      <c r="H88" s="42">
        <f t="shared" si="4"/>
        <v>1.02</v>
      </c>
      <c r="I88" s="42">
        <v>0</v>
      </c>
      <c r="J88" s="42">
        <f t="shared" si="5"/>
        <v>0</v>
      </c>
      <c r="K88" s="38">
        <v>0</v>
      </c>
      <c r="L88" s="38">
        <f t="shared" si="6"/>
        <v>0</v>
      </c>
      <c r="M88" s="43">
        <f t="shared" si="7"/>
        <v>1.02</v>
      </c>
      <c r="O88" s="130"/>
    </row>
    <row r="89" spans="1:15" s="84" customFormat="1" x14ac:dyDescent="0.2">
      <c r="A89" s="45">
        <v>16</v>
      </c>
      <c r="B89" s="25" t="s">
        <v>569</v>
      </c>
      <c r="C89" s="47" t="s">
        <v>133</v>
      </c>
      <c r="D89" s="67" t="s">
        <v>2</v>
      </c>
      <c r="E89" s="164"/>
      <c r="F89" s="41">
        <v>6</v>
      </c>
      <c r="G89" s="42">
        <v>0.34</v>
      </c>
      <c r="H89" s="42">
        <f t="shared" si="4"/>
        <v>2.04</v>
      </c>
      <c r="I89" s="42">
        <v>0</v>
      </c>
      <c r="J89" s="42">
        <f t="shared" si="5"/>
        <v>0</v>
      </c>
      <c r="K89" s="38">
        <v>0</v>
      </c>
      <c r="L89" s="38">
        <f t="shared" si="6"/>
        <v>0</v>
      </c>
      <c r="M89" s="43">
        <f t="shared" si="7"/>
        <v>2.04</v>
      </c>
      <c r="O89" s="130"/>
    </row>
    <row r="90" spans="1:15" s="84" customFormat="1" x14ac:dyDescent="0.2">
      <c r="A90" s="45">
        <v>17</v>
      </c>
      <c r="B90" s="25" t="s">
        <v>570</v>
      </c>
      <c r="C90" s="47" t="s">
        <v>134</v>
      </c>
      <c r="D90" s="67" t="s">
        <v>2</v>
      </c>
      <c r="E90" s="164"/>
      <c r="F90" s="41">
        <f>2</f>
        <v>2</v>
      </c>
      <c r="G90" s="42">
        <v>0.51</v>
      </c>
      <c r="H90" s="42">
        <f t="shared" si="4"/>
        <v>1.02</v>
      </c>
      <c r="I90" s="42">
        <v>0</v>
      </c>
      <c r="J90" s="42">
        <f t="shared" si="5"/>
        <v>0</v>
      </c>
      <c r="K90" s="38">
        <v>0</v>
      </c>
      <c r="L90" s="38">
        <f t="shared" si="6"/>
        <v>0</v>
      </c>
      <c r="M90" s="43">
        <f t="shared" si="7"/>
        <v>1.02</v>
      </c>
      <c r="O90" s="130"/>
    </row>
    <row r="91" spans="1:15" s="84" customFormat="1" x14ac:dyDescent="0.2">
      <c r="A91" s="45">
        <v>18</v>
      </c>
      <c r="B91" s="25" t="s">
        <v>571</v>
      </c>
      <c r="C91" s="47" t="s">
        <v>135</v>
      </c>
      <c r="D91" s="67" t="s">
        <v>2</v>
      </c>
      <c r="E91" s="164"/>
      <c r="F91" s="41">
        <v>21</v>
      </c>
      <c r="G91" s="42">
        <v>0.25</v>
      </c>
      <c r="H91" s="42">
        <f t="shared" si="4"/>
        <v>5.25</v>
      </c>
      <c r="I91" s="42">
        <v>0</v>
      </c>
      <c r="J91" s="42">
        <f t="shared" si="5"/>
        <v>0</v>
      </c>
      <c r="K91" s="38">
        <v>0</v>
      </c>
      <c r="L91" s="38">
        <f t="shared" si="6"/>
        <v>0</v>
      </c>
      <c r="M91" s="43">
        <f t="shared" si="7"/>
        <v>5.25</v>
      </c>
      <c r="O91" s="130"/>
    </row>
    <row r="92" spans="1:15" s="84" customFormat="1" x14ac:dyDescent="0.2">
      <c r="A92" s="45">
        <v>19</v>
      </c>
      <c r="B92" s="25" t="s">
        <v>571</v>
      </c>
      <c r="C92" s="47" t="s">
        <v>136</v>
      </c>
      <c r="D92" s="67" t="s">
        <v>2</v>
      </c>
      <c r="E92" s="164"/>
      <c r="F92" s="41">
        <v>2</v>
      </c>
      <c r="G92" s="42">
        <v>0.5</v>
      </c>
      <c r="H92" s="42">
        <f t="shared" si="4"/>
        <v>1</v>
      </c>
      <c r="I92" s="42">
        <v>0</v>
      </c>
      <c r="J92" s="42">
        <f t="shared" si="5"/>
        <v>0</v>
      </c>
      <c r="K92" s="38">
        <v>0</v>
      </c>
      <c r="L92" s="38">
        <f t="shared" si="6"/>
        <v>0</v>
      </c>
      <c r="M92" s="43">
        <f t="shared" si="7"/>
        <v>1</v>
      </c>
      <c r="O92" s="130"/>
    </row>
    <row r="93" spans="1:15" s="84" customFormat="1" x14ac:dyDescent="0.2">
      <c r="A93" s="45">
        <v>20</v>
      </c>
      <c r="B93" s="25" t="s">
        <v>572</v>
      </c>
      <c r="C93" s="47" t="s">
        <v>137</v>
      </c>
      <c r="D93" s="67" t="s">
        <v>2</v>
      </c>
      <c r="E93" s="164"/>
      <c r="F93" s="41">
        <f>2</f>
        <v>2</v>
      </c>
      <c r="G93" s="42">
        <v>0.76</v>
      </c>
      <c r="H93" s="42">
        <f t="shared" si="4"/>
        <v>1.52</v>
      </c>
      <c r="I93" s="42">
        <v>0</v>
      </c>
      <c r="J93" s="42">
        <f t="shared" si="5"/>
        <v>0</v>
      </c>
      <c r="K93" s="38">
        <v>0</v>
      </c>
      <c r="L93" s="38">
        <f t="shared" si="6"/>
        <v>0</v>
      </c>
      <c r="M93" s="43">
        <f t="shared" si="7"/>
        <v>1.52</v>
      </c>
      <c r="O93" s="130"/>
    </row>
    <row r="94" spans="1:15" s="84" customFormat="1" x14ac:dyDescent="0.2">
      <c r="A94" s="45">
        <v>21</v>
      </c>
      <c r="B94" s="25" t="s">
        <v>573</v>
      </c>
      <c r="C94" s="47" t="s">
        <v>138</v>
      </c>
      <c r="D94" s="67" t="s">
        <v>2</v>
      </c>
      <c r="E94" s="164"/>
      <c r="F94" s="41">
        <v>15</v>
      </c>
      <c r="G94" s="42">
        <v>0.4</v>
      </c>
      <c r="H94" s="42">
        <f t="shared" si="4"/>
        <v>6</v>
      </c>
      <c r="I94" s="42">
        <v>0</v>
      </c>
      <c r="J94" s="42">
        <f t="shared" si="5"/>
        <v>0</v>
      </c>
      <c r="K94" s="38">
        <v>0</v>
      </c>
      <c r="L94" s="38">
        <f t="shared" si="6"/>
        <v>0</v>
      </c>
      <c r="M94" s="43">
        <f t="shared" si="7"/>
        <v>6</v>
      </c>
      <c r="O94" s="130"/>
    </row>
    <row r="95" spans="1:15" s="84" customFormat="1" x14ac:dyDescent="0.2">
      <c r="A95" s="45">
        <v>22</v>
      </c>
      <c r="B95" s="25" t="s">
        <v>574</v>
      </c>
      <c r="C95" s="47" t="s">
        <v>139</v>
      </c>
      <c r="D95" s="67" t="s">
        <v>2</v>
      </c>
      <c r="E95" s="164"/>
      <c r="F95" s="41">
        <v>2</v>
      </c>
      <c r="G95" s="42">
        <v>0.34</v>
      </c>
      <c r="H95" s="42">
        <f t="shared" si="4"/>
        <v>0.68</v>
      </c>
      <c r="I95" s="42">
        <v>0</v>
      </c>
      <c r="J95" s="42">
        <f t="shared" si="5"/>
        <v>0</v>
      </c>
      <c r="K95" s="38">
        <v>0</v>
      </c>
      <c r="L95" s="38">
        <f t="shared" si="6"/>
        <v>0</v>
      </c>
      <c r="M95" s="43">
        <f t="shared" si="7"/>
        <v>0.68</v>
      </c>
      <c r="O95" s="130"/>
    </row>
    <row r="96" spans="1:15" s="84" customFormat="1" x14ac:dyDescent="0.2">
      <c r="A96" s="45">
        <v>23</v>
      </c>
      <c r="B96" s="25" t="s">
        <v>574</v>
      </c>
      <c r="C96" s="47" t="s">
        <v>143</v>
      </c>
      <c r="D96" s="67" t="s">
        <v>2</v>
      </c>
      <c r="E96" s="164"/>
      <c r="F96" s="41">
        <v>6</v>
      </c>
      <c r="G96" s="42">
        <v>0.34</v>
      </c>
      <c r="H96" s="42">
        <f t="shared" si="4"/>
        <v>2.04</v>
      </c>
      <c r="I96" s="42">
        <v>0</v>
      </c>
      <c r="J96" s="42">
        <f t="shared" si="5"/>
        <v>0</v>
      </c>
      <c r="K96" s="38">
        <v>0</v>
      </c>
      <c r="L96" s="38">
        <f t="shared" si="6"/>
        <v>0</v>
      </c>
      <c r="M96" s="43">
        <f t="shared" si="7"/>
        <v>2.04</v>
      </c>
      <c r="O96" s="130"/>
    </row>
    <row r="97" spans="1:15" s="84" customFormat="1" x14ac:dyDescent="0.2">
      <c r="A97" s="45">
        <v>24</v>
      </c>
      <c r="B97" s="25" t="s">
        <v>575</v>
      </c>
      <c r="C97" s="47" t="s">
        <v>144</v>
      </c>
      <c r="D97" s="67" t="s">
        <v>2</v>
      </c>
      <c r="E97" s="164"/>
      <c r="F97" s="41">
        <v>2</v>
      </c>
      <c r="G97" s="83">
        <v>0.51</v>
      </c>
      <c r="H97" s="83">
        <f t="shared" si="4"/>
        <v>1.02</v>
      </c>
      <c r="I97" s="83">
        <v>0</v>
      </c>
      <c r="J97" s="42">
        <f t="shared" si="5"/>
        <v>0</v>
      </c>
      <c r="K97" s="38">
        <v>0</v>
      </c>
      <c r="L97" s="38">
        <f t="shared" si="6"/>
        <v>0</v>
      </c>
      <c r="M97" s="43">
        <f t="shared" si="7"/>
        <v>1.02</v>
      </c>
      <c r="O97" s="130"/>
    </row>
    <row r="98" spans="1:15" s="84" customFormat="1" x14ac:dyDescent="0.2">
      <c r="A98" s="45">
        <v>25</v>
      </c>
      <c r="B98" s="25"/>
      <c r="C98" s="47" t="s">
        <v>140</v>
      </c>
      <c r="D98" s="67" t="s">
        <v>2</v>
      </c>
      <c r="E98" s="164"/>
      <c r="F98" s="41">
        <v>4</v>
      </c>
      <c r="G98" s="42">
        <v>5</v>
      </c>
      <c r="H98" s="42">
        <f t="shared" si="4"/>
        <v>20</v>
      </c>
      <c r="I98" s="42">
        <v>0</v>
      </c>
      <c r="J98" s="42">
        <f t="shared" si="5"/>
        <v>0</v>
      </c>
      <c r="K98" s="38">
        <v>0</v>
      </c>
      <c r="L98" s="38">
        <f t="shared" si="6"/>
        <v>0</v>
      </c>
      <c r="M98" s="43">
        <f t="shared" si="7"/>
        <v>20</v>
      </c>
      <c r="O98" s="130"/>
    </row>
    <row r="99" spans="1:15" s="84" customFormat="1" ht="24.75" x14ac:dyDescent="0.2">
      <c r="A99" s="45">
        <v>26</v>
      </c>
      <c r="B99" s="25"/>
      <c r="C99" s="47" t="s">
        <v>141</v>
      </c>
      <c r="D99" s="67" t="s">
        <v>2</v>
      </c>
      <c r="E99" s="164"/>
      <c r="F99" s="41">
        <v>1</v>
      </c>
      <c r="G99" s="42">
        <v>5</v>
      </c>
      <c r="H99" s="42">
        <f t="shared" si="4"/>
        <v>5</v>
      </c>
      <c r="I99" s="42">
        <v>0</v>
      </c>
      <c r="J99" s="42">
        <f t="shared" si="5"/>
        <v>0</v>
      </c>
      <c r="K99" s="38">
        <v>0</v>
      </c>
      <c r="L99" s="38">
        <f t="shared" si="6"/>
        <v>0</v>
      </c>
      <c r="M99" s="43">
        <f t="shared" si="7"/>
        <v>5</v>
      </c>
      <c r="O99" s="130"/>
    </row>
    <row r="100" spans="1:15" s="84" customFormat="1" x14ac:dyDescent="0.2">
      <c r="A100" s="45">
        <v>27</v>
      </c>
      <c r="B100" s="25"/>
      <c r="C100" s="47" t="s">
        <v>142</v>
      </c>
      <c r="D100" s="67" t="s">
        <v>2</v>
      </c>
      <c r="E100" s="164"/>
      <c r="F100" s="41">
        <v>2</v>
      </c>
      <c r="G100" s="42">
        <v>5</v>
      </c>
      <c r="H100" s="42">
        <f t="shared" si="4"/>
        <v>10</v>
      </c>
      <c r="I100" s="42">
        <v>0</v>
      </c>
      <c r="J100" s="42">
        <f t="shared" si="5"/>
        <v>0</v>
      </c>
      <c r="K100" s="38">
        <v>0</v>
      </c>
      <c r="L100" s="38">
        <f t="shared" si="6"/>
        <v>0</v>
      </c>
      <c r="M100" s="43">
        <f t="shared" si="7"/>
        <v>10</v>
      </c>
      <c r="O100" s="130"/>
    </row>
    <row r="101" spans="1:15" s="36" customFormat="1" ht="14.25" x14ac:dyDescent="0.2">
      <c r="A101" s="21"/>
      <c r="B101" s="126"/>
      <c r="C101" s="76" t="s">
        <v>146</v>
      </c>
      <c r="D101" s="79"/>
      <c r="E101" s="16"/>
      <c r="F101" s="27"/>
      <c r="G101" s="17"/>
      <c r="H101" s="17"/>
      <c r="I101" s="17"/>
      <c r="J101" s="17"/>
      <c r="K101" s="17"/>
      <c r="L101" s="17"/>
      <c r="M101" s="16"/>
      <c r="O101" s="130"/>
    </row>
    <row r="102" spans="1:15" s="84" customFormat="1" ht="24" x14ac:dyDescent="0.2">
      <c r="A102" s="45">
        <v>1</v>
      </c>
      <c r="B102" s="25" t="s">
        <v>576</v>
      </c>
      <c r="C102" s="47" t="s">
        <v>147</v>
      </c>
      <c r="D102" s="67" t="s">
        <v>19</v>
      </c>
      <c r="E102" s="164"/>
      <c r="F102" s="41">
        <v>3</v>
      </c>
      <c r="G102" s="42">
        <v>12.5</v>
      </c>
      <c r="H102" s="42">
        <f>F102*G102</f>
        <v>37.5</v>
      </c>
      <c r="I102" s="42">
        <v>0</v>
      </c>
      <c r="J102" s="42">
        <f t="shared" ref="J102:J120" si="8">F102*I102</f>
        <v>0</v>
      </c>
      <c r="K102" s="38">
        <v>0</v>
      </c>
      <c r="L102" s="38">
        <f t="shared" ref="L102:L120" si="9">F102*K102</f>
        <v>0</v>
      </c>
      <c r="M102" s="43">
        <f t="shared" ref="M102:M120" si="10">H102+J102+L102</f>
        <v>37.5</v>
      </c>
      <c r="O102" s="130"/>
    </row>
    <row r="103" spans="1:15" s="84" customFormat="1" ht="24" x14ac:dyDescent="0.2">
      <c r="A103" s="45">
        <v>2</v>
      </c>
      <c r="B103" s="25" t="s">
        <v>577</v>
      </c>
      <c r="C103" s="47" t="s">
        <v>148</v>
      </c>
      <c r="D103" s="67" t="s">
        <v>19</v>
      </c>
      <c r="E103" s="164"/>
      <c r="F103" s="41">
        <v>5</v>
      </c>
      <c r="G103" s="42">
        <v>9.1999999999999993</v>
      </c>
      <c r="H103" s="42">
        <f t="shared" ref="H103:H120" si="11">F103*G103</f>
        <v>46</v>
      </c>
      <c r="I103" s="42">
        <v>0</v>
      </c>
      <c r="J103" s="42">
        <f t="shared" si="8"/>
        <v>0</v>
      </c>
      <c r="K103" s="38">
        <v>0</v>
      </c>
      <c r="L103" s="38">
        <f t="shared" si="9"/>
        <v>0</v>
      </c>
      <c r="M103" s="43">
        <f t="shared" si="10"/>
        <v>46</v>
      </c>
      <c r="O103" s="130"/>
    </row>
    <row r="104" spans="1:15" s="84" customFormat="1" ht="24" x14ac:dyDescent="0.2">
      <c r="A104" s="45">
        <v>3</v>
      </c>
      <c r="B104" s="25" t="s">
        <v>578</v>
      </c>
      <c r="C104" s="47" t="s">
        <v>149</v>
      </c>
      <c r="D104" s="67" t="s">
        <v>19</v>
      </c>
      <c r="E104" s="164"/>
      <c r="F104" s="41">
        <v>6</v>
      </c>
      <c r="G104" s="42">
        <v>4.7</v>
      </c>
      <c r="H104" s="42">
        <f t="shared" si="11"/>
        <v>28.200000000000003</v>
      </c>
      <c r="I104" s="42">
        <v>0</v>
      </c>
      <c r="J104" s="42">
        <f t="shared" si="8"/>
        <v>0</v>
      </c>
      <c r="K104" s="38">
        <v>0</v>
      </c>
      <c r="L104" s="38">
        <f t="shared" si="9"/>
        <v>0</v>
      </c>
      <c r="M104" s="43">
        <f t="shared" si="10"/>
        <v>28.200000000000003</v>
      </c>
      <c r="O104" s="130"/>
    </row>
    <row r="105" spans="1:15" s="84" customFormat="1" ht="24" x14ac:dyDescent="0.2">
      <c r="A105" s="45">
        <v>3</v>
      </c>
      <c r="B105" s="25" t="s">
        <v>579</v>
      </c>
      <c r="C105" s="47" t="s">
        <v>169</v>
      </c>
      <c r="D105" s="67" t="s">
        <v>19</v>
      </c>
      <c r="E105" s="164"/>
      <c r="F105" s="41">
        <v>6</v>
      </c>
      <c r="G105" s="42">
        <v>3.2</v>
      </c>
      <c r="H105" s="42">
        <f t="shared" si="11"/>
        <v>19.200000000000003</v>
      </c>
      <c r="I105" s="42">
        <v>0</v>
      </c>
      <c r="J105" s="42">
        <f t="shared" si="8"/>
        <v>0</v>
      </c>
      <c r="K105" s="38">
        <v>0</v>
      </c>
      <c r="L105" s="38">
        <f t="shared" si="9"/>
        <v>0</v>
      </c>
      <c r="M105" s="43">
        <f t="shared" si="10"/>
        <v>19.200000000000003</v>
      </c>
      <c r="O105" s="130"/>
    </row>
    <row r="106" spans="1:15" s="84" customFormat="1" ht="24" x14ac:dyDescent="0.2">
      <c r="A106" s="45">
        <v>4</v>
      </c>
      <c r="B106" s="25" t="s">
        <v>580</v>
      </c>
      <c r="C106" s="47" t="s">
        <v>150</v>
      </c>
      <c r="D106" s="67" t="s">
        <v>19</v>
      </c>
      <c r="E106" s="164"/>
      <c r="F106" s="41">
        <v>12</v>
      </c>
      <c r="G106" s="42">
        <v>3.2</v>
      </c>
      <c r="H106" s="42">
        <f>F106*G106</f>
        <v>38.400000000000006</v>
      </c>
      <c r="I106" s="42">
        <v>0</v>
      </c>
      <c r="J106" s="42">
        <f t="shared" si="8"/>
        <v>0</v>
      </c>
      <c r="K106" s="38">
        <v>0</v>
      </c>
      <c r="L106" s="38">
        <f t="shared" si="9"/>
        <v>0</v>
      </c>
      <c r="M106" s="43">
        <f t="shared" si="10"/>
        <v>38.400000000000006</v>
      </c>
      <c r="O106" s="130"/>
    </row>
    <row r="107" spans="1:15" s="84" customFormat="1" ht="24" x14ac:dyDescent="0.2">
      <c r="A107" s="45">
        <v>5</v>
      </c>
      <c r="B107" s="25" t="s">
        <v>581</v>
      </c>
      <c r="C107" s="47" t="s">
        <v>151</v>
      </c>
      <c r="D107" s="67" t="s">
        <v>19</v>
      </c>
      <c r="E107" s="164"/>
      <c r="F107" s="41">
        <v>6</v>
      </c>
      <c r="G107" s="42">
        <v>2.5</v>
      </c>
      <c r="H107" s="42">
        <f t="shared" si="11"/>
        <v>15</v>
      </c>
      <c r="I107" s="42">
        <v>0</v>
      </c>
      <c r="J107" s="42">
        <f t="shared" si="8"/>
        <v>0</v>
      </c>
      <c r="K107" s="38">
        <v>0</v>
      </c>
      <c r="L107" s="38">
        <f t="shared" si="9"/>
        <v>0</v>
      </c>
      <c r="M107" s="43">
        <f t="shared" si="10"/>
        <v>15</v>
      </c>
      <c r="O107" s="130"/>
    </row>
    <row r="108" spans="1:15" s="84" customFormat="1" ht="24" x14ac:dyDescent="0.2">
      <c r="A108" s="45">
        <v>6</v>
      </c>
      <c r="B108" s="25" t="s">
        <v>582</v>
      </c>
      <c r="C108" s="47" t="s">
        <v>152</v>
      </c>
      <c r="D108" s="67" t="s">
        <v>19</v>
      </c>
      <c r="E108" s="164"/>
      <c r="F108" s="41">
        <v>14</v>
      </c>
      <c r="G108" s="42">
        <v>1.6</v>
      </c>
      <c r="H108" s="42">
        <f t="shared" si="11"/>
        <v>22.400000000000002</v>
      </c>
      <c r="I108" s="42">
        <v>0</v>
      </c>
      <c r="J108" s="42">
        <f t="shared" si="8"/>
        <v>0</v>
      </c>
      <c r="K108" s="38">
        <v>0</v>
      </c>
      <c r="L108" s="38">
        <f t="shared" si="9"/>
        <v>0</v>
      </c>
      <c r="M108" s="43">
        <f t="shared" si="10"/>
        <v>22.400000000000002</v>
      </c>
      <c r="O108" s="130"/>
    </row>
    <row r="109" spans="1:15" s="84" customFormat="1" ht="24" x14ac:dyDescent="0.2">
      <c r="A109" s="45">
        <v>7</v>
      </c>
      <c r="B109" s="25" t="s">
        <v>557</v>
      </c>
      <c r="C109" s="47" t="s">
        <v>153</v>
      </c>
      <c r="D109" s="67" t="s">
        <v>19</v>
      </c>
      <c r="E109" s="164"/>
      <c r="F109" s="41">
        <v>6</v>
      </c>
      <c r="G109" s="42">
        <v>0.8</v>
      </c>
      <c r="H109" s="42">
        <f t="shared" si="11"/>
        <v>4.8000000000000007</v>
      </c>
      <c r="I109" s="42">
        <v>0</v>
      </c>
      <c r="J109" s="42">
        <f t="shared" si="8"/>
        <v>0</v>
      </c>
      <c r="K109" s="38">
        <v>0</v>
      </c>
      <c r="L109" s="38">
        <f t="shared" si="9"/>
        <v>0</v>
      </c>
      <c r="M109" s="43">
        <f t="shared" si="10"/>
        <v>4.8000000000000007</v>
      </c>
      <c r="O109" s="130"/>
    </row>
    <row r="110" spans="1:15" s="84" customFormat="1" x14ac:dyDescent="0.2">
      <c r="A110" s="45">
        <v>8</v>
      </c>
      <c r="B110" s="25" t="s">
        <v>583</v>
      </c>
      <c r="C110" s="47" t="s">
        <v>154</v>
      </c>
      <c r="D110" s="67" t="s">
        <v>19</v>
      </c>
      <c r="E110" s="164"/>
      <c r="F110" s="41">
        <v>20</v>
      </c>
      <c r="G110" s="42">
        <v>0.91</v>
      </c>
      <c r="H110" s="42">
        <f t="shared" si="11"/>
        <v>18.2</v>
      </c>
      <c r="I110" s="42">
        <v>0</v>
      </c>
      <c r="J110" s="42">
        <f t="shared" si="8"/>
        <v>0</v>
      </c>
      <c r="K110" s="38">
        <v>0</v>
      </c>
      <c r="L110" s="38">
        <f t="shared" si="9"/>
        <v>0</v>
      </c>
      <c r="M110" s="43">
        <f t="shared" si="10"/>
        <v>18.2</v>
      </c>
      <c r="O110" s="130"/>
    </row>
    <row r="111" spans="1:15" s="84" customFormat="1" x14ac:dyDescent="0.2">
      <c r="A111" s="45">
        <v>9</v>
      </c>
      <c r="B111" s="25" t="s">
        <v>584</v>
      </c>
      <c r="C111" s="47" t="s">
        <v>155</v>
      </c>
      <c r="D111" s="67" t="s">
        <v>19</v>
      </c>
      <c r="E111" s="164"/>
      <c r="F111" s="41">
        <v>6</v>
      </c>
      <c r="G111" s="42">
        <v>0.5</v>
      </c>
      <c r="H111" s="42">
        <f t="shared" si="11"/>
        <v>3</v>
      </c>
      <c r="I111" s="42">
        <v>0</v>
      </c>
      <c r="J111" s="42">
        <f t="shared" si="8"/>
        <v>0</v>
      </c>
      <c r="K111" s="38">
        <v>0</v>
      </c>
      <c r="L111" s="38">
        <f t="shared" si="9"/>
        <v>0</v>
      </c>
      <c r="M111" s="43">
        <f t="shared" si="10"/>
        <v>3</v>
      </c>
      <c r="O111" s="130"/>
    </row>
    <row r="112" spans="1:15" s="84" customFormat="1" x14ac:dyDescent="0.2">
      <c r="A112" s="45">
        <v>10</v>
      </c>
      <c r="B112" s="25" t="s">
        <v>585</v>
      </c>
      <c r="C112" s="47" t="s">
        <v>156</v>
      </c>
      <c r="D112" s="67" t="s">
        <v>2</v>
      </c>
      <c r="E112" s="164"/>
      <c r="F112" s="41">
        <v>5</v>
      </c>
      <c r="G112" s="42">
        <v>4.24</v>
      </c>
      <c r="H112" s="42">
        <f t="shared" si="11"/>
        <v>21.200000000000003</v>
      </c>
      <c r="I112" s="42">
        <v>0</v>
      </c>
      <c r="J112" s="42">
        <f t="shared" si="8"/>
        <v>0</v>
      </c>
      <c r="K112" s="38">
        <v>0</v>
      </c>
      <c r="L112" s="38">
        <f t="shared" si="9"/>
        <v>0</v>
      </c>
      <c r="M112" s="43">
        <f t="shared" si="10"/>
        <v>21.200000000000003</v>
      </c>
      <c r="O112" s="130"/>
    </row>
    <row r="113" spans="1:15" s="84" customFormat="1" x14ac:dyDescent="0.2">
      <c r="A113" s="45">
        <v>11</v>
      </c>
      <c r="B113" s="25" t="s">
        <v>586</v>
      </c>
      <c r="C113" s="47" t="s">
        <v>157</v>
      </c>
      <c r="D113" s="67" t="s">
        <v>2</v>
      </c>
      <c r="E113" s="164"/>
      <c r="F113" s="41">
        <v>7</v>
      </c>
      <c r="G113" s="42">
        <v>2.54</v>
      </c>
      <c r="H113" s="42">
        <f t="shared" si="11"/>
        <v>17.78</v>
      </c>
      <c r="I113" s="42">
        <v>0</v>
      </c>
      <c r="J113" s="42">
        <f t="shared" si="8"/>
        <v>0</v>
      </c>
      <c r="K113" s="38">
        <v>0</v>
      </c>
      <c r="L113" s="38">
        <f t="shared" si="9"/>
        <v>0</v>
      </c>
      <c r="M113" s="43">
        <f t="shared" si="10"/>
        <v>17.78</v>
      </c>
      <c r="O113" s="130"/>
    </row>
    <row r="114" spans="1:15" s="84" customFormat="1" x14ac:dyDescent="0.2">
      <c r="A114" s="45">
        <v>12</v>
      </c>
      <c r="B114" s="25" t="s">
        <v>587</v>
      </c>
      <c r="C114" s="47" t="s">
        <v>158</v>
      </c>
      <c r="D114" s="67" t="s">
        <v>2</v>
      </c>
      <c r="E114" s="164"/>
      <c r="F114" s="41">
        <v>4</v>
      </c>
      <c r="G114" s="42">
        <v>1.69</v>
      </c>
      <c r="H114" s="42">
        <f t="shared" si="11"/>
        <v>6.76</v>
      </c>
      <c r="I114" s="42">
        <v>0</v>
      </c>
      <c r="J114" s="42">
        <f t="shared" si="8"/>
        <v>0</v>
      </c>
      <c r="K114" s="38">
        <v>0</v>
      </c>
      <c r="L114" s="38">
        <f t="shared" si="9"/>
        <v>0</v>
      </c>
      <c r="M114" s="43">
        <f t="shared" si="10"/>
        <v>6.76</v>
      </c>
      <c r="O114" s="130"/>
    </row>
    <row r="115" spans="1:15" s="84" customFormat="1" x14ac:dyDescent="0.2">
      <c r="A115" s="45">
        <v>13</v>
      </c>
      <c r="B115" s="25" t="s">
        <v>588</v>
      </c>
      <c r="C115" s="47" t="s">
        <v>159</v>
      </c>
      <c r="D115" s="67" t="s">
        <v>2</v>
      </c>
      <c r="E115" s="164"/>
      <c r="F115" s="41">
        <v>14</v>
      </c>
      <c r="G115" s="42">
        <v>2.54</v>
      </c>
      <c r="H115" s="42">
        <f t="shared" si="11"/>
        <v>35.56</v>
      </c>
      <c r="I115" s="42">
        <v>0</v>
      </c>
      <c r="J115" s="42">
        <f t="shared" si="8"/>
        <v>0</v>
      </c>
      <c r="K115" s="38">
        <v>0</v>
      </c>
      <c r="L115" s="38">
        <f t="shared" si="9"/>
        <v>0</v>
      </c>
      <c r="M115" s="43">
        <f t="shared" si="10"/>
        <v>35.56</v>
      </c>
      <c r="O115" s="130"/>
    </row>
    <row r="116" spans="1:15" s="84" customFormat="1" x14ac:dyDescent="0.2">
      <c r="A116" s="45">
        <v>14</v>
      </c>
      <c r="B116" s="25" t="s">
        <v>589</v>
      </c>
      <c r="C116" s="47" t="s">
        <v>160</v>
      </c>
      <c r="D116" s="67" t="s">
        <v>2</v>
      </c>
      <c r="E116" s="164"/>
      <c r="F116" s="41">
        <v>15</v>
      </c>
      <c r="G116" s="42">
        <v>1.06</v>
      </c>
      <c r="H116" s="42">
        <f t="shared" si="11"/>
        <v>15.9</v>
      </c>
      <c r="I116" s="42">
        <v>0</v>
      </c>
      <c r="J116" s="42">
        <f t="shared" si="8"/>
        <v>0</v>
      </c>
      <c r="K116" s="38">
        <v>0</v>
      </c>
      <c r="L116" s="38">
        <f t="shared" si="9"/>
        <v>0</v>
      </c>
      <c r="M116" s="43">
        <f t="shared" si="10"/>
        <v>15.9</v>
      </c>
      <c r="O116" s="130"/>
    </row>
    <row r="117" spans="1:15" s="84" customFormat="1" x14ac:dyDescent="0.2">
      <c r="A117" s="45">
        <v>15</v>
      </c>
      <c r="B117" s="25" t="s">
        <v>589</v>
      </c>
      <c r="C117" s="47" t="s">
        <v>161</v>
      </c>
      <c r="D117" s="67" t="s">
        <v>2</v>
      </c>
      <c r="E117" s="164"/>
      <c r="F117" s="41">
        <v>2</v>
      </c>
      <c r="G117" s="42">
        <v>1.06</v>
      </c>
      <c r="H117" s="42">
        <f t="shared" si="11"/>
        <v>2.12</v>
      </c>
      <c r="I117" s="42">
        <v>0</v>
      </c>
      <c r="J117" s="42">
        <f t="shared" si="8"/>
        <v>0</v>
      </c>
      <c r="K117" s="38">
        <v>0</v>
      </c>
      <c r="L117" s="38">
        <f t="shared" si="9"/>
        <v>0</v>
      </c>
      <c r="M117" s="43">
        <f t="shared" si="10"/>
        <v>2.12</v>
      </c>
      <c r="O117" s="130"/>
    </row>
    <row r="118" spans="1:15" s="84" customFormat="1" x14ac:dyDescent="0.2">
      <c r="A118" s="45">
        <v>15</v>
      </c>
      <c r="B118" s="25"/>
      <c r="C118" s="47" t="s">
        <v>170</v>
      </c>
      <c r="D118" s="67" t="s">
        <v>2</v>
      </c>
      <c r="E118" s="164"/>
      <c r="F118" s="41">
        <v>4</v>
      </c>
      <c r="G118" s="42">
        <v>2.6</v>
      </c>
      <c r="H118" s="42">
        <f t="shared" si="11"/>
        <v>10.4</v>
      </c>
      <c r="I118" s="42">
        <v>0</v>
      </c>
      <c r="J118" s="42">
        <f t="shared" si="8"/>
        <v>0</v>
      </c>
      <c r="K118" s="38">
        <v>0</v>
      </c>
      <c r="L118" s="38">
        <f t="shared" si="9"/>
        <v>0</v>
      </c>
      <c r="M118" s="43">
        <f t="shared" si="10"/>
        <v>10.4</v>
      </c>
      <c r="O118" s="130"/>
    </row>
    <row r="119" spans="1:15" s="84" customFormat="1" x14ac:dyDescent="0.2">
      <c r="A119" s="45">
        <v>16</v>
      </c>
      <c r="B119" s="25" t="s">
        <v>590</v>
      </c>
      <c r="C119" s="47" t="s">
        <v>162</v>
      </c>
      <c r="D119" s="67" t="s">
        <v>2</v>
      </c>
      <c r="E119" s="164"/>
      <c r="F119" s="41">
        <v>1</v>
      </c>
      <c r="G119" s="42">
        <v>2.5</v>
      </c>
      <c r="H119" s="42">
        <f t="shared" si="11"/>
        <v>2.5</v>
      </c>
      <c r="I119" s="42">
        <v>0</v>
      </c>
      <c r="J119" s="42">
        <f t="shared" si="8"/>
        <v>0</v>
      </c>
      <c r="K119" s="38">
        <v>0</v>
      </c>
      <c r="L119" s="38">
        <f t="shared" si="9"/>
        <v>0</v>
      </c>
      <c r="M119" s="43">
        <f t="shared" si="10"/>
        <v>2.5</v>
      </c>
      <c r="O119" s="130"/>
    </row>
    <row r="120" spans="1:15" s="84" customFormat="1" x14ac:dyDescent="0.2">
      <c r="A120" s="45">
        <v>17</v>
      </c>
      <c r="B120" s="25"/>
      <c r="C120" s="47" t="s">
        <v>163</v>
      </c>
      <c r="D120" s="67" t="s">
        <v>2</v>
      </c>
      <c r="E120" s="164"/>
      <c r="F120" s="41">
        <v>3</v>
      </c>
      <c r="G120" s="42">
        <v>10</v>
      </c>
      <c r="H120" s="42">
        <f t="shared" si="11"/>
        <v>30</v>
      </c>
      <c r="I120" s="42">
        <v>0</v>
      </c>
      <c r="J120" s="42">
        <f t="shared" si="8"/>
        <v>0</v>
      </c>
      <c r="K120" s="38">
        <v>0</v>
      </c>
      <c r="L120" s="38">
        <f t="shared" si="9"/>
        <v>0</v>
      </c>
      <c r="M120" s="43">
        <f t="shared" si="10"/>
        <v>30</v>
      </c>
      <c r="O120" s="130"/>
    </row>
    <row r="121" spans="1:15" s="34" customFormat="1" x14ac:dyDescent="0.25">
      <c r="A121" s="48"/>
      <c r="B121" s="156"/>
      <c r="C121" s="70" t="s">
        <v>30</v>
      </c>
      <c r="D121" s="69"/>
      <c r="E121" s="50"/>
      <c r="F121" s="50"/>
      <c r="G121" s="51"/>
      <c r="H121" s="52">
        <f>SUM(H74:H120)</f>
        <v>805.52999999999986</v>
      </c>
      <c r="I121" s="52"/>
      <c r="J121" s="52"/>
      <c r="K121" s="52"/>
      <c r="L121" s="52"/>
      <c r="M121" s="53">
        <f>SUM(M74:M120)</f>
        <v>805.52999999999986</v>
      </c>
      <c r="O121" s="82">
        <f>L121+J121+H121</f>
        <v>805.52999999999986</v>
      </c>
    </row>
    <row r="122" spans="1:15" s="34" customFormat="1" x14ac:dyDescent="0.25">
      <c r="A122" s="48"/>
      <c r="B122" s="156"/>
      <c r="C122" s="70" t="s">
        <v>56</v>
      </c>
      <c r="D122" s="49" t="s">
        <v>92</v>
      </c>
      <c r="E122" s="50"/>
      <c r="F122" s="50"/>
      <c r="G122" s="51"/>
      <c r="H122" s="52">
        <f>H71+H121</f>
        <v>4491.83</v>
      </c>
      <c r="I122" s="52"/>
      <c r="J122" s="52">
        <f>J71+J121</f>
        <v>854.85964999999999</v>
      </c>
      <c r="K122" s="52"/>
      <c r="L122" s="52">
        <f>L71+L121</f>
        <v>11.707248</v>
      </c>
      <c r="M122" s="53">
        <f>M71+M121</f>
        <v>5358.396898</v>
      </c>
      <c r="O122" s="82">
        <f>L122+J122+H122</f>
        <v>5358.396898</v>
      </c>
    </row>
    <row r="123" spans="1:15" s="84" customFormat="1" ht="25.5" x14ac:dyDescent="0.25">
      <c r="A123" s="109"/>
      <c r="B123" s="25">
        <v>0.05</v>
      </c>
      <c r="C123" s="72" t="s">
        <v>74</v>
      </c>
      <c r="D123" s="8" t="s">
        <v>0</v>
      </c>
      <c r="E123" s="230"/>
      <c r="F123" s="4"/>
      <c r="G123" s="4"/>
      <c r="H123" s="4"/>
      <c r="I123" s="4"/>
      <c r="J123" s="4"/>
      <c r="K123" s="4"/>
      <c r="L123" s="4"/>
      <c r="M123" s="246">
        <f>H122*B123</f>
        <v>224.5915</v>
      </c>
    </row>
    <row r="124" spans="1:15" s="84" customFormat="1" x14ac:dyDescent="0.25">
      <c r="A124" s="120"/>
      <c r="B124" s="55"/>
      <c r="C124" s="70" t="s">
        <v>22</v>
      </c>
      <c r="D124" s="56" t="s">
        <v>0</v>
      </c>
      <c r="E124" s="57"/>
      <c r="F124" s="58"/>
      <c r="G124" s="59"/>
      <c r="H124" s="59"/>
      <c r="I124" s="59"/>
      <c r="J124" s="59"/>
      <c r="K124" s="59"/>
      <c r="L124" s="59"/>
      <c r="M124" s="247">
        <f>SUM(M122:M123)</f>
        <v>5582.9883979999995</v>
      </c>
    </row>
    <row r="125" spans="1:15" s="84" customFormat="1" x14ac:dyDescent="0.25">
      <c r="A125" s="109"/>
      <c r="B125" s="25">
        <v>0.12</v>
      </c>
      <c r="C125" s="72" t="s">
        <v>164</v>
      </c>
      <c r="D125" s="8" t="s">
        <v>0</v>
      </c>
      <c r="E125" s="230"/>
      <c r="F125" s="4"/>
      <c r="G125" s="4"/>
      <c r="H125" s="4"/>
      <c r="I125" s="4"/>
      <c r="J125" s="4"/>
      <c r="K125" s="4"/>
      <c r="L125" s="4"/>
      <c r="M125" s="246">
        <f>M124*B125</f>
        <v>669.95860775999995</v>
      </c>
    </row>
    <row r="126" spans="1:15" s="84" customFormat="1" x14ac:dyDescent="0.25">
      <c r="A126" s="120"/>
      <c r="B126" s="55"/>
      <c r="C126" s="70" t="s">
        <v>22</v>
      </c>
      <c r="D126" s="56" t="s">
        <v>0</v>
      </c>
      <c r="E126" s="57"/>
      <c r="F126" s="58"/>
      <c r="G126" s="59"/>
      <c r="H126" s="59"/>
      <c r="I126" s="59"/>
      <c r="J126" s="59"/>
      <c r="K126" s="59"/>
      <c r="L126" s="59"/>
      <c r="M126" s="247">
        <f>SUM(M124:M125)</f>
        <v>6252.9470057599992</v>
      </c>
    </row>
    <row r="127" spans="1:15" s="84" customFormat="1" x14ac:dyDescent="0.25">
      <c r="A127" s="109"/>
      <c r="B127" s="25">
        <v>0.08</v>
      </c>
      <c r="C127" s="72" t="s">
        <v>25</v>
      </c>
      <c r="D127" s="8" t="s">
        <v>0</v>
      </c>
      <c r="E127" s="230"/>
      <c r="F127" s="4"/>
      <c r="G127" s="4"/>
      <c r="H127" s="4"/>
      <c r="I127" s="4"/>
      <c r="J127" s="4"/>
      <c r="K127" s="4"/>
      <c r="L127" s="4"/>
      <c r="M127" s="246">
        <f>M126*B127</f>
        <v>500.23576046079995</v>
      </c>
    </row>
    <row r="128" spans="1:15" s="84" customFormat="1" x14ac:dyDescent="0.25">
      <c r="A128" s="120"/>
      <c r="B128" s="55"/>
      <c r="C128" s="56" t="s">
        <v>24</v>
      </c>
      <c r="D128" s="56" t="s">
        <v>0</v>
      </c>
      <c r="E128" s="57"/>
      <c r="F128" s="58"/>
      <c r="G128" s="59"/>
      <c r="H128" s="59"/>
      <c r="I128" s="59"/>
      <c r="J128" s="59"/>
      <c r="K128" s="59"/>
      <c r="L128" s="59"/>
      <c r="M128" s="247">
        <f>SUM(M126:M127)</f>
        <v>6753.1827662207988</v>
      </c>
    </row>
    <row r="129" spans="2:13" s="84" customFormat="1" x14ac:dyDescent="0.25">
      <c r="B129" s="22"/>
      <c r="G129" s="112"/>
      <c r="H129" s="112"/>
      <c r="I129" s="112"/>
      <c r="J129" s="112"/>
      <c r="K129" s="112"/>
      <c r="L129" s="112"/>
      <c r="M129" s="113"/>
    </row>
    <row r="130" spans="2:13" s="84" customFormat="1" x14ac:dyDescent="0.25">
      <c r="B130" s="22"/>
      <c r="G130" s="112"/>
      <c r="H130" s="112"/>
      <c r="I130" s="112"/>
      <c r="J130" s="112"/>
      <c r="K130" s="112"/>
      <c r="L130" s="112"/>
      <c r="M130" s="113"/>
    </row>
    <row r="131" spans="2:13" s="84" customFormat="1" x14ac:dyDescent="0.25">
      <c r="B131" s="22"/>
      <c r="C131" s="240" t="s">
        <v>448</v>
      </c>
      <c r="G131" s="112"/>
      <c r="H131" s="112"/>
      <c r="I131" s="112"/>
      <c r="J131" s="112"/>
      <c r="K131" s="112"/>
      <c r="L131" s="112"/>
      <c r="M131" s="113"/>
    </row>
    <row r="132" spans="2:13" s="84" customFormat="1" x14ac:dyDescent="0.25">
      <c r="B132" s="23"/>
      <c r="C132" s="116" t="s">
        <v>449</v>
      </c>
      <c r="G132" s="112"/>
      <c r="H132" s="112"/>
      <c r="I132" s="112"/>
      <c r="J132" s="112"/>
      <c r="K132" s="112"/>
      <c r="L132" s="112"/>
      <c r="M132" s="113"/>
    </row>
    <row r="133" spans="2:13" s="84" customFormat="1" x14ac:dyDescent="0.25">
      <c r="B133" s="23"/>
      <c r="C133" s="22"/>
      <c r="G133" s="112"/>
      <c r="H133" s="112"/>
      <c r="I133" s="112"/>
      <c r="J133" s="112"/>
      <c r="K133" s="112"/>
      <c r="L133" s="112"/>
      <c r="M133" s="113"/>
    </row>
    <row r="134" spans="2:13" x14ac:dyDescent="0.25">
      <c r="C134" s="23"/>
      <c r="M134" s="115"/>
    </row>
    <row r="135" spans="2:13" x14ac:dyDescent="0.25">
      <c r="C135" s="24"/>
      <c r="M135" s="115"/>
    </row>
    <row r="136" spans="2:13" x14ac:dyDescent="0.25">
      <c r="C136" s="23"/>
      <c r="M136" s="115"/>
    </row>
    <row r="137" spans="2:13" x14ac:dyDescent="0.25">
      <c r="C137" s="23"/>
      <c r="M137" s="115"/>
    </row>
    <row r="138" spans="2:13" x14ac:dyDescent="0.25">
      <c r="C138" s="23"/>
      <c r="M138" s="115"/>
    </row>
    <row r="139" spans="2:13" x14ac:dyDescent="0.25">
      <c r="C139" s="23"/>
    </row>
    <row r="140" spans="2:13" x14ac:dyDescent="0.25">
      <c r="C140" s="23"/>
    </row>
    <row r="141" spans="2:13" x14ac:dyDescent="0.25">
      <c r="C141" s="23"/>
    </row>
    <row r="142" spans="2:13" x14ac:dyDescent="0.25">
      <c r="C142" s="23"/>
    </row>
  </sheetData>
  <mergeCells count="19">
    <mergeCell ref="I9:J9"/>
    <mergeCell ref="K9:L9"/>
    <mergeCell ref="M9:M10"/>
    <mergeCell ref="A7:H7"/>
    <mergeCell ref="J7:M7"/>
    <mergeCell ref="A8:A10"/>
    <mergeCell ref="B8:B10"/>
    <mergeCell ref="C8:C10"/>
    <mergeCell ref="D8:D10"/>
    <mergeCell ref="E8:E10"/>
    <mergeCell ref="F8:F10"/>
    <mergeCell ref="G8:M8"/>
    <mergeCell ref="G9:H9"/>
    <mergeCell ref="A1:M1"/>
    <mergeCell ref="A3:M3"/>
    <mergeCell ref="A4:M4"/>
    <mergeCell ref="A5:M5"/>
    <mergeCell ref="A6:G6"/>
    <mergeCell ref="K6:M6"/>
  </mergeCells>
  <pageMargins left="0.47244094488188981" right="0.15748031496062992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2"/>
  <sheetViews>
    <sheetView topLeftCell="A13" workbookViewId="0">
      <selection activeCell="L46" sqref="L46"/>
    </sheetView>
  </sheetViews>
  <sheetFormatPr defaultRowHeight="15" x14ac:dyDescent="0.25"/>
  <cols>
    <col min="1" max="1" width="5.140625" style="87" customWidth="1"/>
    <col min="2" max="2" width="11" style="19" customWidth="1"/>
    <col min="3" max="3" width="46.140625" style="87" customWidth="1"/>
    <col min="4" max="4" width="8.28515625" style="87" customWidth="1"/>
    <col min="5" max="5" width="7.7109375" style="87" customWidth="1"/>
    <col min="6" max="6" width="7.42578125" style="87" customWidth="1"/>
    <col min="7" max="7" width="7.42578125" style="114" customWidth="1"/>
    <col min="8" max="8" width="8.42578125" style="114" customWidth="1"/>
    <col min="9" max="9" width="7.42578125" style="114" customWidth="1"/>
    <col min="10" max="10" width="8.7109375" style="114" customWidth="1"/>
    <col min="11" max="11" width="7.42578125" style="114" customWidth="1"/>
    <col min="12" max="12" width="8.140625" style="114" customWidth="1"/>
    <col min="13" max="13" width="9.42578125" style="87" customWidth="1"/>
    <col min="14" max="15" width="11.42578125" style="87" bestFit="1" customWidth="1"/>
    <col min="16" max="256" width="9.140625" style="87"/>
    <col min="257" max="257" width="5.140625" style="87" customWidth="1"/>
    <col min="258" max="258" width="11" style="87" customWidth="1"/>
    <col min="259" max="259" width="46.140625" style="87" customWidth="1"/>
    <col min="260" max="260" width="8.28515625" style="87" customWidth="1"/>
    <col min="261" max="261" width="7.7109375" style="87" customWidth="1"/>
    <col min="262" max="263" width="7.42578125" style="87" customWidth="1"/>
    <col min="264" max="264" width="8.42578125" style="87" customWidth="1"/>
    <col min="265" max="265" width="7.42578125" style="87" customWidth="1"/>
    <col min="266" max="266" width="8.7109375" style="87" customWidth="1"/>
    <col min="267" max="267" width="7.42578125" style="87" customWidth="1"/>
    <col min="268" max="268" width="8.140625" style="87" customWidth="1"/>
    <col min="269" max="269" width="9.42578125" style="87" customWidth="1"/>
    <col min="270" max="271" width="11.42578125" style="87" bestFit="1" customWidth="1"/>
    <col min="272" max="512" width="9.140625" style="87"/>
    <col min="513" max="513" width="5.140625" style="87" customWidth="1"/>
    <col min="514" max="514" width="11" style="87" customWidth="1"/>
    <col min="515" max="515" width="46.140625" style="87" customWidth="1"/>
    <col min="516" max="516" width="8.28515625" style="87" customWidth="1"/>
    <col min="517" max="517" width="7.7109375" style="87" customWidth="1"/>
    <col min="518" max="519" width="7.42578125" style="87" customWidth="1"/>
    <col min="520" max="520" width="8.42578125" style="87" customWidth="1"/>
    <col min="521" max="521" width="7.42578125" style="87" customWidth="1"/>
    <col min="522" max="522" width="8.7109375" style="87" customWidth="1"/>
    <col min="523" max="523" width="7.42578125" style="87" customWidth="1"/>
    <col min="524" max="524" width="8.140625" style="87" customWidth="1"/>
    <col min="525" max="525" width="9.42578125" style="87" customWidth="1"/>
    <col min="526" max="527" width="11.42578125" style="87" bestFit="1" customWidth="1"/>
    <col min="528" max="768" width="9.140625" style="87"/>
    <col min="769" max="769" width="5.140625" style="87" customWidth="1"/>
    <col min="770" max="770" width="11" style="87" customWidth="1"/>
    <col min="771" max="771" width="46.140625" style="87" customWidth="1"/>
    <col min="772" max="772" width="8.28515625" style="87" customWidth="1"/>
    <col min="773" max="773" width="7.7109375" style="87" customWidth="1"/>
    <col min="774" max="775" width="7.42578125" style="87" customWidth="1"/>
    <col min="776" max="776" width="8.42578125" style="87" customWidth="1"/>
    <col min="777" max="777" width="7.42578125" style="87" customWidth="1"/>
    <col min="778" max="778" width="8.7109375" style="87" customWidth="1"/>
    <col min="779" max="779" width="7.42578125" style="87" customWidth="1"/>
    <col min="780" max="780" width="8.140625" style="87" customWidth="1"/>
    <col min="781" max="781" width="9.42578125" style="87" customWidth="1"/>
    <col min="782" max="783" width="11.42578125" style="87" bestFit="1" customWidth="1"/>
    <col min="784" max="1024" width="9.140625" style="87"/>
    <col min="1025" max="1025" width="5.140625" style="87" customWidth="1"/>
    <col min="1026" max="1026" width="11" style="87" customWidth="1"/>
    <col min="1027" max="1027" width="46.140625" style="87" customWidth="1"/>
    <col min="1028" max="1028" width="8.28515625" style="87" customWidth="1"/>
    <col min="1029" max="1029" width="7.7109375" style="87" customWidth="1"/>
    <col min="1030" max="1031" width="7.42578125" style="87" customWidth="1"/>
    <col min="1032" max="1032" width="8.42578125" style="87" customWidth="1"/>
    <col min="1033" max="1033" width="7.42578125" style="87" customWidth="1"/>
    <col min="1034" max="1034" width="8.7109375" style="87" customWidth="1"/>
    <col min="1035" max="1035" width="7.42578125" style="87" customWidth="1"/>
    <col min="1036" max="1036" width="8.140625" style="87" customWidth="1"/>
    <col min="1037" max="1037" width="9.42578125" style="87" customWidth="1"/>
    <col min="1038" max="1039" width="11.42578125" style="87" bestFit="1" customWidth="1"/>
    <col min="1040" max="1280" width="9.140625" style="87"/>
    <col min="1281" max="1281" width="5.140625" style="87" customWidth="1"/>
    <col min="1282" max="1282" width="11" style="87" customWidth="1"/>
    <col min="1283" max="1283" width="46.140625" style="87" customWidth="1"/>
    <col min="1284" max="1284" width="8.28515625" style="87" customWidth="1"/>
    <col min="1285" max="1285" width="7.7109375" style="87" customWidth="1"/>
    <col min="1286" max="1287" width="7.42578125" style="87" customWidth="1"/>
    <col min="1288" max="1288" width="8.42578125" style="87" customWidth="1"/>
    <col min="1289" max="1289" width="7.42578125" style="87" customWidth="1"/>
    <col min="1290" max="1290" width="8.7109375" style="87" customWidth="1"/>
    <col min="1291" max="1291" width="7.42578125" style="87" customWidth="1"/>
    <col min="1292" max="1292" width="8.140625" style="87" customWidth="1"/>
    <col min="1293" max="1293" width="9.42578125" style="87" customWidth="1"/>
    <col min="1294" max="1295" width="11.42578125" style="87" bestFit="1" customWidth="1"/>
    <col min="1296" max="1536" width="9.140625" style="87"/>
    <col min="1537" max="1537" width="5.140625" style="87" customWidth="1"/>
    <col min="1538" max="1538" width="11" style="87" customWidth="1"/>
    <col min="1539" max="1539" width="46.140625" style="87" customWidth="1"/>
    <col min="1540" max="1540" width="8.28515625" style="87" customWidth="1"/>
    <col min="1541" max="1541" width="7.7109375" style="87" customWidth="1"/>
    <col min="1542" max="1543" width="7.42578125" style="87" customWidth="1"/>
    <col min="1544" max="1544" width="8.42578125" style="87" customWidth="1"/>
    <col min="1545" max="1545" width="7.42578125" style="87" customWidth="1"/>
    <col min="1546" max="1546" width="8.7109375" style="87" customWidth="1"/>
    <col min="1547" max="1547" width="7.42578125" style="87" customWidth="1"/>
    <col min="1548" max="1548" width="8.140625" style="87" customWidth="1"/>
    <col min="1549" max="1549" width="9.42578125" style="87" customWidth="1"/>
    <col min="1550" max="1551" width="11.42578125" style="87" bestFit="1" customWidth="1"/>
    <col min="1552" max="1792" width="9.140625" style="87"/>
    <col min="1793" max="1793" width="5.140625" style="87" customWidth="1"/>
    <col min="1794" max="1794" width="11" style="87" customWidth="1"/>
    <col min="1795" max="1795" width="46.140625" style="87" customWidth="1"/>
    <col min="1796" max="1796" width="8.28515625" style="87" customWidth="1"/>
    <col min="1797" max="1797" width="7.7109375" style="87" customWidth="1"/>
    <col min="1798" max="1799" width="7.42578125" style="87" customWidth="1"/>
    <col min="1800" max="1800" width="8.42578125" style="87" customWidth="1"/>
    <col min="1801" max="1801" width="7.42578125" style="87" customWidth="1"/>
    <col min="1802" max="1802" width="8.7109375" style="87" customWidth="1"/>
    <col min="1803" max="1803" width="7.42578125" style="87" customWidth="1"/>
    <col min="1804" max="1804" width="8.140625" style="87" customWidth="1"/>
    <col min="1805" max="1805" width="9.42578125" style="87" customWidth="1"/>
    <col min="1806" max="1807" width="11.42578125" style="87" bestFit="1" customWidth="1"/>
    <col min="1808" max="2048" width="9.140625" style="87"/>
    <col min="2049" max="2049" width="5.140625" style="87" customWidth="1"/>
    <col min="2050" max="2050" width="11" style="87" customWidth="1"/>
    <col min="2051" max="2051" width="46.140625" style="87" customWidth="1"/>
    <col min="2052" max="2052" width="8.28515625" style="87" customWidth="1"/>
    <col min="2053" max="2053" width="7.7109375" style="87" customWidth="1"/>
    <col min="2054" max="2055" width="7.42578125" style="87" customWidth="1"/>
    <col min="2056" max="2056" width="8.42578125" style="87" customWidth="1"/>
    <col min="2057" max="2057" width="7.42578125" style="87" customWidth="1"/>
    <col min="2058" max="2058" width="8.7109375" style="87" customWidth="1"/>
    <col min="2059" max="2059" width="7.42578125" style="87" customWidth="1"/>
    <col min="2060" max="2060" width="8.140625" style="87" customWidth="1"/>
    <col min="2061" max="2061" width="9.42578125" style="87" customWidth="1"/>
    <col min="2062" max="2063" width="11.42578125" style="87" bestFit="1" customWidth="1"/>
    <col min="2064" max="2304" width="9.140625" style="87"/>
    <col min="2305" max="2305" width="5.140625" style="87" customWidth="1"/>
    <col min="2306" max="2306" width="11" style="87" customWidth="1"/>
    <col min="2307" max="2307" width="46.140625" style="87" customWidth="1"/>
    <col min="2308" max="2308" width="8.28515625" style="87" customWidth="1"/>
    <col min="2309" max="2309" width="7.7109375" style="87" customWidth="1"/>
    <col min="2310" max="2311" width="7.42578125" style="87" customWidth="1"/>
    <col min="2312" max="2312" width="8.42578125" style="87" customWidth="1"/>
    <col min="2313" max="2313" width="7.42578125" style="87" customWidth="1"/>
    <col min="2314" max="2314" width="8.7109375" style="87" customWidth="1"/>
    <col min="2315" max="2315" width="7.42578125" style="87" customWidth="1"/>
    <col min="2316" max="2316" width="8.140625" style="87" customWidth="1"/>
    <col min="2317" max="2317" width="9.42578125" style="87" customWidth="1"/>
    <col min="2318" max="2319" width="11.42578125" style="87" bestFit="1" customWidth="1"/>
    <col min="2320" max="2560" width="9.140625" style="87"/>
    <col min="2561" max="2561" width="5.140625" style="87" customWidth="1"/>
    <col min="2562" max="2562" width="11" style="87" customWidth="1"/>
    <col min="2563" max="2563" width="46.140625" style="87" customWidth="1"/>
    <col min="2564" max="2564" width="8.28515625" style="87" customWidth="1"/>
    <col min="2565" max="2565" width="7.7109375" style="87" customWidth="1"/>
    <col min="2566" max="2567" width="7.42578125" style="87" customWidth="1"/>
    <col min="2568" max="2568" width="8.42578125" style="87" customWidth="1"/>
    <col min="2569" max="2569" width="7.42578125" style="87" customWidth="1"/>
    <col min="2570" max="2570" width="8.7109375" style="87" customWidth="1"/>
    <col min="2571" max="2571" width="7.42578125" style="87" customWidth="1"/>
    <col min="2572" max="2572" width="8.140625" style="87" customWidth="1"/>
    <col min="2573" max="2573" width="9.42578125" style="87" customWidth="1"/>
    <col min="2574" max="2575" width="11.42578125" style="87" bestFit="1" customWidth="1"/>
    <col min="2576" max="2816" width="9.140625" style="87"/>
    <col min="2817" max="2817" width="5.140625" style="87" customWidth="1"/>
    <col min="2818" max="2818" width="11" style="87" customWidth="1"/>
    <col min="2819" max="2819" width="46.140625" style="87" customWidth="1"/>
    <col min="2820" max="2820" width="8.28515625" style="87" customWidth="1"/>
    <col min="2821" max="2821" width="7.7109375" style="87" customWidth="1"/>
    <col min="2822" max="2823" width="7.42578125" style="87" customWidth="1"/>
    <col min="2824" max="2824" width="8.42578125" style="87" customWidth="1"/>
    <col min="2825" max="2825" width="7.42578125" style="87" customWidth="1"/>
    <col min="2826" max="2826" width="8.7109375" style="87" customWidth="1"/>
    <col min="2827" max="2827" width="7.42578125" style="87" customWidth="1"/>
    <col min="2828" max="2828" width="8.140625" style="87" customWidth="1"/>
    <col min="2829" max="2829" width="9.42578125" style="87" customWidth="1"/>
    <col min="2830" max="2831" width="11.42578125" style="87" bestFit="1" customWidth="1"/>
    <col min="2832" max="3072" width="9.140625" style="87"/>
    <col min="3073" max="3073" width="5.140625" style="87" customWidth="1"/>
    <col min="3074" max="3074" width="11" style="87" customWidth="1"/>
    <col min="3075" max="3075" width="46.140625" style="87" customWidth="1"/>
    <col min="3076" max="3076" width="8.28515625" style="87" customWidth="1"/>
    <col min="3077" max="3077" width="7.7109375" style="87" customWidth="1"/>
    <col min="3078" max="3079" width="7.42578125" style="87" customWidth="1"/>
    <col min="3080" max="3080" width="8.42578125" style="87" customWidth="1"/>
    <col min="3081" max="3081" width="7.42578125" style="87" customWidth="1"/>
    <col min="3082" max="3082" width="8.7109375" style="87" customWidth="1"/>
    <col min="3083" max="3083" width="7.42578125" style="87" customWidth="1"/>
    <col min="3084" max="3084" width="8.140625" style="87" customWidth="1"/>
    <col min="3085" max="3085" width="9.42578125" style="87" customWidth="1"/>
    <col min="3086" max="3087" width="11.42578125" style="87" bestFit="1" customWidth="1"/>
    <col min="3088" max="3328" width="9.140625" style="87"/>
    <col min="3329" max="3329" width="5.140625" style="87" customWidth="1"/>
    <col min="3330" max="3330" width="11" style="87" customWidth="1"/>
    <col min="3331" max="3331" width="46.140625" style="87" customWidth="1"/>
    <col min="3332" max="3332" width="8.28515625" style="87" customWidth="1"/>
    <col min="3333" max="3333" width="7.7109375" style="87" customWidth="1"/>
    <col min="3334" max="3335" width="7.42578125" style="87" customWidth="1"/>
    <col min="3336" max="3336" width="8.42578125" style="87" customWidth="1"/>
    <col min="3337" max="3337" width="7.42578125" style="87" customWidth="1"/>
    <col min="3338" max="3338" width="8.7109375" style="87" customWidth="1"/>
    <col min="3339" max="3339" width="7.42578125" style="87" customWidth="1"/>
    <col min="3340" max="3340" width="8.140625" style="87" customWidth="1"/>
    <col min="3341" max="3341" width="9.42578125" style="87" customWidth="1"/>
    <col min="3342" max="3343" width="11.42578125" style="87" bestFit="1" customWidth="1"/>
    <col min="3344" max="3584" width="9.140625" style="87"/>
    <col min="3585" max="3585" width="5.140625" style="87" customWidth="1"/>
    <col min="3586" max="3586" width="11" style="87" customWidth="1"/>
    <col min="3587" max="3587" width="46.140625" style="87" customWidth="1"/>
    <col min="3588" max="3588" width="8.28515625" style="87" customWidth="1"/>
    <col min="3589" max="3589" width="7.7109375" style="87" customWidth="1"/>
    <col min="3590" max="3591" width="7.42578125" style="87" customWidth="1"/>
    <col min="3592" max="3592" width="8.42578125" style="87" customWidth="1"/>
    <col min="3593" max="3593" width="7.42578125" style="87" customWidth="1"/>
    <col min="3594" max="3594" width="8.7109375" style="87" customWidth="1"/>
    <col min="3595" max="3595" width="7.42578125" style="87" customWidth="1"/>
    <col min="3596" max="3596" width="8.140625" style="87" customWidth="1"/>
    <col min="3597" max="3597" width="9.42578125" style="87" customWidth="1"/>
    <col min="3598" max="3599" width="11.42578125" style="87" bestFit="1" customWidth="1"/>
    <col min="3600" max="3840" width="9.140625" style="87"/>
    <col min="3841" max="3841" width="5.140625" style="87" customWidth="1"/>
    <col min="3842" max="3842" width="11" style="87" customWidth="1"/>
    <col min="3843" max="3843" width="46.140625" style="87" customWidth="1"/>
    <col min="3844" max="3844" width="8.28515625" style="87" customWidth="1"/>
    <col min="3845" max="3845" width="7.7109375" style="87" customWidth="1"/>
    <col min="3846" max="3847" width="7.42578125" style="87" customWidth="1"/>
    <col min="3848" max="3848" width="8.42578125" style="87" customWidth="1"/>
    <col min="3849" max="3849" width="7.42578125" style="87" customWidth="1"/>
    <col min="3850" max="3850" width="8.7109375" style="87" customWidth="1"/>
    <col min="3851" max="3851" width="7.42578125" style="87" customWidth="1"/>
    <col min="3852" max="3852" width="8.140625" style="87" customWidth="1"/>
    <col min="3853" max="3853" width="9.42578125" style="87" customWidth="1"/>
    <col min="3854" max="3855" width="11.42578125" style="87" bestFit="1" customWidth="1"/>
    <col min="3856" max="4096" width="9.140625" style="87"/>
    <col min="4097" max="4097" width="5.140625" style="87" customWidth="1"/>
    <col min="4098" max="4098" width="11" style="87" customWidth="1"/>
    <col min="4099" max="4099" width="46.140625" style="87" customWidth="1"/>
    <col min="4100" max="4100" width="8.28515625" style="87" customWidth="1"/>
    <col min="4101" max="4101" width="7.7109375" style="87" customWidth="1"/>
    <col min="4102" max="4103" width="7.42578125" style="87" customWidth="1"/>
    <col min="4104" max="4104" width="8.42578125" style="87" customWidth="1"/>
    <col min="4105" max="4105" width="7.42578125" style="87" customWidth="1"/>
    <col min="4106" max="4106" width="8.7109375" style="87" customWidth="1"/>
    <col min="4107" max="4107" width="7.42578125" style="87" customWidth="1"/>
    <col min="4108" max="4108" width="8.140625" style="87" customWidth="1"/>
    <col min="4109" max="4109" width="9.42578125" style="87" customWidth="1"/>
    <col min="4110" max="4111" width="11.42578125" style="87" bestFit="1" customWidth="1"/>
    <col min="4112" max="4352" width="9.140625" style="87"/>
    <col min="4353" max="4353" width="5.140625" style="87" customWidth="1"/>
    <col min="4354" max="4354" width="11" style="87" customWidth="1"/>
    <col min="4355" max="4355" width="46.140625" style="87" customWidth="1"/>
    <col min="4356" max="4356" width="8.28515625" style="87" customWidth="1"/>
    <col min="4357" max="4357" width="7.7109375" style="87" customWidth="1"/>
    <col min="4358" max="4359" width="7.42578125" style="87" customWidth="1"/>
    <col min="4360" max="4360" width="8.42578125" style="87" customWidth="1"/>
    <col min="4361" max="4361" width="7.42578125" style="87" customWidth="1"/>
    <col min="4362" max="4362" width="8.7109375" style="87" customWidth="1"/>
    <col min="4363" max="4363" width="7.42578125" style="87" customWidth="1"/>
    <col min="4364" max="4364" width="8.140625" style="87" customWidth="1"/>
    <col min="4365" max="4365" width="9.42578125" style="87" customWidth="1"/>
    <col min="4366" max="4367" width="11.42578125" style="87" bestFit="1" customWidth="1"/>
    <col min="4368" max="4608" width="9.140625" style="87"/>
    <col min="4609" max="4609" width="5.140625" style="87" customWidth="1"/>
    <col min="4610" max="4610" width="11" style="87" customWidth="1"/>
    <col min="4611" max="4611" width="46.140625" style="87" customWidth="1"/>
    <col min="4612" max="4612" width="8.28515625" style="87" customWidth="1"/>
    <col min="4613" max="4613" width="7.7109375" style="87" customWidth="1"/>
    <col min="4614" max="4615" width="7.42578125" style="87" customWidth="1"/>
    <col min="4616" max="4616" width="8.42578125" style="87" customWidth="1"/>
    <col min="4617" max="4617" width="7.42578125" style="87" customWidth="1"/>
    <col min="4618" max="4618" width="8.7109375" style="87" customWidth="1"/>
    <col min="4619" max="4619" width="7.42578125" style="87" customWidth="1"/>
    <col min="4620" max="4620" width="8.140625" style="87" customWidth="1"/>
    <col min="4621" max="4621" width="9.42578125" style="87" customWidth="1"/>
    <col min="4622" max="4623" width="11.42578125" style="87" bestFit="1" customWidth="1"/>
    <col min="4624" max="4864" width="9.140625" style="87"/>
    <col min="4865" max="4865" width="5.140625" style="87" customWidth="1"/>
    <col min="4866" max="4866" width="11" style="87" customWidth="1"/>
    <col min="4867" max="4867" width="46.140625" style="87" customWidth="1"/>
    <col min="4868" max="4868" width="8.28515625" style="87" customWidth="1"/>
    <col min="4869" max="4869" width="7.7109375" style="87" customWidth="1"/>
    <col min="4870" max="4871" width="7.42578125" style="87" customWidth="1"/>
    <col min="4872" max="4872" width="8.42578125" style="87" customWidth="1"/>
    <col min="4873" max="4873" width="7.42578125" style="87" customWidth="1"/>
    <col min="4874" max="4874" width="8.7109375" style="87" customWidth="1"/>
    <col min="4875" max="4875" width="7.42578125" style="87" customWidth="1"/>
    <col min="4876" max="4876" width="8.140625" style="87" customWidth="1"/>
    <col min="4877" max="4877" width="9.42578125" style="87" customWidth="1"/>
    <col min="4878" max="4879" width="11.42578125" style="87" bestFit="1" customWidth="1"/>
    <col min="4880" max="5120" width="9.140625" style="87"/>
    <col min="5121" max="5121" width="5.140625" style="87" customWidth="1"/>
    <col min="5122" max="5122" width="11" style="87" customWidth="1"/>
    <col min="5123" max="5123" width="46.140625" style="87" customWidth="1"/>
    <col min="5124" max="5124" width="8.28515625" style="87" customWidth="1"/>
    <col min="5125" max="5125" width="7.7109375" style="87" customWidth="1"/>
    <col min="5126" max="5127" width="7.42578125" style="87" customWidth="1"/>
    <col min="5128" max="5128" width="8.42578125" style="87" customWidth="1"/>
    <col min="5129" max="5129" width="7.42578125" style="87" customWidth="1"/>
    <col min="5130" max="5130" width="8.7109375" style="87" customWidth="1"/>
    <col min="5131" max="5131" width="7.42578125" style="87" customWidth="1"/>
    <col min="5132" max="5132" width="8.140625" style="87" customWidth="1"/>
    <col min="5133" max="5133" width="9.42578125" style="87" customWidth="1"/>
    <col min="5134" max="5135" width="11.42578125" style="87" bestFit="1" customWidth="1"/>
    <col min="5136" max="5376" width="9.140625" style="87"/>
    <col min="5377" max="5377" width="5.140625" style="87" customWidth="1"/>
    <col min="5378" max="5378" width="11" style="87" customWidth="1"/>
    <col min="5379" max="5379" width="46.140625" style="87" customWidth="1"/>
    <col min="5380" max="5380" width="8.28515625" style="87" customWidth="1"/>
    <col min="5381" max="5381" width="7.7109375" style="87" customWidth="1"/>
    <col min="5382" max="5383" width="7.42578125" style="87" customWidth="1"/>
    <col min="5384" max="5384" width="8.42578125" style="87" customWidth="1"/>
    <col min="5385" max="5385" width="7.42578125" style="87" customWidth="1"/>
    <col min="5386" max="5386" width="8.7109375" style="87" customWidth="1"/>
    <col min="5387" max="5387" width="7.42578125" style="87" customWidth="1"/>
    <col min="5388" max="5388" width="8.140625" style="87" customWidth="1"/>
    <col min="5389" max="5389" width="9.42578125" style="87" customWidth="1"/>
    <col min="5390" max="5391" width="11.42578125" style="87" bestFit="1" customWidth="1"/>
    <col min="5392" max="5632" width="9.140625" style="87"/>
    <col min="5633" max="5633" width="5.140625" style="87" customWidth="1"/>
    <col min="5634" max="5634" width="11" style="87" customWidth="1"/>
    <col min="5635" max="5635" width="46.140625" style="87" customWidth="1"/>
    <col min="5636" max="5636" width="8.28515625" style="87" customWidth="1"/>
    <col min="5637" max="5637" width="7.7109375" style="87" customWidth="1"/>
    <col min="5638" max="5639" width="7.42578125" style="87" customWidth="1"/>
    <col min="5640" max="5640" width="8.42578125" style="87" customWidth="1"/>
    <col min="5641" max="5641" width="7.42578125" style="87" customWidth="1"/>
    <col min="5642" max="5642" width="8.7109375" style="87" customWidth="1"/>
    <col min="5643" max="5643" width="7.42578125" style="87" customWidth="1"/>
    <col min="5644" max="5644" width="8.140625" style="87" customWidth="1"/>
    <col min="5645" max="5645" width="9.42578125" style="87" customWidth="1"/>
    <col min="5646" max="5647" width="11.42578125" style="87" bestFit="1" customWidth="1"/>
    <col min="5648" max="5888" width="9.140625" style="87"/>
    <col min="5889" max="5889" width="5.140625" style="87" customWidth="1"/>
    <col min="5890" max="5890" width="11" style="87" customWidth="1"/>
    <col min="5891" max="5891" width="46.140625" style="87" customWidth="1"/>
    <col min="5892" max="5892" width="8.28515625" style="87" customWidth="1"/>
    <col min="5893" max="5893" width="7.7109375" style="87" customWidth="1"/>
    <col min="5894" max="5895" width="7.42578125" style="87" customWidth="1"/>
    <col min="5896" max="5896" width="8.42578125" style="87" customWidth="1"/>
    <col min="5897" max="5897" width="7.42578125" style="87" customWidth="1"/>
    <col min="5898" max="5898" width="8.7109375" style="87" customWidth="1"/>
    <col min="5899" max="5899" width="7.42578125" style="87" customWidth="1"/>
    <col min="5900" max="5900" width="8.140625" style="87" customWidth="1"/>
    <col min="5901" max="5901" width="9.42578125" style="87" customWidth="1"/>
    <col min="5902" max="5903" width="11.42578125" style="87" bestFit="1" customWidth="1"/>
    <col min="5904" max="6144" width="9.140625" style="87"/>
    <col min="6145" max="6145" width="5.140625" style="87" customWidth="1"/>
    <col min="6146" max="6146" width="11" style="87" customWidth="1"/>
    <col min="6147" max="6147" width="46.140625" style="87" customWidth="1"/>
    <col min="6148" max="6148" width="8.28515625" style="87" customWidth="1"/>
    <col min="6149" max="6149" width="7.7109375" style="87" customWidth="1"/>
    <col min="6150" max="6151" width="7.42578125" style="87" customWidth="1"/>
    <col min="6152" max="6152" width="8.42578125" style="87" customWidth="1"/>
    <col min="6153" max="6153" width="7.42578125" style="87" customWidth="1"/>
    <col min="6154" max="6154" width="8.7109375" style="87" customWidth="1"/>
    <col min="6155" max="6155" width="7.42578125" style="87" customWidth="1"/>
    <col min="6156" max="6156" width="8.140625" style="87" customWidth="1"/>
    <col min="6157" max="6157" width="9.42578125" style="87" customWidth="1"/>
    <col min="6158" max="6159" width="11.42578125" style="87" bestFit="1" customWidth="1"/>
    <col min="6160" max="6400" width="9.140625" style="87"/>
    <col min="6401" max="6401" width="5.140625" style="87" customWidth="1"/>
    <col min="6402" max="6402" width="11" style="87" customWidth="1"/>
    <col min="6403" max="6403" width="46.140625" style="87" customWidth="1"/>
    <col min="6404" max="6404" width="8.28515625" style="87" customWidth="1"/>
    <col min="6405" max="6405" width="7.7109375" style="87" customWidth="1"/>
    <col min="6406" max="6407" width="7.42578125" style="87" customWidth="1"/>
    <col min="6408" max="6408" width="8.42578125" style="87" customWidth="1"/>
    <col min="6409" max="6409" width="7.42578125" style="87" customWidth="1"/>
    <col min="6410" max="6410" width="8.7109375" style="87" customWidth="1"/>
    <col min="6411" max="6411" width="7.42578125" style="87" customWidth="1"/>
    <col min="6412" max="6412" width="8.140625" style="87" customWidth="1"/>
    <col min="6413" max="6413" width="9.42578125" style="87" customWidth="1"/>
    <col min="6414" max="6415" width="11.42578125" style="87" bestFit="1" customWidth="1"/>
    <col min="6416" max="6656" width="9.140625" style="87"/>
    <col min="6657" max="6657" width="5.140625" style="87" customWidth="1"/>
    <col min="6658" max="6658" width="11" style="87" customWidth="1"/>
    <col min="6659" max="6659" width="46.140625" style="87" customWidth="1"/>
    <col min="6660" max="6660" width="8.28515625" style="87" customWidth="1"/>
    <col min="6661" max="6661" width="7.7109375" style="87" customWidth="1"/>
    <col min="6662" max="6663" width="7.42578125" style="87" customWidth="1"/>
    <col min="6664" max="6664" width="8.42578125" style="87" customWidth="1"/>
    <col min="6665" max="6665" width="7.42578125" style="87" customWidth="1"/>
    <col min="6666" max="6666" width="8.7109375" style="87" customWidth="1"/>
    <col min="6667" max="6667" width="7.42578125" style="87" customWidth="1"/>
    <col min="6668" max="6668" width="8.140625" style="87" customWidth="1"/>
    <col min="6669" max="6669" width="9.42578125" style="87" customWidth="1"/>
    <col min="6670" max="6671" width="11.42578125" style="87" bestFit="1" customWidth="1"/>
    <col min="6672" max="6912" width="9.140625" style="87"/>
    <col min="6913" max="6913" width="5.140625" style="87" customWidth="1"/>
    <col min="6914" max="6914" width="11" style="87" customWidth="1"/>
    <col min="6915" max="6915" width="46.140625" style="87" customWidth="1"/>
    <col min="6916" max="6916" width="8.28515625" style="87" customWidth="1"/>
    <col min="6917" max="6917" width="7.7109375" style="87" customWidth="1"/>
    <col min="6918" max="6919" width="7.42578125" style="87" customWidth="1"/>
    <col min="6920" max="6920" width="8.42578125" style="87" customWidth="1"/>
    <col min="6921" max="6921" width="7.42578125" style="87" customWidth="1"/>
    <col min="6922" max="6922" width="8.7109375" style="87" customWidth="1"/>
    <col min="6923" max="6923" width="7.42578125" style="87" customWidth="1"/>
    <col min="6924" max="6924" width="8.140625" style="87" customWidth="1"/>
    <col min="6925" max="6925" width="9.42578125" style="87" customWidth="1"/>
    <col min="6926" max="6927" width="11.42578125" style="87" bestFit="1" customWidth="1"/>
    <col min="6928" max="7168" width="9.140625" style="87"/>
    <col min="7169" max="7169" width="5.140625" style="87" customWidth="1"/>
    <col min="7170" max="7170" width="11" style="87" customWidth="1"/>
    <col min="7171" max="7171" width="46.140625" style="87" customWidth="1"/>
    <col min="7172" max="7172" width="8.28515625" style="87" customWidth="1"/>
    <col min="7173" max="7173" width="7.7109375" style="87" customWidth="1"/>
    <col min="7174" max="7175" width="7.42578125" style="87" customWidth="1"/>
    <col min="7176" max="7176" width="8.42578125" style="87" customWidth="1"/>
    <col min="7177" max="7177" width="7.42578125" style="87" customWidth="1"/>
    <col min="7178" max="7178" width="8.7109375" style="87" customWidth="1"/>
    <col min="7179" max="7179" width="7.42578125" style="87" customWidth="1"/>
    <col min="7180" max="7180" width="8.140625" style="87" customWidth="1"/>
    <col min="7181" max="7181" width="9.42578125" style="87" customWidth="1"/>
    <col min="7182" max="7183" width="11.42578125" style="87" bestFit="1" customWidth="1"/>
    <col min="7184" max="7424" width="9.140625" style="87"/>
    <col min="7425" max="7425" width="5.140625" style="87" customWidth="1"/>
    <col min="7426" max="7426" width="11" style="87" customWidth="1"/>
    <col min="7427" max="7427" width="46.140625" style="87" customWidth="1"/>
    <col min="7428" max="7428" width="8.28515625" style="87" customWidth="1"/>
    <col min="7429" max="7429" width="7.7109375" style="87" customWidth="1"/>
    <col min="7430" max="7431" width="7.42578125" style="87" customWidth="1"/>
    <col min="7432" max="7432" width="8.42578125" style="87" customWidth="1"/>
    <col min="7433" max="7433" width="7.42578125" style="87" customWidth="1"/>
    <col min="7434" max="7434" width="8.7109375" style="87" customWidth="1"/>
    <col min="7435" max="7435" width="7.42578125" style="87" customWidth="1"/>
    <col min="7436" max="7436" width="8.140625" style="87" customWidth="1"/>
    <col min="7437" max="7437" width="9.42578125" style="87" customWidth="1"/>
    <col min="7438" max="7439" width="11.42578125" style="87" bestFit="1" customWidth="1"/>
    <col min="7440" max="7680" width="9.140625" style="87"/>
    <col min="7681" max="7681" width="5.140625" style="87" customWidth="1"/>
    <col min="7682" max="7682" width="11" style="87" customWidth="1"/>
    <col min="7683" max="7683" width="46.140625" style="87" customWidth="1"/>
    <col min="7684" max="7684" width="8.28515625" style="87" customWidth="1"/>
    <col min="7685" max="7685" width="7.7109375" style="87" customWidth="1"/>
    <col min="7686" max="7687" width="7.42578125" style="87" customWidth="1"/>
    <col min="7688" max="7688" width="8.42578125" style="87" customWidth="1"/>
    <col min="7689" max="7689" width="7.42578125" style="87" customWidth="1"/>
    <col min="7690" max="7690" width="8.7109375" style="87" customWidth="1"/>
    <col min="7691" max="7691" width="7.42578125" style="87" customWidth="1"/>
    <col min="7692" max="7692" width="8.140625" style="87" customWidth="1"/>
    <col min="7693" max="7693" width="9.42578125" style="87" customWidth="1"/>
    <col min="7694" max="7695" width="11.42578125" style="87" bestFit="1" customWidth="1"/>
    <col min="7696" max="7936" width="9.140625" style="87"/>
    <col min="7937" max="7937" width="5.140625" style="87" customWidth="1"/>
    <col min="7938" max="7938" width="11" style="87" customWidth="1"/>
    <col min="7939" max="7939" width="46.140625" style="87" customWidth="1"/>
    <col min="7940" max="7940" width="8.28515625" style="87" customWidth="1"/>
    <col min="7941" max="7941" width="7.7109375" style="87" customWidth="1"/>
    <col min="7942" max="7943" width="7.42578125" style="87" customWidth="1"/>
    <col min="7944" max="7944" width="8.42578125" style="87" customWidth="1"/>
    <col min="7945" max="7945" width="7.42578125" style="87" customWidth="1"/>
    <col min="7946" max="7946" width="8.7109375" style="87" customWidth="1"/>
    <col min="7947" max="7947" width="7.42578125" style="87" customWidth="1"/>
    <col min="7948" max="7948" width="8.140625" style="87" customWidth="1"/>
    <col min="7949" max="7949" width="9.42578125" style="87" customWidth="1"/>
    <col min="7950" max="7951" width="11.42578125" style="87" bestFit="1" customWidth="1"/>
    <col min="7952" max="8192" width="9.140625" style="87"/>
    <col min="8193" max="8193" width="5.140625" style="87" customWidth="1"/>
    <col min="8194" max="8194" width="11" style="87" customWidth="1"/>
    <col min="8195" max="8195" width="46.140625" style="87" customWidth="1"/>
    <col min="8196" max="8196" width="8.28515625" style="87" customWidth="1"/>
    <col min="8197" max="8197" width="7.7109375" style="87" customWidth="1"/>
    <col min="8198" max="8199" width="7.42578125" style="87" customWidth="1"/>
    <col min="8200" max="8200" width="8.42578125" style="87" customWidth="1"/>
    <col min="8201" max="8201" width="7.42578125" style="87" customWidth="1"/>
    <col min="8202" max="8202" width="8.7109375" style="87" customWidth="1"/>
    <col min="8203" max="8203" width="7.42578125" style="87" customWidth="1"/>
    <col min="8204" max="8204" width="8.140625" style="87" customWidth="1"/>
    <col min="8205" max="8205" width="9.42578125" style="87" customWidth="1"/>
    <col min="8206" max="8207" width="11.42578125" style="87" bestFit="1" customWidth="1"/>
    <col min="8208" max="8448" width="9.140625" style="87"/>
    <col min="8449" max="8449" width="5.140625" style="87" customWidth="1"/>
    <col min="8450" max="8450" width="11" style="87" customWidth="1"/>
    <col min="8451" max="8451" width="46.140625" style="87" customWidth="1"/>
    <col min="8452" max="8452" width="8.28515625" style="87" customWidth="1"/>
    <col min="8453" max="8453" width="7.7109375" style="87" customWidth="1"/>
    <col min="8454" max="8455" width="7.42578125" style="87" customWidth="1"/>
    <col min="8456" max="8456" width="8.42578125" style="87" customWidth="1"/>
    <col min="8457" max="8457" width="7.42578125" style="87" customWidth="1"/>
    <col min="8458" max="8458" width="8.7109375" style="87" customWidth="1"/>
    <col min="8459" max="8459" width="7.42578125" style="87" customWidth="1"/>
    <col min="8460" max="8460" width="8.140625" style="87" customWidth="1"/>
    <col min="8461" max="8461" width="9.42578125" style="87" customWidth="1"/>
    <col min="8462" max="8463" width="11.42578125" style="87" bestFit="1" customWidth="1"/>
    <col min="8464" max="8704" width="9.140625" style="87"/>
    <col min="8705" max="8705" width="5.140625" style="87" customWidth="1"/>
    <col min="8706" max="8706" width="11" style="87" customWidth="1"/>
    <col min="8707" max="8707" width="46.140625" style="87" customWidth="1"/>
    <col min="8708" max="8708" width="8.28515625" style="87" customWidth="1"/>
    <col min="8709" max="8709" width="7.7109375" style="87" customWidth="1"/>
    <col min="8710" max="8711" width="7.42578125" style="87" customWidth="1"/>
    <col min="8712" max="8712" width="8.42578125" style="87" customWidth="1"/>
    <col min="8713" max="8713" width="7.42578125" style="87" customWidth="1"/>
    <col min="8714" max="8714" width="8.7109375" style="87" customWidth="1"/>
    <col min="8715" max="8715" width="7.42578125" style="87" customWidth="1"/>
    <col min="8716" max="8716" width="8.140625" style="87" customWidth="1"/>
    <col min="8717" max="8717" width="9.42578125" style="87" customWidth="1"/>
    <col min="8718" max="8719" width="11.42578125" style="87" bestFit="1" customWidth="1"/>
    <col min="8720" max="8960" width="9.140625" style="87"/>
    <col min="8961" max="8961" width="5.140625" style="87" customWidth="1"/>
    <col min="8962" max="8962" width="11" style="87" customWidth="1"/>
    <col min="8963" max="8963" width="46.140625" style="87" customWidth="1"/>
    <col min="8964" max="8964" width="8.28515625" style="87" customWidth="1"/>
    <col min="8965" max="8965" width="7.7109375" style="87" customWidth="1"/>
    <col min="8966" max="8967" width="7.42578125" style="87" customWidth="1"/>
    <col min="8968" max="8968" width="8.42578125" style="87" customWidth="1"/>
    <col min="8969" max="8969" width="7.42578125" style="87" customWidth="1"/>
    <col min="8970" max="8970" width="8.7109375" style="87" customWidth="1"/>
    <col min="8971" max="8971" width="7.42578125" style="87" customWidth="1"/>
    <col min="8972" max="8972" width="8.140625" style="87" customWidth="1"/>
    <col min="8973" max="8973" width="9.42578125" style="87" customWidth="1"/>
    <col min="8974" max="8975" width="11.42578125" style="87" bestFit="1" customWidth="1"/>
    <col min="8976" max="9216" width="9.140625" style="87"/>
    <col min="9217" max="9217" width="5.140625" style="87" customWidth="1"/>
    <col min="9218" max="9218" width="11" style="87" customWidth="1"/>
    <col min="9219" max="9219" width="46.140625" style="87" customWidth="1"/>
    <col min="9220" max="9220" width="8.28515625" style="87" customWidth="1"/>
    <col min="9221" max="9221" width="7.7109375" style="87" customWidth="1"/>
    <col min="9222" max="9223" width="7.42578125" style="87" customWidth="1"/>
    <col min="9224" max="9224" width="8.42578125" style="87" customWidth="1"/>
    <col min="9225" max="9225" width="7.42578125" style="87" customWidth="1"/>
    <col min="9226" max="9226" width="8.7109375" style="87" customWidth="1"/>
    <col min="9227" max="9227" width="7.42578125" style="87" customWidth="1"/>
    <col min="9228" max="9228" width="8.140625" style="87" customWidth="1"/>
    <col min="9229" max="9229" width="9.42578125" style="87" customWidth="1"/>
    <col min="9230" max="9231" width="11.42578125" style="87" bestFit="1" customWidth="1"/>
    <col min="9232" max="9472" width="9.140625" style="87"/>
    <col min="9473" max="9473" width="5.140625" style="87" customWidth="1"/>
    <col min="9474" max="9474" width="11" style="87" customWidth="1"/>
    <col min="9475" max="9475" width="46.140625" style="87" customWidth="1"/>
    <col min="9476" max="9476" width="8.28515625" style="87" customWidth="1"/>
    <col min="9477" max="9477" width="7.7109375" style="87" customWidth="1"/>
    <col min="9478" max="9479" width="7.42578125" style="87" customWidth="1"/>
    <col min="9480" max="9480" width="8.42578125" style="87" customWidth="1"/>
    <col min="9481" max="9481" width="7.42578125" style="87" customWidth="1"/>
    <col min="9482" max="9482" width="8.7109375" style="87" customWidth="1"/>
    <col min="9483" max="9483" width="7.42578125" style="87" customWidth="1"/>
    <col min="9484" max="9484" width="8.140625" style="87" customWidth="1"/>
    <col min="9485" max="9485" width="9.42578125" style="87" customWidth="1"/>
    <col min="9486" max="9487" width="11.42578125" style="87" bestFit="1" customWidth="1"/>
    <col min="9488" max="9728" width="9.140625" style="87"/>
    <col min="9729" max="9729" width="5.140625" style="87" customWidth="1"/>
    <col min="9730" max="9730" width="11" style="87" customWidth="1"/>
    <col min="9731" max="9731" width="46.140625" style="87" customWidth="1"/>
    <col min="9732" max="9732" width="8.28515625" style="87" customWidth="1"/>
    <col min="9733" max="9733" width="7.7109375" style="87" customWidth="1"/>
    <col min="9734" max="9735" width="7.42578125" style="87" customWidth="1"/>
    <col min="9736" max="9736" width="8.42578125" style="87" customWidth="1"/>
    <col min="9737" max="9737" width="7.42578125" style="87" customWidth="1"/>
    <col min="9738" max="9738" width="8.7109375" style="87" customWidth="1"/>
    <col min="9739" max="9739" width="7.42578125" style="87" customWidth="1"/>
    <col min="9740" max="9740" width="8.140625" style="87" customWidth="1"/>
    <col min="9741" max="9741" width="9.42578125" style="87" customWidth="1"/>
    <col min="9742" max="9743" width="11.42578125" style="87" bestFit="1" customWidth="1"/>
    <col min="9744" max="9984" width="9.140625" style="87"/>
    <col min="9985" max="9985" width="5.140625" style="87" customWidth="1"/>
    <col min="9986" max="9986" width="11" style="87" customWidth="1"/>
    <col min="9987" max="9987" width="46.140625" style="87" customWidth="1"/>
    <col min="9988" max="9988" width="8.28515625" style="87" customWidth="1"/>
    <col min="9989" max="9989" width="7.7109375" style="87" customWidth="1"/>
    <col min="9990" max="9991" width="7.42578125" style="87" customWidth="1"/>
    <col min="9992" max="9992" width="8.42578125" style="87" customWidth="1"/>
    <col min="9993" max="9993" width="7.42578125" style="87" customWidth="1"/>
    <col min="9994" max="9994" width="8.7109375" style="87" customWidth="1"/>
    <col min="9995" max="9995" width="7.42578125" style="87" customWidth="1"/>
    <col min="9996" max="9996" width="8.140625" style="87" customWidth="1"/>
    <col min="9997" max="9997" width="9.42578125" style="87" customWidth="1"/>
    <col min="9998" max="9999" width="11.42578125" style="87" bestFit="1" customWidth="1"/>
    <col min="10000" max="10240" width="9.140625" style="87"/>
    <col min="10241" max="10241" width="5.140625" style="87" customWidth="1"/>
    <col min="10242" max="10242" width="11" style="87" customWidth="1"/>
    <col min="10243" max="10243" width="46.140625" style="87" customWidth="1"/>
    <col min="10244" max="10244" width="8.28515625" style="87" customWidth="1"/>
    <col min="10245" max="10245" width="7.7109375" style="87" customWidth="1"/>
    <col min="10246" max="10247" width="7.42578125" style="87" customWidth="1"/>
    <col min="10248" max="10248" width="8.42578125" style="87" customWidth="1"/>
    <col min="10249" max="10249" width="7.42578125" style="87" customWidth="1"/>
    <col min="10250" max="10250" width="8.7109375" style="87" customWidth="1"/>
    <col min="10251" max="10251" width="7.42578125" style="87" customWidth="1"/>
    <col min="10252" max="10252" width="8.140625" style="87" customWidth="1"/>
    <col min="10253" max="10253" width="9.42578125" style="87" customWidth="1"/>
    <col min="10254" max="10255" width="11.42578125" style="87" bestFit="1" customWidth="1"/>
    <col min="10256" max="10496" width="9.140625" style="87"/>
    <col min="10497" max="10497" width="5.140625" style="87" customWidth="1"/>
    <col min="10498" max="10498" width="11" style="87" customWidth="1"/>
    <col min="10499" max="10499" width="46.140625" style="87" customWidth="1"/>
    <col min="10500" max="10500" width="8.28515625" style="87" customWidth="1"/>
    <col min="10501" max="10501" width="7.7109375" style="87" customWidth="1"/>
    <col min="10502" max="10503" width="7.42578125" style="87" customWidth="1"/>
    <col min="10504" max="10504" width="8.42578125" style="87" customWidth="1"/>
    <col min="10505" max="10505" width="7.42578125" style="87" customWidth="1"/>
    <col min="10506" max="10506" width="8.7109375" style="87" customWidth="1"/>
    <col min="10507" max="10507" width="7.42578125" style="87" customWidth="1"/>
    <col min="10508" max="10508" width="8.140625" style="87" customWidth="1"/>
    <col min="10509" max="10509" width="9.42578125" style="87" customWidth="1"/>
    <col min="10510" max="10511" width="11.42578125" style="87" bestFit="1" customWidth="1"/>
    <col min="10512" max="10752" width="9.140625" style="87"/>
    <col min="10753" max="10753" width="5.140625" style="87" customWidth="1"/>
    <col min="10754" max="10754" width="11" style="87" customWidth="1"/>
    <col min="10755" max="10755" width="46.140625" style="87" customWidth="1"/>
    <col min="10756" max="10756" width="8.28515625" style="87" customWidth="1"/>
    <col min="10757" max="10757" width="7.7109375" style="87" customWidth="1"/>
    <col min="10758" max="10759" width="7.42578125" style="87" customWidth="1"/>
    <col min="10760" max="10760" width="8.42578125" style="87" customWidth="1"/>
    <col min="10761" max="10761" width="7.42578125" style="87" customWidth="1"/>
    <col min="10762" max="10762" width="8.7109375" style="87" customWidth="1"/>
    <col min="10763" max="10763" width="7.42578125" style="87" customWidth="1"/>
    <col min="10764" max="10764" width="8.140625" style="87" customWidth="1"/>
    <col min="10765" max="10765" width="9.42578125" style="87" customWidth="1"/>
    <col min="10766" max="10767" width="11.42578125" style="87" bestFit="1" customWidth="1"/>
    <col min="10768" max="11008" width="9.140625" style="87"/>
    <col min="11009" max="11009" width="5.140625" style="87" customWidth="1"/>
    <col min="11010" max="11010" width="11" style="87" customWidth="1"/>
    <col min="11011" max="11011" width="46.140625" style="87" customWidth="1"/>
    <col min="11012" max="11012" width="8.28515625" style="87" customWidth="1"/>
    <col min="11013" max="11013" width="7.7109375" style="87" customWidth="1"/>
    <col min="11014" max="11015" width="7.42578125" style="87" customWidth="1"/>
    <col min="11016" max="11016" width="8.42578125" style="87" customWidth="1"/>
    <col min="11017" max="11017" width="7.42578125" style="87" customWidth="1"/>
    <col min="11018" max="11018" width="8.7109375" style="87" customWidth="1"/>
    <col min="11019" max="11019" width="7.42578125" style="87" customWidth="1"/>
    <col min="11020" max="11020" width="8.140625" style="87" customWidth="1"/>
    <col min="11021" max="11021" width="9.42578125" style="87" customWidth="1"/>
    <col min="11022" max="11023" width="11.42578125" style="87" bestFit="1" customWidth="1"/>
    <col min="11024" max="11264" width="9.140625" style="87"/>
    <col min="11265" max="11265" width="5.140625" style="87" customWidth="1"/>
    <col min="11266" max="11266" width="11" style="87" customWidth="1"/>
    <col min="11267" max="11267" width="46.140625" style="87" customWidth="1"/>
    <col min="11268" max="11268" width="8.28515625" style="87" customWidth="1"/>
    <col min="11269" max="11269" width="7.7109375" style="87" customWidth="1"/>
    <col min="11270" max="11271" width="7.42578125" style="87" customWidth="1"/>
    <col min="11272" max="11272" width="8.42578125" style="87" customWidth="1"/>
    <col min="11273" max="11273" width="7.42578125" style="87" customWidth="1"/>
    <col min="11274" max="11274" width="8.7109375" style="87" customWidth="1"/>
    <col min="11275" max="11275" width="7.42578125" style="87" customWidth="1"/>
    <col min="11276" max="11276" width="8.140625" style="87" customWidth="1"/>
    <col min="11277" max="11277" width="9.42578125" style="87" customWidth="1"/>
    <col min="11278" max="11279" width="11.42578125" style="87" bestFit="1" customWidth="1"/>
    <col min="11280" max="11520" width="9.140625" style="87"/>
    <col min="11521" max="11521" width="5.140625" style="87" customWidth="1"/>
    <col min="11522" max="11522" width="11" style="87" customWidth="1"/>
    <col min="11523" max="11523" width="46.140625" style="87" customWidth="1"/>
    <col min="11524" max="11524" width="8.28515625" style="87" customWidth="1"/>
    <col min="11525" max="11525" width="7.7109375" style="87" customWidth="1"/>
    <col min="11526" max="11527" width="7.42578125" style="87" customWidth="1"/>
    <col min="11528" max="11528" width="8.42578125" style="87" customWidth="1"/>
    <col min="11529" max="11529" width="7.42578125" style="87" customWidth="1"/>
    <col min="11530" max="11530" width="8.7109375" style="87" customWidth="1"/>
    <col min="11531" max="11531" width="7.42578125" style="87" customWidth="1"/>
    <col min="11532" max="11532" width="8.140625" style="87" customWidth="1"/>
    <col min="11533" max="11533" width="9.42578125" style="87" customWidth="1"/>
    <col min="11534" max="11535" width="11.42578125" style="87" bestFit="1" customWidth="1"/>
    <col min="11536" max="11776" width="9.140625" style="87"/>
    <col min="11777" max="11777" width="5.140625" style="87" customWidth="1"/>
    <col min="11778" max="11778" width="11" style="87" customWidth="1"/>
    <col min="11779" max="11779" width="46.140625" style="87" customWidth="1"/>
    <col min="11780" max="11780" width="8.28515625" style="87" customWidth="1"/>
    <col min="11781" max="11781" width="7.7109375" style="87" customWidth="1"/>
    <col min="11782" max="11783" width="7.42578125" style="87" customWidth="1"/>
    <col min="11784" max="11784" width="8.42578125" style="87" customWidth="1"/>
    <col min="11785" max="11785" width="7.42578125" style="87" customWidth="1"/>
    <col min="11786" max="11786" width="8.7109375" style="87" customWidth="1"/>
    <col min="11787" max="11787" width="7.42578125" style="87" customWidth="1"/>
    <col min="11788" max="11788" width="8.140625" style="87" customWidth="1"/>
    <col min="11789" max="11789" width="9.42578125" style="87" customWidth="1"/>
    <col min="11790" max="11791" width="11.42578125" style="87" bestFit="1" customWidth="1"/>
    <col min="11792" max="12032" width="9.140625" style="87"/>
    <col min="12033" max="12033" width="5.140625" style="87" customWidth="1"/>
    <col min="12034" max="12034" width="11" style="87" customWidth="1"/>
    <col min="12035" max="12035" width="46.140625" style="87" customWidth="1"/>
    <col min="12036" max="12036" width="8.28515625" style="87" customWidth="1"/>
    <col min="12037" max="12037" width="7.7109375" style="87" customWidth="1"/>
    <col min="12038" max="12039" width="7.42578125" style="87" customWidth="1"/>
    <col min="12040" max="12040" width="8.42578125" style="87" customWidth="1"/>
    <col min="12041" max="12041" width="7.42578125" style="87" customWidth="1"/>
    <col min="12042" max="12042" width="8.7109375" style="87" customWidth="1"/>
    <col min="12043" max="12043" width="7.42578125" style="87" customWidth="1"/>
    <col min="12044" max="12044" width="8.140625" style="87" customWidth="1"/>
    <col min="12045" max="12045" width="9.42578125" style="87" customWidth="1"/>
    <col min="12046" max="12047" width="11.42578125" style="87" bestFit="1" customWidth="1"/>
    <col min="12048" max="12288" width="9.140625" style="87"/>
    <col min="12289" max="12289" width="5.140625" style="87" customWidth="1"/>
    <col min="12290" max="12290" width="11" style="87" customWidth="1"/>
    <col min="12291" max="12291" width="46.140625" style="87" customWidth="1"/>
    <col min="12292" max="12292" width="8.28515625" style="87" customWidth="1"/>
    <col min="12293" max="12293" width="7.7109375" style="87" customWidth="1"/>
    <col min="12294" max="12295" width="7.42578125" style="87" customWidth="1"/>
    <col min="12296" max="12296" width="8.42578125" style="87" customWidth="1"/>
    <col min="12297" max="12297" width="7.42578125" style="87" customWidth="1"/>
    <col min="12298" max="12298" width="8.7109375" style="87" customWidth="1"/>
    <col min="12299" max="12299" width="7.42578125" style="87" customWidth="1"/>
    <col min="12300" max="12300" width="8.140625" style="87" customWidth="1"/>
    <col min="12301" max="12301" width="9.42578125" style="87" customWidth="1"/>
    <col min="12302" max="12303" width="11.42578125" style="87" bestFit="1" customWidth="1"/>
    <col min="12304" max="12544" width="9.140625" style="87"/>
    <col min="12545" max="12545" width="5.140625" style="87" customWidth="1"/>
    <col min="12546" max="12546" width="11" style="87" customWidth="1"/>
    <col min="12547" max="12547" width="46.140625" style="87" customWidth="1"/>
    <col min="12548" max="12548" width="8.28515625" style="87" customWidth="1"/>
    <col min="12549" max="12549" width="7.7109375" style="87" customWidth="1"/>
    <col min="12550" max="12551" width="7.42578125" style="87" customWidth="1"/>
    <col min="12552" max="12552" width="8.42578125" style="87" customWidth="1"/>
    <col min="12553" max="12553" width="7.42578125" style="87" customWidth="1"/>
    <col min="12554" max="12554" width="8.7109375" style="87" customWidth="1"/>
    <col min="12555" max="12555" width="7.42578125" style="87" customWidth="1"/>
    <col min="12556" max="12556" width="8.140625" style="87" customWidth="1"/>
    <col min="12557" max="12557" width="9.42578125" style="87" customWidth="1"/>
    <col min="12558" max="12559" width="11.42578125" style="87" bestFit="1" customWidth="1"/>
    <col min="12560" max="12800" width="9.140625" style="87"/>
    <col min="12801" max="12801" width="5.140625" style="87" customWidth="1"/>
    <col min="12802" max="12802" width="11" style="87" customWidth="1"/>
    <col min="12803" max="12803" width="46.140625" style="87" customWidth="1"/>
    <col min="12804" max="12804" width="8.28515625" style="87" customWidth="1"/>
    <col min="12805" max="12805" width="7.7109375" style="87" customWidth="1"/>
    <col min="12806" max="12807" width="7.42578125" style="87" customWidth="1"/>
    <col min="12808" max="12808" width="8.42578125" style="87" customWidth="1"/>
    <col min="12809" max="12809" width="7.42578125" style="87" customWidth="1"/>
    <col min="12810" max="12810" width="8.7109375" style="87" customWidth="1"/>
    <col min="12811" max="12811" width="7.42578125" style="87" customWidth="1"/>
    <col min="12812" max="12812" width="8.140625" style="87" customWidth="1"/>
    <col min="12813" max="12813" width="9.42578125" style="87" customWidth="1"/>
    <col min="12814" max="12815" width="11.42578125" style="87" bestFit="1" customWidth="1"/>
    <col min="12816" max="13056" width="9.140625" style="87"/>
    <col min="13057" max="13057" width="5.140625" style="87" customWidth="1"/>
    <col min="13058" max="13058" width="11" style="87" customWidth="1"/>
    <col min="13059" max="13059" width="46.140625" style="87" customWidth="1"/>
    <col min="13060" max="13060" width="8.28515625" style="87" customWidth="1"/>
    <col min="13061" max="13061" width="7.7109375" style="87" customWidth="1"/>
    <col min="13062" max="13063" width="7.42578125" style="87" customWidth="1"/>
    <col min="13064" max="13064" width="8.42578125" style="87" customWidth="1"/>
    <col min="13065" max="13065" width="7.42578125" style="87" customWidth="1"/>
    <col min="13066" max="13066" width="8.7109375" style="87" customWidth="1"/>
    <col min="13067" max="13067" width="7.42578125" style="87" customWidth="1"/>
    <col min="13068" max="13068" width="8.140625" style="87" customWidth="1"/>
    <col min="13069" max="13069" width="9.42578125" style="87" customWidth="1"/>
    <col min="13070" max="13071" width="11.42578125" style="87" bestFit="1" customWidth="1"/>
    <col min="13072" max="13312" width="9.140625" style="87"/>
    <col min="13313" max="13313" width="5.140625" style="87" customWidth="1"/>
    <col min="13314" max="13314" width="11" style="87" customWidth="1"/>
    <col min="13315" max="13315" width="46.140625" style="87" customWidth="1"/>
    <col min="13316" max="13316" width="8.28515625" style="87" customWidth="1"/>
    <col min="13317" max="13317" width="7.7109375" style="87" customWidth="1"/>
    <col min="13318" max="13319" width="7.42578125" style="87" customWidth="1"/>
    <col min="13320" max="13320" width="8.42578125" style="87" customWidth="1"/>
    <col min="13321" max="13321" width="7.42578125" style="87" customWidth="1"/>
    <col min="13322" max="13322" width="8.7109375" style="87" customWidth="1"/>
    <col min="13323" max="13323" width="7.42578125" style="87" customWidth="1"/>
    <col min="13324" max="13324" width="8.140625" style="87" customWidth="1"/>
    <col min="13325" max="13325" width="9.42578125" style="87" customWidth="1"/>
    <col min="13326" max="13327" width="11.42578125" style="87" bestFit="1" customWidth="1"/>
    <col min="13328" max="13568" width="9.140625" style="87"/>
    <col min="13569" max="13569" width="5.140625" style="87" customWidth="1"/>
    <col min="13570" max="13570" width="11" style="87" customWidth="1"/>
    <col min="13571" max="13571" width="46.140625" style="87" customWidth="1"/>
    <col min="13572" max="13572" width="8.28515625" style="87" customWidth="1"/>
    <col min="13573" max="13573" width="7.7109375" style="87" customWidth="1"/>
    <col min="13574" max="13575" width="7.42578125" style="87" customWidth="1"/>
    <col min="13576" max="13576" width="8.42578125" style="87" customWidth="1"/>
    <col min="13577" max="13577" width="7.42578125" style="87" customWidth="1"/>
    <col min="13578" max="13578" width="8.7109375" style="87" customWidth="1"/>
    <col min="13579" max="13579" width="7.42578125" style="87" customWidth="1"/>
    <col min="13580" max="13580" width="8.140625" style="87" customWidth="1"/>
    <col min="13581" max="13581" width="9.42578125" style="87" customWidth="1"/>
    <col min="13582" max="13583" width="11.42578125" style="87" bestFit="1" customWidth="1"/>
    <col min="13584" max="13824" width="9.140625" style="87"/>
    <col min="13825" max="13825" width="5.140625" style="87" customWidth="1"/>
    <col min="13826" max="13826" width="11" style="87" customWidth="1"/>
    <col min="13827" max="13827" width="46.140625" style="87" customWidth="1"/>
    <col min="13828" max="13828" width="8.28515625" style="87" customWidth="1"/>
    <col min="13829" max="13829" width="7.7109375" style="87" customWidth="1"/>
    <col min="13830" max="13831" width="7.42578125" style="87" customWidth="1"/>
    <col min="13832" max="13832" width="8.42578125" style="87" customWidth="1"/>
    <col min="13833" max="13833" width="7.42578125" style="87" customWidth="1"/>
    <col min="13834" max="13834" width="8.7109375" style="87" customWidth="1"/>
    <col min="13835" max="13835" width="7.42578125" style="87" customWidth="1"/>
    <col min="13836" max="13836" width="8.140625" style="87" customWidth="1"/>
    <col min="13837" max="13837" width="9.42578125" style="87" customWidth="1"/>
    <col min="13838" max="13839" width="11.42578125" style="87" bestFit="1" customWidth="1"/>
    <col min="13840" max="14080" width="9.140625" style="87"/>
    <col min="14081" max="14081" width="5.140625" style="87" customWidth="1"/>
    <col min="14082" max="14082" width="11" style="87" customWidth="1"/>
    <col min="14083" max="14083" width="46.140625" style="87" customWidth="1"/>
    <col min="14084" max="14084" width="8.28515625" style="87" customWidth="1"/>
    <col min="14085" max="14085" width="7.7109375" style="87" customWidth="1"/>
    <col min="14086" max="14087" width="7.42578125" style="87" customWidth="1"/>
    <col min="14088" max="14088" width="8.42578125" style="87" customWidth="1"/>
    <col min="14089" max="14089" width="7.42578125" style="87" customWidth="1"/>
    <col min="14090" max="14090" width="8.7109375" style="87" customWidth="1"/>
    <col min="14091" max="14091" width="7.42578125" style="87" customWidth="1"/>
    <col min="14092" max="14092" width="8.140625" style="87" customWidth="1"/>
    <col min="14093" max="14093" width="9.42578125" style="87" customWidth="1"/>
    <col min="14094" max="14095" width="11.42578125" style="87" bestFit="1" customWidth="1"/>
    <col min="14096" max="14336" width="9.140625" style="87"/>
    <col min="14337" max="14337" width="5.140625" style="87" customWidth="1"/>
    <col min="14338" max="14338" width="11" style="87" customWidth="1"/>
    <col min="14339" max="14339" width="46.140625" style="87" customWidth="1"/>
    <col min="14340" max="14340" width="8.28515625" style="87" customWidth="1"/>
    <col min="14341" max="14341" width="7.7109375" style="87" customWidth="1"/>
    <col min="14342" max="14343" width="7.42578125" style="87" customWidth="1"/>
    <col min="14344" max="14344" width="8.42578125" style="87" customWidth="1"/>
    <col min="14345" max="14345" width="7.42578125" style="87" customWidth="1"/>
    <col min="14346" max="14346" width="8.7109375" style="87" customWidth="1"/>
    <col min="14347" max="14347" width="7.42578125" style="87" customWidth="1"/>
    <col min="14348" max="14348" width="8.140625" style="87" customWidth="1"/>
    <col min="14349" max="14349" width="9.42578125" style="87" customWidth="1"/>
    <col min="14350" max="14351" width="11.42578125" style="87" bestFit="1" customWidth="1"/>
    <col min="14352" max="14592" width="9.140625" style="87"/>
    <col min="14593" max="14593" width="5.140625" style="87" customWidth="1"/>
    <col min="14594" max="14594" width="11" style="87" customWidth="1"/>
    <col min="14595" max="14595" width="46.140625" style="87" customWidth="1"/>
    <col min="14596" max="14596" width="8.28515625" style="87" customWidth="1"/>
    <col min="14597" max="14597" width="7.7109375" style="87" customWidth="1"/>
    <col min="14598" max="14599" width="7.42578125" style="87" customWidth="1"/>
    <col min="14600" max="14600" width="8.42578125" style="87" customWidth="1"/>
    <col min="14601" max="14601" width="7.42578125" style="87" customWidth="1"/>
    <col min="14602" max="14602" width="8.7109375" style="87" customWidth="1"/>
    <col min="14603" max="14603" width="7.42578125" style="87" customWidth="1"/>
    <col min="14604" max="14604" width="8.140625" style="87" customWidth="1"/>
    <col min="14605" max="14605" width="9.42578125" style="87" customWidth="1"/>
    <col min="14606" max="14607" width="11.42578125" style="87" bestFit="1" customWidth="1"/>
    <col min="14608" max="14848" width="9.140625" style="87"/>
    <col min="14849" max="14849" width="5.140625" style="87" customWidth="1"/>
    <col min="14850" max="14850" width="11" style="87" customWidth="1"/>
    <col min="14851" max="14851" width="46.140625" style="87" customWidth="1"/>
    <col min="14852" max="14852" width="8.28515625" style="87" customWidth="1"/>
    <col min="14853" max="14853" width="7.7109375" style="87" customWidth="1"/>
    <col min="14854" max="14855" width="7.42578125" style="87" customWidth="1"/>
    <col min="14856" max="14856" width="8.42578125" style="87" customWidth="1"/>
    <col min="14857" max="14857" width="7.42578125" style="87" customWidth="1"/>
    <col min="14858" max="14858" width="8.7109375" style="87" customWidth="1"/>
    <col min="14859" max="14859" width="7.42578125" style="87" customWidth="1"/>
    <col min="14860" max="14860" width="8.140625" style="87" customWidth="1"/>
    <col min="14861" max="14861" width="9.42578125" style="87" customWidth="1"/>
    <col min="14862" max="14863" width="11.42578125" style="87" bestFit="1" customWidth="1"/>
    <col min="14864" max="15104" width="9.140625" style="87"/>
    <col min="15105" max="15105" width="5.140625" style="87" customWidth="1"/>
    <col min="15106" max="15106" width="11" style="87" customWidth="1"/>
    <col min="15107" max="15107" width="46.140625" style="87" customWidth="1"/>
    <col min="15108" max="15108" width="8.28515625" style="87" customWidth="1"/>
    <col min="15109" max="15109" width="7.7109375" style="87" customWidth="1"/>
    <col min="15110" max="15111" width="7.42578125" style="87" customWidth="1"/>
    <col min="15112" max="15112" width="8.42578125" style="87" customWidth="1"/>
    <col min="15113" max="15113" width="7.42578125" style="87" customWidth="1"/>
    <col min="15114" max="15114" width="8.7109375" style="87" customWidth="1"/>
    <col min="15115" max="15115" width="7.42578125" style="87" customWidth="1"/>
    <col min="15116" max="15116" width="8.140625" style="87" customWidth="1"/>
    <col min="15117" max="15117" width="9.42578125" style="87" customWidth="1"/>
    <col min="15118" max="15119" width="11.42578125" style="87" bestFit="1" customWidth="1"/>
    <col min="15120" max="15360" width="9.140625" style="87"/>
    <col min="15361" max="15361" width="5.140625" style="87" customWidth="1"/>
    <col min="15362" max="15362" width="11" style="87" customWidth="1"/>
    <col min="15363" max="15363" width="46.140625" style="87" customWidth="1"/>
    <col min="15364" max="15364" width="8.28515625" style="87" customWidth="1"/>
    <col min="15365" max="15365" width="7.7109375" style="87" customWidth="1"/>
    <col min="15366" max="15367" width="7.42578125" style="87" customWidth="1"/>
    <col min="15368" max="15368" width="8.42578125" style="87" customWidth="1"/>
    <col min="15369" max="15369" width="7.42578125" style="87" customWidth="1"/>
    <col min="15370" max="15370" width="8.7109375" style="87" customWidth="1"/>
    <col min="15371" max="15371" width="7.42578125" style="87" customWidth="1"/>
    <col min="15372" max="15372" width="8.140625" style="87" customWidth="1"/>
    <col min="15373" max="15373" width="9.42578125" style="87" customWidth="1"/>
    <col min="15374" max="15375" width="11.42578125" style="87" bestFit="1" customWidth="1"/>
    <col min="15376" max="15616" width="9.140625" style="87"/>
    <col min="15617" max="15617" width="5.140625" style="87" customWidth="1"/>
    <col min="15618" max="15618" width="11" style="87" customWidth="1"/>
    <col min="15619" max="15619" width="46.140625" style="87" customWidth="1"/>
    <col min="15620" max="15620" width="8.28515625" style="87" customWidth="1"/>
    <col min="15621" max="15621" width="7.7109375" style="87" customWidth="1"/>
    <col min="15622" max="15623" width="7.42578125" style="87" customWidth="1"/>
    <col min="15624" max="15624" width="8.42578125" style="87" customWidth="1"/>
    <col min="15625" max="15625" width="7.42578125" style="87" customWidth="1"/>
    <col min="15626" max="15626" width="8.7109375" style="87" customWidth="1"/>
    <col min="15627" max="15627" width="7.42578125" style="87" customWidth="1"/>
    <col min="15628" max="15628" width="8.140625" style="87" customWidth="1"/>
    <col min="15629" max="15629" width="9.42578125" style="87" customWidth="1"/>
    <col min="15630" max="15631" width="11.42578125" style="87" bestFit="1" customWidth="1"/>
    <col min="15632" max="15872" width="9.140625" style="87"/>
    <col min="15873" max="15873" width="5.140625" style="87" customWidth="1"/>
    <col min="15874" max="15874" width="11" style="87" customWidth="1"/>
    <col min="15875" max="15875" width="46.140625" style="87" customWidth="1"/>
    <col min="15876" max="15876" width="8.28515625" style="87" customWidth="1"/>
    <col min="15877" max="15877" width="7.7109375" style="87" customWidth="1"/>
    <col min="15878" max="15879" width="7.42578125" style="87" customWidth="1"/>
    <col min="15880" max="15880" width="8.42578125" style="87" customWidth="1"/>
    <col min="15881" max="15881" width="7.42578125" style="87" customWidth="1"/>
    <col min="15882" max="15882" width="8.7109375" style="87" customWidth="1"/>
    <col min="15883" max="15883" width="7.42578125" style="87" customWidth="1"/>
    <col min="15884" max="15884" width="8.140625" style="87" customWidth="1"/>
    <col min="15885" max="15885" width="9.42578125" style="87" customWidth="1"/>
    <col min="15886" max="15887" width="11.42578125" style="87" bestFit="1" customWidth="1"/>
    <col min="15888" max="16128" width="9.140625" style="87"/>
    <col min="16129" max="16129" width="5.140625" style="87" customWidth="1"/>
    <col min="16130" max="16130" width="11" style="87" customWidth="1"/>
    <col min="16131" max="16131" width="46.140625" style="87" customWidth="1"/>
    <col min="16132" max="16132" width="8.28515625" style="87" customWidth="1"/>
    <col min="16133" max="16133" width="7.7109375" style="87" customWidth="1"/>
    <col min="16134" max="16135" width="7.42578125" style="87" customWidth="1"/>
    <col min="16136" max="16136" width="8.42578125" style="87" customWidth="1"/>
    <col min="16137" max="16137" width="7.42578125" style="87" customWidth="1"/>
    <col min="16138" max="16138" width="8.7109375" style="87" customWidth="1"/>
    <col min="16139" max="16139" width="7.42578125" style="87" customWidth="1"/>
    <col min="16140" max="16140" width="8.140625" style="87" customWidth="1"/>
    <col min="16141" max="16141" width="9.42578125" style="87" customWidth="1"/>
    <col min="16142" max="16143" width="11.42578125" style="87" bestFit="1" customWidth="1"/>
    <col min="16144" max="16384" width="9.140625" style="87"/>
  </cols>
  <sheetData>
    <row r="1" spans="1:21" s="106" customFormat="1" x14ac:dyDescent="0.25">
      <c r="A1" s="359" t="s">
        <v>96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21" s="106" customForma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21" s="106" customFormat="1" ht="15.75" x14ac:dyDescent="0.25">
      <c r="A3" s="10"/>
      <c r="B3" s="122"/>
      <c r="C3" s="10"/>
      <c r="D3" s="10"/>
      <c r="E3" s="10"/>
      <c r="F3" s="10"/>
      <c r="G3" s="11"/>
      <c r="H3" s="11"/>
      <c r="I3" s="11"/>
      <c r="J3" s="11"/>
      <c r="K3" s="11"/>
      <c r="L3" s="11"/>
      <c r="M3" s="10"/>
    </row>
    <row r="4" spans="1:21" s="12" customFormat="1" x14ac:dyDescent="0.25">
      <c r="A4" s="360" t="s">
        <v>254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21" s="12" customFormat="1" x14ac:dyDescent="0.25">
      <c r="A5" s="360" t="s">
        <v>255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21" s="12" customFormat="1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21" s="12" customFormat="1" ht="15.75" x14ac:dyDescent="0.2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</row>
    <row r="8" spans="1:21" s="15" customFormat="1" ht="12.75" x14ac:dyDescent="0.25">
      <c r="A8" s="362" t="s">
        <v>256</v>
      </c>
      <c r="B8" s="362"/>
      <c r="C8" s="362"/>
      <c r="D8" s="362"/>
      <c r="E8" s="362"/>
      <c r="F8" s="362"/>
      <c r="G8" s="362"/>
      <c r="H8" s="14"/>
      <c r="J8" s="105">
        <f>M49/1000</f>
        <v>0.78297542343878412</v>
      </c>
      <c r="K8" s="363" t="s">
        <v>35</v>
      </c>
      <c r="L8" s="363"/>
      <c r="M8" s="363"/>
    </row>
    <row r="9" spans="1:21" s="106" customFormat="1" x14ac:dyDescent="0.25">
      <c r="A9" s="362" t="s">
        <v>90</v>
      </c>
      <c r="B9" s="367"/>
      <c r="C9" s="367"/>
      <c r="D9" s="367"/>
      <c r="E9" s="367"/>
      <c r="F9" s="367"/>
      <c r="G9" s="367"/>
      <c r="H9" s="367"/>
      <c r="I9" s="107"/>
      <c r="J9" s="368" t="s">
        <v>5</v>
      </c>
      <c r="K9" s="368"/>
      <c r="L9" s="368"/>
      <c r="M9" s="368"/>
      <c r="O9" s="63" t="s">
        <v>3</v>
      </c>
    </row>
    <row r="10" spans="1:21" s="106" customFormat="1" x14ac:dyDescent="0.25">
      <c r="A10" s="364" t="s">
        <v>1</v>
      </c>
      <c r="B10" s="369" t="s">
        <v>262</v>
      </c>
      <c r="C10" s="364" t="s">
        <v>6</v>
      </c>
      <c r="D10" s="370" t="s">
        <v>7</v>
      </c>
      <c r="E10" s="365" t="s">
        <v>263</v>
      </c>
      <c r="F10" s="366" t="s">
        <v>8</v>
      </c>
      <c r="G10" s="364" t="s">
        <v>9</v>
      </c>
      <c r="H10" s="364"/>
      <c r="I10" s="364"/>
      <c r="J10" s="364"/>
      <c r="K10" s="364"/>
      <c r="L10" s="364"/>
      <c r="M10" s="364"/>
      <c r="N10" s="108"/>
      <c r="O10" s="108"/>
      <c r="P10" s="108"/>
      <c r="Q10" s="108"/>
      <c r="R10" s="108"/>
      <c r="S10" s="108"/>
      <c r="T10" s="108"/>
    </row>
    <row r="11" spans="1:21" s="106" customFormat="1" x14ac:dyDescent="0.25">
      <c r="A11" s="364"/>
      <c r="B11" s="369"/>
      <c r="C11" s="364"/>
      <c r="D11" s="370"/>
      <c r="E11" s="365"/>
      <c r="F11" s="366"/>
      <c r="G11" s="364" t="s">
        <v>10</v>
      </c>
      <c r="H11" s="364"/>
      <c r="I11" s="364" t="s">
        <v>11</v>
      </c>
      <c r="J11" s="364"/>
      <c r="K11" s="365" t="s">
        <v>12</v>
      </c>
      <c r="L11" s="365"/>
      <c r="M11" s="366" t="s">
        <v>13</v>
      </c>
      <c r="N11" s="108"/>
      <c r="O11" s="108"/>
      <c r="P11" s="108"/>
      <c r="Q11" s="108"/>
      <c r="R11" s="108"/>
      <c r="S11" s="108"/>
      <c r="T11" s="108"/>
    </row>
    <row r="12" spans="1:21" s="106" customFormat="1" x14ac:dyDescent="0.25">
      <c r="A12" s="364"/>
      <c r="B12" s="369"/>
      <c r="C12" s="364"/>
      <c r="D12" s="370"/>
      <c r="E12" s="365"/>
      <c r="F12" s="366"/>
      <c r="G12" s="124" t="s">
        <v>14</v>
      </c>
      <c r="H12" s="124" t="s">
        <v>15</v>
      </c>
      <c r="I12" s="124" t="s">
        <v>14</v>
      </c>
      <c r="J12" s="124" t="s">
        <v>15</v>
      </c>
      <c r="K12" s="124" t="s">
        <v>14</v>
      </c>
      <c r="L12" s="124" t="s">
        <v>15</v>
      </c>
      <c r="M12" s="366"/>
      <c r="N12" s="108"/>
      <c r="O12" s="108"/>
      <c r="P12" s="108"/>
      <c r="Q12" s="108"/>
      <c r="R12" s="108"/>
      <c r="S12" s="108"/>
      <c r="T12" s="108"/>
    </row>
    <row r="13" spans="1:21" s="2" customFormat="1" ht="12" x14ac:dyDescent="0.25">
      <c r="A13" s="26" t="s">
        <v>264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1"/>
      <c r="O13" s="1"/>
      <c r="P13" s="1"/>
      <c r="Q13" s="1"/>
      <c r="R13" s="1"/>
      <c r="S13" s="1"/>
      <c r="T13" s="1"/>
      <c r="U13" s="1"/>
    </row>
    <row r="14" spans="1:21" s="36" customFormat="1" ht="24" x14ac:dyDescent="0.2">
      <c r="A14" s="21">
        <v>1</v>
      </c>
      <c r="B14" s="131" t="s">
        <v>591</v>
      </c>
      <c r="C14" s="65" t="s">
        <v>260</v>
      </c>
      <c r="D14" s="79" t="s">
        <v>32</v>
      </c>
      <c r="E14" s="16"/>
      <c r="F14" s="31">
        <f>F18</f>
        <v>1.2800000000000002</v>
      </c>
      <c r="G14" s="133">
        <f>H14/F14</f>
        <v>0</v>
      </c>
      <c r="H14" s="133">
        <f>SUM(H16)</f>
        <v>0</v>
      </c>
      <c r="I14" s="133">
        <f>J14/F14</f>
        <v>12.616649999999998</v>
      </c>
      <c r="J14" s="133">
        <f>SUM(J16)</f>
        <v>16.149312000000002</v>
      </c>
      <c r="K14" s="133">
        <f>L14/F14</f>
        <v>0</v>
      </c>
      <c r="L14" s="133">
        <f>SUM(L16)</f>
        <v>0</v>
      </c>
      <c r="M14" s="133">
        <f>SUM(M16)</f>
        <v>16.149312000000002</v>
      </c>
    </row>
    <row r="15" spans="1:21" s="19" customFormat="1" ht="13.5" x14ac:dyDescent="0.25">
      <c r="A15" s="37"/>
      <c r="B15" s="160"/>
      <c r="C15" s="135" t="s">
        <v>266</v>
      </c>
      <c r="D15" s="136"/>
      <c r="E15" s="38"/>
      <c r="F15" s="39"/>
      <c r="G15" s="38"/>
      <c r="H15" s="38"/>
      <c r="I15" s="38"/>
      <c r="J15" s="38"/>
      <c r="K15" s="38"/>
      <c r="L15" s="161"/>
      <c r="M15" s="39"/>
    </row>
    <row r="16" spans="1:21" s="44" customFormat="1" ht="13.5" x14ac:dyDescent="0.25">
      <c r="A16" s="140"/>
      <c r="B16" s="141"/>
      <c r="C16" s="40" t="s">
        <v>592</v>
      </c>
      <c r="D16" s="67" t="s">
        <v>283</v>
      </c>
      <c r="E16" s="164">
        <f>2.12*1.15*1.15</f>
        <v>2.8036999999999996</v>
      </c>
      <c r="F16" s="41">
        <f>E16*F14</f>
        <v>3.5887360000000004</v>
      </c>
      <c r="G16" s="42">
        <v>0</v>
      </c>
      <c r="H16" s="42">
        <f>F16*G16</f>
        <v>0</v>
      </c>
      <c r="I16" s="42">
        <f>3.6*1.25</f>
        <v>4.5</v>
      </c>
      <c r="J16" s="42">
        <f>F16*I16</f>
        <v>16.149312000000002</v>
      </c>
      <c r="K16" s="38">
        <v>0</v>
      </c>
      <c r="L16" s="38">
        <f>F16*K16</f>
        <v>0</v>
      </c>
      <c r="M16" s="43">
        <f>H16+J16+L16</f>
        <v>16.149312000000002</v>
      </c>
    </row>
    <row r="17" spans="1:22" ht="15.75" thickBot="1" x14ac:dyDescent="0.3">
      <c r="A17" s="148"/>
      <c r="B17" s="149"/>
      <c r="C17" s="149"/>
      <c r="D17" s="150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22" s="36" customFormat="1" ht="24" x14ac:dyDescent="0.2">
      <c r="A18" s="29">
        <v>2</v>
      </c>
      <c r="B18" s="131" t="s">
        <v>353</v>
      </c>
      <c r="C18" s="65" t="s">
        <v>258</v>
      </c>
      <c r="D18" s="79" t="s">
        <v>32</v>
      </c>
      <c r="E18" s="183"/>
      <c r="F18" s="31">
        <f>0.4*0.4*1*8</f>
        <v>1.2800000000000002</v>
      </c>
      <c r="G18" s="133">
        <f>H18/F18</f>
        <v>127.45200000000001</v>
      </c>
      <c r="H18" s="133">
        <f>SUM(H20:H23)</f>
        <v>163.13856000000004</v>
      </c>
      <c r="I18" s="133">
        <f>J18/F18</f>
        <v>40</v>
      </c>
      <c r="J18" s="133">
        <f>SUM(J20:J23)</f>
        <v>51.20000000000001</v>
      </c>
      <c r="K18" s="133">
        <f>L18/F18</f>
        <v>4.2319999999999993</v>
      </c>
      <c r="L18" s="133">
        <f>SUM(L20:L23)</f>
        <v>5.4169600000000004</v>
      </c>
      <c r="M18" s="133">
        <f>SUM(M20:M23)</f>
        <v>219.75552000000005</v>
      </c>
      <c r="O18" s="44"/>
      <c r="P18" s="44"/>
      <c r="Q18" s="44"/>
      <c r="R18" s="44"/>
      <c r="S18" s="44"/>
      <c r="T18" s="44"/>
      <c r="U18" s="44"/>
      <c r="V18" s="44"/>
    </row>
    <row r="19" spans="1:22" s="19" customFormat="1" x14ac:dyDescent="0.25">
      <c r="A19" s="37"/>
      <c r="B19" s="134"/>
      <c r="C19" s="135" t="s">
        <v>266</v>
      </c>
      <c r="D19" s="134"/>
      <c r="E19" s="38"/>
      <c r="F19" s="39"/>
      <c r="G19" s="38"/>
      <c r="H19" s="38"/>
      <c r="I19" s="38"/>
      <c r="J19" s="38"/>
      <c r="K19" s="38"/>
      <c r="L19" s="161"/>
      <c r="M19" s="39"/>
      <c r="O19" s="87"/>
      <c r="P19" s="87"/>
      <c r="Q19" s="87"/>
      <c r="R19" s="87"/>
      <c r="S19" s="87"/>
      <c r="T19" s="87"/>
      <c r="U19" s="87"/>
      <c r="V19" s="87"/>
    </row>
    <row r="20" spans="1:22" s="44" customFormat="1" ht="12.75" x14ac:dyDescent="0.25">
      <c r="A20" s="140"/>
      <c r="B20" s="141" t="s">
        <v>277</v>
      </c>
      <c r="C20" s="142" t="s">
        <v>278</v>
      </c>
      <c r="D20" s="67" t="s">
        <v>32</v>
      </c>
      <c r="E20" s="164">
        <v>1</v>
      </c>
      <c r="F20" s="181">
        <f>F18*E20</f>
        <v>1.2800000000000002</v>
      </c>
      <c r="G20" s="42">
        <v>0</v>
      </c>
      <c r="H20" s="42">
        <f>F20*G20</f>
        <v>0</v>
      </c>
      <c r="I20" s="182">
        <v>40</v>
      </c>
      <c r="J20" s="42">
        <f>F20*I20</f>
        <v>51.20000000000001</v>
      </c>
      <c r="K20" s="38">
        <v>0</v>
      </c>
      <c r="L20" s="38">
        <f>F20*K20</f>
        <v>0</v>
      </c>
      <c r="M20" s="43">
        <f>H20+J20+L20</f>
        <v>51.20000000000001</v>
      </c>
    </row>
    <row r="21" spans="1:22" s="146" customFormat="1" x14ac:dyDescent="0.25">
      <c r="A21" s="45"/>
      <c r="B21" s="85"/>
      <c r="C21" s="142" t="s">
        <v>302</v>
      </c>
      <c r="D21" s="67" t="s">
        <v>18</v>
      </c>
      <c r="E21" s="164">
        <f>1*1.15*1.15</f>
        <v>1.3224999999999998</v>
      </c>
      <c r="F21" s="164">
        <f>F18*E21</f>
        <v>1.6928000000000001</v>
      </c>
      <c r="G21" s="42">
        <v>0</v>
      </c>
      <c r="H21" s="42">
        <f>F21*G21</f>
        <v>0</v>
      </c>
      <c r="I21" s="42">
        <v>0</v>
      </c>
      <c r="J21" s="42">
        <f>F21*I21</f>
        <v>0</v>
      </c>
      <c r="K21" s="38">
        <v>3.2</v>
      </c>
      <c r="L21" s="38">
        <f>F21*K21</f>
        <v>5.4169600000000004</v>
      </c>
      <c r="M21" s="43">
        <f>H21+J21+L21</f>
        <v>5.4169600000000004</v>
      </c>
      <c r="O21" s="87"/>
      <c r="P21" s="87"/>
      <c r="Q21" s="87"/>
      <c r="R21" s="87"/>
      <c r="S21" s="87"/>
      <c r="T21" s="87"/>
      <c r="U21" s="87"/>
      <c r="V21" s="87"/>
    </row>
    <row r="22" spans="1:22" s="36" customFormat="1" ht="14.25" x14ac:dyDescent="0.2">
      <c r="A22" s="29"/>
      <c r="B22" s="29" t="s">
        <v>354</v>
      </c>
      <c r="C22" s="142" t="s">
        <v>593</v>
      </c>
      <c r="D22" s="67" t="s">
        <v>32</v>
      </c>
      <c r="E22" s="164">
        <f>1.02</f>
        <v>1.02</v>
      </c>
      <c r="F22" s="184">
        <f>F18*E22</f>
        <v>1.3056000000000003</v>
      </c>
      <c r="G22" s="42">
        <v>105</v>
      </c>
      <c r="H22" s="42">
        <f>F22*G22</f>
        <v>137.08800000000002</v>
      </c>
      <c r="I22" s="42">
        <v>0</v>
      </c>
      <c r="J22" s="42">
        <f>F22*I22</f>
        <v>0</v>
      </c>
      <c r="K22" s="38">
        <v>0</v>
      </c>
      <c r="L22" s="38">
        <f>F22*K22</f>
        <v>0</v>
      </c>
      <c r="M22" s="43">
        <f>H22+J22+L22</f>
        <v>137.08800000000002</v>
      </c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29"/>
      <c r="B23" s="124"/>
      <c r="C23" s="142" t="s">
        <v>295</v>
      </c>
      <c r="D23" s="67" t="s">
        <v>18</v>
      </c>
      <c r="E23" s="29">
        <v>6.36</v>
      </c>
      <c r="F23" s="164">
        <f>F18*E23</f>
        <v>8.1408000000000023</v>
      </c>
      <c r="G23" s="42">
        <v>3.2</v>
      </c>
      <c r="H23" s="42">
        <f>F23*G23</f>
        <v>26.050560000000008</v>
      </c>
      <c r="I23" s="42">
        <v>0</v>
      </c>
      <c r="J23" s="42">
        <f>F23*I23</f>
        <v>0</v>
      </c>
      <c r="K23" s="38">
        <v>0</v>
      </c>
      <c r="L23" s="38">
        <f>F23*K23</f>
        <v>0</v>
      </c>
      <c r="M23" s="43">
        <f>H23+J23+L23</f>
        <v>26.050560000000008</v>
      </c>
    </row>
    <row r="24" spans="1:22" ht="15.75" thickBot="1" x14ac:dyDescent="0.3">
      <c r="A24" s="148"/>
      <c r="B24" s="149"/>
      <c r="C24" s="149"/>
      <c r="D24" s="150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1:22" s="36" customFormat="1" ht="24" x14ac:dyDescent="0.2">
      <c r="A25" s="21">
        <v>3</v>
      </c>
      <c r="B25" s="131" t="s">
        <v>285</v>
      </c>
      <c r="C25" s="65" t="s">
        <v>259</v>
      </c>
      <c r="D25" s="79" t="s">
        <v>27</v>
      </c>
      <c r="E25" s="16"/>
      <c r="F25" s="30">
        <f>2324/1000/2</f>
        <v>1.1619999999999999</v>
      </c>
      <c r="G25" s="133">
        <f>H25/F25</f>
        <v>29.445999999999998</v>
      </c>
      <c r="H25" s="133">
        <f>SUM(H27:H32)</f>
        <v>34.216251999999997</v>
      </c>
      <c r="I25" s="133">
        <f>J25/F25</f>
        <v>250.00000000000003</v>
      </c>
      <c r="J25" s="133">
        <f>SUM(J27:J32)</f>
        <v>290.5</v>
      </c>
      <c r="K25" s="133">
        <f>L25/F25</f>
        <v>8.8448799999999981</v>
      </c>
      <c r="L25" s="133">
        <f>SUM(L27:L32)</f>
        <v>10.277750559999998</v>
      </c>
      <c r="M25" s="133">
        <f>SUM(M27:M32)</f>
        <v>334.99400256000001</v>
      </c>
    </row>
    <row r="26" spans="1:22" s="19" customFormat="1" ht="13.5" x14ac:dyDescent="0.25">
      <c r="A26" s="37"/>
      <c r="B26" s="134"/>
      <c r="C26" s="135" t="s">
        <v>266</v>
      </c>
      <c r="D26" s="136"/>
      <c r="E26" s="38"/>
      <c r="F26" s="39"/>
      <c r="G26" s="38"/>
      <c r="H26" s="38"/>
      <c r="I26" s="38"/>
      <c r="J26" s="38"/>
      <c r="K26" s="38"/>
      <c r="L26" s="161"/>
      <c r="M26" s="39"/>
    </row>
    <row r="27" spans="1:22" s="44" customFormat="1" ht="12.75" x14ac:dyDescent="0.25">
      <c r="A27" s="140"/>
      <c r="B27" s="173" t="s">
        <v>277</v>
      </c>
      <c r="C27" s="142" t="s">
        <v>278</v>
      </c>
      <c r="D27" s="67" t="s">
        <v>27</v>
      </c>
      <c r="E27" s="164">
        <v>1</v>
      </c>
      <c r="F27" s="41">
        <f>E27*F25</f>
        <v>1.1619999999999999</v>
      </c>
      <c r="G27" s="42">
        <v>0</v>
      </c>
      <c r="H27" s="42">
        <f t="shared" ref="H27:H32" si="0">F27*G27</f>
        <v>0</v>
      </c>
      <c r="I27" s="42">
        <f>200*1.25</f>
        <v>250</v>
      </c>
      <c r="J27" s="42">
        <f t="shared" ref="J27:J32" si="1">F27*I27</f>
        <v>290.5</v>
      </c>
      <c r="K27" s="38">
        <v>0</v>
      </c>
      <c r="L27" s="38">
        <f t="shared" ref="L27:L32" si="2">F27*K27</f>
        <v>0</v>
      </c>
      <c r="M27" s="43">
        <f t="shared" ref="M27:M32" si="3">H27+J27+L27</f>
        <v>290.5</v>
      </c>
    </row>
    <row r="28" spans="1:22" s="146" customFormat="1" x14ac:dyDescent="0.25">
      <c r="A28" s="45"/>
      <c r="B28" s="85"/>
      <c r="C28" s="142" t="s">
        <v>302</v>
      </c>
      <c r="D28" s="67" t="s">
        <v>18</v>
      </c>
      <c r="E28" s="164">
        <f>2.09*1.15*1.15</f>
        <v>2.7640249999999993</v>
      </c>
      <c r="F28" s="38">
        <f>F25*E28</f>
        <v>3.211797049999999</v>
      </c>
      <c r="G28" s="42">
        <v>0</v>
      </c>
      <c r="H28" s="42">
        <f t="shared" si="0"/>
        <v>0</v>
      </c>
      <c r="I28" s="42">
        <v>0</v>
      </c>
      <c r="J28" s="42">
        <f t="shared" si="1"/>
        <v>0</v>
      </c>
      <c r="K28" s="38">
        <v>3.2</v>
      </c>
      <c r="L28" s="38">
        <f t="shared" si="2"/>
        <v>10.277750559999998</v>
      </c>
      <c r="M28" s="43">
        <f t="shared" si="3"/>
        <v>10.277750559999998</v>
      </c>
    </row>
    <row r="29" spans="1:22" s="44" customFormat="1" ht="13.5" x14ac:dyDescent="0.25">
      <c r="A29" s="165"/>
      <c r="B29" s="29" t="s">
        <v>313</v>
      </c>
      <c r="C29" s="176" t="s">
        <v>594</v>
      </c>
      <c r="D29" s="167" t="s">
        <v>27</v>
      </c>
      <c r="E29" s="171">
        <v>0</v>
      </c>
      <c r="F29" s="172">
        <f>F25*E29</f>
        <v>0</v>
      </c>
      <c r="G29" s="174">
        <v>1650</v>
      </c>
      <c r="H29" s="170">
        <f t="shared" si="0"/>
        <v>0</v>
      </c>
      <c r="I29" s="42">
        <v>0</v>
      </c>
      <c r="J29" s="42">
        <f t="shared" si="1"/>
        <v>0</v>
      </c>
      <c r="K29" s="38">
        <v>0</v>
      </c>
      <c r="L29" s="38">
        <f t="shared" si="2"/>
        <v>0</v>
      </c>
      <c r="M29" s="43">
        <f t="shared" si="3"/>
        <v>0</v>
      </c>
      <c r="O29" s="44">
        <f>0.376+0.351+1.162*2</f>
        <v>3.0509999999999997</v>
      </c>
    </row>
    <row r="30" spans="1:22" s="44" customFormat="1" ht="25.5" x14ac:dyDescent="0.25">
      <c r="A30" s="165"/>
      <c r="B30" s="29" t="s">
        <v>289</v>
      </c>
      <c r="C30" s="166" t="s">
        <v>290</v>
      </c>
      <c r="D30" s="167" t="s">
        <v>291</v>
      </c>
      <c r="E30" s="171">
        <v>1</v>
      </c>
      <c r="F30" s="172">
        <f>E30*F25</f>
        <v>1.1619999999999999</v>
      </c>
      <c r="G30" s="170">
        <v>1.65</v>
      </c>
      <c r="H30" s="170">
        <f t="shared" si="0"/>
        <v>1.9172999999999998</v>
      </c>
      <c r="I30" s="42">
        <v>0</v>
      </c>
      <c r="J30" s="42">
        <f t="shared" si="1"/>
        <v>0</v>
      </c>
      <c r="K30" s="38">
        <v>0</v>
      </c>
      <c r="L30" s="38">
        <f t="shared" si="2"/>
        <v>0</v>
      </c>
      <c r="M30" s="43">
        <f t="shared" si="3"/>
        <v>1.9172999999999998</v>
      </c>
    </row>
    <row r="31" spans="1:22" s="44" customFormat="1" ht="13.5" x14ac:dyDescent="0.25">
      <c r="A31" s="165"/>
      <c r="B31" s="29" t="s">
        <v>293</v>
      </c>
      <c r="C31" s="166" t="s">
        <v>294</v>
      </c>
      <c r="D31" s="177" t="s">
        <v>321</v>
      </c>
      <c r="E31" s="171">
        <v>6.3</v>
      </c>
      <c r="F31" s="179">
        <f>F25*E31</f>
        <v>7.3205999999999989</v>
      </c>
      <c r="G31" s="170">
        <v>3</v>
      </c>
      <c r="H31" s="170">
        <f t="shared" si="0"/>
        <v>21.961799999999997</v>
      </c>
      <c r="I31" s="42">
        <v>0</v>
      </c>
      <c r="J31" s="42">
        <f t="shared" si="1"/>
        <v>0</v>
      </c>
      <c r="K31" s="38">
        <v>0</v>
      </c>
      <c r="L31" s="38">
        <f t="shared" si="2"/>
        <v>0</v>
      </c>
      <c r="M31" s="43">
        <f t="shared" si="3"/>
        <v>21.961799999999997</v>
      </c>
    </row>
    <row r="32" spans="1:22" x14ac:dyDescent="0.25">
      <c r="A32" s="29"/>
      <c r="B32" s="124"/>
      <c r="C32" s="142" t="s">
        <v>295</v>
      </c>
      <c r="D32" s="67" t="s">
        <v>18</v>
      </c>
      <c r="E32" s="29">
        <v>2.78</v>
      </c>
      <c r="F32" s="38">
        <f>F25*E32</f>
        <v>3.2303599999999997</v>
      </c>
      <c r="G32" s="78">
        <v>3.2</v>
      </c>
      <c r="H32" s="42">
        <f t="shared" si="0"/>
        <v>10.337152</v>
      </c>
      <c r="I32" s="269">
        <v>0</v>
      </c>
      <c r="J32" s="3">
        <f t="shared" si="1"/>
        <v>0</v>
      </c>
      <c r="K32" s="6">
        <v>0</v>
      </c>
      <c r="L32" s="6">
        <f t="shared" si="2"/>
        <v>0</v>
      </c>
      <c r="M32" s="32">
        <f t="shared" si="3"/>
        <v>10.337152</v>
      </c>
    </row>
    <row r="33" spans="1:16" ht="15.75" thickBot="1" x14ac:dyDescent="0.3">
      <c r="A33" s="148"/>
      <c r="B33" s="149"/>
      <c r="C33" s="149"/>
      <c r="D33" s="150"/>
      <c r="E33" s="148"/>
      <c r="F33" s="151"/>
      <c r="G33" s="151"/>
      <c r="H33" s="151"/>
      <c r="I33" s="151"/>
      <c r="J33" s="151"/>
      <c r="K33" s="151"/>
      <c r="L33" s="151"/>
      <c r="M33" s="152"/>
    </row>
    <row r="34" spans="1:16" s="36" customFormat="1" ht="24" x14ac:dyDescent="0.2">
      <c r="A34" s="21">
        <v>4</v>
      </c>
      <c r="B34" s="131" t="s">
        <v>329</v>
      </c>
      <c r="C34" s="65" t="s">
        <v>257</v>
      </c>
      <c r="D34" s="79" t="s">
        <v>27</v>
      </c>
      <c r="E34" s="16"/>
      <c r="F34" s="30">
        <f>F25</f>
        <v>1.1619999999999999</v>
      </c>
      <c r="G34" s="133">
        <f>H34/F34</f>
        <v>34.139999999999993</v>
      </c>
      <c r="H34" s="133">
        <f>SUM(H36:H39)</f>
        <v>39.67067999999999</v>
      </c>
      <c r="I34" s="133">
        <f>J34/F34</f>
        <v>41.4</v>
      </c>
      <c r="J34" s="133">
        <f>SUM(J36:J39)</f>
        <v>48.106799999999993</v>
      </c>
      <c r="K34" s="133">
        <f>L34/F34</f>
        <v>0</v>
      </c>
      <c r="L34" s="133">
        <f>SUM(L36:L39)</f>
        <v>0</v>
      </c>
      <c r="M34" s="133">
        <f>SUM(M36:M39)</f>
        <v>87.777479999999997</v>
      </c>
    </row>
    <row r="35" spans="1:16" s="19" customFormat="1" ht="13.5" x14ac:dyDescent="0.25">
      <c r="A35" s="37"/>
      <c r="B35" s="134"/>
      <c r="C35" s="135" t="s">
        <v>266</v>
      </c>
      <c r="D35" s="134"/>
      <c r="E35" s="38"/>
      <c r="F35" s="270"/>
      <c r="G35" s="38"/>
      <c r="H35" s="38"/>
      <c r="I35" s="38"/>
      <c r="J35" s="38"/>
      <c r="K35" s="38"/>
      <c r="L35" s="161"/>
      <c r="M35" s="39"/>
    </row>
    <row r="36" spans="1:16" s="44" customFormat="1" ht="12.75" x14ac:dyDescent="0.25">
      <c r="A36" s="140"/>
      <c r="B36" s="141"/>
      <c r="C36" s="142" t="s">
        <v>330</v>
      </c>
      <c r="D36" s="67" t="s">
        <v>268</v>
      </c>
      <c r="E36" s="162">
        <f>10*0.6*1.15</f>
        <v>6.8999999999999995</v>
      </c>
      <c r="F36" s="181">
        <f>E36*F34</f>
        <v>8.0177999999999994</v>
      </c>
      <c r="G36" s="42">
        <v>0</v>
      </c>
      <c r="H36" s="42">
        <f>F36*G36</f>
        <v>0</v>
      </c>
      <c r="I36" s="182">
        <f>4.8*1.25</f>
        <v>6</v>
      </c>
      <c r="J36" s="42">
        <f>F36*I36</f>
        <v>48.106799999999993</v>
      </c>
      <c r="K36" s="38">
        <v>0</v>
      </c>
      <c r="L36" s="38">
        <f>F36*K36</f>
        <v>0</v>
      </c>
      <c r="M36" s="43">
        <f>H36+J36+L36</f>
        <v>48.106799999999993</v>
      </c>
    </row>
    <row r="37" spans="1:16" s="146" customFormat="1" x14ac:dyDescent="0.25">
      <c r="A37" s="45"/>
      <c r="B37" s="85"/>
      <c r="C37" s="142" t="s">
        <v>302</v>
      </c>
      <c r="D37" s="67" t="s">
        <v>18</v>
      </c>
      <c r="E37" s="164">
        <v>0</v>
      </c>
      <c r="F37" s="164">
        <f>F34*E37</f>
        <v>0</v>
      </c>
      <c r="G37" s="42">
        <v>0</v>
      </c>
      <c r="H37" s="42">
        <f>F37*G37</f>
        <v>0</v>
      </c>
      <c r="I37" s="42">
        <v>0</v>
      </c>
      <c r="J37" s="42">
        <f>F37*I37</f>
        <v>0</v>
      </c>
      <c r="K37" s="38">
        <v>3.2</v>
      </c>
      <c r="L37" s="38">
        <f>F37*K37</f>
        <v>0</v>
      </c>
      <c r="M37" s="43">
        <f>H37+J37+L37</f>
        <v>0</v>
      </c>
    </row>
    <row r="38" spans="1:16" s="44" customFormat="1" ht="12.75" x14ac:dyDescent="0.25">
      <c r="A38" s="165"/>
      <c r="B38" s="29" t="s">
        <v>331</v>
      </c>
      <c r="C38" s="166" t="s">
        <v>332</v>
      </c>
      <c r="D38" s="167" t="s">
        <v>291</v>
      </c>
      <c r="E38" s="168">
        <f>8.2*0.6</f>
        <v>4.919999999999999</v>
      </c>
      <c r="F38" s="180">
        <f>F34*E38</f>
        <v>5.7170399999999981</v>
      </c>
      <c r="G38" s="170">
        <v>6.9</v>
      </c>
      <c r="H38" s="170">
        <f>F38*G38</f>
        <v>39.447575999999991</v>
      </c>
      <c r="I38" s="42">
        <v>0</v>
      </c>
      <c r="J38" s="42">
        <f>F38*I38</f>
        <v>0</v>
      </c>
      <c r="K38" s="38">
        <v>0</v>
      </c>
      <c r="L38" s="38">
        <f>F38*K38</f>
        <v>0</v>
      </c>
      <c r="M38" s="43">
        <f>H38+J38+L38</f>
        <v>39.447575999999991</v>
      </c>
      <c r="P38" s="44">
        <f>420.81+236.92+45.09+66.83</f>
        <v>769.65000000000009</v>
      </c>
    </row>
    <row r="39" spans="1:16" x14ac:dyDescent="0.25">
      <c r="A39" s="29"/>
      <c r="B39" s="124"/>
      <c r="C39" s="142" t="s">
        <v>295</v>
      </c>
      <c r="D39" s="67" t="s">
        <v>18</v>
      </c>
      <c r="E39" s="29">
        <v>0.06</v>
      </c>
      <c r="F39" s="164">
        <f>F34*E39</f>
        <v>6.971999999999999E-2</v>
      </c>
      <c r="G39" s="78">
        <v>3.2</v>
      </c>
      <c r="H39" s="42">
        <f>F39*G39</f>
        <v>0.22310399999999997</v>
      </c>
      <c r="I39" s="269">
        <v>0</v>
      </c>
      <c r="J39" s="3">
        <f>F39*I39</f>
        <v>0</v>
      </c>
      <c r="K39" s="6">
        <v>0</v>
      </c>
      <c r="L39" s="6">
        <f>F39*K39</f>
        <v>0</v>
      </c>
      <c r="M39" s="32">
        <f>H39+J39+L39</f>
        <v>0.22310399999999997</v>
      </c>
    </row>
    <row r="40" spans="1:16" ht="15.75" thickBot="1" x14ac:dyDescent="0.3">
      <c r="A40" s="148"/>
      <c r="B40" s="149"/>
      <c r="C40" s="149"/>
      <c r="D40" s="178"/>
      <c r="E40" s="148"/>
      <c r="F40" s="148"/>
      <c r="G40" s="151"/>
      <c r="H40" s="151"/>
      <c r="I40" s="151"/>
      <c r="J40" s="151"/>
      <c r="K40" s="151"/>
      <c r="L40" s="151"/>
      <c r="M40" s="152"/>
    </row>
    <row r="41" spans="1:16" s="34" customFormat="1" x14ac:dyDescent="0.25">
      <c r="A41" s="48"/>
      <c r="B41" s="156"/>
      <c r="C41" s="70" t="s">
        <v>22</v>
      </c>
      <c r="D41" s="49"/>
      <c r="E41" s="50"/>
      <c r="F41" s="50"/>
      <c r="G41" s="51"/>
      <c r="H41" s="53">
        <f>H34+H25+H18+H14</f>
        <v>237.02549200000004</v>
      </c>
      <c r="I41" s="52"/>
      <c r="J41" s="53">
        <f>J34+J25+J18+J14</f>
        <v>405.95611200000002</v>
      </c>
      <c r="K41" s="52"/>
      <c r="L41" s="53">
        <f>L34+L25+L18+L14</f>
        <v>15.694710559999997</v>
      </c>
      <c r="M41" s="53">
        <f>M34+M25+M18+M14</f>
        <v>658.67631456000004</v>
      </c>
      <c r="O41" s="46">
        <f>L41+J41+H41</f>
        <v>658.67631456000004</v>
      </c>
    </row>
    <row r="42" spans="1:16" s="34" customFormat="1" x14ac:dyDescent="0.25">
      <c r="A42" s="48"/>
      <c r="B42" s="156"/>
      <c r="C42" s="70" t="s">
        <v>28</v>
      </c>
      <c r="D42" s="49"/>
      <c r="E42" s="50"/>
      <c r="F42" s="50"/>
      <c r="G42" s="51"/>
      <c r="H42" s="271">
        <f>H41-H36-H37-H38-H39</f>
        <v>197.35481200000004</v>
      </c>
      <c r="I42" s="271"/>
      <c r="J42" s="271">
        <f>J41-J36-J37-J38-J39</f>
        <v>357.84931200000005</v>
      </c>
      <c r="K42" s="271"/>
      <c r="L42" s="271">
        <f>L41-L36-L37-L38-L39</f>
        <v>15.694710559999997</v>
      </c>
      <c r="M42" s="159">
        <f>M41-M36-M37-M38-M39</f>
        <v>570.89883455999995</v>
      </c>
      <c r="O42" s="46">
        <f>J41*0.8</f>
        <v>324.76488960000006</v>
      </c>
    </row>
    <row r="43" spans="1:16" s="84" customFormat="1" x14ac:dyDescent="0.25">
      <c r="A43" s="109"/>
      <c r="B43" s="25">
        <v>0.05</v>
      </c>
      <c r="C43" s="72" t="s">
        <v>34</v>
      </c>
      <c r="D43" s="9" t="s">
        <v>18</v>
      </c>
      <c r="E43" s="226"/>
      <c r="F43" s="6"/>
      <c r="G43" s="28"/>
      <c r="H43" s="272"/>
      <c r="I43" s="272"/>
      <c r="J43" s="272"/>
      <c r="K43" s="272"/>
      <c r="L43" s="272"/>
      <c r="M43" s="243">
        <f>H41*B43</f>
        <v>11.851274600000004</v>
      </c>
      <c r="O43" s="110"/>
    </row>
    <row r="44" spans="1:16" s="84" customFormat="1" x14ac:dyDescent="0.25">
      <c r="A44" s="109"/>
      <c r="B44" s="25"/>
      <c r="C44" s="7" t="s">
        <v>22</v>
      </c>
      <c r="D44" s="7" t="s">
        <v>0</v>
      </c>
      <c r="E44" s="228"/>
      <c r="F44" s="4"/>
      <c r="G44" s="5"/>
      <c r="H44" s="229"/>
      <c r="I44" s="229"/>
      <c r="J44" s="229"/>
      <c r="K44" s="229"/>
      <c r="L44" s="229"/>
      <c r="M44" s="244">
        <f>M41+M43</f>
        <v>670.52758916000005</v>
      </c>
    </row>
    <row r="45" spans="1:16" s="84" customFormat="1" x14ac:dyDescent="0.25">
      <c r="A45" s="109"/>
      <c r="B45" s="25">
        <v>0.1</v>
      </c>
      <c r="C45" s="72" t="s">
        <v>76</v>
      </c>
      <c r="D45" s="8" t="s">
        <v>0</v>
      </c>
      <c r="E45" s="230"/>
      <c r="F45" s="4"/>
      <c r="G45" s="4"/>
      <c r="H45" s="273"/>
      <c r="I45" s="273"/>
      <c r="J45" s="273"/>
      <c r="K45" s="273"/>
      <c r="L45" s="273"/>
      <c r="M45" s="245">
        <f>(M41-M42)*B45</f>
        <v>8.7777480000000079</v>
      </c>
    </row>
    <row r="46" spans="1:16" s="84" customFormat="1" ht="25.5" x14ac:dyDescent="0.25">
      <c r="A46" s="109"/>
      <c r="B46" s="25">
        <v>0.08</v>
      </c>
      <c r="C46" s="72" t="s">
        <v>77</v>
      </c>
      <c r="D46" s="8" t="s">
        <v>0</v>
      </c>
      <c r="E46" s="230"/>
      <c r="F46" s="4"/>
      <c r="G46" s="4"/>
      <c r="H46" s="273"/>
      <c r="I46" s="273"/>
      <c r="J46" s="273"/>
      <c r="K46" s="273"/>
      <c r="L46" s="273"/>
      <c r="M46" s="245">
        <f>M42*B46</f>
        <v>45.671906764799999</v>
      </c>
    </row>
    <row r="47" spans="1:16" s="84" customFormat="1" x14ac:dyDescent="0.25">
      <c r="A47" s="109"/>
      <c r="B47" s="25"/>
      <c r="C47" s="7" t="s">
        <v>22</v>
      </c>
      <c r="D47" s="7" t="s">
        <v>0</v>
      </c>
      <c r="E47" s="228"/>
      <c r="F47" s="4"/>
      <c r="G47" s="5"/>
      <c r="H47" s="229"/>
      <c r="I47" s="229"/>
      <c r="J47" s="229"/>
      <c r="K47" s="229"/>
      <c r="L47" s="229"/>
      <c r="M47" s="244">
        <f>M44+M45+M46</f>
        <v>724.97724392480006</v>
      </c>
    </row>
    <row r="48" spans="1:16" s="84" customFormat="1" x14ac:dyDescent="0.25">
      <c r="A48" s="109"/>
      <c r="B48" s="25">
        <v>0.08</v>
      </c>
      <c r="C48" s="72" t="s">
        <v>89</v>
      </c>
      <c r="D48" s="8" t="s">
        <v>0</v>
      </c>
      <c r="E48" s="230"/>
      <c r="F48" s="4"/>
      <c r="G48" s="4"/>
      <c r="H48" s="273"/>
      <c r="I48" s="273"/>
      <c r="J48" s="273"/>
      <c r="K48" s="273"/>
      <c r="L48" s="273"/>
      <c r="M48" s="245">
        <f>M47*B48</f>
        <v>57.998179513984006</v>
      </c>
    </row>
    <row r="49" spans="1:15" s="84" customFormat="1" x14ac:dyDescent="0.25">
      <c r="A49" s="109"/>
      <c r="B49" s="25"/>
      <c r="C49" s="7" t="s">
        <v>22</v>
      </c>
      <c r="D49" s="7" t="s">
        <v>0</v>
      </c>
      <c r="E49" s="228"/>
      <c r="F49" s="4"/>
      <c r="G49" s="5"/>
      <c r="H49" s="229"/>
      <c r="I49" s="229"/>
      <c r="J49" s="229"/>
      <c r="K49" s="229"/>
      <c r="L49" s="229"/>
      <c r="M49" s="244">
        <f>M47+M48</f>
        <v>782.97542343878411</v>
      </c>
      <c r="O49" s="111"/>
    </row>
    <row r="50" spans="1:15" s="84" customFormat="1" x14ac:dyDescent="0.25">
      <c r="B50" s="22"/>
      <c r="G50" s="112"/>
      <c r="H50" s="112"/>
      <c r="I50" s="112"/>
      <c r="J50" s="112"/>
      <c r="K50" s="112"/>
      <c r="L50" s="112"/>
      <c r="M50" s="113"/>
    </row>
    <row r="51" spans="1:15" s="84" customFormat="1" x14ac:dyDescent="0.25">
      <c r="B51" s="22"/>
      <c r="G51" s="112"/>
      <c r="H51" s="112"/>
      <c r="I51" s="112"/>
      <c r="J51" s="112"/>
      <c r="K51" s="112"/>
      <c r="L51" s="112"/>
      <c r="M51" s="113"/>
    </row>
    <row r="52" spans="1:15" s="84" customFormat="1" x14ac:dyDescent="0.25">
      <c r="B52" s="22"/>
      <c r="C52" s="240" t="s">
        <v>448</v>
      </c>
      <c r="G52" s="112"/>
      <c r="H52" s="112"/>
      <c r="I52" s="112"/>
      <c r="J52" s="112"/>
      <c r="K52" s="112"/>
      <c r="L52" s="112"/>
      <c r="M52" s="113"/>
    </row>
    <row r="53" spans="1:15" s="84" customFormat="1" x14ac:dyDescent="0.25">
      <c r="B53" s="22"/>
      <c r="C53" s="116" t="s">
        <v>449</v>
      </c>
      <c r="G53" s="112"/>
      <c r="H53" s="112"/>
      <c r="I53" s="112"/>
      <c r="J53" s="112"/>
      <c r="K53" s="112"/>
      <c r="L53" s="112"/>
      <c r="M53" s="113"/>
    </row>
    <row r="54" spans="1:15" s="84" customFormat="1" x14ac:dyDescent="0.25">
      <c r="B54" s="23"/>
      <c r="G54" s="112"/>
      <c r="H54" s="112"/>
      <c r="I54" s="112"/>
      <c r="J54" s="112"/>
      <c r="K54" s="112"/>
      <c r="L54" s="112"/>
      <c r="M54" s="113"/>
    </row>
    <row r="55" spans="1:15" s="84" customFormat="1" x14ac:dyDescent="0.25">
      <c r="B55" s="23"/>
      <c r="C55" s="22"/>
      <c r="G55" s="112"/>
      <c r="H55" s="112"/>
      <c r="I55" s="112"/>
      <c r="J55" s="112"/>
      <c r="K55" s="112"/>
      <c r="L55" s="112"/>
      <c r="M55" s="113"/>
    </row>
    <row r="56" spans="1:15" s="84" customFormat="1" x14ac:dyDescent="0.25">
      <c r="B56" s="23"/>
      <c r="C56" s="22"/>
      <c r="G56" s="112"/>
      <c r="H56" s="112"/>
      <c r="I56" s="112"/>
      <c r="J56" s="112"/>
      <c r="K56" s="112"/>
      <c r="L56" s="112"/>
      <c r="M56" s="113"/>
    </row>
    <row r="57" spans="1:15" s="84" customFormat="1" x14ac:dyDescent="0.25">
      <c r="B57" s="23"/>
      <c r="C57" s="22"/>
      <c r="G57" s="112"/>
      <c r="H57" s="112"/>
      <c r="I57" s="112"/>
      <c r="J57" s="112"/>
      <c r="K57" s="112"/>
      <c r="L57" s="112"/>
      <c r="M57" s="113"/>
    </row>
    <row r="58" spans="1:15" s="84" customFormat="1" x14ac:dyDescent="0.25">
      <c r="B58" s="23"/>
      <c r="C58" s="22"/>
      <c r="G58" s="112"/>
      <c r="H58" s="112"/>
      <c r="I58" s="112"/>
      <c r="J58" s="112"/>
      <c r="K58" s="112"/>
      <c r="L58" s="112"/>
      <c r="M58" s="113"/>
    </row>
    <row r="59" spans="1:15" s="84" customFormat="1" x14ac:dyDescent="0.25">
      <c r="B59" s="23"/>
      <c r="G59" s="112"/>
      <c r="H59" s="112"/>
      <c r="I59" s="112"/>
      <c r="J59" s="112"/>
      <c r="K59" s="112"/>
      <c r="L59" s="112"/>
      <c r="M59" s="113"/>
    </row>
    <row r="60" spans="1:15" s="84" customFormat="1" x14ac:dyDescent="0.25">
      <c r="B60" s="23"/>
      <c r="G60" s="112"/>
      <c r="H60" s="112"/>
      <c r="I60" s="112"/>
      <c r="J60" s="112"/>
      <c r="K60" s="112"/>
      <c r="L60" s="112"/>
      <c r="M60" s="113"/>
    </row>
    <row r="61" spans="1:15" s="84" customFormat="1" x14ac:dyDescent="0.25">
      <c r="B61" s="23"/>
      <c r="C61" s="22"/>
      <c r="G61" s="112"/>
      <c r="H61" s="112"/>
      <c r="I61" s="112"/>
      <c r="J61" s="112"/>
      <c r="K61" s="112"/>
      <c r="L61" s="112"/>
      <c r="M61" s="113"/>
    </row>
    <row r="62" spans="1:15" s="84" customFormat="1" x14ac:dyDescent="0.25">
      <c r="B62" s="23"/>
      <c r="C62" s="22"/>
      <c r="G62" s="112"/>
      <c r="H62" s="112"/>
      <c r="I62" s="112"/>
      <c r="J62" s="112"/>
      <c r="K62" s="112"/>
      <c r="L62" s="112"/>
      <c r="M62" s="113"/>
    </row>
    <row r="63" spans="1:15" s="84" customFormat="1" x14ac:dyDescent="0.25">
      <c r="B63" s="23"/>
      <c r="C63" s="22"/>
      <c r="G63" s="112"/>
      <c r="H63" s="112"/>
      <c r="I63" s="112"/>
      <c r="J63" s="112"/>
      <c r="K63" s="112"/>
      <c r="L63" s="112"/>
      <c r="M63" s="113"/>
    </row>
    <row r="64" spans="1:15" s="84" customFormat="1" x14ac:dyDescent="0.25">
      <c r="B64" s="23"/>
      <c r="C64" s="22"/>
      <c r="G64" s="112"/>
      <c r="H64" s="112"/>
      <c r="I64" s="112"/>
      <c r="J64" s="112"/>
      <c r="K64" s="112"/>
      <c r="L64" s="112"/>
      <c r="M64" s="113"/>
    </row>
    <row r="65" spans="2:13" s="84" customFormat="1" x14ac:dyDescent="0.25">
      <c r="B65" s="23"/>
      <c r="C65" s="22"/>
      <c r="G65" s="112"/>
      <c r="H65" s="112"/>
      <c r="I65" s="112"/>
      <c r="J65" s="112"/>
      <c r="K65" s="112"/>
      <c r="L65" s="112"/>
      <c r="M65" s="113"/>
    </row>
    <row r="66" spans="2:13" x14ac:dyDescent="0.25">
      <c r="C66" s="23"/>
      <c r="M66" s="115"/>
    </row>
    <row r="67" spans="2:13" x14ac:dyDescent="0.25">
      <c r="C67" s="24"/>
      <c r="M67" s="115"/>
    </row>
    <row r="68" spans="2:13" x14ac:dyDescent="0.25">
      <c r="C68" s="23"/>
      <c r="E68" s="242"/>
      <c r="M68" s="115"/>
    </row>
    <row r="69" spans="2:13" x14ac:dyDescent="0.25">
      <c r="C69" s="23"/>
      <c r="M69" s="115"/>
    </row>
    <row r="70" spans="2:13" x14ac:dyDescent="0.25">
      <c r="C70" s="23"/>
      <c r="M70" s="115"/>
    </row>
    <row r="71" spans="2:13" x14ac:dyDescent="0.25">
      <c r="C71" s="23"/>
    </row>
    <row r="72" spans="2:13" x14ac:dyDescent="0.25">
      <c r="C72" s="23"/>
    </row>
  </sheetData>
  <mergeCells count="19">
    <mergeCell ref="I11:J11"/>
    <mergeCell ref="K11:L11"/>
    <mergeCell ref="M11:M12"/>
    <mergeCell ref="A9:H9"/>
    <mergeCell ref="J9:M9"/>
    <mergeCell ref="A10:A12"/>
    <mergeCell ref="B10:B12"/>
    <mergeCell ref="C10:C12"/>
    <mergeCell ref="D10:D12"/>
    <mergeCell ref="E10:E12"/>
    <mergeCell ref="F10:F12"/>
    <mergeCell ref="G10:M10"/>
    <mergeCell ref="G11:H11"/>
    <mergeCell ref="A1:M1"/>
    <mergeCell ref="A4:M4"/>
    <mergeCell ref="A5:M5"/>
    <mergeCell ref="A7:M7"/>
    <mergeCell ref="A8:G8"/>
    <mergeCell ref="K8:M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65"/>
  <sheetViews>
    <sheetView topLeftCell="A22" workbookViewId="0">
      <selection activeCell="C43" sqref="C43"/>
    </sheetView>
  </sheetViews>
  <sheetFormatPr defaultColWidth="9.140625" defaultRowHeight="15" x14ac:dyDescent="0.25"/>
  <cols>
    <col min="1" max="1" width="5.140625" style="87" customWidth="1"/>
    <col min="2" max="2" width="11" style="19" customWidth="1"/>
    <col min="3" max="3" width="46.140625" style="87" customWidth="1"/>
    <col min="4" max="4" width="8.28515625" style="87" customWidth="1"/>
    <col min="5" max="5" width="8.85546875" style="87" customWidth="1"/>
    <col min="6" max="6" width="7.42578125" style="87" customWidth="1"/>
    <col min="7" max="7" width="7.42578125" style="114" customWidth="1"/>
    <col min="8" max="8" width="8.42578125" style="114" customWidth="1"/>
    <col min="9" max="9" width="7.42578125" style="114" customWidth="1"/>
    <col min="10" max="10" width="8.7109375" style="114" customWidth="1"/>
    <col min="11" max="11" width="7.42578125" style="114" customWidth="1"/>
    <col min="12" max="12" width="8.140625" style="114" customWidth="1"/>
    <col min="13" max="13" width="9.42578125" style="87" customWidth="1"/>
    <col min="14" max="16384" width="9.140625" style="87"/>
  </cols>
  <sheetData>
    <row r="1" spans="1:15" s="106" customFormat="1" ht="21.75" customHeight="1" x14ac:dyDescent="0.25">
      <c r="A1" s="359" t="s">
        <v>96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5" s="106" customFormat="1" ht="13.5" customHeight="1" x14ac:dyDescent="0.25">
      <c r="A2" s="10"/>
      <c r="B2" s="122"/>
      <c r="C2" s="10"/>
      <c r="D2" s="10"/>
      <c r="E2" s="10"/>
      <c r="F2" s="10"/>
      <c r="G2" s="11"/>
      <c r="H2" s="11"/>
      <c r="I2" s="11"/>
      <c r="J2" s="11"/>
      <c r="K2" s="11"/>
      <c r="L2" s="11"/>
      <c r="M2" s="10"/>
    </row>
    <row r="3" spans="1:15" s="12" customFormat="1" ht="21" customHeight="1" x14ac:dyDescent="0.25">
      <c r="A3" s="360" t="s">
        <v>248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5" s="12" customFormat="1" ht="21.75" customHeight="1" x14ac:dyDescent="0.25">
      <c r="A4" s="360" t="s">
        <v>171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5" s="12" customFormat="1" ht="21.75" customHeight="1" x14ac:dyDescent="0.2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</row>
    <row r="6" spans="1:15" s="15" customFormat="1" ht="18" customHeight="1" x14ac:dyDescent="0.25">
      <c r="A6" s="362" t="s">
        <v>109</v>
      </c>
      <c r="B6" s="362"/>
      <c r="C6" s="362"/>
      <c r="D6" s="362"/>
      <c r="E6" s="362"/>
      <c r="F6" s="362"/>
      <c r="G6" s="362"/>
      <c r="H6" s="14"/>
      <c r="J6" s="105">
        <f>M52/1000</f>
        <v>0.97001281650499993</v>
      </c>
      <c r="K6" s="363" t="s">
        <v>35</v>
      </c>
      <c r="L6" s="363"/>
      <c r="M6" s="363"/>
    </row>
    <row r="7" spans="1:15" s="106" customFormat="1" ht="14.25" customHeight="1" x14ac:dyDescent="0.25">
      <c r="A7" s="372" t="s">
        <v>36</v>
      </c>
      <c r="B7" s="373"/>
      <c r="C7" s="373"/>
      <c r="D7" s="373"/>
      <c r="E7" s="373"/>
      <c r="F7" s="373"/>
      <c r="G7" s="373"/>
      <c r="H7" s="373"/>
      <c r="I7" s="107"/>
      <c r="J7" s="368" t="s">
        <v>5</v>
      </c>
      <c r="K7" s="368"/>
      <c r="L7" s="368"/>
      <c r="M7" s="368"/>
    </row>
    <row r="8" spans="1:15" s="106" customFormat="1" ht="26.25" customHeight="1" x14ac:dyDescent="0.25">
      <c r="A8" s="364" t="s">
        <v>1</v>
      </c>
      <c r="B8" s="369" t="s">
        <v>262</v>
      </c>
      <c r="C8" s="364" t="s">
        <v>6</v>
      </c>
      <c r="D8" s="370" t="s">
        <v>7</v>
      </c>
      <c r="E8" s="365" t="s">
        <v>263</v>
      </c>
      <c r="F8" s="366" t="s">
        <v>8</v>
      </c>
      <c r="G8" s="364" t="s">
        <v>9</v>
      </c>
      <c r="H8" s="364"/>
      <c r="I8" s="364"/>
      <c r="J8" s="364"/>
      <c r="K8" s="364"/>
      <c r="L8" s="364"/>
      <c r="M8" s="364"/>
      <c r="N8" s="108"/>
    </row>
    <row r="9" spans="1:15" s="106" customFormat="1" ht="27.75" customHeight="1" x14ac:dyDescent="0.25">
      <c r="A9" s="364"/>
      <c r="B9" s="369"/>
      <c r="C9" s="364"/>
      <c r="D9" s="370"/>
      <c r="E9" s="365"/>
      <c r="F9" s="366"/>
      <c r="G9" s="364" t="s">
        <v>10</v>
      </c>
      <c r="H9" s="364"/>
      <c r="I9" s="364" t="s">
        <v>11</v>
      </c>
      <c r="J9" s="364"/>
      <c r="K9" s="365" t="s">
        <v>12</v>
      </c>
      <c r="L9" s="365"/>
      <c r="M9" s="366" t="s">
        <v>13</v>
      </c>
      <c r="N9" s="108"/>
    </row>
    <row r="10" spans="1:15" s="106" customFormat="1" ht="28.5" customHeight="1" x14ac:dyDescent="0.25">
      <c r="A10" s="364"/>
      <c r="B10" s="369"/>
      <c r="C10" s="364"/>
      <c r="D10" s="370"/>
      <c r="E10" s="365"/>
      <c r="F10" s="366"/>
      <c r="G10" s="124" t="s">
        <v>14</v>
      </c>
      <c r="H10" s="124" t="s">
        <v>15</v>
      </c>
      <c r="I10" s="124" t="s">
        <v>14</v>
      </c>
      <c r="J10" s="124" t="s">
        <v>15</v>
      </c>
      <c r="K10" s="124" t="s">
        <v>14</v>
      </c>
      <c r="L10" s="124" t="s">
        <v>15</v>
      </c>
      <c r="M10" s="366"/>
      <c r="N10" s="108"/>
    </row>
    <row r="11" spans="1:15" s="2" customFormat="1" ht="19.5" customHeight="1" x14ac:dyDescent="0.25">
      <c r="A11" s="26" t="s">
        <v>264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1"/>
      <c r="O11" s="1"/>
    </row>
    <row r="12" spans="1:15" s="36" customFormat="1" ht="27.75" customHeight="1" x14ac:dyDescent="0.2">
      <c r="A12" s="21">
        <v>1</v>
      </c>
      <c r="B12" s="131" t="s">
        <v>591</v>
      </c>
      <c r="C12" s="65" t="s">
        <v>172</v>
      </c>
      <c r="D12" s="67" t="s">
        <v>173</v>
      </c>
      <c r="E12" s="16"/>
      <c r="F12" s="31">
        <f>60*0.3*0.5/100</f>
        <v>0.09</v>
      </c>
      <c r="G12" s="133">
        <f>H12/F12</f>
        <v>0</v>
      </c>
      <c r="H12" s="133">
        <f>SUM(H14)</f>
        <v>0</v>
      </c>
      <c r="I12" s="133">
        <f>J12/F12</f>
        <v>1225.9574999999998</v>
      </c>
      <c r="J12" s="133">
        <f>SUM(J14)</f>
        <v>110.33617499999997</v>
      </c>
      <c r="K12" s="133">
        <f>L12/F12</f>
        <v>0</v>
      </c>
      <c r="L12" s="133">
        <f>SUM(L14)</f>
        <v>0</v>
      </c>
      <c r="M12" s="133">
        <f>SUM(M14)</f>
        <v>110.33617499999997</v>
      </c>
    </row>
    <row r="13" spans="1:15" s="19" customFormat="1" ht="20.100000000000001" customHeight="1" x14ac:dyDescent="0.25">
      <c r="A13" s="37"/>
      <c r="B13" s="160"/>
      <c r="C13" s="135" t="s">
        <v>266</v>
      </c>
      <c r="D13" s="136"/>
      <c r="E13" s="38"/>
      <c r="F13" s="39"/>
      <c r="G13" s="38"/>
      <c r="H13" s="38"/>
      <c r="I13" s="38"/>
      <c r="J13" s="38"/>
      <c r="K13" s="38"/>
      <c r="L13" s="161"/>
      <c r="M13" s="39"/>
    </row>
    <row r="14" spans="1:15" s="44" customFormat="1" ht="20.100000000000001" customHeight="1" x14ac:dyDescent="0.25">
      <c r="A14" s="140"/>
      <c r="B14" s="141"/>
      <c r="C14" s="40" t="s">
        <v>451</v>
      </c>
      <c r="D14" s="67" t="s">
        <v>283</v>
      </c>
      <c r="E14" s="164">
        <f>206*1.15*1.15</f>
        <v>272.43499999999995</v>
      </c>
      <c r="F14" s="41">
        <f>E14*F12</f>
        <v>24.519149999999993</v>
      </c>
      <c r="G14" s="42">
        <v>0</v>
      </c>
      <c r="H14" s="42">
        <f>F14*G14</f>
        <v>0</v>
      </c>
      <c r="I14" s="42">
        <f>3.6*1.25</f>
        <v>4.5</v>
      </c>
      <c r="J14" s="42">
        <f>F14*I14</f>
        <v>110.33617499999997</v>
      </c>
      <c r="K14" s="38">
        <v>0</v>
      </c>
      <c r="L14" s="38">
        <f>F14*K14</f>
        <v>0</v>
      </c>
      <c r="M14" s="43">
        <f>H14+J14+L14</f>
        <v>110.33617499999997</v>
      </c>
    </row>
    <row r="15" spans="1:15" ht="20.100000000000001" customHeight="1" thickBot="1" x14ac:dyDescent="0.3">
      <c r="A15" s="148"/>
      <c r="B15" s="149"/>
      <c r="C15" s="149"/>
      <c r="D15" s="150"/>
      <c r="E15" s="151"/>
      <c r="F15" s="151"/>
      <c r="G15" s="151"/>
      <c r="H15" s="151"/>
      <c r="I15" s="151"/>
      <c r="J15" s="151"/>
      <c r="K15" s="151"/>
      <c r="L15" s="151"/>
      <c r="M15" s="152"/>
    </row>
    <row r="16" spans="1:15" s="36" customFormat="1" ht="25.5" customHeight="1" x14ac:dyDescent="0.2">
      <c r="A16" s="21">
        <v>2</v>
      </c>
      <c r="B16" s="131" t="s">
        <v>595</v>
      </c>
      <c r="C16" s="65" t="s">
        <v>174</v>
      </c>
      <c r="D16" s="67" t="s">
        <v>177</v>
      </c>
      <c r="E16" s="16"/>
      <c r="F16" s="31">
        <f>6*0.3*0.1</f>
        <v>0.18</v>
      </c>
      <c r="G16" s="133">
        <f>H16/F16</f>
        <v>279.39999999999998</v>
      </c>
      <c r="H16" s="133">
        <f>SUM(H18:H20)</f>
        <v>50.291999999999994</v>
      </c>
      <c r="I16" s="133">
        <f>J16/F16</f>
        <v>107.12249999999999</v>
      </c>
      <c r="J16" s="133">
        <f>SUM(J18:J20)</f>
        <v>19.282049999999998</v>
      </c>
      <c r="K16" s="133">
        <f>L16/F16</f>
        <v>0</v>
      </c>
      <c r="L16" s="133">
        <f>SUM(L18:L20)</f>
        <v>0</v>
      </c>
      <c r="M16" s="133">
        <f>SUM(M18:M20)</f>
        <v>69.57405</v>
      </c>
    </row>
    <row r="17" spans="1:13" s="19" customFormat="1" ht="13.5" x14ac:dyDescent="0.25">
      <c r="A17" s="37"/>
      <c r="B17" s="134"/>
      <c r="C17" s="135" t="s">
        <v>266</v>
      </c>
      <c r="D17" s="136"/>
      <c r="E17" s="38"/>
      <c r="F17" s="39"/>
      <c r="G17" s="38"/>
      <c r="H17" s="38"/>
      <c r="I17" s="38"/>
      <c r="J17" s="38"/>
      <c r="K17" s="38"/>
      <c r="L17" s="161"/>
      <c r="M17" s="39"/>
    </row>
    <row r="18" spans="1:13" s="44" customFormat="1" ht="13.5" x14ac:dyDescent="0.25">
      <c r="A18" s="140"/>
      <c r="B18" s="141"/>
      <c r="C18" s="40" t="s">
        <v>451</v>
      </c>
      <c r="D18" s="67" t="s">
        <v>283</v>
      </c>
      <c r="E18" s="164">
        <f>18*1.15*1.15</f>
        <v>23.804999999999996</v>
      </c>
      <c r="F18" s="41">
        <f>E18*F16</f>
        <v>4.2848999999999995</v>
      </c>
      <c r="G18" s="42">
        <v>0</v>
      </c>
      <c r="H18" s="42">
        <f>F18*G18</f>
        <v>0</v>
      </c>
      <c r="I18" s="42">
        <f>3.6*1.25</f>
        <v>4.5</v>
      </c>
      <c r="J18" s="42">
        <f>F18*I18</f>
        <v>19.282049999999998</v>
      </c>
      <c r="K18" s="38">
        <v>0</v>
      </c>
      <c r="L18" s="38">
        <f>F18*K18</f>
        <v>0</v>
      </c>
      <c r="M18" s="43">
        <f>H18+J18+L18</f>
        <v>19.282049999999998</v>
      </c>
    </row>
    <row r="19" spans="1:13" s="146" customFormat="1" x14ac:dyDescent="0.25">
      <c r="A19" s="45"/>
      <c r="B19" s="85"/>
      <c r="C19" s="142" t="s">
        <v>452</v>
      </c>
      <c r="D19" s="67" t="s">
        <v>18</v>
      </c>
      <c r="E19" s="38">
        <v>0</v>
      </c>
      <c r="F19" s="38">
        <f>F16*E19</f>
        <v>0</v>
      </c>
      <c r="G19" s="42">
        <v>0</v>
      </c>
      <c r="H19" s="42">
        <f>F19*G19</f>
        <v>0</v>
      </c>
      <c r="I19" s="42">
        <v>0</v>
      </c>
      <c r="J19" s="42">
        <f>F19*I19</f>
        <v>0</v>
      </c>
      <c r="K19" s="38">
        <v>3.2</v>
      </c>
      <c r="L19" s="38">
        <f>F19*K19</f>
        <v>0</v>
      </c>
      <c r="M19" s="43">
        <f>H19+J19+L19</f>
        <v>0</v>
      </c>
    </row>
    <row r="20" spans="1:13" s="146" customFormat="1" x14ac:dyDescent="0.25">
      <c r="A20" s="193"/>
      <c r="B20" s="267" t="s">
        <v>596</v>
      </c>
      <c r="C20" s="166" t="s">
        <v>597</v>
      </c>
      <c r="D20" s="167" t="s">
        <v>32</v>
      </c>
      <c r="E20" s="268">
        <v>11</v>
      </c>
      <c r="F20" s="268">
        <f>F16*E20</f>
        <v>1.98</v>
      </c>
      <c r="G20" s="42">
        <v>25.4</v>
      </c>
      <c r="H20" s="42">
        <f>F20*G20</f>
        <v>50.291999999999994</v>
      </c>
      <c r="I20" s="42">
        <v>0</v>
      </c>
      <c r="J20" s="42">
        <f>F20*I20</f>
        <v>0</v>
      </c>
      <c r="K20" s="38">
        <v>0</v>
      </c>
      <c r="L20" s="38">
        <f>F20*K20</f>
        <v>0</v>
      </c>
      <c r="M20" s="43">
        <f>H20+J20+L20</f>
        <v>50.291999999999994</v>
      </c>
    </row>
    <row r="21" spans="1:13" ht="15.75" thickBot="1" x14ac:dyDescent="0.3">
      <c r="A21" s="148"/>
      <c r="B21" s="149"/>
      <c r="C21" s="149"/>
      <c r="D21" s="150"/>
      <c r="E21" s="151"/>
      <c r="F21" s="151"/>
      <c r="G21" s="151"/>
      <c r="H21" s="151"/>
      <c r="I21" s="151"/>
      <c r="J21" s="151"/>
      <c r="K21" s="151"/>
      <c r="L21" s="151"/>
      <c r="M21" s="152"/>
    </row>
    <row r="22" spans="1:13" s="36" customFormat="1" ht="24" x14ac:dyDescent="0.2">
      <c r="A22" s="21">
        <v>3</v>
      </c>
      <c r="B22" s="131" t="s">
        <v>598</v>
      </c>
      <c r="C22" s="65" t="s">
        <v>224</v>
      </c>
      <c r="D22" s="85" t="s">
        <v>599</v>
      </c>
      <c r="E22" s="16"/>
      <c r="F22" s="31">
        <f>0.08*1000</f>
        <v>80</v>
      </c>
      <c r="G22" s="133">
        <f>H22/F22</f>
        <v>4.9496200000000004</v>
      </c>
      <c r="H22" s="133">
        <f>SUM(H24:H29)</f>
        <v>395.96960000000001</v>
      </c>
      <c r="I22" s="133">
        <f>J22/F22</f>
        <v>0.63413874999999997</v>
      </c>
      <c r="J22" s="133">
        <f>SUM(J24:J29)</f>
        <v>50.731099999999998</v>
      </c>
      <c r="K22" s="133">
        <f>L22/F22</f>
        <v>0.1912864</v>
      </c>
      <c r="L22" s="133">
        <f>SUM(L24:L29)</f>
        <v>15.302911999999999</v>
      </c>
      <c r="M22" s="133">
        <f>SUM(M24:M29)</f>
        <v>462.00361199999998</v>
      </c>
    </row>
    <row r="23" spans="1:13" s="19" customFormat="1" ht="13.5" x14ac:dyDescent="0.25">
      <c r="A23" s="37"/>
      <c r="B23" s="134"/>
      <c r="C23" s="135" t="s">
        <v>266</v>
      </c>
      <c r="D23" s="136"/>
      <c r="E23" s="38"/>
      <c r="F23" s="39"/>
      <c r="G23" s="38"/>
      <c r="H23" s="38"/>
      <c r="I23" s="38"/>
      <c r="J23" s="38"/>
      <c r="K23" s="38"/>
      <c r="L23" s="161"/>
      <c r="M23" s="39"/>
    </row>
    <row r="24" spans="1:13" s="44" customFormat="1" ht="13.5" x14ac:dyDescent="0.25">
      <c r="A24" s="140"/>
      <c r="B24" s="141"/>
      <c r="C24" s="40" t="s">
        <v>451</v>
      </c>
      <c r="D24" s="67" t="s">
        <v>283</v>
      </c>
      <c r="E24" s="164">
        <f>95.9*1.15*1.15/1000</f>
        <v>0.12682774999999999</v>
      </c>
      <c r="F24" s="41">
        <f>E24*F22</f>
        <v>10.14622</v>
      </c>
      <c r="G24" s="42">
        <v>0</v>
      </c>
      <c r="H24" s="42">
        <f t="shared" ref="H24:H29" si="0">F24*G24</f>
        <v>0</v>
      </c>
      <c r="I24" s="42">
        <f>4*1.25</f>
        <v>5</v>
      </c>
      <c r="J24" s="42">
        <f t="shared" ref="J24:J29" si="1">F24*I24</f>
        <v>50.731099999999998</v>
      </c>
      <c r="K24" s="38">
        <v>0</v>
      </c>
      <c r="L24" s="38">
        <f t="shared" ref="L24:L29" si="2">F24*K24</f>
        <v>0</v>
      </c>
      <c r="M24" s="43">
        <f t="shared" ref="M24:M29" si="3">H24+J24+L24</f>
        <v>50.731099999999998</v>
      </c>
    </row>
    <row r="25" spans="1:13" s="146" customFormat="1" x14ac:dyDescent="0.25">
      <c r="A25" s="45"/>
      <c r="B25" s="85"/>
      <c r="C25" s="142" t="s">
        <v>452</v>
      </c>
      <c r="D25" s="67" t="s">
        <v>18</v>
      </c>
      <c r="E25" s="38">
        <f>45.2*1.15*1.15/1000</f>
        <v>5.9776999999999997E-2</v>
      </c>
      <c r="F25" s="38">
        <f>F22*E25</f>
        <v>4.7821599999999993</v>
      </c>
      <c r="G25" s="42">
        <v>0</v>
      </c>
      <c r="H25" s="42">
        <f t="shared" si="0"/>
        <v>0</v>
      </c>
      <c r="I25" s="42">
        <v>0</v>
      </c>
      <c r="J25" s="42">
        <f t="shared" si="1"/>
        <v>0</v>
      </c>
      <c r="K25" s="38">
        <v>3.2</v>
      </c>
      <c r="L25" s="38">
        <f t="shared" si="2"/>
        <v>15.302911999999999</v>
      </c>
      <c r="M25" s="43">
        <f t="shared" si="3"/>
        <v>15.302911999999999</v>
      </c>
    </row>
    <row r="26" spans="1:13" s="146" customFormat="1" x14ac:dyDescent="0.25">
      <c r="A26" s="193"/>
      <c r="B26" s="267" t="s">
        <v>600</v>
      </c>
      <c r="C26" s="166" t="s">
        <v>601</v>
      </c>
      <c r="D26" s="167" t="s">
        <v>29</v>
      </c>
      <c r="E26" s="268">
        <f>1010/1000</f>
        <v>1.01</v>
      </c>
      <c r="F26" s="268">
        <f>F22*E26</f>
        <v>80.8</v>
      </c>
      <c r="G26" s="42">
        <v>2.7</v>
      </c>
      <c r="H26" s="42">
        <f t="shared" si="0"/>
        <v>218.16</v>
      </c>
      <c r="I26" s="42">
        <v>0</v>
      </c>
      <c r="J26" s="42">
        <f t="shared" si="1"/>
        <v>0</v>
      </c>
      <c r="K26" s="38">
        <v>0</v>
      </c>
      <c r="L26" s="38">
        <f t="shared" si="2"/>
        <v>0</v>
      </c>
      <c r="M26" s="43">
        <f t="shared" si="3"/>
        <v>218.16</v>
      </c>
    </row>
    <row r="27" spans="1:13" s="146" customFormat="1" x14ac:dyDescent="0.25">
      <c r="A27" s="193"/>
      <c r="B27" s="267" t="s">
        <v>602</v>
      </c>
      <c r="C27" s="274" t="s">
        <v>603</v>
      </c>
      <c r="D27" s="167" t="s">
        <v>2</v>
      </c>
      <c r="E27" s="268"/>
      <c r="F27" s="268">
        <v>3</v>
      </c>
      <c r="G27" s="42">
        <v>2.12</v>
      </c>
      <c r="H27" s="42">
        <f t="shared" si="0"/>
        <v>6.36</v>
      </c>
      <c r="I27" s="42">
        <v>0</v>
      </c>
      <c r="J27" s="42">
        <f t="shared" si="1"/>
        <v>0</v>
      </c>
      <c r="K27" s="38">
        <v>0</v>
      </c>
      <c r="L27" s="38">
        <f t="shared" si="2"/>
        <v>0</v>
      </c>
      <c r="M27" s="43">
        <f t="shared" si="3"/>
        <v>6.36</v>
      </c>
    </row>
    <row r="28" spans="1:13" s="146" customFormat="1" x14ac:dyDescent="0.25">
      <c r="A28" s="193"/>
      <c r="B28" s="267" t="s">
        <v>604</v>
      </c>
      <c r="C28" s="47" t="s">
        <v>605</v>
      </c>
      <c r="D28" s="167" t="s">
        <v>29</v>
      </c>
      <c r="E28" s="268">
        <f>1010/1000</f>
        <v>1.01</v>
      </c>
      <c r="F28" s="268">
        <f>F22*E28</f>
        <v>80.8</v>
      </c>
      <c r="G28" s="42">
        <v>2.12</v>
      </c>
      <c r="H28" s="42">
        <f t="shared" si="0"/>
        <v>171.29599999999999</v>
      </c>
      <c r="I28" s="42">
        <v>0</v>
      </c>
      <c r="J28" s="42">
        <f t="shared" si="1"/>
        <v>0</v>
      </c>
      <c r="K28" s="38">
        <v>0</v>
      </c>
      <c r="L28" s="38">
        <f t="shared" si="2"/>
        <v>0</v>
      </c>
      <c r="M28" s="43">
        <f t="shared" si="3"/>
        <v>171.29599999999999</v>
      </c>
    </row>
    <row r="29" spans="1:13" s="146" customFormat="1" x14ac:dyDescent="0.25">
      <c r="A29" s="193"/>
      <c r="B29" s="194"/>
      <c r="C29" s="166" t="s">
        <v>295</v>
      </c>
      <c r="D29" s="167" t="s">
        <v>19</v>
      </c>
      <c r="E29" s="275">
        <f>0.6/1000</f>
        <v>5.9999999999999995E-4</v>
      </c>
      <c r="F29" s="268">
        <f>F22*E29</f>
        <v>4.7999999999999994E-2</v>
      </c>
      <c r="G29" s="42">
        <v>3.2</v>
      </c>
      <c r="H29" s="42">
        <f t="shared" si="0"/>
        <v>0.15359999999999999</v>
      </c>
      <c r="I29" s="42">
        <v>0</v>
      </c>
      <c r="J29" s="42">
        <f t="shared" si="1"/>
        <v>0</v>
      </c>
      <c r="K29" s="38">
        <v>0</v>
      </c>
      <c r="L29" s="38">
        <f t="shared" si="2"/>
        <v>0</v>
      </c>
      <c r="M29" s="43">
        <f t="shared" si="3"/>
        <v>0.15359999999999999</v>
      </c>
    </row>
    <row r="30" spans="1:13" ht="15.75" thickBot="1" x14ac:dyDescent="0.3">
      <c r="A30" s="148"/>
      <c r="B30" s="149"/>
      <c r="C30" s="149"/>
      <c r="D30" s="150"/>
      <c r="E30" s="151"/>
      <c r="F30" s="151"/>
      <c r="G30" s="151"/>
      <c r="H30" s="151"/>
      <c r="I30" s="151"/>
      <c r="J30" s="151"/>
      <c r="K30" s="151"/>
      <c r="L30" s="151"/>
      <c r="M30" s="152"/>
    </row>
    <row r="31" spans="1:13" s="36" customFormat="1" ht="24" x14ac:dyDescent="0.2">
      <c r="A31" s="21">
        <v>4</v>
      </c>
      <c r="B31" s="131" t="s">
        <v>595</v>
      </c>
      <c r="C31" s="65" t="s">
        <v>225</v>
      </c>
      <c r="D31" s="67" t="s">
        <v>177</v>
      </c>
      <c r="E31" s="16"/>
      <c r="F31" s="95">
        <f>60*0.1*0.3/10</f>
        <v>0.18</v>
      </c>
      <c r="G31" s="133">
        <f>H31/F31</f>
        <v>231</v>
      </c>
      <c r="H31" s="133">
        <f>SUM(H33:H35)</f>
        <v>41.58</v>
      </c>
      <c r="I31" s="133">
        <f>J31/F31</f>
        <v>107.12249999999999</v>
      </c>
      <c r="J31" s="133">
        <f>SUM(J33:J35)</f>
        <v>19.282049999999998</v>
      </c>
      <c r="K31" s="133">
        <f>L31/F31</f>
        <v>0</v>
      </c>
      <c r="L31" s="133">
        <f>SUM(L33:L35)</f>
        <v>0</v>
      </c>
      <c r="M31" s="133">
        <f>SUM(M33:M35)</f>
        <v>60.862049999999996</v>
      </c>
    </row>
    <row r="32" spans="1:13" s="19" customFormat="1" ht="13.5" x14ac:dyDescent="0.25">
      <c r="A32" s="37"/>
      <c r="B32" s="134"/>
      <c r="C32" s="135" t="s">
        <v>266</v>
      </c>
      <c r="D32" s="136"/>
      <c r="E32" s="38"/>
      <c r="F32" s="39"/>
      <c r="G32" s="38"/>
      <c r="H32" s="38"/>
      <c r="I32" s="38"/>
      <c r="J32" s="38"/>
      <c r="K32" s="38"/>
      <c r="L32" s="161"/>
      <c r="M32" s="39"/>
    </row>
    <row r="33" spans="1:15" s="44" customFormat="1" ht="20.100000000000001" customHeight="1" x14ac:dyDescent="0.25">
      <c r="A33" s="140"/>
      <c r="B33" s="141"/>
      <c r="C33" s="40" t="s">
        <v>451</v>
      </c>
      <c r="D33" s="67" t="s">
        <v>283</v>
      </c>
      <c r="E33" s="164">
        <f>18*1.15*1.15</f>
        <v>23.804999999999996</v>
      </c>
      <c r="F33" s="41">
        <f>E33*F31</f>
        <v>4.2848999999999995</v>
      </c>
      <c r="G33" s="42">
        <v>0</v>
      </c>
      <c r="H33" s="42">
        <f>F33*G33</f>
        <v>0</v>
      </c>
      <c r="I33" s="42">
        <f>3.6*1.25</f>
        <v>4.5</v>
      </c>
      <c r="J33" s="42">
        <f>F33*I33</f>
        <v>19.282049999999998</v>
      </c>
      <c r="K33" s="38">
        <v>0</v>
      </c>
      <c r="L33" s="38">
        <f>F33*K33</f>
        <v>0</v>
      </c>
      <c r="M33" s="43">
        <f>H33+J33+L33</f>
        <v>19.282049999999998</v>
      </c>
    </row>
    <row r="34" spans="1:15" s="146" customFormat="1" ht="20.100000000000001" customHeight="1" x14ac:dyDescent="0.25">
      <c r="A34" s="45"/>
      <c r="B34" s="85"/>
      <c r="C34" s="142" t="s">
        <v>452</v>
      </c>
      <c r="D34" s="67" t="s">
        <v>18</v>
      </c>
      <c r="E34" s="38">
        <v>0</v>
      </c>
      <c r="F34" s="38">
        <f>F31*E34</f>
        <v>0</v>
      </c>
      <c r="G34" s="42">
        <v>0</v>
      </c>
      <c r="H34" s="42">
        <f>F34*G34</f>
        <v>0</v>
      </c>
      <c r="I34" s="42">
        <v>0</v>
      </c>
      <c r="J34" s="42">
        <f>F34*I34</f>
        <v>0</v>
      </c>
      <c r="K34" s="38">
        <v>3.2</v>
      </c>
      <c r="L34" s="38">
        <f>F34*K34</f>
        <v>0</v>
      </c>
      <c r="M34" s="43">
        <f>H34+J34+L34</f>
        <v>0</v>
      </c>
    </row>
    <row r="35" spans="1:15" s="146" customFormat="1" ht="20.100000000000001" customHeight="1" x14ac:dyDescent="0.25">
      <c r="A35" s="193"/>
      <c r="B35" s="267" t="s">
        <v>596</v>
      </c>
      <c r="C35" s="166" t="s">
        <v>597</v>
      </c>
      <c r="D35" s="167" t="s">
        <v>32</v>
      </c>
      <c r="E35" s="268">
        <v>11</v>
      </c>
      <c r="F35" s="268">
        <f>F31*E35</f>
        <v>1.98</v>
      </c>
      <c r="G35" s="42">
        <v>21</v>
      </c>
      <c r="H35" s="42">
        <f>F35*G35</f>
        <v>41.58</v>
      </c>
      <c r="I35" s="42">
        <v>0</v>
      </c>
      <c r="J35" s="42">
        <f>F35*I35</f>
        <v>0</v>
      </c>
      <c r="K35" s="38">
        <v>0</v>
      </c>
      <c r="L35" s="38">
        <f>F35*K35</f>
        <v>0</v>
      </c>
      <c r="M35" s="43">
        <f>H35+J35+L35</f>
        <v>41.58</v>
      </c>
    </row>
    <row r="36" spans="1:15" ht="20.100000000000001" customHeight="1" thickBot="1" x14ac:dyDescent="0.3">
      <c r="A36" s="148"/>
      <c r="B36" s="149"/>
      <c r="C36" s="149"/>
      <c r="D36" s="150"/>
      <c r="E36" s="151"/>
      <c r="F36" s="151"/>
      <c r="G36" s="151"/>
      <c r="H36" s="151"/>
      <c r="I36" s="151"/>
      <c r="J36" s="151"/>
      <c r="K36" s="151"/>
      <c r="L36" s="151"/>
      <c r="M36" s="152"/>
    </row>
    <row r="37" spans="1:15" s="36" customFormat="1" ht="25.5" customHeight="1" x14ac:dyDescent="0.2">
      <c r="A37" s="21">
        <v>5</v>
      </c>
      <c r="B37" s="131" t="s">
        <v>606</v>
      </c>
      <c r="C37" s="65" t="s">
        <v>226</v>
      </c>
      <c r="D37" s="67" t="s">
        <v>173</v>
      </c>
      <c r="E37" s="16"/>
      <c r="F37" s="30">
        <f>(9-1.8*2)/100</f>
        <v>5.4000000000000006E-2</v>
      </c>
      <c r="G37" s="133">
        <f>H37/F37</f>
        <v>0</v>
      </c>
      <c r="H37" s="133">
        <f>SUM(H39)</f>
        <v>0</v>
      </c>
      <c r="I37" s="133">
        <f>J37/F37</f>
        <v>590.95912499999997</v>
      </c>
      <c r="J37" s="133">
        <f>SUM(J39)</f>
        <v>31.91179275</v>
      </c>
      <c r="K37" s="133">
        <f>L37/F37</f>
        <v>0</v>
      </c>
      <c r="L37" s="133">
        <f>SUM(L39)</f>
        <v>0</v>
      </c>
      <c r="M37" s="133">
        <f>SUM(M39)</f>
        <v>31.91179275</v>
      </c>
    </row>
    <row r="38" spans="1:15" s="19" customFormat="1" ht="20.100000000000001" customHeight="1" x14ac:dyDescent="0.25">
      <c r="A38" s="37"/>
      <c r="B38" s="134"/>
      <c r="C38" s="135" t="s">
        <v>266</v>
      </c>
      <c r="D38" s="136"/>
      <c r="E38" s="38"/>
      <c r="F38" s="39"/>
      <c r="G38" s="38"/>
      <c r="H38" s="38"/>
      <c r="I38" s="38"/>
      <c r="J38" s="38"/>
      <c r="K38" s="38"/>
      <c r="L38" s="161"/>
      <c r="M38" s="39"/>
    </row>
    <row r="39" spans="1:15" s="44" customFormat="1" ht="20.100000000000001" customHeight="1" x14ac:dyDescent="0.25">
      <c r="A39" s="140"/>
      <c r="B39" s="141"/>
      <c r="C39" s="40" t="s">
        <v>451</v>
      </c>
      <c r="D39" s="67" t="s">
        <v>283</v>
      </c>
      <c r="E39" s="164">
        <f>99.3*1.15*1.15</f>
        <v>131.32424999999998</v>
      </c>
      <c r="F39" s="41">
        <f>E39*F37</f>
        <v>7.0915094999999999</v>
      </c>
      <c r="G39" s="42">
        <v>0</v>
      </c>
      <c r="H39" s="42">
        <f>F39*G39</f>
        <v>0</v>
      </c>
      <c r="I39" s="42">
        <f>3.6*1.25</f>
        <v>4.5</v>
      </c>
      <c r="J39" s="42">
        <f>F39*I39</f>
        <v>31.91179275</v>
      </c>
      <c r="K39" s="38">
        <v>0</v>
      </c>
      <c r="L39" s="38">
        <f>F39*K39</f>
        <v>0</v>
      </c>
      <c r="M39" s="43">
        <f>H39+J39+L39</f>
        <v>31.91179275</v>
      </c>
    </row>
    <row r="40" spans="1:15" ht="20.100000000000001" customHeight="1" thickBot="1" x14ac:dyDescent="0.3">
      <c r="A40" s="148"/>
      <c r="B40" s="149"/>
      <c r="C40" s="149"/>
      <c r="D40" s="150"/>
      <c r="E40" s="151"/>
      <c r="F40" s="151"/>
      <c r="G40" s="151"/>
      <c r="H40" s="151"/>
      <c r="I40" s="151"/>
      <c r="J40" s="151"/>
      <c r="K40" s="151"/>
      <c r="L40" s="151"/>
      <c r="M40" s="152"/>
    </row>
    <row r="41" spans="1:15" s="36" customFormat="1" ht="25.5" customHeight="1" x14ac:dyDescent="0.2">
      <c r="A41" s="21">
        <v>6</v>
      </c>
      <c r="B41" s="141" t="s">
        <v>277</v>
      </c>
      <c r="C41" s="65" t="s">
        <v>175</v>
      </c>
      <c r="D41" s="67" t="s">
        <v>176</v>
      </c>
      <c r="E41" s="16"/>
      <c r="F41" s="31">
        <v>1</v>
      </c>
      <c r="G41" s="133">
        <f>H41/F41</f>
        <v>9.3000000000000007</v>
      </c>
      <c r="H41" s="133">
        <f>SUM(H43:H44)</f>
        <v>9.3000000000000007</v>
      </c>
      <c r="I41" s="133">
        <f>J41/F41</f>
        <v>50</v>
      </c>
      <c r="J41" s="133">
        <f>SUM(J43:J44)</f>
        <v>50</v>
      </c>
      <c r="K41" s="133">
        <f>L41/F41</f>
        <v>3.2</v>
      </c>
      <c r="L41" s="133">
        <f>SUM(L43:L44)</f>
        <v>3.2</v>
      </c>
      <c r="M41" s="133">
        <f>SUM(M43:M44)</f>
        <v>62.5</v>
      </c>
    </row>
    <row r="42" spans="1:15" s="19" customFormat="1" ht="20.100000000000001" customHeight="1" x14ac:dyDescent="0.25">
      <c r="A42" s="37"/>
      <c r="B42" s="134"/>
      <c r="C42" s="135" t="s">
        <v>266</v>
      </c>
      <c r="D42" s="136"/>
      <c r="E42" s="38"/>
      <c r="F42" s="39"/>
      <c r="G42" s="38"/>
      <c r="H42" s="38"/>
      <c r="I42" s="38"/>
      <c r="J42" s="38"/>
      <c r="K42" s="38"/>
      <c r="L42" s="161"/>
      <c r="M42" s="39"/>
    </row>
    <row r="43" spans="1:15" s="44" customFormat="1" ht="20.100000000000001" customHeight="1" x14ac:dyDescent="0.25">
      <c r="A43" s="140"/>
      <c r="B43" s="141" t="s">
        <v>277</v>
      </c>
      <c r="C43" s="40" t="s">
        <v>457</v>
      </c>
      <c r="D43" s="67" t="s">
        <v>607</v>
      </c>
      <c r="E43" s="164">
        <v>1</v>
      </c>
      <c r="F43" s="41">
        <f>E43*F41</f>
        <v>1</v>
      </c>
      <c r="G43" s="42">
        <v>0</v>
      </c>
      <c r="H43" s="42">
        <f>F43*G43</f>
        <v>0</v>
      </c>
      <c r="I43" s="42">
        <f>40*1.25</f>
        <v>50</v>
      </c>
      <c r="J43" s="42">
        <f>F43*I43</f>
        <v>50</v>
      </c>
      <c r="K43" s="38">
        <v>0</v>
      </c>
      <c r="L43" s="38">
        <f>F43*K43</f>
        <v>0</v>
      </c>
      <c r="M43" s="43">
        <f>H43+J43+L43</f>
        <v>50</v>
      </c>
    </row>
    <row r="44" spans="1:15" s="146" customFormat="1" ht="20.100000000000001" customHeight="1" x14ac:dyDescent="0.25">
      <c r="A44" s="45"/>
      <c r="B44" s="267" t="s">
        <v>608</v>
      </c>
      <c r="C44" s="142" t="s">
        <v>609</v>
      </c>
      <c r="D44" s="67" t="s">
        <v>19</v>
      </c>
      <c r="E44" s="38">
        <v>1</v>
      </c>
      <c r="F44" s="38">
        <f>F41*E44</f>
        <v>1</v>
      </c>
      <c r="G44" s="42">
        <v>9.3000000000000007</v>
      </c>
      <c r="H44" s="42">
        <f>F44*G44</f>
        <v>9.3000000000000007</v>
      </c>
      <c r="I44" s="42">
        <v>0</v>
      </c>
      <c r="J44" s="42">
        <f>F44*I44</f>
        <v>0</v>
      </c>
      <c r="K44" s="38">
        <v>3.2</v>
      </c>
      <c r="L44" s="38">
        <f>F44*K44</f>
        <v>3.2</v>
      </c>
      <c r="M44" s="43">
        <f>H44+J44+L44</f>
        <v>12.5</v>
      </c>
    </row>
    <row r="45" spans="1:15" ht="20.100000000000001" customHeight="1" thickBot="1" x14ac:dyDescent="0.3">
      <c r="A45" s="148"/>
      <c r="B45" s="149"/>
      <c r="C45" s="149"/>
      <c r="D45" s="150"/>
      <c r="E45" s="151"/>
      <c r="F45" s="151"/>
      <c r="G45" s="151"/>
      <c r="H45" s="151"/>
      <c r="I45" s="151"/>
      <c r="J45" s="151"/>
      <c r="K45" s="151"/>
      <c r="L45" s="151"/>
      <c r="M45" s="152"/>
    </row>
    <row r="46" spans="1:15" s="34" customFormat="1" ht="20.100000000000001" customHeight="1" x14ac:dyDescent="0.25">
      <c r="A46" s="48"/>
      <c r="B46" s="156"/>
      <c r="C46" s="70" t="s">
        <v>22</v>
      </c>
      <c r="D46" s="49" t="s">
        <v>92</v>
      </c>
      <c r="E46" s="50"/>
      <c r="F46" s="50"/>
      <c r="G46" s="51"/>
      <c r="H46" s="53">
        <f>H41+H37+H31+H22+H16+H12</f>
        <v>497.14159999999998</v>
      </c>
      <c r="I46" s="52"/>
      <c r="J46" s="53">
        <f>J41+J37+J31+J22+J16+J12</f>
        <v>281.54316774999995</v>
      </c>
      <c r="K46" s="52"/>
      <c r="L46" s="53">
        <f>L41+L37+L31+L22+L16+L12</f>
        <v>18.502911999999998</v>
      </c>
      <c r="M46" s="53">
        <f>M41+M37+M31+M22+M16+M12</f>
        <v>797.18767974999992</v>
      </c>
      <c r="O46" s="82">
        <f>L46+J46+H46</f>
        <v>797.18767974999992</v>
      </c>
    </row>
    <row r="47" spans="1:15" s="84" customFormat="1" ht="24.75" customHeight="1" x14ac:dyDescent="0.25">
      <c r="A47" s="109"/>
      <c r="B47" s="25">
        <v>0.05</v>
      </c>
      <c r="C47" s="72" t="s">
        <v>74</v>
      </c>
      <c r="D47" s="8" t="s">
        <v>0</v>
      </c>
      <c r="E47" s="230"/>
      <c r="F47" s="4"/>
      <c r="G47" s="4"/>
      <c r="H47" s="4"/>
      <c r="I47" s="4"/>
      <c r="J47" s="4"/>
      <c r="K47" s="4"/>
      <c r="L47" s="4"/>
      <c r="M47" s="246">
        <f>H46*B47</f>
        <v>24.85708</v>
      </c>
    </row>
    <row r="48" spans="1:15" s="84" customFormat="1" ht="20.100000000000001" customHeight="1" x14ac:dyDescent="0.25">
      <c r="A48" s="120"/>
      <c r="B48" s="55"/>
      <c r="C48" s="70" t="s">
        <v>22</v>
      </c>
      <c r="D48" s="56" t="s">
        <v>0</v>
      </c>
      <c r="E48" s="57"/>
      <c r="F48" s="58"/>
      <c r="G48" s="59"/>
      <c r="H48" s="59"/>
      <c r="I48" s="59"/>
      <c r="J48" s="59"/>
      <c r="K48" s="59"/>
      <c r="L48" s="59"/>
      <c r="M48" s="247">
        <f>SUM(M46:M47)</f>
        <v>822.04475974999991</v>
      </c>
    </row>
    <row r="49" spans="1:13" s="84" customFormat="1" x14ac:dyDescent="0.25">
      <c r="A49" s="109"/>
      <c r="B49" s="25">
        <v>0.1</v>
      </c>
      <c r="C49" s="72" t="s">
        <v>164</v>
      </c>
      <c r="D49" s="8" t="s">
        <v>0</v>
      </c>
      <c r="E49" s="230"/>
      <c r="F49" s="4"/>
      <c r="G49" s="4"/>
      <c r="H49" s="4"/>
      <c r="I49" s="4"/>
      <c r="J49" s="4"/>
      <c r="K49" s="4"/>
      <c r="L49" s="4"/>
      <c r="M49" s="246">
        <f>M48*B49</f>
        <v>82.204475974999994</v>
      </c>
    </row>
    <row r="50" spans="1:13" s="84" customFormat="1" x14ac:dyDescent="0.25">
      <c r="A50" s="120"/>
      <c r="B50" s="55"/>
      <c r="C50" s="70" t="s">
        <v>22</v>
      </c>
      <c r="D50" s="56" t="s">
        <v>0</v>
      </c>
      <c r="E50" s="57"/>
      <c r="F50" s="58"/>
      <c r="G50" s="59"/>
      <c r="H50" s="59"/>
      <c r="I50" s="59"/>
      <c r="J50" s="59"/>
      <c r="K50" s="59"/>
      <c r="L50" s="59"/>
      <c r="M50" s="247">
        <f>SUM(M48:M49)</f>
        <v>904.24923572499995</v>
      </c>
    </row>
    <row r="51" spans="1:13" s="84" customFormat="1" x14ac:dyDescent="0.25">
      <c r="A51" s="109"/>
      <c r="B51" s="25">
        <v>0.08</v>
      </c>
      <c r="C51" s="72" t="s">
        <v>25</v>
      </c>
      <c r="D51" s="8" t="s">
        <v>0</v>
      </c>
      <c r="E51" s="230"/>
      <c r="F51" s="4"/>
      <c r="G51" s="4"/>
      <c r="H51" s="4"/>
      <c r="I51" s="4"/>
      <c r="J51" s="4"/>
      <c r="K51" s="4"/>
      <c r="L51" s="4"/>
      <c r="M51" s="246">
        <f>M48*B51</f>
        <v>65.763580779999998</v>
      </c>
    </row>
    <row r="52" spans="1:13" s="84" customFormat="1" x14ac:dyDescent="0.25">
      <c r="A52" s="120"/>
      <c r="B52" s="55"/>
      <c r="C52" s="56" t="s">
        <v>24</v>
      </c>
      <c r="D52" s="56" t="s">
        <v>0</v>
      </c>
      <c r="E52" s="57"/>
      <c r="F52" s="58"/>
      <c r="G52" s="59"/>
      <c r="H52" s="59"/>
      <c r="I52" s="59"/>
      <c r="J52" s="59"/>
      <c r="K52" s="59"/>
      <c r="L52" s="59"/>
      <c r="M52" s="247">
        <f>SUM(M50:M51)</f>
        <v>970.01281650499993</v>
      </c>
    </row>
    <row r="53" spans="1:13" s="84" customFormat="1" x14ac:dyDescent="0.25">
      <c r="B53" s="22"/>
      <c r="G53" s="112"/>
      <c r="H53" s="112"/>
      <c r="I53" s="112"/>
      <c r="J53" s="112"/>
      <c r="K53" s="112"/>
      <c r="L53" s="112"/>
      <c r="M53" s="113"/>
    </row>
    <row r="54" spans="1:13" s="84" customFormat="1" x14ac:dyDescent="0.25">
      <c r="B54" s="22"/>
      <c r="C54" s="240" t="s">
        <v>448</v>
      </c>
      <c r="G54" s="112"/>
      <c r="H54" s="112"/>
      <c r="I54" s="112"/>
      <c r="J54" s="112"/>
      <c r="K54" s="112"/>
      <c r="L54" s="112"/>
      <c r="M54" s="113"/>
    </row>
    <row r="55" spans="1:13" s="84" customFormat="1" x14ac:dyDescent="0.25">
      <c r="B55" s="23"/>
      <c r="C55" s="116" t="s">
        <v>449</v>
      </c>
      <c r="G55" s="112"/>
      <c r="H55" s="112"/>
      <c r="I55" s="112"/>
      <c r="J55" s="112"/>
      <c r="K55" s="112"/>
      <c r="L55" s="112"/>
      <c r="M55" s="113"/>
    </row>
    <row r="56" spans="1:13" s="84" customFormat="1" x14ac:dyDescent="0.25">
      <c r="B56" s="23"/>
      <c r="C56" s="22"/>
      <c r="G56" s="112"/>
      <c r="H56" s="112"/>
      <c r="I56" s="112"/>
      <c r="J56" s="112"/>
      <c r="K56" s="112"/>
      <c r="L56" s="112"/>
      <c r="M56" s="113"/>
    </row>
    <row r="57" spans="1:13" x14ac:dyDescent="0.25">
      <c r="C57" s="23"/>
      <c r="M57" s="115"/>
    </row>
    <row r="58" spans="1:13" x14ac:dyDescent="0.25">
      <c r="C58" s="24"/>
      <c r="M58" s="115"/>
    </row>
    <row r="59" spans="1:13" x14ac:dyDescent="0.25">
      <c r="C59" s="23"/>
      <c r="M59" s="115"/>
    </row>
    <row r="60" spans="1:13" x14ac:dyDescent="0.25">
      <c r="C60" s="23"/>
      <c r="M60" s="115"/>
    </row>
    <row r="61" spans="1:13" x14ac:dyDescent="0.25">
      <c r="C61" s="23"/>
      <c r="M61" s="115"/>
    </row>
    <row r="62" spans="1:13" x14ac:dyDescent="0.25">
      <c r="C62" s="23"/>
    </row>
    <row r="63" spans="1:13" x14ac:dyDescent="0.25">
      <c r="C63" s="23"/>
    </row>
    <row r="64" spans="1:13" x14ac:dyDescent="0.25">
      <c r="C64" s="23"/>
    </row>
    <row r="65" spans="3:3" x14ac:dyDescent="0.25">
      <c r="C65" s="23"/>
    </row>
  </sheetData>
  <mergeCells count="19">
    <mergeCell ref="I9:J9"/>
    <mergeCell ref="K9:L9"/>
    <mergeCell ref="M9:M10"/>
    <mergeCell ref="A7:H7"/>
    <mergeCell ref="J7:M7"/>
    <mergeCell ref="A8:A10"/>
    <mergeCell ref="B8:B10"/>
    <mergeCell ref="C8:C10"/>
    <mergeCell ref="D8:D10"/>
    <mergeCell ref="E8:E10"/>
    <mergeCell ref="F8:F10"/>
    <mergeCell ref="G8:M8"/>
    <mergeCell ref="G9:H9"/>
    <mergeCell ref="A1:M1"/>
    <mergeCell ref="A3:M3"/>
    <mergeCell ref="A4:M4"/>
    <mergeCell ref="A5:M5"/>
    <mergeCell ref="A6:G6"/>
    <mergeCell ref="K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SM#2.</vt:lpstr>
      <vt:lpstr>S_1</vt:lpstr>
      <vt:lpstr>S_2</vt:lpstr>
      <vt:lpstr>S_3</vt:lpstr>
      <vt:lpstr>S_4</vt:lpstr>
      <vt:lpstr>S_5</vt:lpstr>
      <vt:lpstr>S_6</vt:lpstr>
      <vt:lpstr>S_1!Print_Area</vt:lpstr>
      <vt:lpstr>S_4!Print_Area</vt:lpstr>
      <vt:lpstr>'SM#2.'!Print_Area</vt:lpstr>
      <vt:lpstr>S_4!Print_Titles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compus</dc:creator>
  <cp:lastModifiedBy>Ekaterine Okromelidze</cp:lastModifiedBy>
  <cp:lastPrinted>2017-03-16T13:52:44Z</cp:lastPrinted>
  <dcterms:created xsi:type="dcterms:W3CDTF">2003-02-20T08:53:39Z</dcterms:created>
  <dcterms:modified xsi:type="dcterms:W3CDTF">2019-06-12T10:00:40Z</dcterms:modified>
</cp:coreProperties>
</file>