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/>
  </bookViews>
  <sheets>
    <sheet name="სანაკრებო" sheetId="4" r:id="rId1"/>
    <sheet name="სამშენებლო" sheetId="1" r:id="rId2"/>
    <sheet name="ელექტრობა" sheetId="6" r:id="rId3"/>
  </sheets>
  <definedNames>
    <definedName name="_xlnm.Print_Area" localSheetId="2">ელექტრობა!$A$1:$M$55</definedName>
    <definedName name="_xlnm.Print_Area" localSheetId="1">სამშენებლო!$A$1:$M$160</definedName>
    <definedName name="_xlnm.Print_Area" localSheetId="0">სანაკრებო!$A$1:$H$16</definedName>
    <definedName name="_xlnm.Print_Titles" localSheetId="0">სანაკრებო!$6:$6</definedName>
  </definedNames>
  <calcPr calcId="152511"/>
</workbook>
</file>

<file path=xl/calcChain.xml><?xml version="1.0" encoding="utf-8"?>
<calcChain xmlns="http://schemas.openxmlformats.org/spreadsheetml/2006/main">
  <c r="H138" i="1" l="1"/>
  <c r="H118" i="1"/>
  <c r="H154" i="1"/>
  <c r="E46" i="6"/>
  <c r="E45" i="6"/>
  <c r="E40" i="6"/>
  <c r="E39" i="6"/>
  <c r="E35" i="6"/>
  <c r="E34" i="6"/>
  <c r="E29" i="6"/>
  <c r="E28" i="6"/>
  <c r="E24" i="6"/>
  <c r="E23" i="6"/>
  <c r="E19" i="6"/>
  <c r="E18" i="6"/>
  <c r="E11" i="6"/>
  <c r="E10" i="6"/>
  <c r="F148" i="1" l="1"/>
  <c r="E152" i="1"/>
  <c r="F152" i="1" s="1"/>
  <c r="J152" i="1" s="1"/>
  <c r="M152" i="1" s="1"/>
  <c r="E150" i="1"/>
  <c r="E149" i="1"/>
  <c r="F137" i="1"/>
  <c r="F141" i="1" s="1"/>
  <c r="J141" i="1" s="1"/>
  <c r="M141" i="1" s="1"/>
  <c r="J142" i="1"/>
  <c r="M142" i="1" s="1"/>
  <c r="F140" i="1"/>
  <c r="J140" i="1" s="1"/>
  <c r="M140" i="1" s="1"/>
  <c r="E139" i="1"/>
  <c r="M138" i="1"/>
  <c r="E138" i="1"/>
  <c r="F138" i="1" s="1"/>
  <c r="F136" i="1"/>
  <c r="J136" i="1" s="1"/>
  <c r="M136" i="1" s="1"/>
  <c r="E135" i="1"/>
  <c r="F135" i="1" s="1"/>
  <c r="H135" i="1" s="1"/>
  <c r="M135" i="1" s="1"/>
  <c r="F133" i="1"/>
  <c r="J133" i="1" s="1"/>
  <c r="M133" i="1" s="1"/>
  <c r="F132" i="1"/>
  <c r="J132" i="1" s="1"/>
  <c r="M132" i="1" s="1"/>
  <c r="E131" i="1"/>
  <c r="F131" i="1" s="1"/>
  <c r="L131" i="1" s="1"/>
  <c r="M131" i="1" s="1"/>
  <c r="H130" i="1"/>
  <c r="M130" i="1" s="1"/>
  <c r="E130" i="1"/>
  <c r="F128" i="1"/>
  <c r="J128" i="1" s="1"/>
  <c r="M128" i="1" s="1"/>
  <c r="F127" i="1"/>
  <c r="J127" i="1" s="1"/>
  <c r="M127" i="1" s="1"/>
  <c r="F126" i="1"/>
  <c r="J126" i="1" s="1"/>
  <c r="M126" i="1" s="1"/>
  <c r="E125" i="1"/>
  <c r="F125" i="1" s="1"/>
  <c r="L125" i="1" s="1"/>
  <c r="M125" i="1" s="1"/>
  <c r="E124" i="1"/>
  <c r="F124" i="1" s="1"/>
  <c r="H124" i="1" s="1"/>
  <c r="M124" i="1" s="1"/>
  <c r="J122" i="1"/>
  <c r="M122" i="1" s="1"/>
  <c r="J121" i="1"/>
  <c r="M121" i="1" s="1"/>
  <c r="J120" i="1"/>
  <c r="M120" i="1" s="1"/>
  <c r="E119" i="1"/>
  <c r="F119" i="1" s="1"/>
  <c r="L119" i="1" s="1"/>
  <c r="M119" i="1" s="1"/>
  <c r="M118" i="1"/>
  <c r="E118" i="1"/>
  <c r="F116" i="1"/>
  <c r="J116" i="1" s="1"/>
  <c r="M116" i="1" s="1"/>
  <c r="E115" i="1"/>
  <c r="F115" i="1" s="1"/>
  <c r="L115" i="1" s="1"/>
  <c r="M115" i="1" s="1"/>
  <c r="E114" i="1"/>
  <c r="F114" i="1" s="1"/>
  <c r="H114" i="1" s="1"/>
  <c r="M114" i="1" s="1"/>
  <c r="F112" i="1"/>
  <c r="J112" i="1" s="1"/>
  <c r="M112" i="1" s="1"/>
  <c r="F111" i="1"/>
  <c r="J111" i="1" s="1"/>
  <c r="M111" i="1" s="1"/>
  <c r="E110" i="1"/>
  <c r="F110" i="1" s="1"/>
  <c r="L110" i="1" s="1"/>
  <c r="M110" i="1" s="1"/>
  <c r="E109" i="1"/>
  <c r="F109" i="1" s="1"/>
  <c r="H109" i="1" s="1"/>
  <c r="M109" i="1" s="1"/>
  <c r="F107" i="1"/>
  <c r="J107" i="1" s="1"/>
  <c r="M107" i="1" s="1"/>
  <c r="E106" i="1"/>
  <c r="F106" i="1" s="1"/>
  <c r="J106" i="1" s="1"/>
  <c r="M106" i="1" s="1"/>
  <c r="E105" i="1"/>
  <c r="F105" i="1" s="1"/>
  <c r="L105" i="1" s="1"/>
  <c r="M105" i="1" s="1"/>
  <c r="F104" i="1"/>
  <c r="H104" i="1" s="1"/>
  <c r="M104" i="1" s="1"/>
  <c r="F102" i="1"/>
  <c r="J102" i="1" s="1"/>
  <c r="M102" i="1" s="1"/>
  <c r="F101" i="1"/>
  <c r="J101" i="1" s="1"/>
  <c r="M101" i="1" s="1"/>
  <c r="E100" i="1"/>
  <c r="F100" i="1" s="1"/>
  <c r="L100" i="1" s="1"/>
  <c r="M100" i="1" s="1"/>
  <c r="E99" i="1"/>
  <c r="F99" i="1" s="1"/>
  <c r="H99" i="1" s="1"/>
  <c r="M99" i="1" s="1"/>
  <c r="F97" i="1"/>
  <c r="J97" i="1" s="1"/>
  <c r="M97" i="1" s="1"/>
  <c r="F96" i="1"/>
  <c r="J96" i="1" s="1"/>
  <c r="M96" i="1" s="1"/>
  <c r="E95" i="1"/>
  <c r="F95" i="1" s="1"/>
  <c r="L95" i="1" s="1"/>
  <c r="M95" i="1" s="1"/>
  <c r="E94" i="1"/>
  <c r="F94" i="1" s="1"/>
  <c r="H94" i="1" s="1"/>
  <c r="M94" i="1" s="1"/>
  <c r="F92" i="1"/>
  <c r="J92" i="1" s="1"/>
  <c r="M92" i="1" s="1"/>
  <c r="F91" i="1"/>
  <c r="J91" i="1" s="1"/>
  <c r="M91" i="1" s="1"/>
  <c r="E90" i="1"/>
  <c r="F90" i="1" s="1"/>
  <c r="L90" i="1" s="1"/>
  <c r="M90" i="1" s="1"/>
  <c r="E89" i="1"/>
  <c r="F89" i="1" s="1"/>
  <c r="H89" i="1" s="1"/>
  <c r="M89" i="1" s="1"/>
  <c r="F87" i="1"/>
  <c r="J87" i="1" s="1"/>
  <c r="M87" i="1" s="1"/>
  <c r="F86" i="1"/>
  <c r="J86" i="1" s="1"/>
  <c r="M86" i="1" s="1"/>
  <c r="F85" i="1"/>
  <c r="J85" i="1" s="1"/>
  <c r="M85" i="1" s="1"/>
  <c r="E84" i="1"/>
  <c r="F84" i="1" s="1"/>
  <c r="L84" i="1" s="1"/>
  <c r="M84" i="1" s="1"/>
  <c r="E83" i="1"/>
  <c r="F83" i="1" s="1"/>
  <c r="H83" i="1" s="1"/>
  <c r="M83" i="1" s="1"/>
  <c r="F81" i="1"/>
  <c r="J81" i="1" s="1"/>
  <c r="M81" i="1" s="1"/>
  <c r="E80" i="1"/>
  <c r="F80" i="1" s="1"/>
  <c r="L80" i="1" s="1"/>
  <c r="M80" i="1" s="1"/>
  <c r="E79" i="1"/>
  <c r="F79" i="1" s="1"/>
  <c r="H79" i="1" s="1"/>
  <c r="M79" i="1" s="1"/>
  <c r="F77" i="1"/>
  <c r="J77" i="1" s="1"/>
  <c r="M77" i="1" s="1"/>
  <c r="F76" i="1"/>
  <c r="J76" i="1" s="1"/>
  <c r="M76" i="1" s="1"/>
  <c r="F75" i="1"/>
  <c r="J75" i="1" s="1"/>
  <c r="M75" i="1" s="1"/>
  <c r="F74" i="1"/>
  <c r="J74" i="1" s="1"/>
  <c r="M74" i="1" s="1"/>
  <c r="E73" i="1"/>
  <c r="F73" i="1" s="1"/>
  <c r="L73" i="1" s="1"/>
  <c r="M73" i="1" s="1"/>
  <c r="E72" i="1"/>
  <c r="F72" i="1" s="1"/>
  <c r="H72" i="1" s="1"/>
  <c r="M72" i="1" s="1"/>
  <c r="F70" i="1"/>
  <c r="J70" i="1" s="1"/>
  <c r="M70" i="1" s="1"/>
  <c r="J69" i="1"/>
  <c r="M69" i="1" s="1"/>
  <c r="E68" i="1"/>
  <c r="F68" i="1" s="1"/>
  <c r="L68" i="1" s="1"/>
  <c r="M68" i="1" s="1"/>
  <c r="E67" i="1"/>
  <c r="F67" i="1" s="1"/>
  <c r="H67" i="1" s="1"/>
  <c r="M67" i="1" s="1"/>
  <c r="J48" i="1"/>
  <c r="M48" i="1" s="1"/>
  <c r="J47" i="1"/>
  <c r="M47" i="1" s="1"/>
  <c r="J46" i="1"/>
  <c r="M46" i="1" s="1"/>
  <c r="E45" i="1"/>
  <c r="E44" i="1"/>
  <c r="N43" i="1"/>
  <c r="F43" i="1"/>
  <c r="F65" i="1"/>
  <c r="J65" i="1" s="1"/>
  <c r="M65" i="1" s="1"/>
  <c r="F64" i="1"/>
  <c r="J64" i="1" s="1"/>
  <c r="M64" i="1" s="1"/>
  <c r="F62" i="1"/>
  <c r="J62" i="1" s="1"/>
  <c r="M62" i="1" s="1"/>
  <c r="F61" i="1"/>
  <c r="J61" i="1" s="1"/>
  <c r="M61" i="1" s="1"/>
  <c r="E60" i="1"/>
  <c r="F60" i="1" s="1"/>
  <c r="L60" i="1" s="1"/>
  <c r="M60" i="1" s="1"/>
  <c r="F59" i="1"/>
  <c r="F63" i="1" s="1"/>
  <c r="J63" i="1" s="1"/>
  <c r="M63" i="1" s="1"/>
  <c r="F50" i="1"/>
  <c r="E52" i="1"/>
  <c r="E51" i="1"/>
  <c r="F36" i="1"/>
  <c r="F41" i="1" s="1"/>
  <c r="J41" i="1" s="1"/>
  <c r="M41" i="1" s="1"/>
  <c r="E38" i="1"/>
  <c r="E37" i="1"/>
  <c r="J33" i="1"/>
  <c r="M33" i="1" s="1"/>
  <c r="J32" i="1"/>
  <c r="M32" i="1" s="1"/>
  <c r="E31" i="1"/>
  <c r="F30" i="1"/>
  <c r="F34" i="1" s="1"/>
  <c r="J34" i="1" s="1"/>
  <c r="M34" i="1" s="1"/>
  <c r="F29" i="1"/>
  <c r="J29" i="1" s="1"/>
  <c r="M29" i="1" s="1"/>
  <c r="F28" i="1"/>
  <c r="J28" i="1" s="1"/>
  <c r="M28" i="1" s="1"/>
  <c r="F27" i="1"/>
  <c r="J27" i="1" s="1"/>
  <c r="M27" i="1" s="1"/>
  <c r="F26" i="1"/>
  <c r="J26" i="1" s="1"/>
  <c r="M26" i="1" s="1"/>
  <c r="E25" i="1"/>
  <c r="F25" i="1" s="1"/>
  <c r="L25" i="1" s="1"/>
  <c r="M25" i="1" s="1"/>
  <c r="E24" i="1"/>
  <c r="F24" i="1" s="1"/>
  <c r="H24" i="1" s="1"/>
  <c r="M24" i="1" s="1"/>
  <c r="F22" i="1"/>
  <c r="J22" i="1" s="1"/>
  <c r="M22" i="1" s="1"/>
  <c r="F21" i="1"/>
  <c r="J21" i="1" s="1"/>
  <c r="M21" i="1" s="1"/>
  <c r="E20" i="1"/>
  <c r="F20" i="1" s="1"/>
  <c r="L20" i="1" s="1"/>
  <c r="M20" i="1" s="1"/>
  <c r="E19" i="1"/>
  <c r="F19" i="1" s="1"/>
  <c r="H19" i="1" s="1"/>
  <c r="M19" i="1" s="1"/>
  <c r="E15" i="1"/>
  <c r="F14" i="1"/>
  <c r="F16" i="1" s="1"/>
  <c r="F17" i="1" s="1"/>
  <c r="L17" i="1" s="1"/>
  <c r="M17" i="1" s="1"/>
  <c r="E13" i="1"/>
  <c r="F13" i="1" s="1"/>
  <c r="H13" i="1" s="1"/>
  <c r="M13" i="1" s="1"/>
  <c r="E11" i="1"/>
  <c r="F11" i="1" s="1"/>
  <c r="H11" i="1" s="1"/>
  <c r="M11" i="1" s="1"/>
  <c r="F139" i="1" l="1"/>
  <c r="L139" i="1" s="1"/>
  <c r="M139" i="1" s="1"/>
  <c r="F143" i="1"/>
  <c r="J143" i="1" s="1"/>
  <c r="M143" i="1" s="1"/>
  <c r="F144" i="1"/>
  <c r="F146" i="1" s="1"/>
  <c r="J146" i="1" s="1"/>
  <c r="M146" i="1" s="1"/>
  <c r="F151" i="1"/>
  <c r="J151" i="1" s="1"/>
  <c r="M151" i="1" s="1"/>
  <c r="F150" i="1"/>
  <c r="L150" i="1" s="1"/>
  <c r="M150" i="1" s="1"/>
  <c r="F153" i="1"/>
  <c r="J153" i="1" s="1"/>
  <c r="M153" i="1" s="1"/>
  <c r="F149" i="1"/>
  <c r="H149" i="1" s="1"/>
  <c r="M149" i="1" s="1"/>
  <c r="F147" i="1"/>
  <c r="J147" i="1" s="1"/>
  <c r="M147" i="1" s="1"/>
  <c r="F45" i="1"/>
  <c r="L45" i="1" s="1"/>
  <c r="M45" i="1" s="1"/>
  <c r="H59" i="1"/>
  <c r="M59" i="1" s="1"/>
  <c r="F38" i="1"/>
  <c r="L38" i="1" s="1"/>
  <c r="M38" i="1" s="1"/>
  <c r="O36" i="1"/>
  <c r="F42" i="1"/>
  <c r="J42" i="1" s="1"/>
  <c r="M42" i="1" s="1"/>
  <c r="F49" i="1"/>
  <c r="J49" i="1" s="1"/>
  <c r="M49" i="1" s="1"/>
  <c r="F44" i="1"/>
  <c r="H44" i="1" s="1"/>
  <c r="M44" i="1" s="1"/>
  <c r="F57" i="1"/>
  <c r="J57" i="1" s="1"/>
  <c r="M57" i="1" s="1"/>
  <c r="F51" i="1"/>
  <c r="H51" i="1" s="1"/>
  <c r="M51" i="1" s="1"/>
  <c r="F56" i="1"/>
  <c r="J56" i="1" s="1"/>
  <c r="M56" i="1" s="1"/>
  <c r="F53" i="1"/>
  <c r="J53" i="1" s="1"/>
  <c r="M53" i="1" s="1"/>
  <c r="F55" i="1"/>
  <c r="J55" i="1" s="1"/>
  <c r="M55" i="1" s="1"/>
  <c r="F52" i="1"/>
  <c r="L52" i="1" s="1"/>
  <c r="M52" i="1" s="1"/>
  <c r="F54" i="1"/>
  <c r="J54" i="1" s="1"/>
  <c r="M54" i="1" s="1"/>
  <c r="F37" i="1"/>
  <c r="H37" i="1" s="1"/>
  <c r="M37" i="1" s="1"/>
  <c r="F40" i="1"/>
  <c r="J40" i="1" s="1"/>
  <c r="M40" i="1" s="1"/>
  <c r="F39" i="1"/>
  <c r="J39" i="1" s="1"/>
  <c r="M39" i="1" s="1"/>
  <c r="F15" i="1"/>
  <c r="H15" i="1" s="1"/>
  <c r="M15" i="1" s="1"/>
  <c r="F31" i="1"/>
  <c r="H31" i="1" s="1"/>
  <c r="M31" i="1" s="1"/>
  <c r="F145" i="1" l="1"/>
  <c r="H145" i="1" s="1"/>
  <c r="M145" i="1" s="1"/>
  <c r="F48" i="6"/>
  <c r="J48" i="6" s="1"/>
  <c r="M48" i="6" s="1"/>
  <c r="F47" i="6"/>
  <c r="J47" i="6" s="1"/>
  <c r="M47" i="6" s="1"/>
  <c r="F46" i="6"/>
  <c r="L46" i="6" s="1"/>
  <c r="M46" i="6" s="1"/>
  <c r="F45" i="6"/>
  <c r="H45" i="6" s="1"/>
  <c r="M45" i="6" s="1"/>
  <c r="F43" i="6"/>
  <c r="J43" i="6" s="1"/>
  <c r="M43" i="6" s="1"/>
  <c r="F42" i="6"/>
  <c r="J42" i="6" s="1"/>
  <c r="M42" i="6" s="1"/>
  <c r="F40" i="6"/>
  <c r="L40" i="6" s="1"/>
  <c r="M40" i="6" s="1"/>
  <c r="F39" i="6"/>
  <c r="H39" i="6" s="1"/>
  <c r="M39" i="6" s="1"/>
  <c r="F37" i="6"/>
  <c r="J37" i="6" s="1"/>
  <c r="M37" i="6" s="1"/>
  <c r="F36" i="6"/>
  <c r="J36" i="6" s="1"/>
  <c r="M36" i="6" s="1"/>
  <c r="F35" i="6"/>
  <c r="L35" i="6" s="1"/>
  <c r="F34" i="6"/>
  <c r="H34" i="6" s="1"/>
  <c r="J31" i="6"/>
  <c r="M31" i="6" s="1"/>
  <c r="J30" i="6"/>
  <c r="M30" i="6" s="1"/>
  <c r="F27" i="6"/>
  <c r="F29" i="6" s="1"/>
  <c r="L29" i="6" s="1"/>
  <c r="M29" i="6" s="1"/>
  <c r="F26" i="6"/>
  <c r="J26" i="6" s="1"/>
  <c r="M26" i="6" s="1"/>
  <c r="F25" i="6"/>
  <c r="J25" i="6" s="1"/>
  <c r="M25" i="6" s="1"/>
  <c r="F24" i="6"/>
  <c r="L24" i="6" s="1"/>
  <c r="M24" i="6" s="1"/>
  <c r="F23" i="6"/>
  <c r="H23" i="6" s="1"/>
  <c r="M23" i="6" s="1"/>
  <c r="F21" i="6"/>
  <c r="J21" i="6" s="1"/>
  <c r="M21" i="6" s="1"/>
  <c r="F20" i="6"/>
  <c r="J20" i="6" s="1"/>
  <c r="M20" i="6" s="1"/>
  <c r="F19" i="6"/>
  <c r="L19" i="6" s="1"/>
  <c r="M19" i="6" s="1"/>
  <c r="F18" i="6"/>
  <c r="H18" i="6" s="1"/>
  <c r="M18" i="6" s="1"/>
  <c r="F16" i="6"/>
  <c r="J16" i="6" s="1"/>
  <c r="M16" i="6" s="1"/>
  <c r="J15" i="6"/>
  <c r="M15" i="6" s="1"/>
  <c r="J14" i="6"/>
  <c r="M14" i="6" s="1"/>
  <c r="J13" i="6"/>
  <c r="M13" i="6" s="1"/>
  <c r="J12" i="6"/>
  <c r="M12" i="6" s="1"/>
  <c r="F11" i="6"/>
  <c r="L11" i="6" s="1"/>
  <c r="F10" i="6"/>
  <c r="H10" i="6" s="1"/>
  <c r="M10" i="6" s="1"/>
  <c r="F28" i="6" l="1"/>
  <c r="H28" i="6" s="1"/>
  <c r="M28" i="6" s="1"/>
  <c r="L49" i="6"/>
  <c r="M11" i="6"/>
  <c r="M35" i="6"/>
  <c r="F32" i="6"/>
  <c r="J32" i="6" s="1"/>
  <c r="M34" i="6"/>
  <c r="H49" i="6" l="1"/>
  <c r="M52" i="6" s="1"/>
  <c r="M32" i="6"/>
  <c r="M49" i="6" s="1"/>
  <c r="J49" i="6"/>
  <c r="M50" i="6" s="1"/>
  <c r="M51" i="6" l="1"/>
  <c r="M53" i="6" s="1"/>
  <c r="M54" i="6" s="1"/>
  <c r="M55" i="6" s="1"/>
  <c r="H8" i="4" l="1"/>
  <c r="L154" i="1" l="1"/>
  <c r="J154" i="1"/>
  <c r="M155" i="1" s="1"/>
  <c r="M154" i="1"/>
  <c r="M156" i="1" l="1"/>
  <c r="M157" i="1" l="1"/>
  <c r="M158" i="1" s="1"/>
  <c r="M159" i="1" l="1"/>
  <c r="M160" i="1" s="1"/>
  <c r="D7" i="4" s="1"/>
  <c r="H7" i="4" l="1"/>
  <c r="H9" i="4" s="1"/>
  <c r="H10" i="4" l="1"/>
  <c r="H11" i="4" s="1"/>
  <c r="H12" i="4" s="1"/>
  <c r="H13" i="4" s="1"/>
  <c r="H14" i="4" s="1"/>
  <c r="H15" i="4" s="1"/>
</calcChain>
</file>

<file path=xl/sharedStrings.xml><?xml version="1.0" encoding="utf-8"?>
<sst xmlns="http://schemas.openxmlformats.org/spreadsheetml/2006/main" count="485" uniqueCount="264">
  <si>
    <t>#</t>
  </si>
  <si>
    <t>safuZveli</t>
  </si>
  <si>
    <t>samuSaos dasaxeleba</t>
  </si>
  <si>
    <t>ganz. erT.</t>
  </si>
  <si>
    <t>normatiuli, xarji</t>
  </si>
  <si>
    <t>xelfasi</t>
  </si>
  <si>
    <t>masala</t>
  </si>
  <si>
    <t>manqana meqanizmebi</t>
  </si>
  <si>
    <t>jami</t>
  </si>
  <si>
    <t>erT.</t>
  </si>
  <si>
    <t>sul</t>
  </si>
  <si>
    <t>m3</t>
  </si>
  <si>
    <t>t</t>
  </si>
  <si>
    <t>kac.sT.</t>
  </si>
  <si>
    <t>wertilovani saZirkvlis qveS, qviSa-RorRis safuZvlis mowyoba</t>
  </si>
  <si>
    <t>manqanebi</t>
  </si>
  <si>
    <t>lari</t>
  </si>
  <si>
    <t>qviSa-RorRis narevi</t>
  </si>
  <si>
    <t>sxva masalebi</t>
  </si>
  <si>
    <t>6-1-5</t>
  </si>
  <si>
    <t>m2</t>
  </si>
  <si>
    <t>10-4-1</t>
  </si>
  <si>
    <t xml:space="preserve">SromiTi resursebi </t>
  </si>
  <si>
    <t>kg</t>
  </si>
  <si>
    <t>antiseptikuri  xsnari</t>
  </si>
  <si>
    <t>sxvadasxva masalebi</t>
  </si>
  <si>
    <t>11-7-3</t>
  </si>
  <si>
    <t>11-27-3</t>
  </si>
  <si>
    <t>lursmani</t>
  </si>
  <si>
    <t>11-27-2</t>
  </si>
  <si>
    <t>xis iatakis mowyoba</t>
  </si>
  <si>
    <t>cali</t>
  </si>
  <si>
    <t>xis karkasis horizontaluri da vertikaluri Zelebis mowyoba</t>
  </si>
  <si>
    <t>c</t>
  </si>
  <si>
    <t>10-6-1</t>
  </si>
  <si>
    <t>10_6_1</t>
  </si>
  <si>
    <t>Sida kedlebis mosaxva xis lamfiT</t>
  </si>
  <si>
    <t>vzer 5-52</t>
  </si>
  <si>
    <t xml:space="preserve">gare da Sida dekoratiuli sapireebis mowyoba </t>
  </si>
  <si>
    <t>g.m.</t>
  </si>
  <si>
    <t>grZ.m.</t>
  </si>
  <si>
    <t>10-11</t>
  </si>
  <si>
    <t>12.-9-6</t>
  </si>
  <si>
    <t xml:space="preserve">Weris orTqlsaizolacio Sris mowyoba </t>
  </si>
  <si>
    <t>kac.sT</t>
  </si>
  <si>
    <t>10-10-1</t>
  </si>
  <si>
    <t>Weris mosaxva xis lamfiT</t>
  </si>
  <si>
    <t xml:space="preserve">Weris plintusebis mowyoba </t>
  </si>
  <si>
    <t>k/sT</t>
  </si>
  <si>
    <t>miwis damuSaveba xeliT gruntSi wertilovani saZirkvlis mosawyobad</t>
  </si>
  <si>
    <t>8-3-2</t>
  </si>
  <si>
    <r>
      <t>m</t>
    </r>
    <r>
      <rPr>
        <b/>
        <vertAlign val="superscript"/>
        <sz val="10"/>
        <rFont val="AcadNusx"/>
      </rPr>
      <t>3</t>
    </r>
  </si>
  <si>
    <t>kac-sT</t>
  </si>
  <si>
    <r>
      <t>m</t>
    </r>
    <r>
      <rPr>
        <vertAlign val="superscript"/>
        <sz val="10"/>
        <rFont val="AcadNusx"/>
      </rPr>
      <t>3</t>
    </r>
  </si>
  <si>
    <t>wertilovani saZirkvlis mowyoba monoliTuri r/betoniT</t>
  </si>
  <si>
    <t>man</t>
  </si>
  <si>
    <t>m</t>
  </si>
  <si>
    <t>fari ficris yalibis sisq. 25 mm</t>
  </si>
  <si>
    <t>ficari Camoganuli III ხარისხის sisq. 40 mm</t>
  </si>
  <si>
    <t>betoni m-250</t>
  </si>
  <si>
    <t>1-81-2</t>
  </si>
  <si>
    <t>T.15</t>
  </si>
  <si>
    <t>moWrili gruntis ukuCayra</t>
  </si>
  <si>
    <t xml:space="preserve">Sromis danaxarjebi </t>
  </si>
  <si>
    <t>kac/sT</t>
  </si>
  <si>
    <t>masala:</t>
  </si>
  <si>
    <t>sxva masala</t>
  </si>
  <si>
    <t>grZ.m</t>
  </si>
  <si>
    <t>8-591-3</t>
  </si>
  <si>
    <t>erTklaviSiani CamrTveli 10a. 250v.</t>
  </si>
  <si>
    <t>8-414-1</t>
  </si>
  <si>
    <t>8-149-1</t>
  </si>
  <si>
    <r>
      <t xml:space="preserve">kabeli </t>
    </r>
    <r>
      <rPr>
        <sz val="10"/>
        <rFont val="Arial"/>
        <family val="2"/>
        <charset val="204"/>
      </rPr>
      <t xml:space="preserve"> NYM-J</t>
    </r>
    <r>
      <rPr>
        <sz val="10"/>
        <rFont val="AcadNusx"/>
      </rPr>
      <t xml:space="preserve"> 3X1,5mm2</t>
    </r>
  </si>
  <si>
    <t xml:space="preserve">8-418-1 </t>
  </si>
  <si>
    <t>10-20-3</t>
  </si>
  <si>
    <t>xis karebi</t>
  </si>
  <si>
    <t>karis saketi mowyobiloba</t>
  </si>
  <si>
    <t>k-ti</t>
  </si>
  <si>
    <t>15-165-6</t>
  </si>
  <si>
    <t>xis karebis maRalxarisxovani SeRebva laqiT orjer</t>
  </si>
  <si>
    <r>
      <t xml:space="preserve">kabeli </t>
    </r>
    <r>
      <rPr>
        <sz val="10"/>
        <rFont val="Arial"/>
        <family val="2"/>
        <charset val="204"/>
      </rPr>
      <t xml:space="preserve"> NYM-J</t>
    </r>
    <r>
      <rPr>
        <sz val="10"/>
        <rFont val="AcadNusx"/>
      </rPr>
      <t xml:space="preserve"> 3X2.5mm2</t>
    </r>
  </si>
  <si>
    <r>
      <t xml:space="preserve">gamanawilebeli kolofi </t>
    </r>
    <r>
      <rPr>
        <sz val="10"/>
        <rFont val="Arial"/>
        <family val="2"/>
        <charset val="204"/>
      </rPr>
      <t/>
    </r>
  </si>
  <si>
    <t xml:space="preserve">CamrTveli erTklaviSiani </t>
  </si>
  <si>
    <t>8-591-8</t>
  </si>
  <si>
    <t>samSeneblo ჭანჭიკი</t>
  </si>
  <si>
    <t>gare mosaxvis ხის lamfa სისქით 18-32mm -ბლოკჰაუსი antiseptirebuli</t>
  </si>
  <si>
    <t xml:space="preserve">iatakis ficari SipiT, sisqiT 40მმ </t>
  </si>
  <si>
    <t>xis sapireebi, kuTxovanebi</t>
  </si>
  <si>
    <t>საბაზრო</t>
  </si>
  <si>
    <t>eleqtro rozeti 250v.</t>
  </si>
  <si>
    <t>gamanawilebeli kolofi gare montaJis</t>
  </si>
  <si>
    <r>
      <t xml:space="preserve">plastmasis samontaJo mili </t>
    </r>
    <r>
      <rPr>
        <sz val="10"/>
        <rFont val="Arial"/>
        <family val="2"/>
        <charset val="204"/>
      </rPr>
      <t>16-16</t>
    </r>
    <r>
      <rPr>
        <sz val="10"/>
        <rFont val="AcadNusx"/>
      </rPr>
      <t>mm. samagriT.</t>
    </r>
  </si>
  <si>
    <r>
      <t xml:space="preserve">plastmasis samontaJo mili </t>
    </r>
    <r>
      <rPr>
        <b/>
        <sz val="10"/>
        <rFont val="Arial"/>
        <family val="2"/>
        <charset val="204"/>
      </rPr>
      <t>16-</t>
    </r>
    <r>
      <rPr>
        <b/>
        <sz val="10"/>
        <rFont val="AcadNusx"/>
      </rPr>
      <t>16mm. samagriT.</t>
    </r>
  </si>
  <si>
    <t>8-599-2</t>
  </si>
  <si>
    <t>Sekiduli Weris dioduri sanaTi simZlavre 12vt</t>
  </si>
  <si>
    <t>Sekiduli Weris led sanaTi wertilovani  12vt</t>
  </si>
  <si>
    <t>8-612-10</t>
  </si>
  <si>
    <t>karada avtomaturi amomrTvelebiT</t>
  </si>
  <si>
    <t>avtomaturi amomrTveli 16a 1 polusa</t>
  </si>
  <si>
    <t>karada 4 adgiliani</t>
  </si>
  <si>
    <t>avtomaturi amomrTveli 32a 1 polusa</t>
  </si>
  <si>
    <t>avtomaturi amomrTveli 63a 2 polusa</t>
  </si>
  <si>
    <t xml:space="preserve">zednadebi xarji </t>
  </si>
  <si>
    <r>
      <t>gegmiuri mogeba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</si>
  <si>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satransporto xarji (masalebis Rirebulebidan)</t>
  </si>
  <si>
    <t>satransporto xarjebi masalaze</t>
  </si>
  <si>
    <t>zednadebi xarjebi montaJze</t>
  </si>
  <si>
    <t xml:space="preserve">gegmiuri mogeba </t>
  </si>
  <si>
    <t>mSeneblobis Rirebulebis krebsiTi saxarjTaRricxvo gaangariSeba</t>
  </si>
  <si>
    <t>rigiTi #</t>
  </si>
  <si>
    <t>xarjT. #</t>
  </si>
  <si>
    <t>Tavebis, obieqtebis, samuSaoebisa da danaxarjebis dasaxeleba</t>
  </si>
  <si>
    <t xml:space="preserve">saxarjTaRricxvo Rirebuleba lari </t>
  </si>
  <si>
    <t>saerTo saxarjTaRicxvo Rirebuleba lari</t>
  </si>
  <si>
    <t>samSeneblo samuSaoebi</t>
  </si>
  <si>
    <t>samontaJo samuSaoeb.</t>
  </si>
  <si>
    <t xml:space="preserve">mowyobiloba </t>
  </si>
  <si>
    <t xml:space="preserve">sxvadasxva samuSaoeb. </t>
  </si>
  <si>
    <t>1</t>
  </si>
  <si>
    <t>2</t>
  </si>
  <si>
    <t>3</t>
  </si>
  <si>
    <t>4</t>
  </si>
  <si>
    <t>5</t>
  </si>
  <si>
    <t>6</t>
  </si>
  <si>
    <t>7</t>
  </si>
  <si>
    <t>8</t>
  </si>
  <si>
    <t>xarjT. #1-1</t>
  </si>
  <si>
    <t>xarjT. #1-2</t>
  </si>
  <si>
    <t xml:space="preserve">jami </t>
  </si>
  <si>
    <t>rezervi gauTvaliswinebel samuSaoebze - 3%</t>
  </si>
  <si>
    <t xml:space="preserve">jami  </t>
  </si>
  <si>
    <t>Dd R g _18%</t>
  </si>
  <si>
    <t>el.qselis mowyobis samuSaoebi</t>
  </si>
  <si>
    <t>xarjTaRricxva #1-1</t>
  </si>
  <si>
    <t xml:space="preserve">samSeneblo samuSaoebi </t>
  </si>
  <si>
    <t xml:space="preserve">sul krebsiTi xarjTaRricxviT </t>
  </si>
  <si>
    <t>1-80-7</t>
  </si>
  <si>
    <t>Sromis danaxarji  3.88*1.2</t>
  </si>
  <si>
    <t xml:space="preserve">Sromis danaxarjebi  0.993*1.2   </t>
  </si>
  <si>
    <t>vzer 1-3</t>
  </si>
  <si>
    <t>me-III kategoriis gruntis datvirTva a/m xeliT</t>
  </si>
  <si>
    <t>Sromis danaxarji 0.87*1.2</t>
  </si>
  <si>
    <t>zedmeti gruntis transportireba 15km</t>
  </si>
  <si>
    <t>avtomcleli</t>
  </si>
  <si>
    <t>Sromis danaxarji 0.89*1.2</t>
  </si>
  <si>
    <t>sxva manqanebi 0.37*1.2</t>
  </si>
  <si>
    <t>Sromis danaxarji 6.66*1.2</t>
  </si>
  <si>
    <t xml:space="preserve">manqanebi  0.59*1.2  </t>
  </si>
  <si>
    <t>6-44-1</t>
  </si>
  <si>
    <t>armaturis karkasis da badeebis CalagebaYyalibSi</t>
  </si>
  <si>
    <t>Sromis danaxarji 28.8*1.2</t>
  </si>
  <si>
    <t>armatura-1</t>
  </si>
  <si>
    <t>armatura-3</t>
  </si>
  <si>
    <t>mavTuli gadasabmeli diametriT 1,1mm</t>
  </si>
  <si>
    <t>SromiTi resursebi 24*1.2</t>
  </si>
  <si>
    <t>manqanebi 1.3*1.2</t>
  </si>
  <si>
    <t>xis dgarebi da koWebi</t>
  </si>
  <si>
    <t xml:space="preserve">liTonis samagrebi </t>
  </si>
  <si>
    <t>6-9-7</t>
  </si>
  <si>
    <r>
      <t xml:space="preserve">Casadebis detalebis da konstriqciebis samagreb, kuTxovana 70X70X5(mm), </t>
    </r>
    <r>
      <rPr>
        <b/>
        <sz val="10"/>
        <rFont val="Arial"/>
        <family val="2"/>
        <charset val="204"/>
      </rPr>
      <t>L</t>
    </r>
    <r>
      <rPr>
        <b/>
        <sz val="10"/>
        <rFont val="AcadNusx"/>
      </rPr>
      <t>-100mm(400c)</t>
    </r>
  </si>
  <si>
    <t>Sromis danaxarji 0.21*1.2</t>
  </si>
  <si>
    <t>sxvasxva manqanebi 0.0014*1.2</t>
  </si>
  <si>
    <r>
      <t xml:space="preserve">kuTxovana 70X70X5(mm)- </t>
    </r>
    <r>
      <rPr>
        <sz val="10"/>
        <rFont val="Arial"/>
        <family val="2"/>
        <charset val="204"/>
      </rPr>
      <t>L</t>
    </r>
    <r>
      <rPr>
        <sz val="10"/>
        <rFont val="AcadNusx"/>
      </rPr>
      <t>-40m</t>
    </r>
  </si>
  <si>
    <r>
      <t xml:space="preserve">WanWiki (qanCeni da sayelurebi) </t>
    </r>
    <r>
      <rPr>
        <sz val="10"/>
        <rFont val="Arial"/>
        <family val="2"/>
        <charset val="204"/>
      </rPr>
      <t>M</t>
    </r>
    <r>
      <rPr>
        <sz val="10"/>
        <rFont val="AcadNusx"/>
      </rPr>
      <t xml:space="preserve">-12, </t>
    </r>
    <r>
      <rPr>
        <sz val="10"/>
        <rFont val="Arial"/>
        <family val="2"/>
        <charset val="204"/>
      </rPr>
      <t>L</t>
    </r>
    <r>
      <rPr>
        <sz val="10"/>
        <rFont val="AcadNusx"/>
      </rPr>
      <t>=0.25m</t>
    </r>
  </si>
  <si>
    <r>
      <t xml:space="preserve">ankeri (qanCeni da sayelurebi) </t>
    </r>
    <r>
      <rPr>
        <sz val="10"/>
        <rFont val="Arial"/>
        <family val="2"/>
        <charset val="204"/>
      </rPr>
      <t>M</t>
    </r>
    <r>
      <rPr>
        <sz val="10"/>
        <rFont val="AcadNusx"/>
      </rPr>
      <t xml:space="preserve">-12, </t>
    </r>
    <r>
      <rPr>
        <sz val="10"/>
        <rFont val="Arial"/>
        <family val="2"/>
        <charset val="204"/>
      </rPr>
      <t>L</t>
    </r>
    <r>
      <rPr>
        <sz val="10"/>
        <rFont val="AcadNusx"/>
      </rPr>
      <t>=0.5m</t>
    </r>
  </si>
  <si>
    <t>nivnivebis, Semkravi koWis mowyoba da saxuravis Seficvra ficvriT 30mm</t>
  </si>
  <si>
    <t>SromiTi resursebi 23.8*1.2</t>
  </si>
  <si>
    <t>manqanebi 2.1*1.2</t>
  </si>
  <si>
    <t>xis koWebi</t>
  </si>
  <si>
    <t>katanka mavTuli</t>
  </si>
  <si>
    <t>samSeneblo lursmani</t>
  </si>
  <si>
    <t>toli (ruberoidi)</t>
  </si>
  <si>
    <t>12-6–3</t>
  </si>
  <si>
    <t>სახურავის მოწყობა მეტალოკრამიტით</t>
  </si>
  <si>
    <r>
      <t>მ</t>
    </r>
    <r>
      <rPr>
        <b/>
        <vertAlign val="superscript"/>
        <sz val="11"/>
        <color indexed="8"/>
        <rFont val="Calibri"/>
        <family val="2"/>
        <charset val="204"/>
      </rPr>
      <t>2</t>
    </r>
  </si>
  <si>
    <t>შრომის დანახარჯი</t>
  </si>
  <si>
    <t>მანქანები 0.0264*1.2</t>
  </si>
  <si>
    <t>ლარი</t>
  </si>
  <si>
    <t>მეტალოკრამიტის ღირებულება</t>
  </si>
  <si>
    <t>მ2</t>
  </si>
  <si>
    <t>ფოლადის ფურცელი</t>
  </si>
  <si>
    <t>კგ</t>
  </si>
  <si>
    <t>ხრახნი და სამაგრი</t>
  </si>
  <si>
    <t>ც</t>
  </si>
  <si>
    <t>ნაჭედი</t>
  </si>
  <si>
    <t xml:space="preserve">სხვა მასალები </t>
  </si>
  <si>
    <t>10-6-3</t>
  </si>
  <si>
    <r>
      <t xml:space="preserve">xis karkasze faneris </t>
    </r>
    <r>
      <rPr>
        <b/>
        <sz val="10"/>
        <color theme="1"/>
        <rFont val="Arial"/>
        <family val="2"/>
        <charset val="204"/>
      </rPr>
      <t>OSB</t>
    </r>
    <r>
      <rPr>
        <b/>
        <sz val="10"/>
        <color theme="1"/>
        <rFont val="AcadNusx"/>
      </rPr>
      <t xml:space="preserve"> mowyoba</t>
    </r>
  </si>
  <si>
    <t>SromiTi resursebi 0.539*1.2</t>
  </si>
  <si>
    <t>manqanebi 0.0182*1.2</t>
  </si>
  <si>
    <r>
      <rPr>
        <sz val="10"/>
        <color theme="1"/>
        <rFont val="Arial"/>
        <family val="2"/>
        <charset val="204"/>
      </rPr>
      <t>OBS3</t>
    </r>
    <r>
      <rPr>
        <sz val="10"/>
        <color theme="1"/>
        <rFont val="AcadNusx"/>
      </rPr>
      <t xml:space="preserve"> ნესტგამძლე fanera, sisqiT - 15 mm</t>
    </r>
  </si>
  <si>
    <t>SromiTi resursebi 0.391*1.2</t>
  </si>
  <si>
    <t>manqanebi 0.0284*1.2</t>
  </si>
  <si>
    <r>
      <t xml:space="preserve">gare mosaxvis lamfa სისქით 18-32mm - </t>
    </r>
    <r>
      <rPr>
        <sz val="10"/>
        <color theme="1"/>
        <rFont val="Arial"/>
        <family val="2"/>
        <charset val="204"/>
      </rPr>
      <t xml:space="preserve">ბლოკჰაუსი </t>
    </r>
    <r>
      <rPr>
        <sz val="10"/>
        <color theme="1"/>
        <rFont val="AcadNusx"/>
      </rPr>
      <t>antiseptirebuli</t>
    </r>
  </si>
  <si>
    <t>orTlsaizolacio membrana (pergamini)</t>
  </si>
  <si>
    <t>SromiTi resursebi 0.271*1.2</t>
  </si>
  <si>
    <t>manqanebi 0.023*1.2</t>
  </si>
  <si>
    <r>
      <rPr>
        <sz val="10"/>
        <color theme="1"/>
        <rFont val="Arial"/>
        <family val="2"/>
        <charset val="204"/>
      </rPr>
      <t>XPS</t>
    </r>
    <r>
      <rPr>
        <sz val="10"/>
        <color theme="1"/>
        <rFont val="AcadNusx"/>
      </rPr>
      <t>-is Rirebuleba sisqiT 50mm</t>
    </r>
  </si>
  <si>
    <t>Sromis resursebi 0.391*1.2</t>
  </si>
  <si>
    <t>Sida kedlis mosaxvis lamfa -12მმ სისქით</t>
  </si>
  <si>
    <t>muSaTa xelfasi 0.162*1.2</t>
  </si>
  <si>
    <t>lursmani, TviTmWreli xraxnebi</t>
  </si>
  <si>
    <t>Sromis danaxarji 0.16*1.2</t>
  </si>
  <si>
    <t>manqanebi 0.0032*1.2</t>
  </si>
  <si>
    <t>mastika biTumis</t>
  </si>
  <si>
    <r>
      <t xml:space="preserve">orTqlsaizolaco membrana </t>
    </r>
    <r>
      <rPr>
        <sz val="8"/>
        <rFont val="Arial"/>
        <family val="2"/>
        <charset val="204"/>
      </rPr>
      <t/>
    </r>
  </si>
  <si>
    <t>12-9-1</t>
  </si>
  <si>
    <t>SromiTi resursebi 0.425*1.2</t>
  </si>
  <si>
    <t>manqanebi 0.0208*1.2</t>
  </si>
  <si>
    <t>sabazro</t>
  </si>
  <si>
    <t>manqanebi 0.0225*1.2</t>
  </si>
  <si>
    <t xml:space="preserve">lamfis Rirebuleba  sisqiT 12mm </t>
  </si>
  <si>
    <r>
      <t xml:space="preserve">Tboizolaciis damWeri faneris mowyoba </t>
    </r>
    <r>
      <rPr>
        <b/>
        <sz val="10"/>
        <color theme="1"/>
        <rFont val="Arial"/>
        <family val="2"/>
        <charset val="204"/>
      </rPr>
      <t>OSB</t>
    </r>
    <r>
      <rPr>
        <b/>
        <sz val="10"/>
        <color theme="1"/>
        <rFont val="AcadNusx"/>
      </rPr>
      <t xml:space="preserve"> sisqiT 15mm </t>
    </r>
  </si>
  <si>
    <t>SromiTi resursebi 0.431*1.2</t>
  </si>
  <si>
    <t>manqanebi 0.0224*1.2</t>
  </si>
  <si>
    <r>
      <rPr>
        <sz val="10"/>
        <color theme="1"/>
        <rFont val="Arial"/>
        <family val="2"/>
        <charset val="204"/>
      </rPr>
      <t>OSB3</t>
    </r>
    <r>
      <rPr>
        <sz val="10"/>
        <color theme="1"/>
        <rFont val="AcadNusx"/>
      </rPr>
      <t xml:space="preserve"> ნესტგამძლე fanera, sisqiT -15mm</t>
    </r>
  </si>
  <si>
    <t>SromiTi resursebi 0.851*1.2</t>
  </si>
  <si>
    <t>manqanebi 0.0483*1.2</t>
  </si>
  <si>
    <t>xis plintusebi</t>
  </si>
  <si>
    <t>15-159-3</t>
  </si>
  <si>
    <t>xis iatakis momzadeba da dafarva antiseptikuri laqiT 2 პირი</t>
  </si>
  <si>
    <t>SromiTi danaxarji 0.492*1.2</t>
  </si>
  <si>
    <t>manqanebi 0.008*1.2</t>
  </si>
  <si>
    <t>antiseptikuri laqi</t>
  </si>
  <si>
    <t>9--14-5</t>
  </si>
  <si>
    <t xml:space="preserve">მეტალო პლასტმასის კარფანჯრების მოწყობა </t>
  </si>
  <si>
    <t>შრომის დანახარჯი 2.72*1,2</t>
  </si>
  <si>
    <t>კაც.სთ</t>
  </si>
  <si>
    <t>მეტალო პლასტმასის კარფანჯრები</t>
  </si>
  <si>
    <t>xis karebis mowyoba</t>
  </si>
  <si>
    <t>Sromis danaxarjebi 1.16*1.2</t>
  </si>
  <si>
    <t>sxva manqana 0.13*1.2</t>
  </si>
  <si>
    <t xml:space="preserve">xis ficari </t>
  </si>
  <si>
    <t xml:space="preserve">laqi xis </t>
  </si>
  <si>
    <t>15-159-1</t>
  </si>
  <si>
    <t>შენობის Sida da გარე ხის mosaxvis დაგრუნტვა-შეღებვა მაღალი ხარისხის xis საღებავით</t>
  </si>
  <si>
    <r>
      <t xml:space="preserve">შრომის დანახარჯი </t>
    </r>
    <r>
      <rPr>
        <sz val="10"/>
        <rFont val="Calibri"/>
        <family val="2"/>
        <charset val="204"/>
      </rPr>
      <t>0,56*1,2</t>
    </r>
  </si>
  <si>
    <r>
      <t xml:space="preserve">მანქანები </t>
    </r>
    <r>
      <rPr>
        <sz val="10"/>
        <rFont val="Calibri"/>
        <family val="2"/>
        <charset val="204"/>
      </rPr>
      <t>0,0069*1,2</t>
    </r>
  </si>
  <si>
    <t>ოლიფა</t>
  </si>
  <si>
    <t>maRali xarisxis ხის საღებავი</t>
  </si>
  <si>
    <t>სხვადასხვა მასალა</t>
  </si>
  <si>
    <t>Sromis danaxarji 3.37*1.2</t>
  </si>
  <si>
    <t>manqanebi 0.095*1.2</t>
  </si>
  <si>
    <t xml:space="preserve">Sromis danaxarjebi 1.54*1.2 </t>
  </si>
  <si>
    <t xml:space="preserve">sxva manqana 0.29*1.2 </t>
  </si>
  <si>
    <t>Sromis danaxarjebi 1.35*1.2</t>
  </si>
  <si>
    <t>sxva manqana 0.031*1.2</t>
  </si>
  <si>
    <t>Sromis danaxarjebi 0.11*1.2</t>
  </si>
  <si>
    <t>sxva manqana 0.0027*1.2</t>
  </si>
  <si>
    <t xml:space="preserve">kabelebis gayvana </t>
  </si>
  <si>
    <t>Sromis danaxarjebi 0.15*1.2</t>
  </si>
  <si>
    <t>sxva manqana 0.0017*1.2</t>
  </si>
  <si>
    <t>Sromis danaxarjebi 0.68*1.2</t>
  </si>
  <si>
    <t>sxva manqana 0.011*1.2</t>
  </si>
  <si>
    <t>Sromis danaxarjebi 0.34*1.2</t>
  </si>
  <si>
    <t>sxva manqana 0.0113*1.2</t>
  </si>
  <si>
    <r>
      <t xml:space="preserve">Weris Tboizolacia </t>
    </r>
    <r>
      <rPr>
        <b/>
        <sz val="10"/>
        <color theme="1"/>
        <rFont val="Arial"/>
        <family val="2"/>
        <charset val="204"/>
      </rPr>
      <t>XPS</t>
    </r>
    <r>
      <rPr>
        <b/>
        <sz val="10"/>
        <color theme="1"/>
        <rFont val="AcadNusx"/>
      </rPr>
      <t>-iT sisqiT 150mm (3X50mm)</t>
    </r>
  </si>
  <si>
    <r>
      <t xml:space="preserve">kedlebis Tboizolacia </t>
    </r>
    <r>
      <rPr>
        <b/>
        <sz val="10"/>
        <color theme="1"/>
        <rFont val="Arial"/>
        <family val="2"/>
        <charset val="204"/>
      </rPr>
      <t>XPS</t>
    </r>
    <r>
      <rPr>
        <b/>
        <sz val="10"/>
        <color theme="1"/>
        <rFont val="AcadNusx"/>
      </rPr>
      <t>-iT, sisqiT 150mm (3X50mm)</t>
    </r>
  </si>
  <si>
    <r>
      <t xml:space="preserve">iatakebis Tboizolacia </t>
    </r>
    <r>
      <rPr>
        <b/>
        <sz val="10"/>
        <color theme="1"/>
        <rFont val="Arial"/>
        <family val="2"/>
        <charset val="204"/>
      </rPr>
      <t>XPS</t>
    </r>
    <r>
      <rPr>
        <b/>
        <sz val="10"/>
        <color theme="1"/>
        <rFont val="AcadNusx"/>
      </rPr>
      <t>-iT, sisqiT 150mm (3X50mm)</t>
    </r>
  </si>
  <si>
    <r>
      <rPr>
        <sz val="10"/>
        <color theme="1"/>
        <rFont val="Arial"/>
        <family val="2"/>
        <charset val="204"/>
      </rPr>
      <t>XPS</t>
    </r>
    <r>
      <rPr>
        <sz val="10"/>
        <color theme="1"/>
        <rFont val="AcadNusx"/>
      </rPr>
      <t>-is sisqiT 150mm(3X50mm) Rirebuleba</t>
    </r>
  </si>
  <si>
    <r>
      <rPr>
        <sz val="10"/>
        <color theme="1"/>
        <rFont val="Arial"/>
        <family val="2"/>
        <charset val="204"/>
      </rPr>
      <t>XPS</t>
    </r>
    <r>
      <rPr>
        <sz val="10"/>
        <color theme="1"/>
        <rFont val="AcadNusx"/>
      </rPr>
      <t>-is fila sisqiT 150mm(3X50mm)</t>
    </r>
  </si>
  <si>
    <t xml:space="preserve">დროებითი შენობა-ნაგებობები  2,9% </t>
  </si>
  <si>
    <t>xis karkasi da konstruqcia, mosaxvის სამუშაოები</t>
  </si>
  <si>
    <t>saZirkvlisa da Ziris svetebis mowyoba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</si>
</sst>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#,##0.000"/>
    <numFmt numFmtId="167" formatCode="0.0000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FF0000"/>
      <name val="AcadNusx"/>
    </font>
    <font>
      <sz val="11"/>
      <color rgb="FFFF0000"/>
      <name val="AcadNusx"/>
    </font>
    <font>
      <sz val="11"/>
      <color theme="1"/>
      <name val="AcadNusx"/>
    </font>
    <font>
      <sz val="10"/>
      <name val="Arial"/>
      <family val="2"/>
    </font>
    <font>
      <b/>
      <sz val="11"/>
      <color theme="1"/>
      <name val="AcadNusx"/>
    </font>
    <font>
      <sz val="12"/>
      <color theme="1"/>
      <name val="AcadNusx"/>
    </font>
    <font>
      <sz val="9"/>
      <color theme="1"/>
      <name val="AcadNusx"/>
    </font>
    <font>
      <sz val="10"/>
      <color theme="1"/>
      <name val="AcadNusx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8"/>
      <color theme="1"/>
      <name val="AcadNusx"/>
    </font>
    <font>
      <sz val="9"/>
      <color theme="1"/>
      <name val="Arial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cadNusx"/>
    </font>
    <font>
      <b/>
      <sz val="10"/>
      <name val="Arial"/>
      <family val="2"/>
    </font>
    <font>
      <sz val="9"/>
      <name val="Arial"/>
      <family val="2"/>
    </font>
    <font>
      <sz val="10"/>
      <name val="AcadNusx"/>
    </font>
    <font>
      <b/>
      <sz val="8"/>
      <name val="AcadNusx"/>
    </font>
    <font>
      <b/>
      <sz val="10"/>
      <color theme="1"/>
      <name val="AcadNusx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cadNusx"/>
    </font>
    <font>
      <b/>
      <sz val="9"/>
      <name val="Arial"/>
      <family val="2"/>
      <charset val="204"/>
    </font>
    <font>
      <b/>
      <sz val="11"/>
      <name val="AcadNusx"/>
    </font>
    <font>
      <sz val="9"/>
      <name val="AcadNusx"/>
    </font>
    <font>
      <sz val="11"/>
      <name val="AcadNusx"/>
    </font>
    <font>
      <sz val="7"/>
      <color theme="1"/>
      <name val="Arial"/>
      <family val="2"/>
      <charset val="204"/>
    </font>
    <font>
      <sz val="7"/>
      <color theme="1"/>
      <name val="AcadNusx"/>
    </font>
    <font>
      <b/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name val="Helv"/>
    </font>
    <font>
      <sz val="8"/>
      <name val="AcadNusx"/>
    </font>
    <font>
      <b/>
      <sz val="8"/>
      <name val="Arial"/>
      <family val="2"/>
    </font>
    <font>
      <b/>
      <sz val="9"/>
      <name val="Arial"/>
      <family val="2"/>
    </font>
    <font>
      <sz val="7"/>
      <name val="AcadNusx"/>
    </font>
    <font>
      <sz val="9"/>
      <color indexed="8"/>
      <name val="Arial"/>
      <family val="2"/>
    </font>
    <font>
      <sz val="11"/>
      <name val="Helv"/>
    </font>
    <font>
      <sz val="11"/>
      <color theme="1"/>
      <name val="Times New Roman"/>
      <family val="1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vertAlign val="superscript"/>
      <sz val="10"/>
      <name val="AcadNusx"/>
    </font>
    <font>
      <b/>
      <sz val="10"/>
      <name val="Calibri"/>
      <family val="2"/>
    </font>
    <font>
      <sz val="10"/>
      <name val="Calibri"/>
      <family val="2"/>
    </font>
    <font>
      <vertAlign val="superscript"/>
      <sz val="10"/>
      <name val="AcadNusx"/>
    </font>
    <font>
      <sz val="9"/>
      <name val="Calibri"/>
      <family val="2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AcadNusx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b/>
      <sz val="10"/>
      <color indexed="8"/>
      <name val="AcadNusx"/>
    </font>
    <font>
      <sz val="9"/>
      <name val="Arial Cyr"/>
      <family val="2"/>
      <charset val="204"/>
    </font>
    <font>
      <sz val="10"/>
      <color rgb="FFFF0000"/>
      <name val="AcadNusx"/>
    </font>
    <font>
      <sz val="12"/>
      <name val="AcadNusx"/>
    </font>
    <font>
      <i/>
      <sz val="10"/>
      <name val="AcadNusx"/>
    </font>
    <font>
      <i/>
      <sz val="11"/>
      <name val="AcadNusx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vertAlign val="superscript"/>
      <sz val="11"/>
      <color indexed="8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29" fillId="0" borderId="0"/>
    <xf numFmtId="0" fontId="39" fillId="0" borderId="0"/>
    <xf numFmtId="0" fontId="50" fillId="0" borderId="0"/>
    <xf numFmtId="0" fontId="50" fillId="0" borderId="0"/>
    <xf numFmtId="0" fontId="5" fillId="0" borderId="0"/>
    <xf numFmtId="9" fontId="5" fillId="0" borderId="0" applyFont="0" applyFill="0" applyBorder="0" applyAlignment="0" applyProtection="0"/>
    <xf numFmtId="0" fontId="29" fillId="0" borderId="0"/>
    <xf numFmtId="0" fontId="29" fillId="0" borderId="0"/>
    <xf numFmtId="0" fontId="50" fillId="0" borderId="0"/>
  </cellStyleXfs>
  <cellXfs count="613">
    <xf numFmtId="0" fontId="0" fillId="0" borderId="0" xfId="0"/>
    <xf numFmtId="0" fontId="7" fillId="0" borderId="0" xfId="2" applyFont="1" applyFill="1" applyAlignment="1">
      <alignment horizontal="center" vertical="center" wrapText="1"/>
    </xf>
    <xf numFmtId="0" fontId="8" fillId="0" borderId="0" xfId="2" applyFont="1" applyFill="1" applyAlignment="1">
      <alignment vertical="center" wrapText="1"/>
    </xf>
    <xf numFmtId="0" fontId="6" fillId="0" borderId="0" xfId="2" applyFont="1" applyFill="1" applyAlignment="1">
      <alignment vertical="center" wrapText="1"/>
    </xf>
    <xf numFmtId="0" fontId="4" fillId="0" borderId="0" xfId="2" applyFont="1" applyFill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2" fontId="25" fillId="0" borderId="6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 wrapText="1"/>
    </xf>
    <xf numFmtId="2" fontId="27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center" vertical="center" wrapText="1"/>
    </xf>
    <xf numFmtId="2" fontId="37" fillId="0" borderId="6" xfId="0" applyNumberFormat="1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2" fontId="26" fillId="0" borderId="5" xfId="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9" fontId="27" fillId="0" borderId="6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right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2" fontId="4" fillId="0" borderId="0" xfId="4" applyNumberFormat="1" applyFont="1" applyFill="1" applyBorder="1" applyAlignment="1">
      <alignment horizontal="center" vertical="center" wrapText="1"/>
    </xf>
    <xf numFmtId="2" fontId="4" fillId="0" borderId="0" xfId="3" applyNumberFormat="1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6" xfId="1" applyFont="1" applyFill="1" applyBorder="1" applyAlignment="1">
      <alignment horizontal="center" vertical="center" wrapText="1"/>
    </xf>
    <xf numFmtId="2" fontId="9" fillId="0" borderId="6" xfId="1" applyNumberFormat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1" fontId="13" fillId="0" borderId="6" xfId="1" applyNumberFormat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0" fontId="33" fillId="0" borderId="6" xfId="8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 vertical="center" wrapText="1"/>
    </xf>
    <xf numFmtId="4" fontId="30" fillId="0" borderId="6" xfId="0" applyNumberFormat="1" applyFont="1" applyFill="1" applyBorder="1" applyAlignment="1">
      <alignment horizontal="center" vertical="center" wrapText="1"/>
    </xf>
    <xf numFmtId="2" fontId="30" fillId="0" borderId="6" xfId="8" applyNumberFormat="1" applyFont="1" applyFill="1" applyBorder="1" applyAlignment="1">
      <alignment horizontal="center" vertical="center" wrapText="1"/>
    </xf>
    <xf numFmtId="0" fontId="33" fillId="0" borderId="6" xfId="10" applyFont="1" applyFill="1" applyBorder="1" applyAlignment="1">
      <alignment horizontal="center" vertical="center" wrapText="1"/>
    </xf>
    <xf numFmtId="9" fontId="30" fillId="0" borderId="6" xfId="11" applyFont="1" applyFill="1" applyBorder="1" applyAlignment="1">
      <alignment horizontal="center" vertical="center" wrapText="1"/>
    </xf>
    <xf numFmtId="164" fontId="30" fillId="0" borderId="6" xfId="10" applyNumberFormat="1" applyFont="1" applyFill="1" applyBorder="1" applyAlignment="1">
      <alignment horizontal="center" vertical="center" wrapText="1"/>
    </xf>
    <xf numFmtId="2" fontId="30" fillId="0" borderId="6" xfId="10" applyNumberFormat="1" applyFont="1" applyFill="1" applyBorder="1" applyAlignment="1">
      <alignment horizontal="center" vertical="center" wrapText="1"/>
    </xf>
    <xf numFmtId="0" fontId="33" fillId="0" borderId="6" xfId="10" applyFont="1" applyFill="1" applyBorder="1" applyAlignment="1">
      <alignment horizontal="center" vertical="center"/>
    </xf>
    <xf numFmtId="0" fontId="30" fillId="0" borderId="6" xfId="10" applyFont="1" applyFill="1" applyBorder="1" applyAlignment="1">
      <alignment horizontal="center" vertical="center"/>
    </xf>
    <xf numFmtId="164" fontId="30" fillId="0" borderId="6" xfId="10" applyNumberFormat="1" applyFont="1" applyFill="1" applyBorder="1" applyAlignment="1">
      <alignment horizontal="center" vertical="center"/>
    </xf>
    <xf numFmtId="167" fontId="30" fillId="0" borderId="6" xfId="10" applyNumberFormat="1" applyFont="1" applyFill="1" applyBorder="1" applyAlignment="1">
      <alignment horizontal="center" vertical="center"/>
    </xf>
    <xf numFmtId="2" fontId="30" fillId="0" borderId="6" xfId="10" applyNumberFormat="1" applyFont="1" applyFill="1" applyBorder="1" applyAlignment="1">
      <alignment horizontal="center" vertical="center"/>
    </xf>
    <xf numFmtId="9" fontId="30" fillId="0" borderId="6" xfId="11" applyFont="1" applyFill="1" applyBorder="1" applyAlignment="1">
      <alignment horizontal="center" vertical="center"/>
    </xf>
    <xf numFmtId="0" fontId="30" fillId="0" borderId="6" xfId="2" applyFont="1" applyFill="1" applyBorder="1" applyAlignment="1">
      <alignment horizontal="center" vertical="center"/>
    </xf>
    <xf numFmtId="2" fontId="30" fillId="0" borderId="6" xfId="2" applyNumberFormat="1" applyFont="1" applyFill="1" applyBorder="1" applyAlignment="1">
      <alignment horizontal="center" vertical="center"/>
    </xf>
    <xf numFmtId="2" fontId="30" fillId="0" borderId="6" xfId="2" applyNumberFormat="1" applyFont="1" applyFill="1" applyBorder="1" applyAlignment="1">
      <alignment horizontal="center" vertical="center" wrapText="1"/>
    </xf>
    <xf numFmtId="0" fontId="3" fillId="0" borderId="0" xfId="1" applyFont="1" applyFill="1" applyBorder="1"/>
    <xf numFmtId="0" fontId="10" fillId="0" borderId="0" xfId="0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15" fillId="0" borderId="6" xfId="5" quotePrefix="1" applyNumberFormat="1" applyFont="1" applyFill="1" applyBorder="1" applyAlignment="1">
      <alignment horizontal="center" vertical="center" wrapText="1"/>
    </xf>
    <xf numFmtId="0" fontId="16" fillId="0" borderId="6" xfId="5" quotePrefix="1" applyNumberFormat="1" applyFont="1" applyFill="1" applyBorder="1" applyAlignment="1">
      <alignment horizontal="center" vertical="center" wrapText="1"/>
    </xf>
    <xf numFmtId="0" fontId="16" fillId="0" borderId="6" xfId="5" quotePrefix="1" applyNumberFormat="1" applyFont="1" applyFill="1" applyBorder="1" applyAlignment="1">
      <alignment horizontal="center" wrapText="1"/>
    </xf>
    <xf numFmtId="0" fontId="18" fillId="0" borderId="6" xfId="5" quotePrefix="1" applyNumberFormat="1" applyFont="1" applyFill="1" applyBorder="1" applyAlignment="1">
      <alignment horizontal="center" wrapText="1"/>
    </xf>
    <xf numFmtId="0" fontId="18" fillId="0" borderId="6" xfId="5" quotePrefix="1" applyNumberFormat="1" applyFont="1" applyFill="1" applyBorder="1" applyAlignment="1">
      <alignment horizontal="center" vertical="center" wrapText="1"/>
    </xf>
    <xf numFmtId="0" fontId="18" fillId="0" borderId="6" xfId="5" quotePrefix="1" applyNumberFormat="1" applyFont="1" applyFill="1" applyBorder="1" applyAlignment="1">
      <alignment horizontal="right" wrapText="1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20" fillId="0" borderId="0" xfId="0" applyFont="1" applyFill="1"/>
    <xf numFmtId="0" fontId="20" fillId="0" borderId="0" xfId="0" applyFont="1" applyFill="1" applyBorder="1"/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33" fillId="0" borderId="0" xfId="0" applyFont="1" applyFill="1"/>
    <xf numFmtId="0" fontId="33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9" fillId="0" borderId="0" xfId="7" applyFill="1" applyAlignment="1">
      <alignment vertical="center"/>
    </xf>
    <xf numFmtId="0" fontId="39" fillId="0" borderId="0" xfId="7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0" fillId="0" borderId="0" xfId="0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57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/>
    <xf numFmtId="0" fontId="20" fillId="0" borderId="0" xfId="0" applyNumberFormat="1" applyFont="1" applyFill="1" applyBorder="1" applyAlignment="1">
      <alignment horizontal="center" vertical="top" wrapText="1"/>
    </xf>
    <xf numFmtId="0" fontId="57" fillId="0" borderId="0" xfId="0" applyFont="1" applyFill="1" applyBorder="1"/>
    <xf numFmtId="0" fontId="57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top" wrapText="1"/>
    </xf>
    <xf numFmtId="0" fontId="56" fillId="0" borderId="0" xfId="0" applyFont="1" applyFill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62" fillId="0" borderId="0" xfId="8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33" fillId="0" borderId="0" xfId="1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top" wrapText="1"/>
    </xf>
    <xf numFmtId="0" fontId="56" fillId="0" borderId="0" xfId="0" applyFont="1" applyFill="1" applyAlignment="1">
      <alignment horizontal="center" vertical="top" wrapText="1"/>
    </xf>
    <xf numFmtId="0" fontId="57" fillId="0" borderId="0" xfId="0" applyFont="1" applyFill="1" applyAlignment="1">
      <alignment horizontal="center" vertical="top" wrapText="1"/>
    </xf>
    <xf numFmtId="0" fontId="50" fillId="0" borderId="0" xfId="0" applyFont="1" applyFill="1" applyAlignment="1">
      <alignment vertical="top"/>
    </xf>
    <xf numFmtId="0" fontId="29" fillId="0" borderId="0" xfId="0" applyFont="1" applyFill="1" applyAlignment="1">
      <alignment horizontal="center" vertical="top"/>
    </xf>
    <xf numFmtId="0" fontId="29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50" fillId="0" borderId="0" xfId="0" applyFont="1" applyFill="1" applyBorder="1"/>
    <xf numFmtId="0" fontId="50" fillId="0" borderId="0" xfId="0" applyFont="1" applyFill="1"/>
    <xf numFmtId="0" fontId="29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Fill="1"/>
    <xf numFmtId="1" fontId="20" fillId="0" borderId="0" xfId="0" applyNumberFormat="1" applyFont="1" applyFill="1" applyBorder="1" applyAlignment="1">
      <alignment horizontal="center" vertical="top" wrapText="1"/>
    </xf>
    <xf numFmtId="0" fontId="33" fillId="0" borderId="0" xfId="10" applyFont="1" applyFill="1" applyAlignment="1">
      <alignment horizontal="center" vertical="center"/>
    </xf>
    <xf numFmtId="0" fontId="33" fillId="0" borderId="0" xfId="12" applyFont="1" applyFill="1" applyBorder="1" applyAlignment="1">
      <alignment horizontal="center" vertical="center"/>
    </xf>
    <xf numFmtId="0" fontId="33" fillId="0" borderId="0" xfId="12" applyFont="1" applyFill="1" applyAlignment="1">
      <alignment horizontal="center" vertical="center"/>
    </xf>
    <xf numFmtId="0" fontId="33" fillId="0" borderId="0" xfId="13" applyFont="1" applyFill="1" applyAlignment="1">
      <alignment vertical="center"/>
    </xf>
    <xf numFmtId="0" fontId="33" fillId="0" borderId="0" xfId="13" applyFont="1" applyFill="1" applyAlignment="1">
      <alignment horizontal="center" vertical="center"/>
    </xf>
    <xf numFmtId="0" fontId="33" fillId="0" borderId="0" xfId="2" applyFont="1" applyFill="1" applyAlignment="1">
      <alignment horizontal="center" vertical="center"/>
    </xf>
    <xf numFmtId="0" fontId="20" fillId="0" borderId="0" xfId="14" quotePrefix="1" applyFont="1" applyFill="1" applyBorder="1" applyAlignment="1">
      <alignment horizontal="left" wrapText="1"/>
    </xf>
    <xf numFmtId="0" fontId="20" fillId="0" borderId="0" xfId="14" applyFont="1" applyFill="1" applyBorder="1" applyAlignment="1">
      <alignment horizontal="left" wrapText="1"/>
    </xf>
    <xf numFmtId="0" fontId="50" fillId="0" borderId="0" xfId="14" applyFont="1" applyFill="1" applyAlignment="1">
      <alignment wrapText="1"/>
    </xf>
    <xf numFmtId="0" fontId="20" fillId="0" borderId="6" xfId="14" applyFont="1" applyFill="1" applyBorder="1" applyAlignment="1">
      <alignment horizontal="center" vertical="center" wrapText="1"/>
    </xf>
    <xf numFmtId="0" fontId="20" fillId="0" borderId="6" xfId="14" quotePrefix="1" applyFont="1" applyFill="1" applyBorder="1" applyAlignment="1">
      <alignment horizontal="center" vertical="center" wrapText="1"/>
    </xf>
    <xf numFmtId="0" fontId="59" fillId="0" borderId="6" xfId="14" quotePrefix="1" applyFont="1" applyFill="1" applyBorder="1" applyAlignment="1">
      <alignment horizontal="center" wrapText="1"/>
    </xf>
    <xf numFmtId="0" fontId="20" fillId="0" borderId="6" xfId="14" applyFont="1" applyFill="1" applyBorder="1" applyAlignment="1">
      <alignment horizontal="left" vertical="center" wrapText="1"/>
    </xf>
    <xf numFmtId="2" fontId="20" fillId="0" borderId="6" xfId="14" applyNumberFormat="1" applyFont="1" applyFill="1" applyBorder="1" applyAlignment="1">
      <alignment horizontal="center" vertical="center" wrapText="1"/>
    </xf>
    <xf numFmtId="2" fontId="50" fillId="0" borderId="0" xfId="14" applyNumberFormat="1" applyFont="1" applyFill="1" applyAlignment="1">
      <alignment wrapText="1"/>
    </xf>
    <xf numFmtId="1" fontId="20" fillId="0" borderId="6" xfId="14" applyNumberFormat="1" applyFont="1" applyFill="1" applyBorder="1" applyAlignment="1">
      <alignment horizontal="center" vertical="center" wrapText="1"/>
    </xf>
    <xf numFmtId="0" fontId="20" fillId="0" borderId="0" xfId="14" applyFont="1" applyFill="1" applyBorder="1" applyAlignment="1">
      <alignment wrapText="1"/>
    </xf>
    <xf numFmtId="0" fontId="50" fillId="0" borderId="0" xfId="14" applyFill="1" applyAlignment="1">
      <alignment wrapText="1"/>
    </xf>
    <xf numFmtId="0" fontId="20" fillId="0" borderId="0" xfId="14" applyFont="1" applyFill="1" applyBorder="1" applyAlignment="1">
      <alignment vertical="center" wrapText="1"/>
    </xf>
    <xf numFmtId="0" fontId="20" fillId="0" borderId="6" xfId="14" applyFont="1" applyFill="1" applyBorder="1" applyAlignment="1">
      <alignment horizontal="center" vertical="center" wrapText="1"/>
    </xf>
    <xf numFmtId="2" fontId="4" fillId="0" borderId="0" xfId="1" applyNumberFormat="1" applyFont="1" applyFill="1" applyAlignment="1">
      <alignment horizontal="center" vertical="center" wrapText="1"/>
    </xf>
    <xf numFmtId="0" fontId="6" fillId="0" borderId="0" xfId="2" applyFont="1" applyFill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2" fontId="7" fillId="0" borderId="0" xfId="2" applyNumberFormat="1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/>
    </xf>
    <xf numFmtId="2" fontId="13" fillId="0" borderId="6" xfId="1" applyNumberFormat="1" applyFont="1" applyFill="1" applyBorder="1" applyAlignment="1">
      <alignment horizontal="center" vertical="center" wrapText="1"/>
    </xf>
    <xf numFmtId="2" fontId="18" fillId="0" borderId="6" xfId="5" quotePrefix="1" applyNumberFormat="1" applyFont="1" applyFill="1" applyBorder="1" applyAlignment="1">
      <alignment horizont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2" fontId="17" fillId="0" borderId="6" xfId="14" applyNumberFormat="1" applyFont="1" applyFill="1" applyBorder="1" applyAlignment="1">
      <alignment horizontal="center" vertical="center" wrapText="1"/>
    </xf>
    <xf numFmtId="0" fontId="50" fillId="0" borderId="0" xfId="14" applyFont="1" applyFill="1" applyAlignment="1">
      <alignment vertical="center" wrapText="1"/>
    </xf>
    <xf numFmtId="0" fontId="33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33" fillId="0" borderId="2" xfId="0" applyNumberFormat="1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3" fillId="0" borderId="5" xfId="8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vertical="center"/>
    </xf>
    <xf numFmtId="2" fontId="33" fillId="0" borderId="5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/>
    </xf>
    <xf numFmtId="165" fontId="63" fillId="0" borderId="2" xfId="0" applyNumberFormat="1" applyFont="1" applyFill="1" applyBorder="1" applyAlignment="1">
      <alignment horizontal="center"/>
    </xf>
    <xf numFmtId="2" fontId="20" fillId="0" borderId="2" xfId="0" applyNumberFormat="1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5" xfId="8" applyFont="1" applyFill="1" applyBorder="1" applyAlignment="1">
      <alignment horizontal="center" vertical="center" wrapText="1"/>
    </xf>
    <xf numFmtId="0" fontId="20" fillId="0" borderId="5" xfId="0" applyFont="1" applyFill="1" applyBorder="1" applyAlignment="1"/>
    <xf numFmtId="2" fontId="20" fillId="0" borderId="5" xfId="0" applyNumberFormat="1" applyFont="1" applyFill="1" applyBorder="1" applyAlignment="1">
      <alignment horizontal="center"/>
    </xf>
    <xf numFmtId="0" fontId="20" fillId="0" borderId="7" xfId="0" applyFont="1" applyBorder="1" applyAlignment="1">
      <alignment horizontal="center" vertical="top" wrapText="1"/>
    </xf>
    <xf numFmtId="49" fontId="20" fillId="0" borderId="7" xfId="0" applyNumberFormat="1" applyFont="1" applyFill="1" applyBorder="1" applyAlignment="1">
      <alignment horizontal="center" wrapText="1"/>
    </xf>
    <xf numFmtId="0" fontId="17" fillId="2" borderId="8" xfId="0" applyFont="1" applyFill="1" applyBorder="1" applyAlignment="1">
      <alignment horizontal="left" wrapText="1"/>
    </xf>
    <xf numFmtId="0" fontId="17" fillId="0" borderId="7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 wrapText="1"/>
    </xf>
    <xf numFmtId="2" fontId="20" fillId="0" borderId="7" xfId="0" applyNumberFormat="1" applyFont="1" applyFill="1" applyBorder="1" applyAlignment="1">
      <alignment horizontal="center" vertical="top" wrapText="1"/>
    </xf>
    <xf numFmtId="0" fontId="20" fillId="0" borderId="7" xfId="0" applyNumberFormat="1" applyFont="1" applyFill="1" applyBorder="1" applyAlignment="1">
      <alignment horizontal="center" vertical="top" wrapText="1"/>
    </xf>
    <xf numFmtId="0" fontId="34" fillId="0" borderId="0" xfId="0" applyFont="1" applyBorder="1"/>
    <xf numFmtId="0" fontId="20" fillId="0" borderId="5" xfId="0" applyFont="1" applyBorder="1" applyAlignment="1">
      <alignment horizontal="center" vertical="top" wrapText="1"/>
    </xf>
    <xf numFmtId="0" fontId="64" fillId="0" borderId="5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center" wrapText="1"/>
    </xf>
    <xf numFmtId="0" fontId="20" fillId="0" borderId="5" xfId="0" applyFont="1" applyFill="1" applyBorder="1" applyAlignment="1">
      <alignment horizontal="center" vertical="top" wrapText="1"/>
    </xf>
    <xf numFmtId="2" fontId="20" fillId="0" borderId="5" xfId="0" applyNumberFormat="1" applyFont="1" applyFill="1" applyBorder="1" applyAlignment="1">
      <alignment horizontal="center" vertical="top" wrapText="1"/>
    </xf>
    <xf numFmtId="0" fontId="20" fillId="0" borderId="5" xfId="0" applyNumberFormat="1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2" fontId="20" fillId="0" borderId="2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/>
    </xf>
    <xf numFmtId="2" fontId="20" fillId="0" borderId="5" xfId="0" applyNumberFormat="1" applyFont="1" applyFill="1" applyBorder="1" applyAlignment="1">
      <alignment horizontal="center" vertical="center"/>
    </xf>
    <xf numFmtId="0" fontId="20" fillId="0" borderId="2" xfId="9" applyFont="1" applyFill="1" applyBorder="1" applyAlignment="1">
      <alignment horizontal="center" vertical="center" wrapText="1"/>
    </xf>
    <xf numFmtId="49" fontId="20" fillId="0" borderId="2" xfId="9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2" xfId="9" applyFont="1" applyFill="1" applyBorder="1" applyAlignment="1">
      <alignment horizontal="center" vertical="center" wrapText="1"/>
    </xf>
    <xf numFmtId="4" fontId="63" fillId="0" borderId="2" xfId="9" applyNumberFormat="1" applyFont="1" applyFill="1" applyBorder="1" applyAlignment="1">
      <alignment horizontal="center" vertical="center"/>
    </xf>
    <xf numFmtId="4" fontId="17" fillId="0" borderId="2" xfId="9" applyNumberFormat="1" applyFont="1" applyFill="1" applyBorder="1" applyAlignment="1">
      <alignment horizontal="center" vertical="center" wrapText="1"/>
    </xf>
    <xf numFmtId="2" fontId="17" fillId="0" borderId="2" xfId="9" applyNumberFormat="1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top" wrapText="1"/>
    </xf>
    <xf numFmtId="2" fontId="20" fillId="0" borderId="2" xfId="0" applyNumberFormat="1" applyFont="1" applyFill="1" applyBorder="1" applyAlignment="1">
      <alignment horizontal="center" vertical="top" wrapText="1"/>
    </xf>
    <xf numFmtId="0" fontId="17" fillId="0" borderId="7" xfId="8" applyFont="1" applyFill="1" applyBorder="1" applyAlignment="1">
      <alignment horizontal="center" vertical="center" wrapText="1"/>
    </xf>
    <xf numFmtId="0" fontId="33" fillId="0" borderId="7" xfId="8" applyFont="1" applyFill="1" applyBorder="1" applyAlignment="1">
      <alignment horizontal="center" vertical="center" wrapText="1"/>
    </xf>
    <xf numFmtId="0" fontId="20" fillId="0" borderId="7" xfId="8" applyFont="1" applyFill="1" applyBorder="1" applyAlignment="1">
      <alignment horizontal="left" vertical="center" wrapText="1"/>
    </xf>
    <xf numFmtId="0" fontId="20" fillId="0" borderId="7" xfId="8" applyFont="1" applyFill="1" applyBorder="1" applyAlignment="1">
      <alignment horizontal="center" vertical="center" wrapText="1"/>
    </xf>
    <xf numFmtId="4" fontId="20" fillId="0" borderId="7" xfId="8" applyNumberFormat="1" applyFont="1" applyFill="1" applyBorder="1" applyAlignment="1">
      <alignment horizontal="center" vertical="center"/>
    </xf>
    <xf numFmtId="2" fontId="53" fillId="0" borderId="7" xfId="0" applyNumberFormat="1" applyFont="1" applyFill="1" applyBorder="1" applyAlignment="1">
      <alignment horizontal="center" vertical="center"/>
    </xf>
    <xf numFmtId="2" fontId="20" fillId="0" borderId="7" xfId="8" applyNumberFormat="1" applyFont="1" applyFill="1" applyBorder="1" applyAlignment="1">
      <alignment horizontal="center" vertical="center" wrapText="1"/>
    </xf>
    <xf numFmtId="2" fontId="17" fillId="0" borderId="7" xfId="0" applyNumberFormat="1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left" vertical="center" wrapText="1"/>
    </xf>
    <xf numFmtId="2" fontId="20" fillId="0" borderId="7" xfId="0" applyNumberFormat="1" applyFont="1" applyFill="1" applyBorder="1" applyAlignment="1">
      <alignment horizontal="center" vertical="center" wrapText="1"/>
    </xf>
    <xf numFmtId="4" fontId="20" fillId="0" borderId="7" xfId="8" applyNumberFormat="1" applyFont="1" applyFill="1" applyBorder="1" applyAlignment="1">
      <alignment horizontal="center" vertical="center" wrapText="1"/>
    </xf>
    <xf numFmtId="0" fontId="17" fillId="0" borderId="7" xfId="9" applyFont="1" applyFill="1" applyBorder="1" applyAlignment="1">
      <alignment horizontal="center" vertical="center" wrapText="1"/>
    </xf>
    <xf numFmtId="0" fontId="20" fillId="0" borderId="7" xfId="9" applyFont="1" applyFill="1" applyBorder="1" applyAlignment="1">
      <alignment horizontal="left" vertical="center" wrapText="1"/>
    </xf>
    <xf numFmtId="0" fontId="20" fillId="0" borderId="7" xfId="9" applyFont="1" applyFill="1" applyBorder="1" applyAlignment="1">
      <alignment horizontal="center" vertical="center" wrapText="1"/>
    </xf>
    <xf numFmtId="4" fontId="20" fillId="0" borderId="7" xfId="9" applyNumberFormat="1" applyFont="1" applyFill="1" applyBorder="1" applyAlignment="1">
      <alignment horizontal="center" vertical="center"/>
    </xf>
    <xf numFmtId="4" fontId="20" fillId="0" borderId="7" xfId="9" applyNumberFormat="1" applyFont="1" applyFill="1" applyBorder="1" applyAlignment="1">
      <alignment horizontal="center" vertical="center" wrapText="1"/>
    </xf>
    <xf numFmtId="2" fontId="55" fillId="0" borderId="7" xfId="0" applyNumberFormat="1" applyFont="1" applyFill="1" applyBorder="1" applyAlignment="1">
      <alignment horizontal="center" vertical="center"/>
    </xf>
    <xf numFmtId="2" fontId="20" fillId="0" borderId="7" xfId="9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4" fontId="20" fillId="0" borderId="5" xfId="8" applyNumberFormat="1" applyFont="1" applyFill="1" applyBorder="1" applyAlignment="1">
      <alignment horizontal="center" vertical="center"/>
    </xf>
    <xf numFmtId="2" fontId="20" fillId="0" borderId="5" xfId="0" applyNumberFormat="1" applyFont="1" applyFill="1" applyBorder="1" applyAlignment="1">
      <alignment horizontal="center" vertical="center" wrapText="1"/>
    </xf>
    <xf numFmtId="4" fontId="20" fillId="0" borderId="5" xfId="8" applyNumberFormat="1" applyFont="1" applyFill="1" applyBorder="1" applyAlignment="1">
      <alignment horizontal="center" vertical="center" wrapText="1"/>
    </xf>
    <xf numFmtId="2" fontId="55" fillId="0" borderId="5" xfId="0" applyNumberFormat="1" applyFont="1" applyFill="1" applyBorder="1" applyAlignment="1">
      <alignment horizontal="center" vertical="center"/>
    </xf>
    <xf numFmtId="2" fontId="20" fillId="0" borderId="5" xfId="8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/>
    </xf>
    <xf numFmtId="49" fontId="20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/>
    </xf>
    <xf numFmtId="0" fontId="20" fillId="0" borderId="7" xfId="0" applyFont="1" applyFill="1" applyBorder="1" applyAlignment="1"/>
    <xf numFmtId="0" fontId="20" fillId="0" borderId="7" xfId="0" applyFont="1" applyFill="1" applyBorder="1" applyAlignment="1">
      <alignment horizontal="center"/>
    </xf>
    <xf numFmtId="2" fontId="20" fillId="0" borderId="7" xfId="0" applyNumberFormat="1" applyFont="1" applyFill="1" applyBorder="1" applyAlignment="1">
      <alignment horizontal="center" vertical="center"/>
    </xf>
    <xf numFmtId="2" fontId="20" fillId="0" borderId="7" xfId="0" applyNumberFormat="1" applyFont="1" applyFill="1" applyBorder="1" applyAlignment="1">
      <alignment horizontal="center"/>
    </xf>
    <xf numFmtId="164" fontId="20" fillId="0" borderId="7" xfId="0" applyNumberFormat="1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/>
    </xf>
    <xf numFmtId="0" fontId="65" fillId="0" borderId="2" xfId="0" applyFont="1" applyFill="1" applyBorder="1" applyAlignment="1">
      <alignment horizontal="center"/>
    </xf>
    <xf numFmtId="49" fontId="20" fillId="0" borderId="2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0" fontId="17" fillId="0" borderId="2" xfId="0" applyFont="1" applyFill="1" applyBorder="1" applyAlignment="1">
      <alignment horizontal="center" wrapText="1"/>
    </xf>
    <xf numFmtId="1" fontId="17" fillId="0" borderId="2" xfId="0" applyNumberFormat="1" applyFont="1" applyFill="1" applyBorder="1" applyAlignment="1">
      <alignment horizontal="center" vertical="top" wrapText="1"/>
    </xf>
    <xf numFmtId="165" fontId="17" fillId="0" borderId="2" xfId="0" applyNumberFormat="1" applyFont="1" applyFill="1" applyBorder="1" applyAlignment="1">
      <alignment horizontal="center" vertical="top" wrapText="1"/>
    </xf>
    <xf numFmtId="165" fontId="20" fillId="3" borderId="0" xfId="0" applyNumberFormat="1" applyFont="1" applyFill="1" applyBorder="1"/>
    <xf numFmtId="0" fontId="66" fillId="0" borderId="0" xfId="0" applyFont="1" applyFill="1" applyBorder="1"/>
    <xf numFmtId="0" fontId="65" fillId="0" borderId="7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left" wrapText="1"/>
    </xf>
    <xf numFmtId="165" fontId="20" fillId="0" borderId="7" xfId="0" applyNumberFormat="1" applyFont="1" applyFill="1" applyBorder="1" applyAlignment="1">
      <alignment horizontal="center" vertical="top" wrapText="1"/>
    </xf>
    <xf numFmtId="14" fontId="20" fillId="0" borderId="7" xfId="0" applyNumberFormat="1" applyFont="1" applyFill="1" applyBorder="1" applyAlignment="1">
      <alignment horizontal="center"/>
    </xf>
    <xf numFmtId="0" fontId="20" fillId="0" borderId="8" xfId="0" applyFont="1" applyFill="1" applyBorder="1" applyAlignment="1">
      <alignment horizontal="left"/>
    </xf>
    <xf numFmtId="164" fontId="20" fillId="0" borderId="7" xfId="0" applyNumberFormat="1" applyFont="1" applyFill="1" applyBorder="1" applyAlignment="1">
      <alignment horizontal="center" wrapText="1"/>
    </xf>
    <xf numFmtId="0" fontId="28" fillId="0" borderId="2" xfId="0" applyFont="1" applyFill="1" applyBorder="1" applyAlignment="1">
      <alignment horizontal="center" vertical="center" wrapText="1"/>
    </xf>
    <xf numFmtId="49" fontId="30" fillId="0" borderId="2" xfId="6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17" fillId="0" borderId="2" xfId="6" applyFont="1" applyFill="1" applyBorder="1" applyAlignment="1">
      <alignment horizontal="center" vertical="center" wrapText="1"/>
    </xf>
    <xf numFmtId="164" fontId="31" fillId="0" borderId="2" xfId="6" applyNumberFormat="1" applyFont="1" applyFill="1" applyBorder="1" applyAlignment="1">
      <alignment horizontal="center" vertical="center" wrapText="1"/>
    </xf>
    <xf numFmtId="2" fontId="31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33" fillId="0" borderId="7" xfId="6" applyFont="1" applyFill="1" applyBorder="1" applyAlignment="1">
      <alignment horizontal="center" vertical="center" wrapText="1"/>
    </xf>
    <xf numFmtId="0" fontId="20" fillId="0" borderId="7" xfId="6" applyFont="1" applyFill="1" applyBorder="1" applyAlignment="1">
      <alignment horizontal="left" vertical="center" wrapText="1"/>
    </xf>
    <xf numFmtId="0" fontId="20" fillId="0" borderId="7" xfId="6" applyFont="1" applyFill="1" applyBorder="1" applyAlignment="1">
      <alignment horizontal="center" vertical="center" wrapText="1"/>
    </xf>
    <xf numFmtId="165" fontId="28" fillId="0" borderId="7" xfId="6" applyNumberFormat="1" applyFont="1" applyFill="1" applyBorder="1" applyAlignment="1">
      <alignment horizontal="center" vertical="center" wrapText="1"/>
    </xf>
    <xf numFmtId="2" fontId="28" fillId="0" borderId="7" xfId="6" applyNumberFormat="1" applyFont="1" applyFill="1" applyBorder="1" applyAlignment="1">
      <alignment horizontal="center" vertical="center" wrapText="1"/>
    </xf>
    <xf numFmtId="2" fontId="28" fillId="0" borderId="7" xfId="0" applyNumberFormat="1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 wrapText="1"/>
    </xf>
    <xf numFmtId="164" fontId="34" fillId="0" borderId="0" xfId="0" applyNumberFormat="1" applyFont="1" applyFill="1" applyBorder="1" applyAlignment="1">
      <alignment horizontal="center" vertical="center" wrapText="1"/>
    </xf>
    <xf numFmtId="164" fontId="28" fillId="0" borderId="7" xfId="6" applyNumberFormat="1" applyFont="1" applyFill="1" applyBorder="1" applyAlignment="1">
      <alignment horizontal="center" vertical="center" wrapText="1"/>
    </xf>
    <xf numFmtId="0" fontId="13" fillId="0" borderId="7" xfId="6" applyFont="1" applyFill="1" applyBorder="1" applyAlignment="1">
      <alignment horizontal="center" vertical="center" wrapText="1"/>
    </xf>
    <xf numFmtId="2" fontId="12" fillId="0" borderId="7" xfId="6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7" xfId="6" applyFont="1" applyFill="1" applyBorder="1" applyAlignment="1">
      <alignment horizontal="center" vertical="center" wrapText="1"/>
    </xf>
    <xf numFmtId="2" fontId="13" fillId="0" borderId="7" xfId="6" applyNumberFormat="1" applyFont="1" applyFill="1" applyBorder="1" applyAlignment="1">
      <alignment horizontal="center" vertical="center" wrapText="1"/>
    </xf>
    <xf numFmtId="165" fontId="28" fillId="0" borderId="7" xfId="0" applyNumberFormat="1" applyFont="1" applyFill="1" applyBorder="1" applyAlignment="1">
      <alignment horizontal="center" vertical="center" wrapText="1"/>
    </xf>
    <xf numFmtId="165" fontId="13" fillId="0" borderId="7" xfId="0" applyNumberFormat="1" applyFont="1" applyFill="1" applyBorder="1" applyAlignment="1">
      <alignment horizontal="center" wrapText="1"/>
    </xf>
    <xf numFmtId="2" fontId="27" fillId="0" borderId="7" xfId="0" applyNumberFormat="1" applyFont="1" applyFill="1" applyBorder="1" applyAlignment="1">
      <alignment horizontal="center" vertical="center" wrapText="1"/>
    </xf>
    <xf numFmtId="2" fontId="35" fillId="0" borderId="7" xfId="6" applyNumberFormat="1" applyFont="1" applyFill="1" applyBorder="1" applyAlignment="1">
      <alignment horizontal="center" vertical="center" wrapText="1"/>
    </xf>
    <xf numFmtId="164" fontId="13" fillId="0" borderId="7" xfId="6" applyNumberFormat="1" applyFont="1" applyFill="1" applyBorder="1" applyAlignment="1">
      <alignment horizontal="center" vertical="center" wrapText="1"/>
    </xf>
    <xf numFmtId="2" fontId="36" fillId="0" borderId="7" xfId="6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/>
    </xf>
    <xf numFmtId="0" fontId="17" fillId="0" borderId="2" xfId="0" applyNumberFormat="1" applyFont="1" applyFill="1" applyBorder="1" applyAlignment="1">
      <alignment horizontal="center" vertical="top" wrapText="1"/>
    </xf>
    <xf numFmtId="1" fontId="34" fillId="0" borderId="0" xfId="0" applyNumberFormat="1" applyFont="1" applyBorder="1"/>
    <xf numFmtId="0" fontId="13" fillId="0" borderId="5" xfId="6" applyFont="1" applyFill="1" applyBorder="1" applyAlignment="1">
      <alignment horizontal="center" vertical="center" wrapText="1"/>
    </xf>
    <xf numFmtId="2" fontId="35" fillId="0" borderId="5" xfId="6" applyNumberFormat="1" applyFont="1" applyFill="1" applyBorder="1" applyAlignment="1">
      <alignment horizontal="center" vertical="center" wrapText="1"/>
    </xf>
    <xf numFmtId="0" fontId="9" fillId="0" borderId="5" xfId="6" applyFont="1" applyFill="1" applyBorder="1" applyAlignment="1">
      <alignment horizontal="center" vertical="center" wrapText="1"/>
    </xf>
    <xf numFmtId="164" fontId="13" fillId="0" borderId="5" xfId="6" applyNumberFormat="1" applyFont="1" applyFill="1" applyBorder="1" applyAlignment="1">
      <alignment horizontal="center" vertical="center" wrapText="1"/>
    </xf>
    <xf numFmtId="2" fontId="28" fillId="0" borderId="5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wrapText="1"/>
    </xf>
    <xf numFmtId="2" fontId="32" fillId="0" borderId="0" xfId="0" applyNumberFormat="1" applyFont="1" applyFill="1" applyBorder="1" applyAlignment="1">
      <alignment horizontal="center" vertical="center" wrapText="1"/>
    </xf>
    <xf numFmtId="164" fontId="32" fillId="0" borderId="0" xfId="0" applyNumberFormat="1" applyFont="1" applyFill="1" applyBorder="1" applyAlignment="1">
      <alignment horizontal="center" vertical="center" wrapText="1"/>
    </xf>
    <xf numFmtId="2" fontId="34" fillId="0" borderId="0" xfId="0" applyNumberFormat="1" applyFont="1" applyFill="1" applyBorder="1" applyAlignment="1">
      <alignment horizontal="center" vertical="center" wrapText="1"/>
    </xf>
    <xf numFmtId="0" fontId="67" fillId="3" borderId="2" xfId="0" applyFont="1" applyFill="1" applyBorder="1" applyAlignment="1">
      <alignment horizontal="center" vertical="center" wrapText="1"/>
    </xf>
    <xf numFmtId="49" fontId="29" fillId="3" borderId="2" xfId="0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left" vertical="center" wrapText="1"/>
    </xf>
    <xf numFmtId="0" fontId="68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2" fontId="0" fillId="3" borderId="2" xfId="0" applyNumberFormat="1" applyFill="1" applyBorder="1" applyAlignment="1">
      <alignment horizontal="center" vertical="center" wrapText="1"/>
    </xf>
    <xf numFmtId="0" fontId="67" fillId="3" borderId="7" xfId="0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left" vertical="center" wrapText="1"/>
    </xf>
    <xf numFmtId="2" fontId="0" fillId="3" borderId="7" xfId="0" applyNumberFormat="1" applyFill="1" applyBorder="1" applyAlignment="1">
      <alignment horizontal="center" vertical="center" wrapText="1"/>
    </xf>
    <xf numFmtId="165" fontId="0" fillId="3" borderId="7" xfId="0" applyNumberForma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167" fontId="0" fillId="3" borderId="7" xfId="0" applyNumberFormat="1" applyFill="1" applyBorder="1" applyAlignment="1">
      <alignment horizontal="center" vertical="center" wrapText="1"/>
    </xf>
    <xf numFmtId="0" fontId="67" fillId="3" borderId="7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10" fillId="3" borderId="7" xfId="0" applyFont="1" applyFill="1" applyBorder="1" applyAlignment="1">
      <alignment wrapText="1"/>
    </xf>
    <xf numFmtId="0" fontId="0" fillId="3" borderId="7" xfId="0" applyFill="1" applyBorder="1" applyAlignment="1">
      <alignment horizontal="center" wrapText="1"/>
    </xf>
    <xf numFmtId="2" fontId="0" fillId="3" borderId="7" xfId="0" applyNumberFormat="1" applyFill="1" applyBorder="1" applyAlignment="1">
      <alignment horizontal="center" wrapText="1"/>
    </xf>
    <xf numFmtId="165" fontId="0" fillId="3" borderId="7" xfId="0" applyNumberFormat="1" applyFill="1" applyBorder="1" applyAlignment="1">
      <alignment horizontal="center" wrapText="1"/>
    </xf>
    <xf numFmtId="0" fontId="29" fillId="3" borderId="7" xfId="0" applyFont="1" applyFill="1" applyBorder="1" applyAlignment="1">
      <alignment horizontal="center" wrapText="1"/>
    </xf>
    <xf numFmtId="0" fontId="29" fillId="3" borderId="7" xfId="0" applyFont="1" applyFill="1" applyBorder="1" applyAlignment="1">
      <alignment wrapText="1"/>
    </xf>
    <xf numFmtId="0" fontId="67" fillId="3" borderId="5" xfId="0" applyFont="1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5" xfId="0" applyFill="1" applyBorder="1" applyAlignment="1">
      <alignment horizontal="center" wrapText="1"/>
    </xf>
    <xf numFmtId="2" fontId="0" fillId="3" borderId="5" xfId="0" applyNumberFormat="1" applyFill="1" applyBorder="1" applyAlignment="1">
      <alignment horizontal="center" wrapText="1"/>
    </xf>
    <xf numFmtId="2" fontId="0" fillId="3" borderId="5" xfId="0" applyNumberFormat="1" applyFill="1" applyBorder="1" applyAlignment="1">
      <alignment horizontal="center" vertical="center" wrapText="1"/>
    </xf>
    <xf numFmtId="0" fontId="70" fillId="3" borderId="2" xfId="0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wrapText="1"/>
    </xf>
    <xf numFmtId="2" fontId="19" fillId="0" borderId="7" xfId="0" applyNumberFormat="1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 vertical="center" wrapText="1"/>
    </xf>
    <xf numFmtId="2" fontId="13" fillId="0" borderId="5" xfId="6" applyNumberFormat="1" applyFont="1" applyFill="1" applyBorder="1" applyAlignment="1">
      <alignment horizontal="center" vertical="center" wrapText="1"/>
    </xf>
    <xf numFmtId="2" fontId="27" fillId="0" borderId="5" xfId="0" applyNumberFormat="1" applyFont="1" applyFill="1" applyBorder="1" applyAlignment="1">
      <alignment horizontal="center" vertical="center" wrapText="1"/>
    </xf>
    <xf numFmtId="165" fontId="28" fillId="0" borderId="5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2" fontId="38" fillId="0" borderId="2" xfId="0" applyNumberFormat="1" applyFont="1" applyFill="1" applyBorder="1" applyAlignment="1">
      <alignment horizontal="center" vertical="center" wrapText="1"/>
    </xf>
    <xf numFmtId="2" fontId="27" fillId="0" borderId="2" xfId="0" applyNumberFormat="1" applyFont="1" applyFill="1" applyBorder="1" applyAlignment="1">
      <alignment horizontal="center" vertical="center" wrapText="1"/>
    </xf>
    <xf numFmtId="2" fontId="26" fillId="0" borderId="2" xfId="0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33" fillId="0" borderId="5" xfId="6" applyFont="1" applyFill="1" applyBorder="1" applyAlignment="1">
      <alignment horizontal="center" vertical="center" wrapText="1"/>
    </xf>
    <xf numFmtId="0" fontId="20" fillId="0" borderId="5" xfId="6" applyFont="1" applyFill="1" applyBorder="1" applyAlignment="1">
      <alignment horizontal="left" vertical="center" wrapText="1"/>
    </xf>
    <xf numFmtId="0" fontId="20" fillId="0" borderId="5" xfId="6" applyFont="1" applyFill="1" applyBorder="1" applyAlignment="1">
      <alignment horizontal="center" vertical="center" wrapText="1"/>
    </xf>
    <xf numFmtId="0" fontId="28" fillId="0" borderId="2" xfId="7" applyFont="1" applyFill="1" applyBorder="1" applyAlignment="1">
      <alignment horizontal="center" vertical="center" wrapText="1"/>
    </xf>
    <xf numFmtId="0" fontId="30" fillId="0" borderId="2" xfId="7" applyFont="1" applyFill="1" applyBorder="1" applyAlignment="1">
      <alignment horizontal="left" vertical="center" wrapText="1"/>
    </xf>
    <xf numFmtId="0" fontId="21" fillId="0" borderId="2" xfId="7" applyFont="1" applyFill="1" applyBorder="1" applyAlignment="1">
      <alignment horizontal="center" vertical="center"/>
    </xf>
    <xf numFmtId="2" fontId="41" fillId="0" borderId="2" xfId="7" applyNumberFormat="1" applyFont="1" applyFill="1" applyBorder="1" applyAlignment="1">
      <alignment horizontal="center" vertical="center" wrapText="1"/>
    </xf>
    <xf numFmtId="2" fontId="19" fillId="0" borderId="2" xfId="7" applyNumberFormat="1" applyFont="1" applyFill="1" applyBorder="1" applyAlignment="1">
      <alignment horizontal="center" vertical="center" wrapText="1"/>
    </xf>
    <xf numFmtId="2" fontId="42" fillId="0" borderId="2" xfId="7" applyNumberFormat="1" applyFont="1" applyFill="1" applyBorder="1" applyAlignment="1">
      <alignment horizontal="center" vertical="center" wrapText="1"/>
    </xf>
    <xf numFmtId="2" fontId="43" fillId="0" borderId="7" xfId="0" applyNumberFormat="1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167" fontId="28" fillId="0" borderId="7" xfId="0" applyNumberFormat="1" applyFont="1" applyFill="1" applyBorder="1" applyAlignment="1">
      <alignment horizontal="center" vertical="center" wrapText="1"/>
    </xf>
    <xf numFmtId="2" fontId="44" fillId="0" borderId="7" xfId="0" applyNumberFormat="1" applyFont="1" applyFill="1" applyBorder="1" applyAlignment="1">
      <alignment horizontal="center" vertical="center" wrapText="1"/>
    </xf>
    <xf numFmtId="2" fontId="43" fillId="0" borderId="5" xfId="0" applyNumberFormat="1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2" fontId="19" fillId="0" borderId="5" xfId="0" applyNumberFormat="1" applyFont="1" applyFill="1" applyBorder="1" applyAlignment="1">
      <alignment horizontal="center" vertical="center" wrapText="1"/>
    </xf>
    <xf numFmtId="2" fontId="44" fillId="0" borderId="5" xfId="0" applyNumberFormat="1" applyFont="1" applyFill="1" applyBorder="1" applyAlignment="1">
      <alignment horizontal="center" vertical="center" wrapText="1"/>
    </xf>
    <xf numFmtId="0" fontId="30" fillId="0" borderId="2" xfId="7" applyFont="1" applyFill="1" applyBorder="1" applyAlignment="1">
      <alignment horizontal="center" vertical="center"/>
    </xf>
    <xf numFmtId="16" fontId="33" fillId="0" borderId="2" xfId="7" applyNumberFormat="1" applyFont="1" applyFill="1" applyBorder="1" applyAlignment="1">
      <alignment horizontal="center" vertical="center"/>
    </xf>
    <xf numFmtId="14" fontId="17" fillId="0" borderId="2" xfId="7" applyNumberFormat="1" applyFont="1" applyFill="1" applyBorder="1" applyAlignment="1">
      <alignment horizontal="center" vertical="center"/>
    </xf>
    <xf numFmtId="0" fontId="22" fillId="0" borderId="2" xfId="6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2" fontId="19" fillId="0" borderId="7" xfId="7" applyNumberFormat="1" applyFont="1" applyFill="1" applyBorder="1" applyAlignment="1">
      <alignment horizontal="center" vertical="center" wrapText="1"/>
    </xf>
    <xf numFmtId="0" fontId="28" fillId="0" borderId="5" xfId="7" applyFont="1" applyFill="1" applyBorder="1" applyAlignment="1">
      <alignment horizontal="center" vertical="center" wrapText="1"/>
    </xf>
    <xf numFmtId="2" fontId="43" fillId="0" borderId="5" xfId="7" applyNumberFormat="1" applyFont="1" applyFill="1" applyBorder="1" applyAlignment="1">
      <alignment horizontal="center" vertical="center"/>
    </xf>
    <xf numFmtId="2" fontId="19" fillId="0" borderId="5" xfId="7" applyNumberFormat="1" applyFont="1" applyFill="1" applyBorder="1" applyAlignment="1">
      <alignment horizontal="center" vertical="center" wrapText="1"/>
    </xf>
    <xf numFmtId="0" fontId="17" fillId="0" borderId="2" xfId="7" applyFont="1" applyFill="1" applyBorder="1" applyAlignment="1">
      <alignment horizontal="left" vertical="center" wrapText="1"/>
    </xf>
    <xf numFmtId="2" fontId="12" fillId="0" borderId="5" xfId="6" applyNumberFormat="1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13" fillId="0" borderId="2" xfId="6" applyFont="1" applyFill="1" applyBorder="1" applyAlignment="1">
      <alignment horizontal="center" vertical="center" wrapText="1"/>
    </xf>
    <xf numFmtId="2" fontId="9" fillId="0" borderId="2" xfId="6" applyNumberFormat="1" applyFont="1" applyFill="1" applyBorder="1" applyAlignment="1">
      <alignment horizontal="center" vertical="center" wrapText="1"/>
    </xf>
    <xf numFmtId="2" fontId="27" fillId="0" borderId="2" xfId="6" applyNumberFormat="1" applyFont="1" applyFill="1" applyBorder="1" applyAlignment="1">
      <alignment horizontal="center" vertical="center" wrapText="1"/>
    </xf>
    <xf numFmtId="2" fontId="28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0" fontId="67" fillId="3" borderId="2" xfId="0" applyFont="1" applyFill="1" applyBorder="1" applyAlignment="1">
      <alignment horizontal="center" vertical="center"/>
    </xf>
    <xf numFmtId="0" fontId="56" fillId="3" borderId="2" xfId="0" applyFont="1" applyFill="1" applyBorder="1" applyAlignment="1">
      <alignment vertical="top" wrapText="1"/>
    </xf>
    <xf numFmtId="14" fontId="56" fillId="3" borderId="2" xfId="0" applyNumberFormat="1" applyFont="1" applyFill="1" applyBorder="1" applyAlignment="1">
      <alignment horizontal="center" vertical="center"/>
    </xf>
    <xf numFmtId="2" fontId="56" fillId="3" borderId="2" xfId="0" applyNumberFormat="1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0" fontId="0" fillId="0" borderId="0" xfId="0" applyBorder="1"/>
    <xf numFmtId="0" fontId="67" fillId="3" borderId="7" xfId="0" applyFont="1" applyFill="1" applyBorder="1" applyAlignment="1">
      <alignment horizontal="center" vertical="center"/>
    </xf>
    <xf numFmtId="14" fontId="0" fillId="3" borderId="7" xfId="0" applyNumberFormat="1" applyFill="1" applyBorder="1" applyAlignment="1">
      <alignment horizontal="center" vertical="center"/>
    </xf>
    <xf numFmtId="2" fontId="0" fillId="3" borderId="7" xfId="0" applyNumberFormat="1" applyFill="1" applyBorder="1" applyAlignment="1">
      <alignment horizontal="center" vertical="center"/>
    </xf>
    <xf numFmtId="2" fontId="72" fillId="3" borderId="7" xfId="0" applyNumberFormat="1" applyFont="1" applyFill="1" applyBorder="1" applyAlignment="1">
      <alignment horizontal="center" vertical="top" wrapText="1"/>
    </xf>
    <xf numFmtId="0" fontId="72" fillId="3" borderId="7" xfId="0" applyNumberFormat="1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vertical="center" wrapText="1"/>
    </xf>
    <xf numFmtId="165" fontId="0" fillId="3" borderId="7" xfId="0" applyNumberFormat="1" applyFill="1" applyBorder="1" applyAlignment="1">
      <alignment horizontal="center" vertical="center"/>
    </xf>
    <xf numFmtId="0" fontId="72" fillId="3" borderId="7" xfId="0" applyFont="1" applyFill="1" applyBorder="1" applyAlignment="1">
      <alignment horizontal="center" vertical="top" wrapText="1"/>
    </xf>
    <xf numFmtId="0" fontId="67" fillId="3" borderId="7" xfId="0" applyNumberFormat="1" applyFont="1" applyFill="1" applyBorder="1" applyAlignment="1">
      <alignment horizontal="center" vertical="top" wrapText="1"/>
    </xf>
    <xf numFmtId="165" fontId="67" fillId="3" borderId="7" xfId="0" applyNumberFormat="1" applyFont="1" applyFill="1" applyBorder="1" applyAlignment="1">
      <alignment horizontal="center" vertical="top" wrapText="1"/>
    </xf>
    <xf numFmtId="2" fontId="67" fillId="3" borderId="7" xfId="0" applyNumberFormat="1" applyFont="1" applyFill="1" applyBorder="1" applyAlignment="1">
      <alignment horizontal="center" vertical="top" wrapText="1"/>
    </xf>
    <xf numFmtId="165" fontId="49" fillId="3" borderId="7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top" wrapText="1"/>
    </xf>
    <xf numFmtId="0" fontId="59" fillId="0" borderId="2" xfId="0" quotePrefix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horizontal="center" vertical="top" wrapText="1"/>
    </xf>
    <xf numFmtId="0" fontId="20" fillId="0" borderId="2" xfId="0" applyNumberFormat="1" applyFont="1" applyFill="1" applyBorder="1" applyAlignment="1">
      <alignment horizontal="center" vertical="top" wrapText="1"/>
    </xf>
    <xf numFmtId="16" fontId="59" fillId="0" borderId="7" xfId="0" applyNumberFormat="1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vertical="top" wrapText="1"/>
    </xf>
    <xf numFmtId="14" fontId="59" fillId="0" borderId="7" xfId="0" quotePrefix="1" applyNumberFormat="1" applyFont="1" applyFill="1" applyBorder="1" applyAlignment="1">
      <alignment horizontal="center" vertical="top" wrapText="1"/>
    </xf>
    <xf numFmtId="0" fontId="59" fillId="0" borderId="7" xfId="0" quotePrefix="1" applyFont="1" applyFill="1" applyBorder="1" applyAlignment="1">
      <alignment horizontal="center" vertical="top" wrapText="1"/>
    </xf>
    <xf numFmtId="0" fontId="59" fillId="0" borderId="5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vertical="top" wrapText="1"/>
    </xf>
    <xf numFmtId="0" fontId="17" fillId="0" borderId="2" xfId="0" applyFont="1" applyFill="1" applyBorder="1" applyAlignment="1">
      <alignment horizontal="left" vertical="top" wrapText="1"/>
    </xf>
    <xf numFmtId="0" fontId="20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horizontal="center" vertical="top" wrapText="1"/>
    </xf>
    <xf numFmtId="0" fontId="20" fillId="3" borderId="2" xfId="0" applyFont="1" applyFill="1" applyBorder="1" applyAlignment="1">
      <alignment horizontal="center" vertical="top" wrapText="1"/>
    </xf>
    <xf numFmtId="165" fontId="17" fillId="3" borderId="2" xfId="0" applyNumberFormat="1" applyFont="1" applyFill="1" applyBorder="1" applyAlignment="1">
      <alignment horizontal="center" vertical="top" wrapText="1"/>
    </xf>
    <xf numFmtId="2" fontId="20" fillId="3" borderId="2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20" fillId="3" borderId="7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vertical="center" wrapText="1"/>
    </xf>
    <xf numFmtId="2" fontId="72" fillId="3" borderId="7" xfId="0" applyNumberFormat="1" applyFont="1" applyFill="1" applyBorder="1" applyAlignment="1">
      <alignment horizontal="center" vertical="center" wrapText="1"/>
    </xf>
    <xf numFmtId="165" fontId="72" fillId="3" borderId="7" xfId="0" applyNumberFormat="1" applyFont="1" applyFill="1" applyBorder="1" applyAlignment="1">
      <alignment horizontal="center" vertical="center" wrapText="1"/>
    </xf>
    <xf numFmtId="165" fontId="72" fillId="3" borderId="7" xfId="0" applyNumberFormat="1" applyFont="1" applyFill="1" applyBorder="1" applyAlignment="1">
      <alignment horizontal="center" vertical="top" wrapText="1"/>
    </xf>
    <xf numFmtId="164" fontId="72" fillId="3" borderId="7" xfId="0" applyNumberFormat="1" applyFont="1" applyFill="1" applyBorder="1" applyAlignment="1">
      <alignment horizontal="center" vertical="center" wrapText="1"/>
    </xf>
    <xf numFmtId="0" fontId="72" fillId="3" borderId="7" xfId="0" applyFont="1" applyFill="1" applyBorder="1" applyAlignment="1">
      <alignment horizontal="center" vertical="center" wrapText="1"/>
    </xf>
    <xf numFmtId="0" fontId="72" fillId="3" borderId="7" xfId="0" applyNumberFormat="1" applyFont="1" applyFill="1" applyBorder="1" applyAlignment="1">
      <alignment horizontal="center" vertical="center" wrapText="1"/>
    </xf>
    <xf numFmtId="0" fontId="67" fillId="3" borderId="5" xfId="0" applyFont="1" applyFill="1" applyBorder="1" applyAlignment="1">
      <alignment horizontal="center" vertical="top" wrapText="1"/>
    </xf>
    <xf numFmtId="0" fontId="72" fillId="3" borderId="5" xfId="0" applyFont="1" applyFill="1" applyBorder="1" applyAlignment="1">
      <alignment horizontal="center" vertical="top" wrapText="1"/>
    </xf>
    <xf numFmtId="0" fontId="67" fillId="3" borderId="5" xfId="0" applyFont="1" applyFill="1" applyBorder="1" applyAlignment="1">
      <alignment horizontal="left" vertical="top" wrapText="1"/>
    </xf>
    <xf numFmtId="0" fontId="72" fillId="3" borderId="5" xfId="0" applyFont="1" applyFill="1" applyBorder="1" applyAlignment="1">
      <alignment horizontal="center" wrapText="1"/>
    </xf>
    <xf numFmtId="164" fontId="72" fillId="3" borderId="5" xfId="0" applyNumberFormat="1" applyFont="1" applyFill="1" applyBorder="1" applyAlignment="1">
      <alignment horizontal="center" vertical="top" wrapText="1"/>
    </xf>
    <xf numFmtId="2" fontId="72" fillId="3" borderId="5" xfId="0" applyNumberFormat="1" applyFont="1" applyFill="1" applyBorder="1" applyAlignment="1">
      <alignment horizontal="center" vertical="top" wrapText="1"/>
    </xf>
    <xf numFmtId="0" fontId="72" fillId="3" borderId="5" xfId="0" applyNumberFormat="1" applyFont="1" applyFill="1" applyBorder="1" applyAlignment="1">
      <alignment horizontal="center" vertical="center" wrapText="1"/>
    </xf>
    <xf numFmtId="165" fontId="72" fillId="3" borderId="5" xfId="0" applyNumberFormat="1" applyFont="1" applyFill="1" applyBorder="1" applyAlignment="1">
      <alignment horizontal="center" vertical="center" wrapText="1"/>
    </xf>
    <xf numFmtId="2" fontId="72" fillId="3" borderId="5" xfId="0" applyNumberFormat="1" applyFont="1" applyFill="1" applyBorder="1" applyAlignment="1">
      <alignment horizontal="center" vertical="center" wrapText="1"/>
    </xf>
    <xf numFmtId="0" fontId="20" fillId="3" borderId="0" xfId="0" applyFont="1" applyFill="1" applyBorder="1"/>
    <xf numFmtId="4" fontId="26" fillId="0" borderId="6" xfId="0" applyNumberFormat="1" applyFont="1" applyFill="1" applyBorder="1" applyAlignment="1">
      <alignment horizontal="center" vertical="center" wrapText="1"/>
    </xf>
    <xf numFmtId="4" fontId="27" fillId="0" borderId="6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 wrapText="1"/>
    </xf>
    <xf numFmtId="0" fontId="20" fillId="0" borderId="6" xfId="14" applyFont="1" applyFill="1" applyBorder="1" applyAlignment="1">
      <alignment horizontal="center" vertical="center" wrapText="1"/>
    </xf>
    <xf numFmtId="0" fontId="20" fillId="0" borderId="2" xfId="14" applyFont="1" applyFill="1" applyBorder="1" applyAlignment="1">
      <alignment horizontal="center" vertical="center" wrapText="1"/>
    </xf>
    <xf numFmtId="0" fontId="17" fillId="0" borderId="6" xfId="14" applyFont="1" applyFill="1" applyBorder="1" applyAlignment="1">
      <alignment horizontal="left" vertical="center" wrapText="1"/>
    </xf>
    <xf numFmtId="0" fontId="20" fillId="0" borderId="7" xfId="0" quotePrefix="1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left" vertical="top" wrapText="1"/>
    </xf>
    <xf numFmtId="166" fontId="20" fillId="0" borderId="7" xfId="8" applyNumberFormat="1" applyFont="1" applyFill="1" applyBorder="1" applyAlignment="1">
      <alignment horizontal="center" vertical="center"/>
    </xf>
    <xf numFmtId="4" fontId="20" fillId="0" borderId="7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left" vertical="top" wrapText="1"/>
    </xf>
    <xf numFmtId="164" fontId="20" fillId="0" borderId="7" xfId="0" applyNumberFormat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center" wrapText="1"/>
    </xf>
    <xf numFmtId="1" fontId="17" fillId="0" borderId="2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center" vertical="top" wrapText="1"/>
    </xf>
    <xf numFmtId="0" fontId="59" fillId="0" borderId="2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7" xfId="0" quotePrefix="1" applyFont="1" applyFill="1" applyBorder="1" applyAlignment="1">
      <alignment horizontal="center" vertical="center" wrapText="1"/>
    </xf>
    <xf numFmtId="0" fontId="58" fillId="0" borderId="7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20" fillId="0" borderId="7" xfId="0" applyNumberFormat="1" applyFont="1" applyFill="1" applyBorder="1" applyAlignment="1">
      <alignment horizontal="center" vertical="center" wrapText="1"/>
    </xf>
    <xf numFmtId="0" fontId="20" fillId="0" borderId="5" xfId="0" quotePrefix="1" applyFont="1" applyFill="1" applyBorder="1" applyAlignment="1">
      <alignment horizontal="center" vertical="top" wrapText="1"/>
    </xf>
    <xf numFmtId="164" fontId="20" fillId="0" borderId="5" xfId="0" applyNumberFormat="1" applyFont="1" applyFill="1" applyBorder="1" applyAlignment="1">
      <alignment horizontal="center" vertical="top" wrapText="1"/>
    </xf>
    <xf numFmtId="167" fontId="20" fillId="0" borderId="7" xfId="0" applyNumberFormat="1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vertical="center" wrapText="1"/>
    </xf>
    <xf numFmtId="165" fontId="20" fillId="0" borderId="7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5" xfId="0" quotePrefix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vertical="center" wrapText="1"/>
    </xf>
    <xf numFmtId="0" fontId="20" fillId="0" borderId="5" xfId="0" applyNumberFormat="1" applyFont="1" applyFill="1" applyBorder="1" applyAlignment="1">
      <alignment horizontal="center" vertical="center" wrapText="1"/>
    </xf>
    <xf numFmtId="167" fontId="20" fillId="0" borderId="7" xfId="0" applyNumberFormat="1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top" wrapText="1"/>
    </xf>
    <xf numFmtId="0" fontId="58" fillId="0" borderId="7" xfId="0" applyFont="1" applyFill="1" applyBorder="1" applyAlignment="1">
      <alignment horizontal="center" vertical="top" wrapText="1"/>
    </xf>
    <xf numFmtId="1" fontId="20" fillId="0" borderId="7" xfId="0" applyNumberFormat="1" applyFont="1" applyFill="1" applyBorder="1" applyAlignment="1">
      <alignment horizontal="center" vertical="center" wrapText="1"/>
    </xf>
    <xf numFmtId="0" fontId="61" fillId="0" borderId="2" xfId="0" applyFont="1" applyFill="1" applyBorder="1" applyAlignment="1">
      <alignment horizontal="center" vertical="top" wrapText="1"/>
    </xf>
    <xf numFmtId="2" fontId="33" fillId="0" borderId="6" xfId="10" applyNumberFormat="1" applyFont="1" applyFill="1" applyBorder="1" applyAlignment="1">
      <alignment horizontal="center" vertical="center"/>
    </xf>
    <xf numFmtId="2" fontId="33" fillId="0" borderId="6" xfId="10" applyNumberFormat="1" applyFont="1" applyFill="1" applyBorder="1" applyAlignment="1">
      <alignment horizontal="center" vertical="center" wrapText="1"/>
    </xf>
    <xf numFmtId="2" fontId="33" fillId="0" borderId="6" xfId="2" applyNumberFormat="1" applyFont="1" applyFill="1" applyBorder="1" applyAlignment="1">
      <alignment horizontal="center" vertical="center"/>
    </xf>
    <xf numFmtId="0" fontId="20" fillId="0" borderId="0" xfId="14" applyFont="1" applyFill="1" applyBorder="1" applyAlignment="1">
      <alignment horizontal="left" vertical="center" wrapText="1"/>
    </xf>
    <xf numFmtId="0" fontId="17" fillId="0" borderId="2" xfId="14" applyFont="1" applyFill="1" applyBorder="1" applyAlignment="1">
      <alignment horizontal="left" vertical="center" wrapText="1"/>
    </xf>
    <xf numFmtId="2" fontId="20" fillId="0" borderId="2" xfId="14" applyNumberFormat="1" applyFont="1" applyFill="1" applyBorder="1" applyAlignment="1">
      <alignment horizontal="center" vertical="center" wrapText="1"/>
    </xf>
    <xf numFmtId="0" fontId="20" fillId="0" borderId="5" xfId="14" applyFont="1" applyFill="1" applyBorder="1" applyAlignment="1">
      <alignment horizontal="center" vertical="center" wrapText="1"/>
    </xf>
    <xf numFmtId="0" fontId="17" fillId="0" borderId="5" xfId="14" applyFont="1" applyFill="1" applyBorder="1" applyAlignment="1">
      <alignment horizontal="left" vertical="center" wrapText="1"/>
    </xf>
    <xf numFmtId="2" fontId="20" fillId="0" borderId="5" xfId="14" applyNumberFormat="1" applyFont="1" applyFill="1" applyBorder="1" applyAlignment="1">
      <alignment horizontal="center" vertical="center" wrapText="1"/>
    </xf>
    <xf numFmtId="1" fontId="20" fillId="0" borderId="5" xfId="14" applyNumberFormat="1" applyFont="1" applyFill="1" applyBorder="1" applyAlignment="1">
      <alignment horizontal="center" vertical="center" wrapText="1"/>
    </xf>
    <xf numFmtId="16" fontId="30" fillId="0" borderId="2" xfId="7" applyNumberFormat="1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/>
    </xf>
    <xf numFmtId="0" fontId="17" fillId="0" borderId="6" xfId="0" applyNumberFormat="1" applyFont="1" applyFill="1" applyBorder="1" applyAlignment="1">
      <alignment horizontal="center" vertical="center" wrapText="1"/>
    </xf>
    <xf numFmtId="0" fontId="18" fillId="3" borderId="6" xfId="5" quotePrefix="1" applyNumberFormat="1" applyFont="1" applyFill="1" applyBorder="1" applyAlignment="1">
      <alignment horizontal="center" wrapText="1"/>
    </xf>
    <xf numFmtId="2" fontId="30" fillId="3" borderId="2" xfId="0" applyNumberFormat="1" applyFont="1" applyFill="1" applyBorder="1" applyAlignment="1">
      <alignment horizontal="center" vertical="center"/>
    </xf>
    <xf numFmtId="2" fontId="33" fillId="3" borderId="5" xfId="0" applyNumberFormat="1" applyFont="1" applyFill="1" applyBorder="1" applyAlignment="1">
      <alignment horizontal="center" vertical="center"/>
    </xf>
    <xf numFmtId="165" fontId="17" fillId="3" borderId="2" xfId="0" applyNumberFormat="1" applyFont="1" applyFill="1" applyBorder="1" applyAlignment="1">
      <alignment horizontal="center"/>
    </xf>
    <xf numFmtId="2" fontId="20" fillId="3" borderId="5" xfId="0" applyNumberFormat="1" applyFont="1" applyFill="1" applyBorder="1" applyAlignment="1">
      <alignment horizontal="center"/>
    </xf>
    <xf numFmtId="165" fontId="17" fillId="3" borderId="7" xfId="0" applyNumberFormat="1" applyFont="1" applyFill="1" applyBorder="1" applyAlignment="1">
      <alignment horizontal="center" wrapText="1"/>
    </xf>
    <xf numFmtId="0" fontId="20" fillId="3" borderId="5" xfId="0" applyFont="1" applyFill="1" applyBorder="1" applyAlignment="1">
      <alignment horizontal="center" vertical="top" wrapText="1"/>
    </xf>
    <xf numFmtId="2" fontId="17" fillId="3" borderId="2" xfId="0" applyNumberFormat="1" applyFont="1" applyFill="1" applyBorder="1" applyAlignment="1">
      <alignment horizontal="center" vertical="center"/>
    </xf>
    <xf numFmtId="2" fontId="20" fillId="3" borderId="5" xfId="0" applyNumberFormat="1" applyFont="1" applyFill="1" applyBorder="1" applyAlignment="1">
      <alignment horizontal="center" vertical="center"/>
    </xf>
    <xf numFmtId="4" fontId="17" fillId="3" borderId="2" xfId="0" applyNumberFormat="1" applyFont="1" applyFill="1" applyBorder="1" applyAlignment="1">
      <alignment horizontal="center" vertical="center" wrapText="1"/>
    </xf>
    <xf numFmtId="4" fontId="20" fillId="3" borderId="7" xfId="8" applyNumberFormat="1" applyFont="1" applyFill="1" applyBorder="1" applyAlignment="1">
      <alignment horizontal="center" vertical="center"/>
    </xf>
    <xf numFmtId="2" fontId="20" fillId="3" borderId="7" xfId="0" applyNumberFormat="1" applyFont="1" applyFill="1" applyBorder="1" applyAlignment="1">
      <alignment horizontal="center" vertical="center" wrapText="1"/>
    </xf>
    <xf numFmtId="4" fontId="20" fillId="3" borderId="7" xfId="9" applyNumberFormat="1" applyFont="1" applyFill="1" applyBorder="1" applyAlignment="1">
      <alignment horizontal="center" vertical="center"/>
    </xf>
    <xf numFmtId="2" fontId="20" fillId="3" borderId="5" xfId="0" applyNumberFormat="1" applyFont="1" applyFill="1" applyBorder="1" applyAlignment="1">
      <alignment horizontal="center" vertical="center" wrapText="1"/>
    </xf>
    <xf numFmtId="2" fontId="20" fillId="3" borderId="7" xfId="0" applyNumberFormat="1" applyFont="1" applyFill="1" applyBorder="1" applyAlignment="1">
      <alignment horizontal="center" vertical="center"/>
    </xf>
    <xf numFmtId="164" fontId="17" fillId="3" borderId="2" xfId="0" applyNumberFormat="1" applyFont="1" applyFill="1" applyBorder="1" applyAlignment="1">
      <alignment horizontal="center" wrapText="1"/>
    </xf>
    <xf numFmtId="2" fontId="20" fillId="3" borderId="7" xfId="0" applyNumberFormat="1" applyFont="1" applyFill="1" applyBorder="1" applyAlignment="1">
      <alignment horizontal="center" wrapText="1"/>
    </xf>
    <xf numFmtId="164" fontId="20" fillId="3" borderId="7" xfId="0" applyNumberFormat="1" applyFont="1" applyFill="1" applyBorder="1" applyAlignment="1">
      <alignment horizontal="center" wrapText="1"/>
    </xf>
    <xf numFmtId="167" fontId="20" fillId="3" borderId="7" xfId="0" applyNumberFormat="1" applyFont="1" applyFill="1" applyBorder="1" applyAlignment="1">
      <alignment horizontal="center" wrapText="1"/>
    </xf>
    <xf numFmtId="2" fontId="28" fillId="3" borderId="7" xfId="6" applyNumberFormat="1" applyFont="1" applyFill="1" applyBorder="1" applyAlignment="1">
      <alignment horizontal="center" vertical="center" wrapText="1"/>
    </xf>
    <xf numFmtId="164" fontId="28" fillId="3" borderId="7" xfId="0" applyNumberFormat="1" applyFont="1" applyFill="1" applyBorder="1" applyAlignment="1">
      <alignment horizontal="center" vertical="center" wrapText="1"/>
    </xf>
    <xf numFmtId="165" fontId="20" fillId="3" borderId="7" xfId="0" applyNumberFormat="1" applyFont="1" applyFill="1" applyBorder="1" applyAlignment="1">
      <alignment horizontal="center" wrapText="1"/>
    </xf>
    <xf numFmtId="1" fontId="20" fillId="3" borderId="7" xfId="0" applyNumberFormat="1" applyFont="1" applyFill="1" applyBorder="1" applyAlignment="1">
      <alignment horizontal="center" wrapText="1"/>
    </xf>
    <xf numFmtId="164" fontId="28" fillId="3" borderId="5" xfId="0" applyNumberFormat="1" applyFont="1" applyFill="1" applyBorder="1" applyAlignment="1">
      <alignment horizontal="center" vertical="center" wrapText="1"/>
    </xf>
    <xf numFmtId="2" fontId="42" fillId="3" borderId="2" xfId="0" applyNumberFormat="1" applyFont="1" applyFill="1" applyBorder="1" applyAlignment="1">
      <alignment horizontal="center" vertical="center" wrapText="1"/>
    </xf>
    <xf numFmtId="2" fontId="19" fillId="3" borderId="7" xfId="6" applyNumberFormat="1" applyFont="1" applyFill="1" applyBorder="1" applyAlignment="1">
      <alignment horizontal="center" vertical="center" wrapText="1"/>
    </xf>
    <xf numFmtId="165" fontId="42" fillId="3" borderId="2" xfId="0" applyNumberFormat="1" applyFont="1" applyFill="1" applyBorder="1" applyAlignment="1">
      <alignment horizontal="center" vertical="center" wrapText="1"/>
    </xf>
    <xf numFmtId="2" fontId="28" fillId="3" borderId="7" xfId="0" applyNumberFormat="1" applyFont="1" applyFill="1" applyBorder="1" applyAlignment="1">
      <alignment horizontal="center" vertical="center" wrapText="1"/>
    </xf>
    <xf numFmtId="2" fontId="28" fillId="3" borderId="5" xfId="6" applyNumberFormat="1" applyFont="1" applyFill="1" applyBorder="1" applyAlignment="1">
      <alignment horizontal="center" vertical="center" wrapText="1"/>
    </xf>
    <xf numFmtId="165" fontId="42" fillId="3" borderId="2" xfId="7" applyNumberFormat="1" applyFont="1" applyFill="1" applyBorder="1" applyAlignment="1">
      <alignment horizontal="center" vertical="center" wrapText="1"/>
    </xf>
    <xf numFmtId="2" fontId="19" fillId="3" borderId="7" xfId="0" applyNumberFormat="1" applyFont="1" applyFill="1" applyBorder="1" applyAlignment="1">
      <alignment horizontal="center" vertical="center" wrapText="1"/>
    </xf>
    <xf numFmtId="2" fontId="19" fillId="3" borderId="5" xfId="0" applyNumberFormat="1" applyFont="1" applyFill="1" applyBorder="1" applyAlignment="1">
      <alignment horizontal="center" vertical="center" wrapText="1"/>
    </xf>
    <xf numFmtId="2" fontId="19" fillId="3" borderId="7" xfId="7" applyNumberFormat="1" applyFont="1" applyFill="1" applyBorder="1" applyAlignment="1">
      <alignment horizontal="center" vertical="center" wrapText="1"/>
    </xf>
    <xf numFmtId="2" fontId="19" fillId="3" borderId="5" xfId="7" applyNumberFormat="1" applyFont="1" applyFill="1" applyBorder="1" applyAlignment="1">
      <alignment horizontal="center" vertical="center" wrapText="1"/>
    </xf>
    <xf numFmtId="164" fontId="19" fillId="3" borderId="5" xfId="0" applyNumberFormat="1" applyFont="1" applyFill="1" applyBorder="1" applyAlignment="1">
      <alignment horizontal="center" vertical="center" wrapText="1"/>
    </xf>
    <xf numFmtId="2" fontId="17" fillId="3" borderId="2" xfId="0" applyNumberFormat="1" applyFont="1" applyFill="1" applyBorder="1" applyAlignment="1">
      <alignment horizontal="center" vertical="top" wrapText="1"/>
    </xf>
    <xf numFmtId="2" fontId="20" fillId="3" borderId="7" xfId="0" applyNumberFormat="1" applyFont="1" applyFill="1" applyBorder="1" applyAlignment="1">
      <alignment horizontal="center" vertical="top" wrapText="1"/>
    </xf>
    <xf numFmtId="2" fontId="20" fillId="3" borderId="5" xfId="0" applyNumberFormat="1" applyFont="1" applyFill="1" applyBorder="1" applyAlignment="1">
      <alignment horizontal="center" vertical="top" wrapText="1"/>
    </xf>
    <xf numFmtId="0" fontId="32" fillId="3" borderId="0" xfId="2" applyFont="1" applyFill="1" applyAlignment="1">
      <alignment vertical="center" wrapText="1"/>
    </xf>
    <xf numFmtId="0" fontId="20" fillId="3" borderId="0" xfId="0" applyFont="1" applyFill="1" applyAlignment="1">
      <alignment horizontal="center" vertical="center"/>
    </xf>
    <xf numFmtId="0" fontId="20" fillId="3" borderId="6" xfId="1" applyFont="1" applyFill="1" applyBorder="1" applyAlignment="1">
      <alignment horizontal="center" vertical="center" wrapText="1"/>
    </xf>
    <xf numFmtId="0" fontId="28" fillId="3" borderId="6" xfId="1" applyFont="1" applyFill="1" applyBorder="1" applyAlignment="1">
      <alignment horizontal="center" vertical="center" wrapText="1"/>
    </xf>
    <xf numFmtId="2" fontId="19" fillId="3" borderId="6" xfId="0" applyNumberFormat="1" applyFont="1" applyFill="1" applyBorder="1" applyAlignment="1">
      <alignment horizontal="center" vertical="center" wrapText="1"/>
    </xf>
    <xf numFmtId="164" fontId="19" fillId="3" borderId="7" xfId="0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wrapText="1"/>
    </xf>
    <xf numFmtId="165" fontId="74" fillId="3" borderId="7" xfId="0" applyNumberFormat="1" applyFont="1" applyFill="1" applyBorder="1" applyAlignment="1">
      <alignment horizontal="center" vertical="center" wrapText="1"/>
    </xf>
    <xf numFmtId="2" fontId="74" fillId="3" borderId="7" xfId="0" applyNumberFormat="1" applyFont="1" applyFill="1" applyBorder="1" applyAlignment="1">
      <alignment horizontal="center" vertical="center" wrapText="1"/>
    </xf>
    <xf numFmtId="2" fontId="74" fillId="3" borderId="7" xfId="0" applyNumberFormat="1" applyFont="1" applyFill="1" applyBorder="1" applyAlignment="1">
      <alignment horizontal="center" wrapText="1"/>
    </xf>
    <xf numFmtId="2" fontId="74" fillId="3" borderId="5" xfId="0" applyNumberFormat="1" applyFont="1" applyFill="1" applyBorder="1" applyAlignment="1">
      <alignment horizontal="center" wrapText="1"/>
    </xf>
    <xf numFmtId="1" fontId="42" fillId="3" borderId="2" xfId="0" applyNumberFormat="1" applyFont="1" applyFill="1" applyBorder="1" applyAlignment="1">
      <alignment horizontal="center" vertical="center" wrapText="1"/>
    </xf>
    <xf numFmtId="165" fontId="18" fillId="3" borderId="2" xfId="0" applyNumberFormat="1" applyFont="1" applyFill="1" applyBorder="1" applyAlignment="1">
      <alignment horizontal="center" vertical="center" wrapText="1"/>
    </xf>
    <xf numFmtId="2" fontId="74" fillId="3" borderId="7" xfId="0" applyNumberFormat="1" applyFont="1" applyFill="1" applyBorder="1" applyAlignment="1">
      <alignment horizontal="center" vertical="center"/>
    </xf>
    <xf numFmtId="2" fontId="42" fillId="3" borderId="6" xfId="0" applyNumberFormat="1" applyFont="1" applyFill="1" applyBorder="1" applyAlignment="1">
      <alignment horizontal="right" vertical="center" wrapText="1"/>
    </xf>
    <xf numFmtId="2" fontId="19" fillId="3" borderId="5" xfId="0" applyNumberFormat="1" applyFont="1" applyFill="1" applyBorder="1" applyAlignment="1">
      <alignment horizontal="right" vertical="center" wrapText="1"/>
    </xf>
    <xf numFmtId="2" fontId="19" fillId="3" borderId="6" xfId="0" applyNumberFormat="1" applyFont="1" applyFill="1" applyBorder="1" applyAlignment="1">
      <alignment horizontal="right" vertical="center" wrapText="1"/>
    </xf>
    <xf numFmtId="4" fontId="75" fillId="3" borderId="0" xfId="0" applyNumberFormat="1" applyFont="1" applyFill="1" applyAlignment="1">
      <alignment horizontal="right" vertical="center" wrapText="1"/>
    </xf>
    <xf numFmtId="0" fontId="75" fillId="3" borderId="0" xfId="0" applyFont="1" applyFill="1" applyAlignment="1">
      <alignment horizontal="center" vertical="center"/>
    </xf>
    <xf numFmtId="0" fontId="20" fillId="0" borderId="0" xfId="14" applyFont="1" applyFill="1" applyBorder="1" applyAlignment="1">
      <alignment horizontal="left" vertical="center" wrapText="1"/>
    </xf>
    <xf numFmtId="0" fontId="17" fillId="0" borderId="0" xfId="14" applyFont="1" applyFill="1" applyBorder="1" applyAlignment="1">
      <alignment horizontal="center" vertical="center" wrapText="1"/>
    </xf>
    <xf numFmtId="0" fontId="20" fillId="0" borderId="6" xfId="14" applyFont="1" applyFill="1" applyBorder="1" applyAlignment="1">
      <alignment horizontal="center" vertical="center" wrapText="1"/>
    </xf>
    <xf numFmtId="0" fontId="50" fillId="0" borderId="6" xfId="14" applyFont="1" applyFill="1" applyBorder="1" applyAlignment="1">
      <alignment wrapText="1"/>
    </xf>
    <xf numFmtId="0" fontId="20" fillId="0" borderId="6" xfId="14" quotePrefix="1" applyFont="1" applyFill="1" applyBorder="1" applyAlignment="1">
      <alignment horizontal="center" vertical="center" wrapText="1"/>
    </xf>
    <xf numFmtId="0" fontId="20" fillId="0" borderId="3" xfId="14" applyFont="1" applyFill="1" applyBorder="1" applyAlignment="1">
      <alignment horizontal="center" vertical="center" wrapText="1"/>
    </xf>
    <xf numFmtId="0" fontId="20" fillId="0" borderId="13" xfId="14" applyFont="1" applyFill="1" applyBorder="1" applyAlignment="1">
      <alignment horizontal="center" vertical="center" wrapText="1"/>
    </xf>
    <xf numFmtId="0" fontId="20" fillId="0" borderId="4" xfId="14" applyFont="1" applyFill="1" applyBorder="1" applyAlignment="1">
      <alignment horizontal="center" vertical="center" wrapText="1"/>
    </xf>
    <xf numFmtId="0" fontId="20" fillId="0" borderId="2" xfId="14" applyFont="1" applyFill="1" applyBorder="1" applyAlignment="1">
      <alignment horizontal="center" vertical="center" wrapText="1"/>
    </xf>
    <xf numFmtId="0" fontId="50" fillId="0" borderId="5" xfId="14" applyFont="1" applyFill="1" applyBorder="1" applyAlignment="1">
      <alignment wrapText="1"/>
    </xf>
    <xf numFmtId="0" fontId="20" fillId="0" borderId="0" xfId="14" applyFont="1" applyFill="1" applyBorder="1" applyAlignment="1">
      <alignment horizontal="center" wrapText="1"/>
    </xf>
    <xf numFmtId="2" fontId="9" fillId="0" borderId="3" xfId="1" applyNumberFormat="1" applyFont="1" applyFill="1" applyBorder="1" applyAlignment="1">
      <alignment horizontal="center" vertical="center" wrapText="1"/>
    </xf>
    <xf numFmtId="2" fontId="9" fillId="0" borderId="4" xfId="1" applyNumberFormat="1" applyFont="1" applyFill="1" applyBorder="1" applyAlignment="1">
      <alignment horizontal="center" vertical="center" wrapText="1"/>
    </xf>
    <xf numFmtId="2" fontId="9" fillId="0" borderId="2" xfId="1" applyNumberFormat="1" applyFont="1" applyFill="1" applyBorder="1" applyAlignment="1">
      <alignment horizontal="center" vertical="center" wrapText="1"/>
    </xf>
    <xf numFmtId="2" fontId="9" fillId="0" borderId="5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4" fillId="0" borderId="0" xfId="3" applyFont="1" applyFill="1" applyAlignment="1">
      <alignment horizontal="left" vertical="center" wrapText="1"/>
    </xf>
    <xf numFmtId="2" fontId="12" fillId="0" borderId="1" xfId="4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2" applyFont="1" applyFill="1" applyAlignment="1">
      <alignment horizontal="center" vertical="center" wrapText="1"/>
    </xf>
    <xf numFmtId="2" fontId="4" fillId="0" borderId="0" xfId="1" applyNumberFormat="1" applyFont="1" applyFill="1" applyAlignment="1">
      <alignment horizontal="center" vertical="center" wrapText="1"/>
    </xf>
    <xf numFmtId="2" fontId="20" fillId="4" borderId="7" xfId="0" applyNumberFormat="1" applyFont="1" applyFill="1" applyBorder="1" applyAlignment="1">
      <alignment horizontal="center" vertical="top" wrapText="1"/>
    </xf>
    <xf numFmtId="2" fontId="53" fillId="4" borderId="7" xfId="0" applyNumberFormat="1" applyFont="1" applyFill="1" applyBorder="1" applyAlignment="1">
      <alignment horizontal="center" vertical="center"/>
    </xf>
    <xf numFmtId="2" fontId="20" fillId="4" borderId="7" xfId="0" applyNumberFormat="1" applyFont="1" applyFill="1" applyBorder="1" applyAlignment="1">
      <alignment horizontal="center" vertical="center" wrapText="1"/>
    </xf>
    <xf numFmtId="2" fontId="20" fillId="4" borderId="5" xfId="0" applyNumberFormat="1" applyFont="1" applyFill="1" applyBorder="1" applyAlignment="1">
      <alignment horizontal="center" vertical="center" wrapText="1"/>
    </xf>
    <xf numFmtId="2" fontId="20" fillId="4" borderId="5" xfId="0" applyNumberFormat="1" applyFont="1" applyFill="1" applyBorder="1" applyAlignment="1">
      <alignment horizontal="center" vertical="top" wrapText="1"/>
    </xf>
    <xf numFmtId="0" fontId="20" fillId="4" borderId="7" xfId="0" applyNumberFormat="1" applyFont="1" applyFill="1" applyBorder="1" applyAlignment="1">
      <alignment horizontal="center" vertical="top" wrapText="1"/>
    </xf>
    <xf numFmtId="0" fontId="20" fillId="4" borderId="7" xfId="0" applyNumberFormat="1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top" wrapText="1"/>
    </xf>
    <xf numFmtId="165" fontId="20" fillId="4" borderId="7" xfId="0" applyNumberFormat="1" applyFont="1" applyFill="1" applyBorder="1" applyAlignment="1">
      <alignment horizontal="center" vertical="top" wrapText="1"/>
    </xf>
    <xf numFmtId="0" fontId="20" fillId="4" borderId="7" xfId="0" applyFont="1" applyFill="1" applyBorder="1" applyAlignment="1">
      <alignment horizontal="center" vertical="center" wrapText="1"/>
    </xf>
    <xf numFmtId="165" fontId="33" fillId="4" borderId="5" xfId="0" applyNumberFormat="1" applyFont="1" applyFill="1" applyBorder="1" applyAlignment="1">
      <alignment horizontal="center" vertical="center"/>
    </xf>
    <xf numFmtId="165" fontId="20" fillId="4" borderId="5" xfId="0" applyNumberFormat="1" applyFont="1" applyFill="1" applyBorder="1" applyAlignment="1">
      <alignment horizontal="center"/>
    </xf>
    <xf numFmtId="2" fontId="20" fillId="4" borderId="5" xfId="0" applyNumberFormat="1" applyFont="1" applyFill="1" applyBorder="1" applyAlignment="1">
      <alignment horizontal="center" vertical="center"/>
    </xf>
    <xf numFmtId="165" fontId="53" fillId="4" borderId="7" xfId="0" applyNumberFormat="1" applyFont="1" applyFill="1" applyBorder="1" applyAlignment="1">
      <alignment horizontal="center" vertical="center"/>
    </xf>
    <xf numFmtId="165" fontId="55" fillId="4" borderId="7" xfId="0" applyNumberFormat="1" applyFont="1" applyFill="1" applyBorder="1" applyAlignment="1">
      <alignment horizontal="center" vertical="center"/>
    </xf>
    <xf numFmtId="2" fontId="55" fillId="4" borderId="5" xfId="0" applyNumberFormat="1" applyFont="1" applyFill="1" applyBorder="1" applyAlignment="1">
      <alignment horizontal="center" vertical="center"/>
    </xf>
    <xf numFmtId="2" fontId="20" fillId="4" borderId="7" xfId="8" applyNumberFormat="1" applyFont="1" applyFill="1" applyBorder="1" applyAlignment="1">
      <alignment horizontal="center" vertical="center" wrapText="1"/>
    </xf>
    <xf numFmtId="2" fontId="20" fillId="4" borderId="7" xfId="0" applyNumberFormat="1" applyFont="1" applyFill="1" applyBorder="1" applyAlignment="1">
      <alignment horizontal="center"/>
    </xf>
    <xf numFmtId="0" fontId="20" fillId="4" borderId="7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165" fontId="20" fillId="4" borderId="7" xfId="0" applyNumberFormat="1" applyFont="1" applyFill="1" applyBorder="1" applyAlignment="1">
      <alignment horizontal="center"/>
    </xf>
    <xf numFmtId="0" fontId="20" fillId="4" borderId="7" xfId="0" applyFont="1" applyFill="1" applyBorder="1" applyAlignment="1">
      <alignment horizontal="center" wrapText="1"/>
    </xf>
    <xf numFmtId="2" fontId="28" fillId="4" borderId="7" xfId="0" applyNumberFormat="1" applyFont="1" applyFill="1" applyBorder="1" applyAlignment="1">
      <alignment horizontal="center" vertical="center" wrapText="1"/>
    </xf>
    <xf numFmtId="165" fontId="28" fillId="4" borderId="7" xfId="0" applyNumberFormat="1" applyFont="1" applyFill="1" applyBorder="1" applyAlignment="1">
      <alignment horizontal="center" vertical="center" wrapText="1"/>
    </xf>
    <xf numFmtId="2" fontId="28" fillId="4" borderId="5" xfId="0" applyNumberFormat="1" applyFont="1" applyFill="1" applyBorder="1" applyAlignment="1">
      <alignment horizontal="center" vertical="center" wrapText="1"/>
    </xf>
    <xf numFmtId="1" fontId="28" fillId="4" borderId="7" xfId="0" applyNumberFormat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165" fontId="0" fillId="4" borderId="7" xfId="0" applyNumberFormat="1" applyFill="1" applyBorder="1" applyAlignment="1">
      <alignment horizontal="center" vertical="center" wrapText="1"/>
    </xf>
    <xf numFmtId="2" fontId="0" fillId="4" borderId="7" xfId="0" applyNumberFormat="1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2" fontId="19" fillId="4" borderId="7" xfId="0" applyNumberFormat="1" applyFont="1" applyFill="1" applyBorder="1" applyAlignment="1">
      <alignment horizontal="center" vertical="center" wrapText="1"/>
    </xf>
    <xf numFmtId="2" fontId="44" fillId="4" borderId="7" xfId="0" applyNumberFormat="1" applyFont="1" applyFill="1" applyBorder="1" applyAlignment="1">
      <alignment horizontal="center" vertical="center" wrapText="1"/>
    </xf>
    <xf numFmtId="2" fontId="44" fillId="4" borderId="5" xfId="0" applyNumberFormat="1" applyFont="1" applyFill="1" applyBorder="1" applyAlignment="1">
      <alignment horizontal="center" vertical="center" wrapText="1"/>
    </xf>
    <xf numFmtId="2" fontId="27" fillId="4" borderId="7" xfId="0" applyNumberFormat="1" applyFont="1" applyFill="1" applyBorder="1" applyAlignment="1">
      <alignment horizontal="center" vertical="center" wrapText="1"/>
    </xf>
    <xf numFmtId="2" fontId="19" fillId="4" borderId="7" xfId="7" applyNumberFormat="1" applyFont="1" applyFill="1" applyBorder="1" applyAlignment="1">
      <alignment horizontal="center" vertical="center" wrapText="1"/>
    </xf>
    <xf numFmtId="2" fontId="19" fillId="4" borderId="5" xfId="7" applyNumberFormat="1" applyFont="1" applyFill="1" applyBorder="1" applyAlignment="1">
      <alignment horizontal="center" vertical="center" wrapText="1"/>
    </xf>
    <xf numFmtId="165" fontId="72" fillId="4" borderId="7" xfId="0" applyNumberFormat="1" applyFont="1" applyFill="1" applyBorder="1" applyAlignment="1">
      <alignment horizontal="center" wrapText="1"/>
    </xf>
    <xf numFmtId="0" fontId="72" fillId="4" borderId="7" xfId="0" applyNumberFormat="1" applyFont="1" applyFill="1" applyBorder="1" applyAlignment="1">
      <alignment horizontal="center" vertical="top" wrapText="1"/>
    </xf>
    <xf numFmtId="0" fontId="20" fillId="4" borderId="7" xfId="0" applyFont="1" applyFill="1" applyBorder="1" applyAlignment="1">
      <alignment horizontal="center" vertical="top" wrapText="1"/>
    </xf>
    <xf numFmtId="165" fontId="72" fillId="4" borderId="7" xfId="0" applyNumberFormat="1" applyFont="1" applyFill="1" applyBorder="1" applyAlignment="1">
      <alignment horizontal="center" vertical="top" wrapText="1"/>
    </xf>
    <xf numFmtId="0" fontId="72" fillId="4" borderId="7" xfId="0" applyNumberFormat="1" applyFont="1" applyFill="1" applyBorder="1" applyAlignment="1">
      <alignment horizontal="center" vertical="center" wrapText="1"/>
    </xf>
    <xf numFmtId="0" fontId="72" fillId="4" borderId="5" xfId="0" applyNumberFormat="1" applyFont="1" applyFill="1" applyBorder="1" applyAlignment="1">
      <alignment horizontal="center" vertical="center" wrapText="1"/>
    </xf>
    <xf numFmtId="0" fontId="67" fillId="4" borderId="7" xfId="0" applyNumberFormat="1" applyFont="1" applyFill="1" applyBorder="1" applyAlignment="1">
      <alignment horizontal="center" vertical="top" wrapText="1"/>
    </xf>
  </cellXfs>
  <cellStyles count="15">
    <cellStyle name="Normal" xfId="0" builtinId="0"/>
    <cellStyle name="Normal 10" xfId="2"/>
    <cellStyle name="Normal 13 5" xfId="1"/>
    <cellStyle name="Normal 29" xfId="12"/>
    <cellStyle name="Normal 3" xfId="14"/>
    <cellStyle name="Normal 47 4" xfId="13"/>
    <cellStyle name="Normal_gare wyalsadfenigagarini 2_SMSH2008-IIkv ." xfId="3"/>
    <cellStyle name="Normal_sida wyalsadeni 2_SMSH2008-IIkv ." xfId="4"/>
    <cellStyle name="Normal_stadion-1" xfId="5"/>
    <cellStyle name="Percent 2" xfId="11"/>
    <cellStyle name="Style 1" xfId="7"/>
    <cellStyle name="Обычный 5 2 2" xfId="6"/>
    <cellStyle name="Обычный_SAN2008-I" xfId="10"/>
    <cellStyle name="Обычный_დემონტაჟი" xfId="8"/>
    <cellStyle name="Обычный_დემონტაჟი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7"/>
  <sheetViews>
    <sheetView tabSelected="1" zoomScaleNormal="100" zoomScaleSheetLayoutView="100" workbookViewId="0">
      <selection activeCell="J5" sqref="J5"/>
    </sheetView>
  </sheetViews>
  <sheetFormatPr defaultRowHeight="12.75"/>
  <cols>
    <col min="1" max="1" width="5.5703125" style="147" customWidth="1"/>
    <col min="2" max="2" width="13" style="147" customWidth="1"/>
    <col min="3" max="3" width="50" style="147" customWidth="1"/>
    <col min="4" max="4" width="12.140625" style="147" customWidth="1"/>
    <col min="5" max="5" width="11.5703125" style="147" customWidth="1"/>
    <col min="6" max="6" width="12.140625" style="147" customWidth="1"/>
    <col min="7" max="7" width="12" style="147" customWidth="1"/>
    <col min="8" max="8" width="13.5703125" style="147" customWidth="1"/>
    <col min="9" max="9" width="11.5703125" style="147" bestFit="1" customWidth="1"/>
    <col min="10" max="10" width="10.5703125" style="147" bestFit="1" customWidth="1"/>
    <col min="11" max="256" width="9.140625" style="147"/>
    <col min="257" max="257" width="7.42578125" style="147" customWidth="1"/>
    <col min="258" max="258" width="13.85546875" style="147" customWidth="1"/>
    <col min="259" max="259" width="52" style="147" customWidth="1"/>
    <col min="260" max="263" width="12.140625" style="147" customWidth="1"/>
    <col min="264" max="264" width="18.7109375" style="147" customWidth="1"/>
    <col min="265" max="265" width="11.5703125" style="147" bestFit="1" customWidth="1"/>
    <col min="266" max="266" width="10.5703125" style="147" bestFit="1" customWidth="1"/>
    <col min="267" max="512" width="9.140625" style="147"/>
    <col min="513" max="513" width="7.42578125" style="147" customWidth="1"/>
    <col min="514" max="514" width="13.85546875" style="147" customWidth="1"/>
    <col min="515" max="515" width="52" style="147" customWidth="1"/>
    <col min="516" max="519" width="12.140625" style="147" customWidth="1"/>
    <col min="520" max="520" width="18.7109375" style="147" customWidth="1"/>
    <col min="521" max="521" width="11.5703125" style="147" bestFit="1" customWidth="1"/>
    <col min="522" max="522" width="10.5703125" style="147" bestFit="1" customWidth="1"/>
    <col min="523" max="768" width="9.140625" style="147"/>
    <col min="769" max="769" width="7.42578125" style="147" customWidth="1"/>
    <col min="770" max="770" width="13.85546875" style="147" customWidth="1"/>
    <col min="771" max="771" width="52" style="147" customWidth="1"/>
    <col min="772" max="775" width="12.140625" style="147" customWidth="1"/>
    <col min="776" max="776" width="18.7109375" style="147" customWidth="1"/>
    <col min="777" max="777" width="11.5703125" style="147" bestFit="1" customWidth="1"/>
    <col min="778" max="778" width="10.5703125" style="147" bestFit="1" customWidth="1"/>
    <col min="779" max="1024" width="9.140625" style="147"/>
    <col min="1025" max="1025" width="7.42578125" style="147" customWidth="1"/>
    <col min="1026" max="1026" width="13.85546875" style="147" customWidth="1"/>
    <col min="1027" max="1027" width="52" style="147" customWidth="1"/>
    <col min="1028" max="1031" width="12.140625" style="147" customWidth="1"/>
    <col min="1032" max="1032" width="18.7109375" style="147" customWidth="1"/>
    <col min="1033" max="1033" width="11.5703125" style="147" bestFit="1" customWidth="1"/>
    <col min="1034" max="1034" width="10.5703125" style="147" bestFit="1" customWidth="1"/>
    <col min="1035" max="1280" width="9.140625" style="147"/>
    <col min="1281" max="1281" width="7.42578125" style="147" customWidth="1"/>
    <col min="1282" max="1282" width="13.85546875" style="147" customWidth="1"/>
    <col min="1283" max="1283" width="52" style="147" customWidth="1"/>
    <col min="1284" max="1287" width="12.140625" style="147" customWidth="1"/>
    <col min="1288" max="1288" width="18.7109375" style="147" customWidth="1"/>
    <col min="1289" max="1289" width="11.5703125" style="147" bestFit="1" customWidth="1"/>
    <col min="1290" max="1290" width="10.5703125" style="147" bestFit="1" customWidth="1"/>
    <col min="1291" max="1536" width="9.140625" style="147"/>
    <col min="1537" max="1537" width="7.42578125" style="147" customWidth="1"/>
    <col min="1538" max="1538" width="13.85546875" style="147" customWidth="1"/>
    <col min="1539" max="1539" width="52" style="147" customWidth="1"/>
    <col min="1540" max="1543" width="12.140625" style="147" customWidth="1"/>
    <col min="1544" max="1544" width="18.7109375" style="147" customWidth="1"/>
    <col min="1545" max="1545" width="11.5703125" style="147" bestFit="1" customWidth="1"/>
    <col min="1546" max="1546" width="10.5703125" style="147" bestFit="1" customWidth="1"/>
    <col min="1547" max="1792" width="9.140625" style="147"/>
    <col min="1793" max="1793" width="7.42578125" style="147" customWidth="1"/>
    <col min="1794" max="1794" width="13.85546875" style="147" customWidth="1"/>
    <col min="1795" max="1795" width="52" style="147" customWidth="1"/>
    <col min="1796" max="1799" width="12.140625" style="147" customWidth="1"/>
    <col min="1800" max="1800" width="18.7109375" style="147" customWidth="1"/>
    <col min="1801" max="1801" width="11.5703125" style="147" bestFit="1" customWidth="1"/>
    <col min="1802" max="1802" width="10.5703125" style="147" bestFit="1" customWidth="1"/>
    <col min="1803" max="2048" width="9.140625" style="147"/>
    <col min="2049" max="2049" width="7.42578125" style="147" customWidth="1"/>
    <col min="2050" max="2050" width="13.85546875" style="147" customWidth="1"/>
    <col min="2051" max="2051" width="52" style="147" customWidth="1"/>
    <col min="2052" max="2055" width="12.140625" style="147" customWidth="1"/>
    <col min="2056" max="2056" width="18.7109375" style="147" customWidth="1"/>
    <col min="2057" max="2057" width="11.5703125" style="147" bestFit="1" customWidth="1"/>
    <col min="2058" max="2058" width="10.5703125" style="147" bestFit="1" customWidth="1"/>
    <col min="2059" max="2304" width="9.140625" style="147"/>
    <col min="2305" max="2305" width="7.42578125" style="147" customWidth="1"/>
    <col min="2306" max="2306" width="13.85546875" style="147" customWidth="1"/>
    <col min="2307" max="2307" width="52" style="147" customWidth="1"/>
    <col min="2308" max="2311" width="12.140625" style="147" customWidth="1"/>
    <col min="2312" max="2312" width="18.7109375" style="147" customWidth="1"/>
    <col min="2313" max="2313" width="11.5703125" style="147" bestFit="1" customWidth="1"/>
    <col min="2314" max="2314" width="10.5703125" style="147" bestFit="1" customWidth="1"/>
    <col min="2315" max="2560" width="9.140625" style="147"/>
    <col min="2561" max="2561" width="7.42578125" style="147" customWidth="1"/>
    <col min="2562" max="2562" width="13.85546875" style="147" customWidth="1"/>
    <col min="2563" max="2563" width="52" style="147" customWidth="1"/>
    <col min="2564" max="2567" width="12.140625" style="147" customWidth="1"/>
    <col min="2568" max="2568" width="18.7109375" style="147" customWidth="1"/>
    <col min="2569" max="2569" width="11.5703125" style="147" bestFit="1" customWidth="1"/>
    <col min="2570" max="2570" width="10.5703125" style="147" bestFit="1" customWidth="1"/>
    <col min="2571" max="2816" width="9.140625" style="147"/>
    <col min="2817" max="2817" width="7.42578125" style="147" customWidth="1"/>
    <col min="2818" max="2818" width="13.85546875" style="147" customWidth="1"/>
    <col min="2819" max="2819" width="52" style="147" customWidth="1"/>
    <col min="2820" max="2823" width="12.140625" style="147" customWidth="1"/>
    <col min="2824" max="2824" width="18.7109375" style="147" customWidth="1"/>
    <col min="2825" max="2825" width="11.5703125" style="147" bestFit="1" customWidth="1"/>
    <col min="2826" max="2826" width="10.5703125" style="147" bestFit="1" customWidth="1"/>
    <col min="2827" max="3072" width="9.140625" style="147"/>
    <col min="3073" max="3073" width="7.42578125" style="147" customWidth="1"/>
    <col min="3074" max="3074" width="13.85546875" style="147" customWidth="1"/>
    <col min="3075" max="3075" width="52" style="147" customWidth="1"/>
    <col min="3076" max="3079" width="12.140625" style="147" customWidth="1"/>
    <col min="3080" max="3080" width="18.7109375" style="147" customWidth="1"/>
    <col min="3081" max="3081" width="11.5703125" style="147" bestFit="1" customWidth="1"/>
    <col min="3082" max="3082" width="10.5703125" style="147" bestFit="1" customWidth="1"/>
    <col min="3083" max="3328" width="9.140625" style="147"/>
    <col min="3329" max="3329" width="7.42578125" style="147" customWidth="1"/>
    <col min="3330" max="3330" width="13.85546875" style="147" customWidth="1"/>
    <col min="3331" max="3331" width="52" style="147" customWidth="1"/>
    <col min="3332" max="3335" width="12.140625" style="147" customWidth="1"/>
    <col min="3336" max="3336" width="18.7109375" style="147" customWidth="1"/>
    <col min="3337" max="3337" width="11.5703125" style="147" bestFit="1" customWidth="1"/>
    <col min="3338" max="3338" width="10.5703125" style="147" bestFit="1" customWidth="1"/>
    <col min="3339" max="3584" width="9.140625" style="147"/>
    <col min="3585" max="3585" width="7.42578125" style="147" customWidth="1"/>
    <col min="3586" max="3586" width="13.85546875" style="147" customWidth="1"/>
    <col min="3587" max="3587" width="52" style="147" customWidth="1"/>
    <col min="3588" max="3591" width="12.140625" style="147" customWidth="1"/>
    <col min="3592" max="3592" width="18.7109375" style="147" customWidth="1"/>
    <col min="3593" max="3593" width="11.5703125" style="147" bestFit="1" customWidth="1"/>
    <col min="3594" max="3594" width="10.5703125" style="147" bestFit="1" customWidth="1"/>
    <col min="3595" max="3840" width="9.140625" style="147"/>
    <col min="3841" max="3841" width="7.42578125" style="147" customWidth="1"/>
    <col min="3842" max="3842" width="13.85546875" style="147" customWidth="1"/>
    <col min="3843" max="3843" width="52" style="147" customWidth="1"/>
    <col min="3844" max="3847" width="12.140625" style="147" customWidth="1"/>
    <col min="3848" max="3848" width="18.7109375" style="147" customWidth="1"/>
    <col min="3849" max="3849" width="11.5703125" style="147" bestFit="1" customWidth="1"/>
    <col min="3850" max="3850" width="10.5703125" style="147" bestFit="1" customWidth="1"/>
    <col min="3851" max="4096" width="9.140625" style="147"/>
    <col min="4097" max="4097" width="7.42578125" style="147" customWidth="1"/>
    <col min="4098" max="4098" width="13.85546875" style="147" customWidth="1"/>
    <col min="4099" max="4099" width="52" style="147" customWidth="1"/>
    <col min="4100" max="4103" width="12.140625" style="147" customWidth="1"/>
    <col min="4104" max="4104" width="18.7109375" style="147" customWidth="1"/>
    <col min="4105" max="4105" width="11.5703125" style="147" bestFit="1" customWidth="1"/>
    <col min="4106" max="4106" width="10.5703125" style="147" bestFit="1" customWidth="1"/>
    <col min="4107" max="4352" width="9.140625" style="147"/>
    <col min="4353" max="4353" width="7.42578125" style="147" customWidth="1"/>
    <col min="4354" max="4354" width="13.85546875" style="147" customWidth="1"/>
    <col min="4355" max="4355" width="52" style="147" customWidth="1"/>
    <col min="4356" max="4359" width="12.140625" style="147" customWidth="1"/>
    <col min="4360" max="4360" width="18.7109375" style="147" customWidth="1"/>
    <col min="4361" max="4361" width="11.5703125" style="147" bestFit="1" customWidth="1"/>
    <col min="4362" max="4362" width="10.5703125" style="147" bestFit="1" customWidth="1"/>
    <col min="4363" max="4608" width="9.140625" style="147"/>
    <col min="4609" max="4609" width="7.42578125" style="147" customWidth="1"/>
    <col min="4610" max="4610" width="13.85546875" style="147" customWidth="1"/>
    <col min="4611" max="4611" width="52" style="147" customWidth="1"/>
    <col min="4612" max="4615" width="12.140625" style="147" customWidth="1"/>
    <col min="4616" max="4616" width="18.7109375" style="147" customWidth="1"/>
    <col min="4617" max="4617" width="11.5703125" style="147" bestFit="1" customWidth="1"/>
    <col min="4618" max="4618" width="10.5703125" style="147" bestFit="1" customWidth="1"/>
    <col min="4619" max="4864" width="9.140625" style="147"/>
    <col min="4865" max="4865" width="7.42578125" style="147" customWidth="1"/>
    <col min="4866" max="4866" width="13.85546875" style="147" customWidth="1"/>
    <col min="4867" max="4867" width="52" style="147" customWidth="1"/>
    <col min="4868" max="4871" width="12.140625" style="147" customWidth="1"/>
    <col min="4872" max="4872" width="18.7109375" style="147" customWidth="1"/>
    <col min="4873" max="4873" width="11.5703125" style="147" bestFit="1" customWidth="1"/>
    <col min="4874" max="4874" width="10.5703125" style="147" bestFit="1" customWidth="1"/>
    <col min="4875" max="5120" width="9.140625" style="147"/>
    <col min="5121" max="5121" width="7.42578125" style="147" customWidth="1"/>
    <col min="5122" max="5122" width="13.85546875" style="147" customWidth="1"/>
    <col min="5123" max="5123" width="52" style="147" customWidth="1"/>
    <col min="5124" max="5127" width="12.140625" style="147" customWidth="1"/>
    <col min="5128" max="5128" width="18.7109375" style="147" customWidth="1"/>
    <col min="5129" max="5129" width="11.5703125" style="147" bestFit="1" customWidth="1"/>
    <col min="5130" max="5130" width="10.5703125" style="147" bestFit="1" customWidth="1"/>
    <col min="5131" max="5376" width="9.140625" style="147"/>
    <col min="5377" max="5377" width="7.42578125" style="147" customWidth="1"/>
    <col min="5378" max="5378" width="13.85546875" style="147" customWidth="1"/>
    <col min="5379" max="5379" width="52" style="147" customWidth="1"/>
    <col min="5380" max="5383" width="12.140625" style="147" customWidth="1"/>
    <col min="5384" max="5384" width="18.7109375" style="147" customWidth="1"/>
    <col min="5385" max="5385" width="11.5703125" style="147" bestFit="1" customWidth="1"/>
    <col min="5386" max="5386" width="10.5703125" style="147" bestFit="1" customWidth="1"/>
    <col min="5387" max="5632" width="9.140625" style="147"/>
    <col min="5633" max="5633" width="7.42578125" style="147" customWidth="1"/>
    <col min="5634" max="5634" width="13.85546875" style="147" customWidth="1"/>
    <col min="5635" max="5635" width="52" style="147" customWidth="1"/>
    <col min="5636" max="5639" width="12.140625" style="147" customWidth="1"/>
    <col min="5640" max="5640" width="18.7109375" style="147" customWidth="1"/>
    <col min="5641" max="5641" width="11.5703125" style="147" bestFit="1" customWidth="1"/>
    <col min="5642" max="5642" width="10.5703125" style="147" bestFit="1" customWidth="1"/>
    <col min="5643" max="5888" width="9.140625" style="147"/>
    <col min="5889" max="5889" width="7.42578125" style="147" customWidth="1"/>
    <col min="5890" max="5890" width="13.85546875" style="147" customWidth="1"/>
    <col min="5891" max="5891" width="52" style="147" customWidth="1"/>
    <col min="5892" max="5895" width="12.140625" style="147" customWidth="1"/>
    <col min="5896" max="5896" width="18.7109375" style="147" customWidth="1"/>
    <col min="5897" max="5897" width="11.5703125" style="147" bestFit="1" customWidth="1"/>
    <col min="5898" max="5898" width="10.5703125" style="147" bestFit="1" customWidth="1"/>
    <col min="5899" max="6144" width="9.140625" style="147"/>
    <col min="6145" max="6145" width="7.42578125" style="147" customWidth="1"/>
    <col min="6146" max="6146" width="13.85546875" style="147" customWidth="1"/>
    <col min="6147" max="6147" width="52" style="147" customWidth="1"/>
    <col min="6148" max="6151" width="12.140625" style="147" customWidth="1"/>
    <col min="6152" max="6152" width="18.7109375" style="147" customWidth="1"/>
    <col min="6153" max="6153" width="11.5703125" style="147" bestFit="1" customWidth="1"/>
    <col min="6154" max="6154" width="10.5703125" style="147" bestFit="1" customWidth="1"/>
    <col min="6155" max="6400" width="9.140625" style="147"/>
    <col min="6401" max="6401" width="7.42578125" style="147" customWidth="1"/>
    <col min="6402" max="6402" width="13.85546875" style="147" customWidth="1"/>
    <col min="6403" max="6403" width="52" style="147" customWidth="1"/>
    <col min="6404" max="6407" width="12.140625" style="147" customWidth="1"/>
    <col min="6408" max="6408" width="18.7109375" style="147" customWidth="1"/>
    <col min="6409" max="6409" width="11.5703125" style="147" bestFit="1" customWidth="1"/>
    <col min="6410" max="6410" width="10.5703125" style="147" bestFit="1" customWidth="1"/>
    <col min="6411" max="6656" width="9.140625" style="147"/>
    <col min="6657" max="6657" width="7.42578125" style="147" customWidth="1"/>
    <col min="6658" max="6658" width="13.85546875" style="147" customWidth="1"/>
    <col min="6659" max="6659" width="52" style="147" customWidth="1"/>
    <col min="6660" max="6663" width="12.140625" style="147" customWidth="1"/>
    <col min="6664" max="6664" width="18.7109375" style="147" customWidth="1"/>
    <col min="6665" max="6665" width="11.5703125" style="147" bestFit="1" customWidth="1"/>
    <col min="6666" max="6666" width="10.5703125" style="147" bestFit="1" customWidth="1"/>
    <col min="6667" max="6912" width="9.140625" style="147"/>
    <col min="6913" max="6913" width="7.42578125" style="147" customWidth="1"/>
    <col min="6914" max="6914" width="13.85546875" style="147" customWidth="1"/>
    <col min="6915" max="6915" width="52" style="147" customWidth="1"/>
    <col min="6916" max="6919" width="12.140625" style="147" customWidth="1"/>
    <col min="6920" max="6920" width="18.7109375" style="147" customWidth="1"/>
    <col min="6921" max="6921" width="11.5703125" style="147" bestFit="1" customWidth="1"/>
    <col min="6922" max="6922" width="10.5703125" style="147" bestFit="1" customWidth="1"/>
    <col min="6923" max="7168" width="9.140625" style="147"/>
    <col min="7169" max="7169" width="7.42578125" style="147" customWidth="1"/>
    <col min="7170" max="7170" width="13.85546875" style="147" customWidth="1"/>
    <col min="7171" max="7171" width="52" style="147" customWidth="1"/>
    <col min="7172" max="7175" width="12.140625" style="147" customWidth="1"/>
    <col min="7176" max="7176" width="18.7109375" style="147" customWidth="1"/>
    <col min="7177" max="7177" width="11.5703125" style="147" bestFit="1" customWidth="1"/>
    <col min="7178" max="7178" width="10.5703125" style="147" bestFit="1" customWidth="1"/>
    <col min="7179" max="7424" width="9.140625" style="147"/>
    <col min="7425" max="7425" width="7.42578125" style="147" customWidth="1"/>
    <col min="7426" max="7426" width="13.85546875" style="147" customWidth="1"/>
    <col min="7427" max="7427" width="52" style="147" customWidth="1"/>
    <col min="7428" max="7431" width="12.140625" style="147" customWidth="1"/>
    <col min="7432" max="7432" width="18.7109375" style="147" customWidth="1"/>
    <col min="7433" max="7433" width="11.5703125" style="147" bestFit="1" customWidth="1"/>
    <col min="7434" max="7434" width="10.5703125" style="147" bestFit="1" customWidth="1"/>
    <col min="7435" max="7680" width="9.140625" style="147"/>
    <col min="7681" max="7681" width="7.42578125" style="147" customWidth="1"/>
    <col min="7682" max="7682" width="13.85546875" style="147" customWidth="1"/>
    <col min="7683" max="7683" width="52" style="147" customWidth="1"/>
    <col min="7684" max="7687" width="12.140625" style="147" customWidth="1"/>
    <col min="7688" max="7688" width="18.7109375" style="147" customWidth="1"/>
    <col min="7689" max="7689" width="11.5703125" style="147" bestFit="1" customWidth="1"/>
    <col min="7690" max="7690" width="10.5703125" style="147" bestFit="1" customWidth="1"/>
    <col min="7691" max="7936" width="9.140625" style="147"/>
    <col min="7937" max="7937" width="7.42578125" style="147" customWidth="1"/>
    <col min="7938" max="7938" width="13.85546875" style="147" customWidth="1"/>
    <col min="7939" max="7939" width="52" style="147" customWidth="1"/>
    <col min="7940" max="7943" width="12.140625" style="147" customWidth="1"/>
    <col min="7944" max="7944" width="18.7109375" style="147" customWidth="1"/>
    <col min="7945" max="7945" width="11.5703125" style="147" bestFit="1" customWidth="1"/>
    <col min="7946" max="7946" width="10.5703125" style="147" bestFit="1" customWidth="1"/>
    <col min="7947" max="8192" width="9.140625" style="147"/>
    <col min="8193" max="8193" width="7.42578125" style="147" customWidth="1"/>
    <col min="8194" max="8194" width="13.85546875" style="147" customWidth="1"/>
    <col min="8195" max="8195" width="52" style="147" customWidth="1"/>
    <col min="8196" max="8199" width="12.140625" style="147" customWidth="1"/>
    <col min="8200" max="8200" width="18.7109375" style="147" customWidth="1"/>
    <col min="8201" max="8201" width="11.5703125" style="147" bestFit="1" customWidth="1"/>
    <col min="8202" max="8202" width="10.5703125" style="147" bestFit="1" customWidth="1"/>
    <col min="8203" max="8448" width="9.140625" style="147"/>
    <col min="8449" max="8449" width="7.42578125" style="147" customWidth="1"/>
    <col min="8450" max="8450" width="13.85546875" style="147" customWidth="1"/>
    <col min="8451" max="8451" width="52" style="147" customWidth="1"/>
    <col min="8452" max="8455" width="12.140625" style="147" customWidth="1"/>
    <col min="8456" max="8456" width="18.7109375" style="147" customWidth="1"/>
    <col min="8457" max="8457" width="11.5703125" style="147" bestFit="1" customWidth="1"/>
    <col min="8458" max="8458" width="10.5703125" style="147" bestFit="1" customWidth="1"/>
    <col min="8459" max="8704" width="9.140625" style="147"/>
    <col min="8705" max="8705" width="7.42578125" style="147" customWidth="1"/>
    <col min="8706" max="8706" width="13.85546875" style="147" customWidth="1"/>
    <col min="8707" max="8707" width="52" style="147" customWidth="1"/>
    <col min="8708" max="8711" width="12.140625" style="147" customWidth="1"/>
    <col min="8712" max="8712" width="18.7109375" style="147" customWidth="1"/>
    <col min="8713" max="8713" width="11.5703125" style="147" bestFit="1" customWidth="1"/>
    <col min="8714" max="8714" width="10.5703125" style="147" bestFit="1" customWidth="1"/>
    <col min="8715" max="8960" width="9.140625" style="147"/>
    <col min="8961" max="8961" width="7.42578125" style="147" customWidth="1"/>
    <col min="8962" max="8962" width="13.85546875" style="147" customWidth="1"/>
    <col min="8963" max="8963" width="52" style="147" customWidth="1"/>
    <col min="8964" max="8967" width="12.140625" style="147" customWidth="1"/>
    <col min="8968" max="8968" width="18.7109375" style="147" customWidth="1"/>
    <col min="8969" max="8969" width="11.5703125" style="147" bestFit="1" customWidth="1"/>
    <col min="8970" max="8970" width="10.5703125" style="147" bestFit="1" customWidth="1"/>
    <col min="8971" max="9216" width="9.140625" style="147"/>
    <col min="9217" max="9217" width="7.42578125" style="147" customWidth="1"/>
    <col min="9218" max="9218" width="13.85546875" style="147" customWidth="1"/>
    <col min="9219" max="9219" width="52" style="147" customWidth="1"/>
    <col min="9220" max="9223" width="12.140625" style="147" customWidth="1"/>
    <col min="9224" max="9224" width="18.7109375" style="147" customWidth="1"/>
    <col min="9225" max="9225" width="11.5703125" style="147" bestFit="1" customWidth="1"/>
    <col min="9226" max="9226" width="10.5703125" style="147" bestFit="1" customWidth="1"/>
    <col min="9227" max="9472" width="9.140625" style="147"/>
    <col min="9473" max="9473" width="7.42578125" style="147" customWidth="1"/>
    <col min="9474" max="9474" width="13.85546875" style="147" customWidth="1"/>
    <col min="9475" max="9475" width="52" style="147" customWidth="1"/>
    <col min="9476" max="9479" width="12.140625" style="147" customWidth="1"/>
    <col min="9480" max="9480" width="18.7109375" style="147" customWidth="1"/>
    <col min="9481" max="9481" width="11.5703125" style="147" bestFit="1" customWidth="1"/>
    <col min="9482" max="9482" width="10.5703125" style="147" bestFit="1" customWidth="1"/>
    <col min="9483" max="9728" width="9.140625" style="147"/>
    <col min="9729" max="9729" width="7.42578125" style="147" customWidth="1"/>
    <col min="9730" max="9730" width="13.85546875" style="147" customWidth="1"/>
    <col min="9731" max="9731" width="52" style="147" customWidth="1"/>
    <col min="9732" max="9735" width="12.140625" style="147" customWidth="1"/>
    <col min="9736" max="9736" width="18.7109375" style="147" customWidth="1"/>
    <col min="9737" max="9737" width="11.5703125" style="147" bestFit="1" customWidth="1"/>
    <col min="9738" max="9738" width="10.5703125" style="147" bestFit="1" customWidth="1"/>
    <col min="9739" max="9984" width="9.140625" style="147"/>
    <col min="9985" max="9985" width="7.42578125" style="147" customWidth="1"/>
    <col min="9986" max="9986" width="13.85546875" style="147" customWidth="1"/>
    <col min="9987" max="9987" width="52" style="147" customWidth="1"/>
    <col min="9988" max="9991" width="12.140625" style="147" customWidth="1"/>
    <col min="9992" max="9992" width="18.7109375" style="147" customWidth="1"/>
    <col min="9993" max="9993" width="11.5703125" style="147" bestFit="1" customWidth="1"/>
    <col min="9994" max="9994" width="10.5703125" style="147" bestFit="1" customWidth="1"/>
    <col min="9995" max="10240" width="9.140625" style="147"/>
    <col min="10241" max="10241" width="7.42578125" style="147" customWidth="1"/>
    <col min="10242" max="10242" width="13.85546875" style="147" customWidth="1"/>
    <col min="10243" max="10243" width="52" style="147" customWidth="1"/>
    <col min="10244" max="10247" width="12.140625" style="147" customWidth="1"/>
    <col min="10248" max="10248" width="18.7109375" style="147" customWidth="1"/>
    <col min="10249" max="10249" width="11.5703125" style="147" bestFit="1" customWidth="1"/>
    <col min="10250" max="10250" width="10.5703125" style="147" bestFit="1" customWidth="1"/>
    <col min="10251" max="10496" width="9.140625" style="147"/>
    <col min="10497" max="10497" width="7.42578125" style="147" customWidth="1"/>
    <col min="10498" max="10498" width="13.85546875" style="147" customWidth="1"/>
    <col min="10499" max="10499" width="52" style="147" customWidth="1"/>
    <col min="10500" max="10503" width="12.140625" style="147" customWidth="1"/>
    <col min="10504" max="10504" width="18.7109375" style="147" customWidth="1"/>
    <col min="10505" max="10505" width="11.5703125" style="147" bestFit="1" customWidth="1"/>
    <col min="10506" max="10506" width="10.5703125" style="147" bestFit="1" customWidth="1"/>
    <col min="10507" max="10752" width="9.140625" style="147"/>
    <col min="10753" max="10753" width="7.42578125" style="147" customWidth="1"/>
    <col min="10754" max="10754" width="13.85546875" style="147" customWidth="1"/>
    <col min="10755" max="10755" width="52" style="147" customWidth="1"/>
    <col min="10756" max="10759" width="12.140625" style="147" customWidth="1"/>
    <col min="10760" max="10760" width="18.7109375" style="147" customWidth="1"/>
    <col min="10761" max="10761" width="11.5703125" style="147" bestFit="1" customWidth="1"/>
    <col min="10762" max="10762" width="10.5703125" style="147" bestFit="1" customWidth="1"/>
    <col min="10763" max="11008" width="9.140625" style="147"/>
    <col min="11009" max="11009" width="7.42578125" style="147" customWidth="1"/>
    <col min="11010" max="11010" width="13.85546875" style="147" customWidth="1"/>
    <col min="11011" max="11011" width="52" style="147" customWidth="1"/>
    <col min="11012" max="11015" width="12.140625" style="147" customWidth="1"/>
    <col min="11016" max="11016" width="18.7109375" style="147" customWidth="1"/>
    <col min="11017" max="11017" width="11.5703125" style="147" bestFit="1" customWidth="1"/>
    <col min="11018" max="11018" width="10.5703125" style="147" bestFit="1" customWidth="1"/>
    <col min="11019" max="11264" width="9.140625" style="147"/>
    <col min="11265" max="11265" width="7.42578125" style="147" customWidth="1"/>
    <col min="11266" max="11266" width="13.85546875" style="147" customWidth="1"/>
    <col min="11267" max="11267" width="52" style="147" customWidth="1"/>
    <col min="11268" max="11271" width="12.140625" style="147" customWidth="1"/>
    <col min="11272" max="11272" width="18.7109375" style="147" customWidth="1"/>
    <col min="11273" max="11273" width="11.5703125" style="147" bestFit="1" customWidth="1"/>
    <col min="11274" max="11274" width="10.5703125" style="147" bestFit="1" customWidth="1"/>
    <col min="11275" max="11520" width="9.140625" style="147"/>
    <col min="11521" max="11521" width="7.42578125" style="147" customWidth="1"/>
    <col min="11522" max="11522" width="13.85546875" style="147" customWidth="1"/>
    <col min="11523" max="11523" width="52" style="147" customWidth="1"/>
    <col min="11524" max="11527" width="12.140625" style="147" customWidth="1"/>
    <col min="11528" max="11528" width="18.7109375" style="147" customWidth="1"/>
    <col min="11529" max="11529" width="11.5703125" style="147" bestFit="1" customWidth="1"/>
    <col min="11530" max="11530" width="10.5703125" style="147" bestFit="1" customWidth="1"/>
    <col min="11531" max="11776" width="9.140625" style="147"/>
    <col min="11777" max="11777" width="7.42578125" style="147" customWidth="1"/>
    <col min="11778" max="11778" width="13.85546875" style="147" customWidth="1"/>
    <col min="11779" max="11779" width="52" style="147" customWidth="1"/>
    <col min="11780" max="11783" width="12.140625" style="147" customWidth="1"/>
    <col min="11784" max="11784" width="18.7109375" style="147" customWidth="1"/>
    <col min="11785" max="11785" width="11.5703125" style="147" bestFit="1" customWidth="1"/>
    <col min="11786" max="11786" width="10.5703125" style="147" bestFit="1" customWidth="1"/>
    <col min="11787" max="12032" width="9.140625" style="147"/>
    <col min="12033" max="12033" width="7.42578125" style="147" customWidth="1"/>
    <col min="12034" max="12034" width="13.85546875" style="147" customWidth="1"/>
    <col min="12035" max="12035" width="52" style="147" customWidth="1"/>
    <col min="12036" max="12039" width="12.140625" style="147" customWidth="1"/>
    <col min="12040" max="12040" width="18.7109375" style="147" customWidth="1"/>
    <col min="12041" max="12041" width="11.5703125" style="147" bestFit="1" customWidth="1"/>
    <col min="12042" max="12042" width="10.5703125" style="147" bestFit="1" customWidth="1"/>
    <col min="12043" max="12288" width="9.140625" style="147"/>
    <col min="12289" max="12289" width="7.42578125" style="147" customWidth="1"/>
    <col min="12290" max="12290" width="13.85546875" style="147" customWidth="1"/>
    <col min="12291" max="12291" width="52" style="147" customWidth="1"/>
    <col min="12292" max="12295" width="12.140625" style="147" customWidth="1"/>
    <col min="12296" max="12296" width="18.7109375" style="147" customWidth="1"/>
    <col min="12297" max="12297" width="11.5703125" style="147" bestFit="1" customWidth="1"/>
    <col min="12298" max="12298" width="10.5703125" style="147" bestFit="1" customWidth="1"/>
    <col min="12299" max="12544" width="9.140625" style="147"/>
    <col min="12545" max="12545" width="7.42578125" style="147" customWidth="1"/>
    <col min="12546" max="12546" width="13.85546875" style="147" customWidth="1"/>
    <col min="12547" max="12547" width="52" style="147" customWidth="1"/>
    <col min="12548" max="12551" width="12.140625" style="147" customWidth="1"/>
    <col min="12552" max="12552" width="18.7109375" style="147" customWidth="1"/>
    <col min="12553" max="12553" width="11.5703125" style="147" bestFit="1" customWidth="1"/>
    <col min="12554" max="12554" width="10.5703125" style="147" bestFit="1" customWidth="1"/>
    <col min="12555" max="12800" width="9.140625" style="147"/>
    <col min="12801" max="12801" width="7.42578125" style="147" customWidth="1"/>
    <col min="12802" max="12802" width="13.85546875" style="147" customWidth="1"/>
    <col min="12803" max="12803" width="52" style="147" customWidth="1"/>
    <col min="12804" max="12807" width="12.140625" style="147" customWidth="1"/>
    <col min="12808" max="12808" width="18.7109375" style="147" customWidth="1"/>
    <col min="12809" max="12809" width="11.5703125" style="147" bestFit="1" customWidth="1"/>
    <col min="12810" max="12810" width="10.5703125" style="147" bestFit="1" customWidth="1"/>
    <col min="12811" max="13056" width="9.140625" style="147"/>
    <col min="13057" max="13057" width="7.42578125" style="147" customWidth="1"/>
    <col min="13058" max="13058" width="13.85546875" style="147" customWidth="1"/>
    <col min="13059" max="13059" width="52" style="147" customWidth="1"/>
    <col min="13060" max="13063" width="12.140625" style="147" customWidth="1"/>
    <col min="13064" max="13064" width="18.7109375" style="147" customWidth="1"/>
    <col min="13065" max="13065" width="11.5703125" style="147" bestFit="1" customWidth="1"/>
    <col min="13066" max="13066" width="10.5703125" style="147" bestFit="1" customWidth="1"/>
    <col min="13067" max="13312" width="9.140625" style="147"/>
    <col min="13313" max="13313" width="7.42578125" style="147" customWidth="1"/>
    <col min="13314" max="13314" width="13.85546875" style="147" customWidth="1"/>
    <col min="13315" max="13315" width="52" style="147" customWidth="1"/>
    <col min="13316" max="13319" width="12.140625" style="147" customWidth="1"/>
    <col min="13320" max="13320" width="18.7109375" style="147" customWidth="1"/>
    <col min="13321" max="13321" width="11.5703125" style="147" bestFit="1" customWidth="1"/>
    <col min="13322" max="13322" width="10.5703125" style="147" bestFit="1" customWidth="1"/>
    <col min="13323" max="13568" width="9.140625" style="147"/>
    <col min="13569" max="13569" width="7.42578125" style="147" customWidth="1"/>
    <col min="13570" max="13570" width="13.85546875" style="147" customWidth="1"/>
    <col min="13571" max="13571" width="52" style="147" customWidth="1"/>
    <col min="13572" max="13575" width="12.140625" style="147" customWidth="1"/>
    <col min="13576" max="13576" width="18.7109375" style="147" customWidth="1"/>
    <col min="13577" max="13577" width="11.5703125" style="147" bestFit="1" customWidth="1"/>
    <col min="13578" max="13578" width="10.5703125" style="147" bestFit="1" customWidth="1"/>
    <col min="13579" max="13824" width="9.140625" style="147"/>
    <col min="13825" max="13825" width="7.42578125" style="147" customWidth="1"/>
    <col min="13826" max="13826" width="13.85546875" style="147" customWidth="1"/>
    <col min="13827" max="13827" width="52" style="147" customWidth="1"/>
    <col min="13828" max="13831" width="12.140625" style="147" customWidth="1"/>
    <col min="13832" max="13832" width="18.7109375" style="147" customWidth="1"/>
    <col min="13833" max="13833" width="11.5703125" style="147" bestFit="1" customWidth="1"/>
    <col min="13834" max="13834" width="10.5703125" style="147" bestFit="1" customWidth="1"/>
    <col min="13835" max="14080" width="9.140625" style="147"/>
    <col min="14081" max="14081" width="7.42578125" style="147" customWidth="1"/>
    <col min="14082" max="14082" width="13.85546875" style="147" customWidth="1"/>
    <col min="14083" max="14083" width="52" style="147" customWidth="1"/>
    <col min="14084" max="14087" width="12.140625" style="147" customWidth="1"/>
    <col min="14088" max="14088" width="18.7109375" style="147" customWidth="1"/>
    <col min="14089" max="14089" width="11.5703125" style="147" bestFit="1" customWidth="1"/>
    <col min="14090" max="14090" width="10.5703125" style="147" bestFit="1" customWidth="1"/>
    <col min="14091" max="14336" width="9.140625" style="147"/>
    <col min="14337" max="14337" width="7.42578125" style="147" customWidth="1"/>
    <col min="14338" max="14338" width="13.85546875" style="147" customWidth="1"/>
    <col min="14339" max="14339" width="52" style="147" customWidth="1"/>
    <col min="14340" max="14343" width="12.140625" style="147" customWidth="1"/>
    <col min="14344" max="14344" width="18.7109375" style="147" customWidth="1"/>
    <col min="14345" max="14345" width="11.5703125" style="147" bestFit="1" customWidth="1"/>
    <col min="14346" max="14346" width="10.5703125" style="147" bestFit="1" customWidth="1"/>
    <col min="14347" max="14592" width="9.140625" style="147"/>
    <col min="14593" max="14593" width="7.42578125" style="147" customWidth="1"/>
    <col min="14594" max="14594" width="13.85546875" style="147" customWidth="1"/>
    <col min="14595" max="14595" width="52" style="147" customWidth="1"/>
    <col min="14596" max="14599" width="12.140625" style="147" customWidth="1"/>
    <col min="14600" max="14600" width="18.7109375" style="147" customWidth="1"/>
    <col min="14601" max="14601" width="11.5703125" style="147" bestFit="1" customWidth="1"/>
    <col min="14602" max="14602" width="10.5703125" style="147" bestFit="1" customWidth="1"/>
    <col min="14603" max="14848" width="9.140625" style="147"/>
    <col min="14849" max="14849" width="7.42578125" style="147" customWidth="1"/>
    <col min="14850" max="14850" width="13.85546875" style="147" customWidth="1"/>
    <col min="14851" max="14851" width="52" style="147" customWidth="1"/>
    <col min="14852" max="14855" width="12.140625" style="147" customWidth="1"/>
    <col min="14856" max="14856" width="18.7109375" style="147" customWidth="1"/>
    <col min="14857" max="14857" width="11.5703125" style="147" bestFit="1" customWidth="1"/>
    <col min="14858" max="14858" width="10.5703125" style="147" bestFit="1" customWidth="1"/>
    <col min="14859" max="15104" width="9.140625" style="147"/>
    <col min="15105" max="15105" width="7.42578125" style="147" customWidth="1"/>
    <col min="15106" max="15106" width="13.85546875" style="147" customWidth="1"/>
    <col min="15107" max="15107" width="52" style="147" customWidth="1"/>
    <col min="15108" max="15111" width="12.140625" style="147" customWidth="1"/>
    <col min="15112" max="15112" width="18.7109375" style="147" customWidth="1"/>
    <col min="15113" max="15113" width="11.5703125" style="147" bestFit="1" customWidth="1"/>
    <col min="15114" max="15114" width="10.5703125" style="147" bestFit="1" customWidth="1"/>
    <col min="15115" max="15360" width="9.140625" style="147"/>
    <col min="15361" max="15361" width="7.42578125" style="147" customWidth="1"/>
    <col min="15362" max="15362" width="13.85546875" style="147" customWidth="1"/>
    <col min="15363" max="15363" width="52" style="147" customWidth="1"/>
    <col min="15364" max="15367" width="12.140625" style="147" customWidth="1"/>
    <col min="15368" max="15368" width="18.7109375" style="147" customWidth="1"/>
    <col min="15369" max="15369" width="11.5703125" style="147" bestFit="1" customWidth="1"/>
    <col min="15370" max="15370" width="10.5703125" style="147" bestFit="1" customWidth="1"/>
    <col min="15371" max="15616" width="9.140625" style="147"/>
    <col min="15617" max="15617" width="7.42578125" style="147" customWidth="1"/>
    <col min="15618" max="15618" width="13.85546875" style="147" customWidth="1"/>
    <col min="15619" max="15619" width="52" style="147" customWidth="1"/>
    <col min="15620" max="15623" width="12.140625" style="147" customWidth="1"/>
    <col min="15624" max="15624" width="18.7109375" style="147" customWidth="1"/>
    <col min="15625" max="15625" width="11.5703125" style="147" bestFit="1" customWidth="1"/>
    <col min="15626" max="15626" width="10.5703125" style="147" bestFit="1" customWidth="1"/>
    <col min="15627" max="15872" width="9.140625" style="147"/>
    <col min="15873" max="15873" width="7.42578125" style="147" customWidth="1"/>
    <col min="15874" max="15874" width="13.85546875" style="147" customWidth="1"/>
    <col min="15875" max="15875" width="52" style="147" customWidth="1"/>
    <col min="15876" max="15879" width="12.140625" style="147" customWidth="1"/>
    <col min="15880" max="15880" width="18.7109375" style="147" customWidth="1"/>
    <col min="15881" max="15881" width="11.5703125" style="147" bestFit="1" customWidth="1"/>
    <col min="15882" max="15882" width="10.5703125" style="147" bestFit="1" customWidth="1"/>
    <col min="15883" max="16128" width="9.140625" style="147"/>
    <col min="16129" max="16129" width="7.42578125" style="147" customWidth="1"/>
    <col min="16130" max="16130" width="13.85546875" style="147" customWidth="1"/>
    <col min="16131" max="16131" width="52" style="147" customWidth="1"/>
    <col min="16132" max="16135" width="12.140625" style="147" customWidth="1"/>
    <col min="16136" max="16136" width="18.7109375" style="147" customWidth="1"/>
    <col min="16137" max="16137" width="11.5703125" style="147" bestFit="1" customWidth="1"/>
    <col min="16138" max="16138" width="10.5703125" style="147" bestFit="1" customWidth="1"/>
    <col min="16139" max="16384" width="9.140625" style="147"/>
  </cols>
  <sheetData>
    <row r="1" spans="1:10" s="138" customFormat="1" ht="14.25" customHeight="1">
      <c r="A1" s="136"/>
      <c r="B1" s="136"/>
      <c r="C1" s="137"/>
      <c r="D1" s="136"/>
      <c r="E1" s="136"/>
      <c r="F1" s="136"/>
      <c r="G1" s="136"/>
      <c r="H1" s="136"/>
    </row>
    <row r="2" spans="1:10" s="160" customFormat="1" ht="18" customHeight="1">
      <c r="A2" s="544" t="s">
        <v>108</v>
      </c>
      <c r="B2" s="544"/>
      <c r="C2" s="544"/>
      <c r="D2" s="544"/>
      <c r="E2" s="544"/>
      <c r="F2" s="544"/>
      <c r="G2" s="544"/>
      <c r="H2" s="544"/>
    </row>
    <row r="3" spans="1:10" s="138" customFormat="1" ht="22.5" customHeight="1">
      <c r="A3" s="544"/>
      <c r="B3" s="544"/>
      <c r="C3" s="544"/>
      <c r="D3" s="544"/>
      <c r="E3" s="544"/>
      <c r="F3" s="544"/>
      <c r="G3" s="544"/>
      <c r="H3" s="544"/>
    </row>
    <row r="4" spans="1:10" s="138" customFormat="1" ht="23.25" customHeight="1">
      <c r="A4" s="545" t="s">
        <v>109</v>
      </c>
      <c r="B4" s="547" t="s">
        <v>110</v>
      </c>
      <c r="C4" s="545" t="s">
        <v>111</v>
      </c>
      <c r="D4" s="548" t="s">
        <v>112</v>
      </c>
      <c r="E4" s="549"/>
      <c r="F4" s="549"/>
      <c r="G4" s="550"/>
      <c r="H4" s="551" t="s">
        <v>113</v>
      </c>
    </row>
    <row r="5" spans="1:10" s="138" customFormat="1" ht="54.75" customHeight="1">
      <c r="A5" s="546"/>
      <c r="B5" s="546"/>
      <c r="C5" s="546"/>
      <c r="D5" s="139" t="s">
        <v>114</v>
      </c>
      <c r="E5" s="139" t="s">
        <v>115</v>
      </c>
      <c r="F5" s="140" t="s">
        <v>116</v>
      </c>
      <c r="G5" s="139" t="s">
        <v>117</v>
      </c>
      <c r="H5" s="552"/>
    </row>
    <row r="6" spans="1:10" s="138" customFormat="1">
      <c r="A6" s="141" t="s">
        <v>118</v>
      </c>
      <c r="B6" s="141" t="s">
        <v>119</v>
      </c>
      <c r="C6" s="141" t="s">
        <v>120</v>
      </c>
      <c r="D6" s="141" t="s">
        <v>121</v>
      </c>
      <c r="E6" s="141" t="s">
        <v>122</v>
      </c>
      <c r="F6" s="141" t="s">
        <v>123</v>
      </c>
      <c r="G6" s="141" t="s">
        <v>124</v>
      </c>
      <c r="H6" s="141" t="s">
        <v>125</v>
      </c>
    </row>
    <row r="7" spans="1:10" s="138" customFormat="1" ht="21" customHeight="1">
      <c r="A7" s="434">
        <v>1</v>
      </c>
      <c r="B7" s="434" t="s">
        <v>126</v>
      </c>
      <c r="C7" s="477" t="s">
        <v>134</v>
      </c>
      <c r="D7" s="478">
        <f>სამშენებლო!M160</f>
        <v>0</v>
      </c>
      <c r="E7" s="478"/>
      <c r="F7" s="478"/>
      <c r="G7" s="434"/>
      <c r="H7" s="478">
        <f>სამშენებლო!M160</f>
        <v>0</v>
      </c>
      <c r="I7" s="144"/>
      <c r="J7" s="144"/>
    </row>
    <row r="8" spans="1:10" s="138" customFormat="1" ht="19.5" customHeight="1">
      <c r="A8" s="479">
        <v>2</v>
      </c>
      <c r="B8" s="479" t="s">
        <v>127</v>
      </c>
      <c r="C8" s="480" t="s">
        <v>132</v>
      </c>
      <c r="D8" s="481"/>
      <c r="E8" s="481"/>
      <c r="F8" s="481"/>
      <c r="G8" s="482"/>
      <c r="H8" s="481">
        <f>ელექტრობა!M55</f>
        <v>0</v>
      </c>
      <c r="I8" s="144"/>
      <c r="J8" s="144"/>
    </row>
    <row r="9" spans="1:10" s="138" customFormat="1" ht="17.25" customHeight="1">
      <c r="A9" s="149">
        <v>3</v>
      </c>
      <c r="B9" s="149"/>
      <c r="C9" s="435" t="s">
        <v>128</v>
      </c>
      <c r="D9" s="143"/>
      <c r="E9" s="143"/>
      <c r="F9" s="143"/>
      <c r="G9" s="143"/>
      <c r="H9" s="143">
        <f>H7+H8</f>
        <v>0</v>
      </c>
      <c r="I9" s="144"/>
    </row>
    <row r="10" spans="1:10" s="138" customFormat="1" ht="17.25" customHeight="1">
      <c r="A10" s="149">
        <v>4</v>
      </c>
      <c r="B10" s="149"/>
      <c r="C10" s="142" t="s">
        <v>261</v>
      </c>
      <c r="D10" s="143"/>
      <c r="E10" s="143"/>
      <c r="F10" s="143"/>
      <c r="G10" s="143"/>
      <c r="H10" s="143">
        <f>H9*0.029</f>
        <v>0</v>
      </c>
      <c r="I10" s="144"/>
    </row>
    <row r="11" spans="1:10" s="138" customFormat="1" ht="17.25" customHeight="1">
      <c r="A11" s="433">
        <v>5</v>
      </c>
      <c r="B11" s="139"/>
      <c r="C11" s="142" t="s">
        <v>128</v>
      </c>
      <c r="D11" s="143"/>
      <c r="E11" s="143"/>
      <c r="F11" s="143"/>
      <c r="G11" s="143"/>
      <c r="H11" s="143">
        <f>H9+H10</f>
        <v>0</v>
      </c>
      <c r="I11" s="144"/>
    </row>
    <row r="12" spans="1:10" s="138" customFormat="1" ht="17.25" customHeight="1">
      <c r="A12" s="433">
        <v>6</v>
      </c>
      <c r="B12" s="139"/>
      <c r="C12" s="142" t="s">
        <v>129</v>
      </c>
      <c r="D12" s="143"/>
      <c r="E12" s="143"/>
      <c r="F12" s="143"/>
      <c r="G12" s="143"/>
      <c r="H12" s="143">
        <f>H11*0.03</f>
        <v>0</v>
      </c>
      <c r="I12" s="144"/>
    </row>
    <row r="13" spans="1:10" s="138" customFormat="1" ht="17.25" customHeight="1">
      <c r="A13" s="433">
        <v>7</v>
      </c>
      <c r="B13" s="139"/>
      <c r="C13" s="142" t="s">
        <v>130</v>
      </c>
      <c r="D13" s="143"/>
      <c r="E13" s="143"/>
      <c r="F13" s="143"/>
      <c r="G13" s="143"/>
      <c r="H13" s="143">
        <f>H11+H12</f>
        <v>0</v>
      </c>
      <c r="I13" s="144"/>
    </row>
    <row r="14" spans="1:10" s="138" customFormat="1" ht="16.5" customHeight="1">
      <c r="A14" s="433">
        <v>8</v>
      </c>
      <c r="B14" s="139"/>
      <c r="C14" s="139" t="s">
        <v>131</v>
      </c>
      <c r="D14" s="145"/>
      <c r="E14" s="139"/>
      <c r="F14" s="139"/>
      <c r="G14" s="143"/>
      <c r="H14" s="143">
        <f>H13*0.18</f>
        <v>0</v>
      </c>
    </row>
    <row r="15" spans="1:10" s="138" customFormat="1" ht="18.75" customHeight="1">
      <c r="A15" s="433">
        <v>9</v>
      </c>
      <c r="B15" s="139"/>
      <c r="C15" s="435" t="s">
        <v>135</v>
      </c>
      <c r="D15" s="143"/>
      <c r="E15" s="143"/>
      <c r="F15" s="143"/>
      <c r="G15" s="143"/>
      <c r="H15" s="159">
        <f>H13+H14</f>
        <v>0</v>
      </c>
      <c r="I15" s="144"/>
    </row>
    <row r="16" spans="1:10" s="138" customFormat="1" ht="47.25" customHeight="1">
      <c r="A16" s="146"/>
      <c r="B16" s="146"/>
      <c r="C16" s="147"/>
      <c r="D16" s="146"/>
      <c r="E16" s="146"/>
      <c r="F16" s="543"/>
      <c r="G16" s="543"/>
      <c r="H16" s="146"/>
    </row>
    <row r="17" spans="1:8" s="138" customFormat="1" ht="21.75" customHeight="1">
      <c r="A17" s="146"/>
      <c r="B17" s="146"/>
      <c r="C17" s="148"/>
      <c r="D17" s="146"/>
      <c r="E17" s="146"/>
      <c r="F17" s="476"/>
      <c r="G17" s="476"/>
      <c r="H17" s="146"/>
    </row>
  </sheetData>
  <mergeCells count="8">
    <mergeCell ref="F16:G16"/>
    <mergeCell ref="A2:H2"/>
    <mergeCell ref="A3:H3"/>
    <mergeCell ref="A4:A5"/>
    <mergeCell ref="B4:B5"/>
    <mergeCell ref="C4:C5"/>
    <mergeCell ref="D4:G4"/>
    <mergeCell ref="H4:H5"/>
  </mergeCells>
  <printOptions horizontalCentered="1"/>
  <pageMargins left="0.23622047244094491" right="0.23622047244094491" top="0.39370078740157483" bottom="0.39370078740157483" header="0.19685039370078741" footer="0.19685039370078741"/>
  <pageSetup paperSize="9" scale="98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Z162"/>
  <sheetViews>
    <sheetView topLeftCell="A145" zoomScaleNormal="100" zoomScaleSheetLayoutView="100" workbookViewId="0">
      <selection activeCell="C164" sqref="C164"/>
    </sheetView>
  </sheetViews>
  <sheetFormatPr defaultColWidth="9.140625" defaultRowHeight="12.75"/>
  <cols>
    <col min="1" max="1" width="3.42578125" style="21" customWidth="1"/>
    <col min="2" max="2" width="10.140625" style="38" customWidth="1"/>
    <col min="3" max="3" width="50.7109375" style="36" customWidth="1"/>
    <col min="4" max="4" width="7.7109375" style="109" customWidth="1"/>
    <col min="5" max="5" width="6.7109375" style="109" customWidth="1"/>
    <col min="6" max="6" width="7.5703125" style="542" customWidth="1"/>
    <col min="7" max="7" width="7" style="38" customWidth="1"/>
    <col min="8" max="8" width="9.5703125" style="38" customWidth="1"/>
    <col min="9" max="9" width="8.140625" style="154" customWidth="1"/>
    <col min="10" max="10" width="9" style="38" customWidth="1"/>
    <col min="11" max="11" width="7" style="38" customWidth="1"/>
    <col min="12" max="12" width="8.5703125" style="38" customWidth="1"/>
    <col min="13" max="13" width="10.5703125" style="38" customWidth="1"/>
    <col min="14" max="14" width="8.140625" style="38" customWidth="1"/>
    <col min="15" max="15" width="12.7109375" style="38" bestFit="1" customWidth="1"/>
    <col min="16" max="16" width="12.85546875" style="38" bestFit="1" customWidth="1"/>
    <col min="17" max="19" width="9.140625" style="38"/>
    <col min="20" max="20" width="16" style="38" customWidth="1"/>
    <col min="21" max="16384" width="9.140625" style="38"/>
  </cols>
  <sheetData>
    <row r="1" spans="1:26" s="1" customFormat="1" ht="15">
      <c r="A1" s="2"/>
      <c r="B1" s="3"/>
      <c r="C1" s="3"/>
      <c r="D1" s="3"/>
      <c r="E1" s="3"/>
      <c r="F1" s="524"/>
      <c r="G1" s="151"/>
      <c r="I1" s="153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s="1" customFormat="1" ht="15">
      <c r="A2" s="567" t="s">
        <v>133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s="1" customFormat="1" ht="15">
      <c r="A3" s="567" t="s">
        <v>114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5">
      <c r="A4" s="566"/>
      <c r="B4" s="566"/>
      <c r="C4" s="566"/>
      <c r="D4" s="566"/>
      <c r="E4" s="566"/>
      <c r="F4" s="525"/>
      <c r="G4" s="37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s="4" customFormat="1" ht="14.25">
      <c r="A5" s="564"/>
      <c r="B5" s="564"/>
      <c r="C5" s="564"/>
      <c r="D5" s="564"/>
      <c r="E5" s="564"/>
      <c r="F5" s="564"/>
      <c r="G5" s="29"/>
      <c r="H5" s="28"/>
      <c r="I5" s="565"/>
      <c r="J5" s="565"/>
      <c r="K5" s="565"/>
      <c r="L5" s="565"/>
      <c r="M5" s="565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s="65" customFormat="1" ht="29.25" customHeight="1">
      <c r="A6" s="558" t="s">
        <v>0</v>
      </c>
      <c r="B6" s="560" t="s">
        <v>1</v>
      </c>
      <c r="C6" s="560" t="s">
        <v>2</v>
      </c>
      <c r="D6" s="560" t="s">
        <v>3</v>
      </c>
      <c r="E6" s="562" t="s">
        <v>4</v>
      </c>
      <c r="F6" s="563"/>
      <c r="G6" s="554" t="s">
        <v>5</v>
      </c>
      <c r="H6" s="555"/>
      <c r="I6" s="554" t="s">
        <v>6</v>
      </c>
      <c r="J6" s="555"/>
      <c r="K6" s="554" t="s">
        <v>7</v>
      </c>
      <c r="L6" s="555"/>
      <c r="M6" s="556" t="s">
        <v>8</v>
      </c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:26" s="65" customFormat="1" ht="23.25" customHeight="1">
      <c r="A7" s="559"/>
      <c r="B7" s="561"/>
      <c r="C7" s="561"/>
      <c r="D7" s="561"/>
      <c r="E7" s="39" t="s">
        <v>9</v>
      </c>
      <c r="F7" s="526" t="s">
        <v>10</v>
      </c>
      <c r="G7" s="40" t="s">
        <v>9</v>
      </c>
      <c r="H7" s="40" t="s">
        <v>10</v>
      </c>
      <c r="I7" s="40" t="s">
        <v>9</v>
      </c>
      <c r="J7" s="40" t="s">
        <v>10</v>
      </c>
      <c r="K7" s="40" t="s">
        <v>9</v>
      </c>
      <c r="L7" s="40" t="s">
        <v>10</v>
      </c>
      <c r="M7" s="557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s="67" customFormat="1" ht="17.25" customHeight="1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527">
        <v>6</v>
      </c>
      <c r="G8" s="41">
        <v>7</v>
      </c>
      <c r="H8" s="41">
        <v>8</v>
      </c>
      <c r="I8" s="155">
        <v>9</v>
      </c>
      <c r="J8" s="41">
        <v>10</v>
      </c>
      <c r="K8" s="41">
        <v>11</v>
      </c>
      <c r="L8" s="41">
        <v>12</v>
      </c>
      <c r="M8" s="42">
        <v>13</v>
      </c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</row>
    <row r="9" spans="1:26" s="67" customFormat="1" ht="17.25" customHeight="1">
      <c r="A9" s="69"/>
      <c r="B9" s="70"/>
      <c r="C9" s="485" t="s">
        <v>263</v>
      </c>
      <c r="D9" s="71"/>
      <c r="E9" s="72"/>
      <c r="F9" s="486"/>
      <c r="G9" s="72"/>
      <c r="H9" s="72"/>
      <c r="I9" s="156"/>
      <c r="J9" s="72"/>
      <c r="K9" s="73"/>
      <c r="L9" s="73"/>
      <c r="M9" s="74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 spans="1:26" s="75" customFormat="1" ht="27" customHeight="1">
      <c r="A10" s="161">
        <v>1</v>
      </c>
      <c r="B10" s="161" t="s">
        <v>136</v>
      </c>
      <c r="C10" s="162" t="s">
        <v>49</v>
      </c>
      <c r="D10" s="163" t="s">
        <v>11</v>
      </c>
      <c r="E10" s="164"/>
      <c r="F10" s="487">
        <v>8.1999999999999993</v>
      </c>
      <c r="G10" s="165"/>
      <c r="H10" s="165"/>
      <c r="I10" s="165"/>
      <c r="J10" s="165"/>
      <c r="K10" s="165"/>
      <c r="L10" s="165"/>
      <c r="M10" s="165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  <row r="11" spans="1:26" s="75" customFormat="1" ht="15" customHeight="1">
      <c r="A11" s="166"/>
      <c r="B11" s="167"/>
      <c r="C11" s="168" t="s">
        <v>137</v>
      </c>
      <c r="D11" s="166" t="s">
        <v>48</v>
      </c>
      <c r="E11" s="169">
        <f>3.88*1.2</f>
        <v>4.6559999999999997</v>
      </c>
      <c r="F11" s="488">
        <f>F10*E11</f>
        <v>38.179199999999994</v>
      </c>
      <c r="G11" s="579"/>
      <c r="H11" s="169">
        <f>F11*G11</f>
        <v>0</v>
      </c>
      <c r="I11" s="169"/>
      <c r="J11" s="169"/>
      <c r="K11" s="169"/>
      <c r="L11" s="169"/>
      <c r="M11" s="169">
        <f>H11+J11+L11</f>
        <v>0</v>
      </c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</row>
    <row r="12" spans="1:26" s="77" customFormat="1" ht="15" customHeight="1">
      <c r="A12" s="170">
        <v>2</v>
      </c>
      <c r="B12" s="170" t="s">
        <v>60</v>
      </c>
      <c r="C12" s="171" t="s">
        <v>62</v>
      </c>
      <c r="D12" s="172" t="s">
        <v>11</v>
      </c>
      <c r="E12" s="173"/>
      <c r="F12" s="489">
        <v>5</v>
      </c>
      <c r="G12" s="174"/>
      <c r="H12" s="174"/>
      <c r="I12" s="174"/>
      <c r="J12" s="174"/>
      <c r="K12" s="174"/>
      <c r="L12" s="174"/>
      <c r="M12" s="174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1:26" s="77" customFormat="1" ht="16.5" customHeight="1">
      <c r="A13" s="175"/>
      <c r="B13" s="176"/>
      <c r="C13" s="177" t="s">
        <v>138</v>
      </c>
      <c r="D13" s="175" t="s">
        <v>48</v>
      </c>
      <c r="E13" s="178">
        <f>0.993*1.2</f>
        <v>1.1916</v>
      </c>
      <c r="F13" s="490">
        <f>F12*E13</f>
        <v>5.9580000000000002</v>
      </c>
      <c r="G13" s="580"/>
      <c r="H13" s="178">
        <f>F13*G13</f>
        <v>0</v>
      </c>
      <c r="I13" s="178"/>
      <c r="J13" s="178"/>
      <c r="K13" s="178"/>
      <c r="L13" s="178"/>
      <c r="M13" s="178">
        <f>H13+J13+L13</f>
        <v>0</v>
      </c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spans="1:26" s="186" customFormat="1" ht="27.75" customHeight="1">
      <c r="A14" s="179">
        <v>3</v>
      </c>
      <c r="B14" s="180" t="s">
        <v>139</v>
      </c>
      <c r="C14" s="181" t="s">
        <v>140</v>
      </c>
      <c r="D14" s="182" t="s">
        <v>11</v>
      </c>
      <c r="E14" s="183"/>
      <c r="F14" s="491">
        <f>F10-F12</f>
        <v>3.1999999999999993</v>
      </c>
      <c r="G14" s="44"/>
      <c r="H14" s="184"/>
      <c r="I14" s="185"/>
      <c r="J14" s="184"/>
      <c r="K14" s="185"/>
      <c r="L14" s="184"/>
      <c r="M14" s="184"/>
    </row>
    <row r="15" spans="1:26" s="186" customFormat="1" ht="15" customHeight="1">
      <c r="A15" s="187"/>
      <c r="B15" s="188"/>
      <c r="C15" s="189" t="s">
        <v>141</v>
      </c>
      <c r="D15" s="175" t="s">
        <v>64</v>
      </c>
      <c r="E15" s="190">
        <f>0.87*1.2</f>
        <v>1.044</v>
      </c>
      <c r="F15" s="492">
        <f>E15*F14</f>
        <v>3.3407999999999993</v>
      </c>
      <c r="G15" s="576"/>
      <c r="H15" s="192">
        <f>F15*G15</f>
        <v>0</v>
      </c>
      <c r="I15" s="193"/>
      <c r="J15" s="192"/>
      <c r="K15" s="193"/>
      <c r="L15" s="192"/>
      <c r="M15" s="192">
        <f>H15+J15+L15</f>
        <v>0</v>
      </c>
    </row>
    <row r="16" spans="1:26" s="79" customFormat="1" ht="18" customHeight="1">
      <c r="A16" s="194">
        <v>4</v>
      </c>
      <c r="B16" s="194" t="s">
        <v>61</v>
      </c>
      <c r="C16" s="195" t="s">
        <v>142</v>
      </c>
      <c r="D16" s="196" t="s">
        <v>12</v>
      </c>
      <c r="E16" s="197"/>
      <c r="F16" s="493">
        <f>F14*1.95</f>
        <v>6.2399999999999984</v>
      </c>
      <c r="G16" s="197"/>
      <c r="H16" s="197"/>
      <c r="I16" s="197"/>
      <c r="J16" s="197"/>
      <c r="K16" s="197"/>
      <c r="L16" s="197"/>
      <c r="M16" s="197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spans="1:26" s="79" customFormat="1" ht="14.25" customHeight="1">
      <c r="A17" s="198"/>
      <c r="B17" s="198"/>
      <c r="C17" s="199" t="s">
        <v>143</v>
      </c>
      <c r="D17" s="198" t="s">
        <v>12</v>
      </c>
      <c r="E17" s="200">
        <v>1</v>
      </c>
      <c r="F17" s="494">
        <f>E17*F16</f>
        <v>6.2399999999999984</v>
      </c>
      <c r="G17" s="200"/>
      <c r="H17" s="200"/>
      <c r="I17" s="200"/>
      <c r="J17" s="200"/>
      <c r="K17" s="581"/>
      <c r="L17" s="200">
        <f>F17*K17</f>
        <v>0</v>
      </c>
      <c r="M17" s="200">
        <f>H17+J17+L17</f>
        <v>0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spans="1:26" s="81" customFormat="1" ht="28.5" customHeight="1">
      <c r="A18" s="201">
        <v>5</v>
      </c>
      <c r="B18" s="202" t="s">
        <v>50</v>
      </c>
      <c r="C18" s="203" t="s">
        <v>14</v>
      </c>
      <c r="D18" s="204" t="s">
        <v>51</v>
      </c>
      <c r="E18" s="205"/>
      <c r="F18" s="495">
        <v>0.73</v>
      </c>
      <c r="G18" s="206"/>
      <c r="H18" s="206"/>
      <c r="I18" s="207"/>
      <c r="J18" s="207"/>
      <c r="K18" s="207"/>
      <c r="L18" s="208"/>
      <c r="M18" s="209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</row>
    <row r="19" spans="1:26" s="83" customFormat="1" ht="17.25" customHeight="1">
      <c r="A19" s="210"/>
      <c r="B19" s="211"/>
      <c r="C19" s="212" t="s">
        <v>144</v>
      </c>
      <c r="D19" s="213" t="s">
        <v>52</v>
      </c>
      <c r="E19" s="214">
        <f>0.89*1.2</f>
        <v>1.0680000000000001</v>
      </c>
      <c r="F19" s="496">
        <f>E19*F18</f>
        <v>0.77964</v>
      </c>
      <c r="G19" s="582"/>
      <c r="H19" s="215">
        <f>F19*G19</f>
        <v>0</v>
      </c>
      <c r="I19" s="216"/>
      <c r="J19" s="216"/>
      <c r="K19" s="216"/>
      <c r="L19" s="217"/>
      <c r="M19" s="184">
        <f t="shared" ref="M19:M22" si="0">H19+J19+L19</f>
        <v>0</v>
      </c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</row>
    <row r="20" spans="1:26" s="83" customFormat="1">
      <c r="A20" s="213"/>
      <c r="B20" s="211"/>
      <c r="C20" s="218" t="s">
        <v>145</v>
      </c>
      <c r="D20" s="213" t="s">
        <v>16</v>
      </c>
      <c r="E20" s="214">
        <f>0.37*1.2</f>
        <v>0.44400000000000001</v>
      </c>
      <c r="F20" s="497">
        <f>E20*F18</f>
        <v>0.32412000000000002</v>
      </c>
      <c r="G20" s="220"/>
      <c r="H20" s="220"/>
      <c r="I20" s="215"/>
      <c r="J20" s="215"/>
      <c r="K20" s="585"/>
      <c r="L20" s="184">
        <f t="shared" ref="L20" si="1">F20*K20</f>
        <v>0</v>
      </c>
      <c r="M20" s="184">
        <f t="shared" si="0"/>
        <v>0</v>
      </c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</row>
    <row r="21" spans="1:26" s="83" customFormat="1" ht="15.75" customHeight="1">
      <c r="A21" s="221"/>
      <c r="B21" s="211"/>
      <c r="C21" s="222" t="s">
        <v>17</v>
      </c>
      <c r="D21" s="223" t="s">
        <v>53</v>
      </c>
      <c r="E21" s="224">
        <v>1.1499999999999999</v>
      </c>
      <c r="F21" s="498">
        <f>E21*F18</f>
        <v>0.83949999999999991</v>
      </c>
      <c r="G21" s="225"/>
      <c r="H21" s="225"/>
      <c r="I21" s="583"/>
      <c r="J21" s="226">
        <f>I21*F21</f>
        <v>0</v>
      </c>
      <c r="K21" s="227"/>
      <c r="L21" s="227"/>
      <c r="M21" s="184">
        <f t="shared" si="0"/>
        <v>0</v>
      </c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</row>
    <row r="22" spans="1:26" s="83" customFormat="1">
      <c r="A22" s="176"/>
      <c r="B22" s="167"/>
      <c r="C22" s="228" t="s">
        <v>18</v>
      </c>
      <c r="D22" s="176" t="s">
        <v>16</v>
      </c>
      <c r="E22" s="229">
        <v>0.02</v>
      </c>
      <c r="F22" s="499">
        <f>E22*F18</f>
        <v>1.46E-2</v>
      </c>
      <c r="G22" s="231"/>
      <c r="H22" s="231"/>
      <c r="I22" s="584"/>
      <c r="J22" s="232">
        <f>I22*F22</f>
        <v>0</v>
      </c>
      <c r="K22" s="233"/>
      <c r="L22" s="233"/>
      <c r="M22" s="192">
        <f t="shared" si="0"/>
        <v>0</v>
      </c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</row>
    <row r="23" spans="1:26" s="85" customFormat="1" ht="25.5" customHeight="1">
      <c r="A23" s="234">
        <v>6</v>
      </c>
      <c r="B23" s="235" t="s">
        <v>19</v>
      </c>
      <c r="C23" s="162" t="s">
        <v>54</v>
      </c>
      <c r="D23" s="163" t="s">
        <v>11</v>
      </c>
      <c r="E23" s="236"/>
      <c r="F23" s="487">
        <v>2.2999999999999998</v>
      </c>
      <c r="G23" s="165"/>
      <c r="H23" s="165"/>
      <c r="I23" s="165"/>
      <c r="J23" s="165"/>
      <c r="K23" s="165"/>
      <c r="L23" s="165"/>
      <c r="M23" s="165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</row>
    <row r="24" spans="1:26" s="85" customFormat="1" ht="14.25" customHeight="1">
      <c r="A24" s="237"/>
      <c r="B24" s="211"/>
      <c r="C24" s="238" t="s">
        <v>146</v>
      </c>
      <c r="D24" s="239" t="s">
        <v>48</v>
      </c>
      <c r="E24" s="240">
        <f>6.66*1.2</f>
        <v>7.992</v>
      </c>
      <c r="F24" s="500">
        <f>F23*E24</f>
        <v>18.381599999999999</v>
      </c>
      <c r="G24" s="589"/>
      <c r="H24" s="241">
        <f>F24*G24</f>
        <v>0</v>
      </c>
      <c r="I24" s="240"/>
      <c r="J24" s="241"/>
      <c r="K24" s="241"/>
      <c r="L24" s="241"/>
      <c r="M24" s="241">
        <f>H24+J24+L24</f>
        <v>0</v>
      </c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</row>
    <row r="25" spans="1:26" s="85" customFormat="1" ht="14.25" customHeight="1">
      <c r="A25" s="237"/>
      <c r="B25" s="237"/>
      <c r="C25" s="238" t="s">
        <v>147</v>
      </c>
      <c r="D25" s="239" t="s">
        <v>55</v>
      </c>
      <c r="E25" s="240">
        <f>0.59*1.2</f>
        <v>0.70799999999999996</v>
      </c>
      <c r="F25" s="500">
        <f>F23*E25</f>
        <v>1.6283999999999998</v>
      </c>
      <c r="G25" s="241"/>
      <c r="H25" s="241"/>
      <c r="I25" s="240"/>
      <c r="J25" s="241"/>
      <c r="K25" s="586"/>
      <c r="L25" s="241">
        <f>F25*K25</f>
        <v>0</v>
      </c>
      <c r="M25" s="241">
        <f t="shared" ref="M25:M29" si="2">H25+J25+L25</f>
        <v>0</v>
      </c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</row>
    <row r="26" spans="1:26" s="85" customFormat="1" ht="14.25" customHeight="1">
      <c r="A26" s="237"/>
      <c r="B26" s="211"/>
      <c r="C26" s="238" t="s">
        <v>59</v>
      </c>
      <c r="D26" s="239" t="s">
        <v>11</v>
      </c>
      <c r="E26" s="242">
        <v>1.0149999999999999</v>
      </c>
      <c r="F26" s="500">
        <f>F23*E26</f>
        <v>2.3344999999999998</v>
      </c>
      <c r="G26" s="240"/>
      <c r="H26" s="241"/>
      <c r="I26" s="587"/>
      <c r="J26" s="241">
        <f t="shared" ref="J26:J29" si="3">I26*F26</f>
        <v>0</v>
      </c>
      <c r="K26" s="241"/>
      <c r="L26" s="241"/>
      <c r="M26" s="241">
        <f t="shared" si="2"/>
        <v>0</v>
      </c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</row>
    <row r="27" spans="1:26" s="85" customFormat="1" ht="14.25" customHeight="1">
      <c r="A27" s="237"/>
      <c r="B27" s="211"/>
      <c r="C27" s="238" t="s">
        <v>57</v>
      </c>
      <c r="D27" s="239" t="s">
        <v>20</v>
      </c>
      <c r="E27" s="240">
        <v>1.6</v>
      </c>
      <c r="F27" s="500">
        <f>F23*E27</f>
        <v>3.6799999999999997</v>
      </c>
      <c r="G27" s="240"/>
      <c r="H27" s="241"/>
      <c r="I27" s="587"/>
      <c r="J27" s="241">
        <f t="shared" si="3"/>
        <v>0</v>
      </c>
      <c r="K27" s="241"/>
      <c r="L27" s="241"/>
      <c r="M27" s="241">
        <f t="shared" si="2"/>
        <v>0</v>
      </c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</row>
    <row r="28" spans="1:26" s="85" customFormat="1" ht="14.25" customHeight="1">
      <c r="A28" s="237"/>
      <c r="B28" s="211"/>
      <c r="C28" s="238" t="s">
        <v>58</v>
      </c>
      <c r="D28" s="239" t="s">
        <v>11</v>
      </c>
      <c r="E28" s="240">
        <v>1.83E-2</v>
      </c>
      <c r="F28" s="500">
        <f>F23*E28</f>
        <v>4.2089999999999995E-2</v>
      </c>
      <c r="G28" s="240"/>
      <c r="H28" s="241"/>
      <c r="I28" s="587"/>
      <c r="J28" s="241">
        <f t="shared" si="3"/>
        <v>0</v>
      </c>
      <c r="K28" s="241"/>
      <c r="L28" s="241"/>
      <c r="M28" s="241">
        <f t="shared" si="2"/>
        <v>0</v>
      </c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</row>
    <row r="29" spans="1:26" s="85" customFormat="1" ht="14.25" customHeight="1">
      <c r="A29" s="243"/>
      <c r="B29" s="243"/>
      <c r="C29" s="177" t="s">
        <v>18</v>
      </c>
      <c r="D29" s="175" t="s">
        <v>55</v>
      </c>
      <c r="E29" s="200">
        <v>0.4</v>
      </c>
      <c r="F29" s="494">
        <f>F23*E29</f>
        <v>0.91999999999999993</v>
      </c>
      <c r="G29" s="200"/>
      <c r="H29" s="178"/>
      <c r="I29" s="588"/>
      <c r="J29" s="178">
        <f t="shared" si="3"/>
        <v>0</v>
      </c>
      <c r="K29" s="178"/>
      <c r="L29" s="178"/>
      <c r="M29" s="178">
        <f t="shared" si="2"/>
        <v>0</v>
      </c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</row>
    <row r="30" spans="1:26" s="251" customFormat="1" ht="27.75" customHeight="1">
      <c r="A30" s="244">
        <v>7</v>
      </c>
      <c r="B30" s="245" t="s">
        <v>148</v>
      </c>
      <c r="C30" s="246" t="s">
        <v>149</v>
      </c>
      <c r="D30" s="172" t="s">
        <v>12</v>
      </c>
      <c r="E30" s="247"/>
      <c r="F30" s="501">
        <f>F32+F33</f>
        <v>0.11549999999999999</v>
      </c>
      <c r="G30" s="208"/>
      <c r="H30" s="248"/>
      <c r="I30" s="249"/>
      <c r="J30" s="248"/>
      <c r="K30" s="208"/>
      <c r="L30" s="248"/>
      <c r="M30" s="248"/>
      <c r="N30" s="250"/>
      <c r="O30" s="250"/>
    </row>
    <row r="31" spans="1:26" s="251" customFormat="1" ht="15" customHeight="1">
      <c r="A31" s="252"/>
      <c r="B31" s="239"/>
      <c r="C31" s="253" t="s">
        <v>150</v>
      </c>
      <c r="D31" s="239" t="s">
        <v>64</v>
      </c>
      <c r="E31" s="183">
        <f>28.8*1.2</f>
        <v>34.56</v>
      </c>
      <c r="F31" s="502">
        <f>E31*F30</f>
        <v>3.9916800000000001</v>
      </c>
      <c r="G31" s="590"/>
      <c r="H31" s="184">
        <f>F31*G31</f>
        <v>0</v>
      </c>
      <c r="I31" s="185"/>
      <c r="J31" s="254"/>
      <c r="K31" s="185"/>
      <c r="L31" s="184"/>
      <c r="M31" s="184">
        <f>H31+J31+L31</f>
        <v>0</v>
      </c>
    </row>
    <row r="32" spans="1:26" s="251" customFormat="1" ht="15" customHeight="1">
      <c r="A32" s="252"/>
      <c r="B32" s="255"/>
      <c r="C32" s="256" t="s">
        <v>151</v>
      </c>
      <c r="D32" s="239" t="s">
        <v>12</v>
      </c>
      <c r="E32" s="183"/>
      <c r="F32" s="503">
        <v>3.8399999999999997E-2</v>
      </c>
      <c r="G32" s="44"/>
      <c r="H32" s="184"/>
      <c r="I32" s="574"/>
      <c r="J32" s="254">
        <f>F32*I32</f>
        <v>0</v>
      </c>
      <c r="K32" s="185"/>
      <c r="L32" s="184"/>
      <c r="M32" s="184">
        <f>J32</f>
        <v>0</v>
      </c>
    </row>
    <row r="33" spans="1:26" s="251" customFormat="1" ht="15" customHeight="1">
      <c r="A33" s="252"/>
      <c r="B33" s="255"/>
      <c r="C33" s="256" t="s">
        <v>152</v>
      </c>
      <c r="D33" s="239" t="s">
        <v>12</v>
      </c>
      <c r="E33" s="183"/>
      <c r="F33" s="503">
        <v>7.7100000000000002E-2</v>
      </c>
      <c r="G33" s="44"/>
      <c r="H33" s="184"/>
      <c r="I33" s="574"/>
      <c r="J33" s="254">
        <f>F33*I33</f>
        <v>0</v>
      </c>
      <c r="K33" s="185"/>
      <c r="L33" s="184"/>
      <c r="M33" s="184">
        <f>J33</f>
        <v>0</v>
      </c>
    </row>
    <row r="34" spans="1:26" s="251" customFormat="1" ht="15" customHeight="1">
      <c r="A34" s="252"/>
      <c r="B34" s="255"/>
      <c r="C34" s="256" t="s">
        <v>153</v>
      </c>
      <c r="D34" s="239" t="s">
        <v>12</v>
      </c>
      <c r="E34" s="183">
        <v>4.0000000000000001E-3</v>
      </c>
      <c r="F34" s="504">
        <f>E34*F30</f>
        <v>4.6199999999999995E-4</v>
      </c>
      <c r="G34" s="44"/>
      <c r="H34" s="184"/>
      <c r="I34" s="574"/>
      <c r="J34" s="254">
        <f>F34*I34</f>
        <v>0</v>
      </c>
      <c r="K34" s="185"/>
      <c r="L34" s="184"/>
      <c r="M34" s="184">
        <f>J34</f>
        <v>0</v>
      </c>
    </row>
    <row r="35" spans="1:26" s="22" customFormat="1" ht="29.25" customHeight="1">
      <c r="A35" s="5"/>
      <c r="B35" s="6"/>
      <c r="C35" s="7" t="s">
        <v>262</v>
      </c>
      <c r="D35" s="8"/>
      <c r="E35" s="9"/>
      <c r="F35" s="528"/>
      <c r="G35" s="10"/>
      <c r="H35" s="6"/>
      <c r="I35" s="6"/>
      <c r="J35" s="6"/>
      <c r="K35" s="6"/>
      <c r="L35" s="6"/>
      <c r="M35" s="6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</row>
    <row r="36" spans="1:26" s="88" customFormat="1" ht="31.5" customHeight="1">
      <c r="A36" s="258">
        <v>8</v>
      </c>
      <c r="B36" s="259" t="s">
        <v>21</v>
      </c>
      <c r="C36" s="260" t="s">
        <v>32</v>
      </c>
      <c r="D36" s="261" t="s">
        <v>11</v>
      </c>
      <c r="E36" s="262"/>
      <c r="F36" s="510">
        <f>2.06+1.41</f>
        <v>3.4699999999999998</v>
      </c>
      <c r="G36" s="263"/>
      <c r="H36" s="263"/>
      <c r="I36" s="263"/>
      <c r="J36" s="263"/>
      <c r="K36" s="263"/>
      <c r="L36" s="263"/>
      <c r="M36" s="264"/>
      <c r="O36" s="295">
        <f>F36+F50</f>
        <v>6.33</v>
      </c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1:26" s="90" customFormat="1" ht="15.75" customHeight="1">
      <c r="A37" s="265"/>
      <c r="B37" s="266"/>
      <c r="C37" s="267" t="s">
        <v>154</v>
      </c>
      <c r="D37" s="268" t="s">
        <v>13</v>
      </c>
      <c r="E37" s="269">
        <f>24*1.2</f>
        <v>28.799999999999997</v>
      </c>
      <c r="F37" s="505">
        <f>F36*E37</f>
        <v>99.935999999999979</v>
      </c>
      <c r="G37" s="591"/>
      <c r="H37" s="271">
        <f>G37*F37</f>
        <v>0</v>
      </c>
      <c r="I37" s="271"/>
      <c r="J37" s="271"/>
      <c r="K37" s="271"/>
      <c r="L37" s="271"/>
      <c r="M37" s="272">
        <f t="shared" ref="M37:M42" si="4">L37+J37+H37</f>
        <v>0</v>
      </c>
      <c r="O37" s="91"/>
      <c r="P37" s="273"/>
      <c r="Q37" s="91"/>
      <c r="R37" s="91"/>
      <c r="S37" s="91"/>
      <c r="T37" s="91"/>
      <c r="U37" s="91"/>
      <c r="V37" s="91"/>
      <c r="W37" s="91"/>
      <c r="X37" s="91"/>
      <c r="Y37" s="91"/>
      <c r="Z37" s="91"/>
    </row>
    <row r="38" spans="1:26" s="90" customFormat="1" ht="15.75" customHeight="1">
      <c r="A38" s="265"/>
      <c r="B38" s="266"/>
      <c r="C38" s="267" t="s">
        <v>155</v>
      </c>
      <c r="D38" s="268" t="s">
        <v>16</v>
      </c>
      <c r="E38" s="274">
        <f>1.3*1.2</f>
        <v>1.56</v>
      </c>
      <c r="F38" s="505">
        <f>F36*E38</f>
        <v>5.4131999999999998</v>
      </c>
      <c r="G38" s="271"/>
      <c r="H38" s="271"/>
      <c r="I38" s="271"/>
      <c r="J38" s="271"/>
      <c r="K38" s="591"/>
      <c r="L38" s="271">
        <f>K38*F38</f>
        <v>0</v>
      </c>
      <c r="M38" s="272">
        <f t="shared" si="4"/>
        <v>0</v>
      </c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</row>
    <row r="39" spans="1:26" s="90" customFormat="1" ht="15.75" customHeight="1">
      <c r="A39" s="275"/>
      <c r="B39" s="276"/>
      <c r="C39" s="277" t="s">
        <v>156</v>
      </c>
      <c r="D39" s="278" t="s">
        <v>11</v>
      </c>
      <c r="E39" s="279">
        <v>1.05</v>
      </c>
      <c r="F39" s="529">
        <f>E39*F36</f>
        <v>3.6435</v>
      </c>
      <c r="G39" s="271"/>
      <c r="H39" s="271"/>
      <c r="I39" s="592"/>
      <c r="J39" s="280">
        <f t="shared" ref="J39:J42" si="5">I39*F39</f>
        <v>0</v>
      </c>
      <c r="K39" s="271"/>
      <c r="L39" s="271"/>
      <c r="M39" s="281">
        <f t="shared" si="4"/>
        <v>0</v>
      </c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</row>
    <row r="40" spans="1:26" s="90" customFormat="1" ht="15.75" customHeight="1">
      <c r="A40" s="275"/>
      <c r="B40" s="276"/>
      <c r="C40" s="277" t="s">
        <v>157</v>
      </c>
      <c r="D40" s="278" t="s">
        <v>23</v>
      </c>
      <c r="E40" s="279">
        <v>3.08</v>
      </c>
      <c r="F40" s="516">
        <f>E40*F36</f>
        <v>10.6876</v>
      </c>
      <c r="G40" s="271"/>
      <c r="H40" s="271"/>
      <c r="I40" s="591"/>
      <c r="J40" s="271">
        <f t="shared" si="5"/>
        <v>0</v>
      </c>
      <c r="K40" s="271"/>
      <c r="L40" s="271"/>
      <c r="M40" s="272">
        <f t="shared" si="4"/>
        <v>0</v>
      </c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</row>
    <row r="41" spans="1:26" s="90" customFormat="1" ht="15.75" customHeight="1">
      <c r="A41" s="275"/>
      <c r="B41" s="283"/>
      <c r="C41" s="277" t="s">
        <v>84</v>
      </c>
      <c r="D41" s="278" t="s">
        <v>23</v>
      </c>
      <c r="E41" s="284">
        <v>7.5</v>
      </c>
      <c r="F41" s="516">
        <f>E41*F36</f>
        <v>26.024999999999999</v>
      </c>
      <c r="G41" s="271"/>
      <c r="H41" s="271"/>
      <c r="I41" s="591"/>
      <c r="J41" s="271">
        <f t="shared" si="5"/>
        <v>0</v>
      </c>
      <c r="K41" s="271"/>
      <c r="L41" s="271"/>
      <c r="M41" s="272">
        <f t="shared" si="4"/>
        <v>0</v>
      </c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</row>
    <row r="42" spans="1:26" s="90" customFormat="1" ht="16.5" customHeight="1">
      <c r="A42" s="275"/>
      <c r="B42" s="285"/>
      <c r="C42" s="277" t="s">
        <v>24</v>
      </c>
      <c r="D42" s="278" t="s">
        <v>23</v>
      </c>
      <c r="E42" s="284">
        <v>3.01</v>
      </c>
      <c r="F42" s="506">
        <f>E42*F36</f>
        <v>10.444699999999999</v>
      </c>
      <c r="G42" s="271"/>
      <c r="H42" s="271"/>
      <c r="I42" s="591"/>
      <c r="J42" s="271">
        <f t="shared" si="5"/>
        <v>0</v>
      </c>
      <c r="K42" s="271"/>
      <c r="L42" s="271"/>
      <c r="M42" s="272">
        <f t="shared" si="4"/>
        <v>0</v>
      </c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</row>
    <row r="43" spans="1:26" s="78" customFormat="1" ht="29.25" customHeight="1">
      <c r="A43" s="170">
        <v>9</v>
      </c>
      <c r="B43" s="286" t="s">
        <v>158</v>
      </c>
      <c r="C43" s="246" t="s">
        <v>159</v>
      </c>
      <c r="D43" s="172" t="s">
        <v>23</v>
      </c>
      <c r="E43" s="247"/>
      <c r="F43" s="530">
        <f>40*6.4</f>
        <v>256</v>
      </c>
      <c r="G43" s="208"/>
      <c r="H43" s="248"/>
      <c r="I43" s="208"/>
      <c r="J43" s="248"/>
      <c r="K43" s="287"/>
      <c r="L43" s="208"/>
      <c r="M43" s="248"/>
      <c r="N43" s="288">
        <f>H43+J43+L43</f>
        <v>0</v>
      </c>
    </row>
    <row r="44" spans="1:26" s="78" customFormat="1" ht="15.75" customHeight="1">
      <c r="A44" s="239"/>
      <c r="B44" s="239"/>
      <c r="C44" s="256" t="s">
        <v>160</v>
      </c>
      <c r="D44" s="239" t="s">
        <v>64</v>
      </c>
      <c r="E44" s="183">
        <f>0.21*1.2</f>
        <v>0.252</v>
      </c>
      <c r="F44" s="502">
        <f>E44*F43</f>
        <v>64.512</v>
      </c>
      <c r="G44" s="590"/>
      <c r="H44" s="184">
        <f>F44*G44</f>
        <v>0</v>
      </c>
      <c r="I44" s="185"/>
      <c r="J44" s="184"/>
      <c r="K44" s="185"/>
      <c r="L44" s="184"/>
      <c r="M44" s="184">
        <f>H44</f>
        <v>0</v>
      </c>
    </row>
    <row r="45" spans="1:26" s="78" customFormat="1" ht="16.5" customHeight="1">
      <c r="A45" s="239"/>
      <c r="B45" s="239"/>
      <c r="C45" s="253" t="s">
        <v>161</v>
      </c>
      <c r="D45" s="239" t="s">
        <v>16</v>
      </c>
      <c r="E45" s="257">
        <f>0.0014*1.2</f>
        <v>1.6799999999999999E-3</v>
      </c>
      <c r="F45" s="503">
        <f>E45*F43</f>
        <v>0.43007999999999996</v>
      </c>
      <c r="G45" s="44"/>
      <c r="H45" s="184"/>
      <c r="I45" s="185"/>
      <c r="J45" s="184"/>
      <c r="K45" s="574"/>
      <c r="L45" s="184">
        <f>F45*K45</f>
        <v>0</v>
      </c>
      <c r="M45" s="184">
        <f>L45</f>
        <v>0</v>
      </c>
    </row>
    <row r="46" spans="1:26" s="78" customFormat="1" ht="15.75" customHeight="1">
      <c r="A46" s="239"/>
      <c r="B46" s="239"/>
      <c r="C46" s="253" t="s">
        <v>162</v>
      </c>
      <c r="D46" s="239" t="s">
        <v>56</v>
      </c>
      <c r="E46" s="183"/>
      <c r="F46" s="507">
        <v>40</v>
      </c>
      <c r="G46" s="44"/>
      <c r="H46" s="184"/>
      <c r="I46" s="577"/>
      <c r="J46" s="254">
        <f>F46*I46</f>
        <v>0</v>
      </c>
      <c r="K46" s="185"/>
      <c r="L46" s="184"/>
      <c r="M46" s="254">
        <f>H46+J46+L46</f>
        <v>0</v>
      </c>
    </row>
    <row r="47" spans="1:26" s="78" customFormat="1" ht="15.75" customHeight="1">
      <c r="A47" s="239"/>
      <c r="B47" s="239"/>
      <c r="C47" s="256" t="s">
        <v>163</v>
      </c>
      <c r="D47" s="239" t="s">
        <v>31</v>
      </c>
      <c r="E47" s="183"/>
      <c r="F47" s="508">
        <v>70</v>
      </c>
      <c r="G47" s="44"/>
      <c r="H47" s="184"/>
      <c r="I47" s="577"/>
      <c r="J47" s="254">
        <f t="shared" ref="J47:J48" si="6">F47*I47</f>
        <v>0</v>
      </c>
      <c r="K47" s="185"/>
      <c r="L47" s="184"/>
      <c r="M47" s="254">
        <f t="shared" ref="M47:M48" si="7">H47+J47+L47</f>
        <v>0</v>
      </c>
    </row>
    <row r="48" spans="1:26" s="78" customFormat="1" ht="15.75" customHeight="1">
      <c r="A48" s="239"/>
      <c r="B48" s="255"/>
      <c r="C48" s="256" t="s">
        <v>164</v>
      </c>
      <c r="D48" s="239" t="s">
        <v>31</v>
      </c>
      <c r="E48" s="183"/>
      <c r="F48" s="508">
        <v>20</v>
      </c>
      <c r="G48" s="44"/>
      <c r="H48" s="184"/>
      <c r="I48" s="569"/>
      <c r="J48" s="254">
        <f t="shared" si="6"/>
        <v>0</v>
      </c>
      <c r="K48" s="185"/>
      <c r="L48" s="184"/>
      <c r="M48" s="254">
        <f t="shared" si="7"/>
        <v>0</v>
      </c>
    </row>
    <row r="49" spans="1:26" s="90" customFormat="1" ht="16.5" customHeight="1">
      <c r="A49" s="289"/>
      <c r="B49" s="290"/>
      <c r="C49" s="16" t="s">
        <v>25</v>
      </c>
      <c r="D49" s="291" t="s">
        <v>16</v>
      </c>
      <c r="E49" s="292">
        <v>2E-3</v>
      </c>
      <c r="F49" s="509">
        <f>E49*F43</f>
        <v>0.51200000000000001</v>
      </c>
      <c r="G49" s="293"/>
      <c r="H49" s="293"/>
      <c r="I49" s="593"/>
      <c r="J49" s="271">
        <f>I49*F49</f>
        <v>0</v>
      </c>
      <c r="K49" s="293"/>
      <c r="L49" s="293"/>
      <c r="M49" s="294">
        <f>L49+J49+H49</f>
        <v>0</v>
      </c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</row>
    <row r="50" spans="1:26" s="88" customFormat="1" ht="28.5" customHeight="1">
      <c r="A50" s="258">
        <v>10</v>
      </c>
      <c r="B50" s="259" t="s">
        <v>41</v>
      </c>
      <c r="C50" s="260" t="s">
        <v>165</v>
      </c>
      <c r="D50" s="261" t="s">
        <v>11</v>
      </c>
      <c r="E50" s="262"/>
      <c r="F50" s="510">
        <f>1.66+1.2</f>
        <v>2.86</v>
      </c>
      <c r="G50" s="263"/>
      <c r="H50" s="263"/>
      <c r="I50" s="263"/>
      <c r="J50" s="263"/>
      <c r="K50" s="263"/>
      <c r="L50" s="263"/>
      <c r="M50" s="264"/>
      <c r="O50" s="295"/>
      <c r="P50" s="296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1:26" s="90" customFormat="1" ht="15" customHeight="1">
      <c r="A51" s="265"/>
      <c r="B51" s="266"/>
      <c r="C51" s="267" t="s">
        <v>166</v>
      </c>
      <c r="D51" s="268" t="s">
        <v>13</v>
      </c>
      <c r="E51" s="269">
        <f>23.8*1.2</f>
        <v>28.56</v>
      </c>
      <c r="F51" s="505">
        <f>F50*E51</f>
        <v>81.681599999999989</v>
      </c>
      <c r="G51" s="591"/>
      <c r="H51" s="271">
        <f>G51*F51</f>
        <v>0</v>
      </c>
      <c r="I51" s="271"/>
      <c r="J51" s="271"/>
      <c r="K51" s="271"/>
      <c r="L51" s="271"/>
      <c r="M51" s="272">
        <f t="shared" ref="M51:M57" si="8">L51+J51+H51</f>
        <v>0</v>
      </c>
      <c r="O51" s="91"/>
      <c r="P51" s="273"/>
      <c r="Q51" s="91"/>
      <c r="R51" s="91"/>
      <c r="S51" s="91"/>
      <c r="T51" s="91"/>
      <c r="U51" s="91"/>
      <c r="V51" s="91"/>
      <c r="W51" s="91"/>
      <c r="X51" s="91"/>
      <c r="Y51" s="91"/>
      <c r="Z51" s="91"/>
    </row>
    <row r="52" spans="1:26" s="90" customFormat="1" ht="15" customHeight="1">
      <c r="A52" s="265"/>
      <c r="B52" s="266"/>
      <c r="C52" s="267" t="s">
        <v>167</v>
      </c>
      <c r="D52" s="268" t="s">
        <v>16</v>
      </c>
      <c r="E52" s="274">
        <f>2.1*1.2</f>
        <v>2.52</v>
      </c>
      <c r="F52" s="505">
        <f>F50*E52</f>
        <v>7.2071999999999994</v>
      </c>
      <c r="G52" s="271"/>
      <c r="H52" s="271"/>
      <c r="I52" s="271"/>
      <c r="J52" s="271"/>
      <c r="K52" s="591"/>
      <c r="L52" s="271">
        <f>K52*F52</f>
        <v>0</v>
      </c>
      <c r="M52" s="272">
        <f t="shared" si="8"/>
        <v>0</v>
      </c>
      <c r="O52" s="297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</row>
    <row r="53" spans="1:26" s="90" customFormat="1" ht="15" customHeight="1">
      <c r="A53" s="275"/>
      <c r="B53" s="276"/>
      <c r="C53" s="277" t="s">
        <v>168</v>
      </c>
      <c r="D53" s="278" t="s">
        <v>11</v>
      </c>
      <c r="E53" s="279">
        <v>1.05</v>
      </c>
      <c r="F53" s="529">
        <f>E53*F50</f>
        <v>3.0030000000000001</v>
      </c>
      <c r="G53" s="271"/>
      <c r="H53" s="271"/>
      <c r="I53" s="594"/>
      <c r="J53" s="271">
        <f t="shared" ref="J53:J57" si="9">I53*F53</f>
        <v>0</v>
      </c>
      <c r="K53" s="271"/>
      <c r="L53" s="271"/>
      <c r="M53" s="272">
        <f t="shared" si="8"/>
        <v>0</v>
      </c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</row>
    <row r="54" spans="1:26" s="90" customFormat="1" ht="15" customHeight="1">
      <c r="A54" s="275"/>
      <c r="B54" s="276"/>
      <c r="C54" s="277" t="s">
        <v>169</v>
      </c>
      <c r="D54" s="278" t="s">
        <v>23</v>
      </c>
      <c r="E54" s="279">
        <v>4.38</v>
      </c>
      <c r="F54" s="516">
        <f>E54*F50</f>
        <v>12.5268</v>
      </c>
      <c r="G54" s="271"/>
      <c r="H54" s="271"/>
      <c r="I54" s="591"/>
      <c r="J54" s="271">
        <f t="shared" si="9"/>
        <v>0</v>
      </c>
      <c r="K54" s="271"/>
      <c r="L54" s="271"/>
      <c r="M54" s="272">
        <f t="shared" si="8"/>
        <v>0</v>
      </c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</row>
    <row r="55" spans="1:26" s="90" customFormat="1" ht="15" customHeight="1">
      <c r="A55" s="275"/>
      <c r="B55" s="283"/>
      <c r="C55" s="277" t="s">
        <v>170</v>
      </c>
      <c r="D55" s="278" t="s">
        <v>23</v>
      </c>
      <c r="E55" s="284">
        <v>7.2</v>
      </c>
      <c r="F55" s="516">
        <f>E55*F50</f>
        <v>20.591999999999999</v>
      </c>
      <c r="G55" s="271"/>
      <c r="H55" s="271"/>
      <c r="I55" s="591"/>
      <c r="J55" s="271">
        <f t="shared" si="9"/>
        <v>0</v>
      </c>
      <c r="K55" s="271"/>
      <c r="L55" s="271"/>
      <c r="M55" s="272">
        <f t="shared" si="8"/>
        <v>0</v>
      </c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</row>
    <row r="56" spans="1:26" s="90" customFormat="1" ht="15" customHeight="1">
      <c r="A56" s="275"/>
      <c r="B56" s="283"/>
      <c r="C56" s="277" t="s">
        <v>171</v>
      </c>
      <c r="D56" s="278" t="s">
        <v>20</v>
      </c>
      <c r="E56" s="279">
        <v>3.38</v>
      </c>
      <c r="F56" s="516">
        <f>E56*F50</f>
        <v>9.6667999999999985</v>
      </c>
      <c r="G56" s="271"/>
      <c r="H56" s="271"/>
      <c r="I56" s="591"/>
      <c r="J56" s="271">
        <f t="shared" si="9"/>
        <v>0</v>
      </c>
      <c r="K56" s="271"/>
      <c r="L56" s="271"/>
      <c r="M56" s="272">
        <f t="shared" si="8"/>
        <v>0</v>
      </c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</row>
    <row r="57" spans="1:26" s="90" customFormat="1" ht="15" customHeight="1">
      <c r="A57" s="275"/>
      <c r="B57" s="285"/>
      <c r="C57" s="277" t="s">
        <v>24</v>
      </c>
      <c r="D57" s="278" t="s">
        <v>23</v>
      </c>
      <c r="E57" s="284">
        <v>1.96</v>
      </c>
      <c r="F57" s="506">
        <f>E57*F50</f>
        <v>5.6055999999999999</v>
      </c>
      <c r="G57" s="271"/>
      <c r="H57" s="271"/>
      <c r="I57" s="591"/>
      <c r="J57" s="271">
        <f t="shared" si="9"/>
        <v>0</v>
      </c>
      <c r="K57" s="271"/>
      <c r="L57" s="271"/>
      <c r="M57" s="272">
        <f t="shared" si="8"/>
        <v>0</v>
      </c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</row>
    <row r="58" spans="1:26" customFormat="1" ht="22.5" customHeight="1">
      <c r="A58" s="298">
        <v>11</v>
      </c>
      <c r="B58" s="299" t="s">
        <v>172</v>
      </c>
      <c r="C58" s="300" t="s">
        <v>173</v>
      </c>
      <c r="D58" s="301" t="s">
        <v>174</v>
      </c>
      <c r="E58" s="302"/>
      <c r="F58" s="326">
        <v>42.5</v>
      </c>
      <c r="G58" s="303"/>
      <c r="H58" s="303"/>
      <c r="I58" s="303"/>
      <c r="J58" s="303"/>
      <c r="K58" s="303"/>
      <c r="L58" s="303"/>
      <c r="M58" s="304"/>
    </row>
    <row r="59" spans="1:26" customFormat="1" ht="15" customHeight="1">
      <c r="A59" s="305"/>
      <c r="B59" s="306" t="s">
        <v>88</v>
      </c>
      <c r="C59" s="307" t="s">
        <v>175</v>
      </c>
      <c r="D59" s="268" t="s">
        <v>20</v>
      </c>
      <c r="E59" s="308">
        <v>1</v>
      </c>
      <c r="F59" s="531">
        <f>E59*F58</f>
        <v>42.5</v>
      </c>
      <c r="G59" s="595"/>
      <c r="H59" s="309">
        <f>F59*G59</f>
        <v>0</v>
      </c>
      <c r="I59" s="309"/>
      <c r="J59" s="309"/>
      <c r="K59" s="309"/>
      <c r="L59" s="309"/>
      <c r="M59" s="309">
        <f t="shared" ref="M59:M65" si="10">H59+J59+L59</f>
        <v>0</v>
      </c>
    </row>
    <row r="60" spans="1:26" customFormat="1" ht="15" customHeight="1">
      <c r="A60" s="305"/>
      <c r="B60" s="310"/>
      <c r="C60" s="307" t="s">
        <v>176</v>
      </c>
      <c r="D60" s="311" t="s">
        <v>177</v>
      </c>
      <c r="E60" s="312">
        <f>0.0264*1.2</f>
        <v>3.168E-2</v>
      </c>
      <c r="F60" s="532">
        <f>F58*E60</f>
        <v>1.3464</v>
      </c>
      <c r="G60" s="310"/>
      <c r="H60" s="309"/>
      <c r="I60" s="309"/>
      <c r="J60" s="309"/>
      <c r="K60" s="596"/>
      <c r="L60" s="309">
        <f>K60*F60</f>
        <v>0</v>
      </c>
      <c r="M60" s="309">
        <f t="shared" si="10"/>
        <v>0</v>
      </c>
    </row>
    <row r="61" spans="1:26" customFormat="1" ht="15.75" customHeight="1">
      <c r="A61" s="305"/>
      <c r="B61" s="310"/>
      <c r="C61" s="307" t="s">
        <v>178</v>
      </c>
      <c r="D61" s="310" t="s">
        <v>179</v>
      </c>
      <c r="E61" s="310">
        <v>1.3</v>
      </c>
      <c r="F61" s="532">
        <f>F58*E61</f>
        <v>55.25</v>
      </c>
      <c r="G61" s="310"/>
      <c r="H61" s="309"/>
      <c r="I61" s="596"/>
      <c r="J61" s="309">
        <f>F61*I61</f>
        <v>0</v>
      </c>
      <c r="K61" s="309"/>
      <c r="L61" s="309"/>
      <c r="M61" s="309">
        <f t="shared" si="10"/>
        <v>0</v>
      </c>
    </row>
    <row r="62" spans="1:26" customFormat="1" ht="15.75" customHeight="1">
      <c r="A62" s="313"/>
      <c r="B62" s="314"/>
      <c r="C62" s="315" t="s">
        <v>180</v>
      </c>
      <c r="D62" s="316" t="s">
        <v>181</v>
      </c>
      <c r="E62" s="316">
        <v>0.2</v>
      </c>
      <c r="F62" s="533">
        <f>F58*E62</f>
        <v>8.5</v>
      </c>
      <c r="G62" s="316"/>
      <c r="H62" s="318"/>
      <c r="I62" s="597"/>
      <c r="J62" s="318">
        <f>F62*I62</f>
        <v>0</v>
      </c>
      <c r="K62" s="318"/>
      <c r="L62" s="318"/>
      <c r="M62" s="309">
        <f t="shared" si="10"/>
        <v>0</v>
      </c>
    </row>
    <row r="63" spans="1:26" customFormat="1" ht="15" customHeight="1">
      <c r="A63" s="313"/>
      <c r="B63" s="314"/>
      <c r="C63" s="315" t="s">
        <v>182</v>
      </c>
      <c r="D63" s="319" t="s">
        <v>183</v>
      </c>
      <c r="E63" s="316">
        <v>6</v>
      </c>
      <c r="F63" s="533">
        <f>F59*E63</f>
        <v>255</v>
      </c>
      <c r="G63" s="316"/>
      <c r="H63" s="316"/>
      <c r="I63" s="598"/>
      <c r="J63" s="317">
        <f>F63*I63</f>
        <v>0</v>
      </c>
      <c r="K63" s="316"/>
      <c r="L63" s="316"/>
      <c r="M63" s="308">
        <f t="shared" si="10"/>
        <v>0</v>
      </c>
    </row>
    <row r="64" spans="1:26" customFormat="1" ht="15" customHeight="1">
      <c r="A64" s="313"/>
      <c r="B64" s="314"/>
      <c r="C64" s="320" t="s">
        <v>184</v>
      </c>
      <c r="D64" s="319" t="s">
        <v>181</v>
      </c>
      <c r="E64" s="316">
        <v>0.17</v>
      </c>
      <c r="F64" s="533">
        <f>E64*F58</f>
        <v>7.2250000000000005</v>
      </c>
      <c r="G64" s="316"/>
      <c r="H64" s="316"/>
      <c r="I64" s="598"/>
      <c r="J64" s="317">
        <f>F64*I64</f>
        <v>0</v>
      </c>
      <c r="K64" s="316"/>
      <c r="L64" s="316"/>
      <c r="M64" s="308">
        <f>H64+J64+L64</f>
        <v>0</v>
      </c>
    </row>
    <row r="65" spans="1:26" customFormat="1" ht="15" customHeight="1">
      <c r="A65" s="321"/>
      <c r="B65" s="322"/>
      <c r="C65" s="322" t="s">
        <v>185</v>
      </c>
      <c r="D65" s="323" t="s">
        <v>177</v>
      </c>
      <c r="E65" s="323">
        <v>6.3600000000000004E-2</v>
      </c>
      <c r="F65" s="534">
        <f>E65*F58</f>
        <v>2.7030000000000003</v>
      </c>
      <c r="G65" s="323"/>
      <c r="H65" s="323"/>
      <c r="I65" s="599"/>
      <c r="J65" s="324">
        <f>F65*I65</f>
        <v>0</v>
      </c>
      <c r="K65" s="323"/>
      <c r="L65" s="323"/>
      <c r="M65" s="325">
        <f t="shared" si="10"/>
        <v>0</v>
      </c>
    </row>
    <row r="66" spans="1:26" s="88" customFormat="1" ht="18" customHeight="1">
      <c r="A66" s="258">
        <v>12</v>
      </c>
      <c r="B66" s="259" t="s">
        <v>186</v>
      </c>
      <c r="C66" s="260" t="s">
        <v>187</v>
      </c>
      <c r="D66" s="261" t="s">
        <v>20</v>
      </c>
      <c r="E66" s="262"/>
      <c r="F66" s="512">
        <v>70</v>
      </c>
      <c r="G66" s="263"/>
      <c r="H66" s="263"/>
      <c r="I66" s="263"/>
      <c r="J66" s="263"/>
      <c r="K66" s="263"/>
      <c r="L66" s="263"/>
      <c r="M66" s="264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67" spans="1:26" s="90" customFormat="1" ht="17.25" customHeight="1">
      <c r="A67" s="265"/>
      <c r="B67" s="266"/>
      <c r="C67" s="267" t="s">
        <v>188</v>
      </c>
      <c r="D67" s="268" t="s">
        <v>13</v>
      </c>
      <c r="E67" s="270">
        <f>0.539*1.2</f>
        <v>0.64680000000000004</v>
      </c>
      <c r="F67" s="505">
        <f>F66*E67</f>
        <v>45.276000000000003</v>
      </c>
      <c r="G67" s="591"/>
      <c r="H67" s="271">
        <f>G67*F67</f>
        <v>0</v>
      </c>
      <c r="I67" s="271"/>
      <c r="J67" s="271"/>
      <c r="K67" s="271"/>
      <c r="L67" s="271"/>
      <c r="M67" s="272">
        <f t="shared" ref="M67:M69" si="11">L67+J67+H67</f>
        <v>0</v>
      </c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</row>
    <row r="68" spans="1:26" s="90" customFormat="1" ht="17.25" customHeight="1">
      <c r="A68" s="265"/>
      <c r="B68" s="266"/>
      <c r="C68" s="267" t="s">
        <v>189</v>
      </c>
      <c r="D68" s="268" t="s">
        <v>16</v>
      </c>
      <c r="E68" s="274">
        <f>0.082*1.2</f>
        <v>9.8400000000000001E-2</v>
      </c>
      <c r="F68" s="511">
        <f>F66*E68</f>
        <v>6.8879999999999999</v>
      </c>
      <c r="G68" s="271"/>
      <c r="H68" s="271"/>
      <c r="I68" s="271"/>
      <c r="J68" s="271"/>
      <c r="K68" s="591"/>
      <c r="L68" s="271">
        <f>K68*F68</f>
        <v>0</v>
      </c>
      <c r="M68" s="272">
        <f t="shared" si="11"/>
        <v>0</v>
      </c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</row>
    <row r="69" spans="1:26" s="90" customFormat="1" ht="16.5" customHeight="1">
      <c r="A69" s="275"/>
      <c r="B69" s="283"/>
      <c r="C69" s="277" t="s">
        <v>190</v>
      </c>
      <c r="D69" s="278" t="s">
        <v>20</v>
      </c>
      <c r="E69" s="279">
        <v>1.05</v>
      </c>
      <c r="F69" s="516">
        <v>123.72</v>
      </c>
      <c r="G69" s="271"/>
      <c r="H69" s="271"/>
      <c r="I69" s="591"/>
      <c r="J69" s="271">
        <f t="shared" ref="J69" si="12">I69*F69</f>
        <v>0</v>
      </c>
      <c r="K69" s="271"/>
      <c r="L69" s="271"/>
      <c r="M69" s="272">
        <f t="shared" si="11"/>
        <v>0</v>
      </c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</row>
    <row r="70" spans="1:26" s="90" customFormat="1" ht="17.25" customHeight="1">
      <c r="A70" s="275"/>
      <c r="B70" s="283"/>
      <c r="C70" s="277" t="s">
        <v>28</v>
      </c>
      <c r="D70" s="278" t="s">
        <v>23</v>
      </c>
      <c r="E70" s="279">
        <v>4.2000000000000003E-2</v>
      </c>
      <c r="F70" s="516">
        <f>E70*F66</f>
        <v>2.9400000000000004</v>
      </c>
      <c r="G70" s="271"/>
      <c r="H70" s="271"/>
      <c r="I70" s="591"/>
      <c r="J70" s="271">
        <f>I70*F70</f>
        <v>0</v>
      </c>
      <c r="K70" s="271"/>
      <c r="L70" s="271"/>
      <c r="M70" s="272">
        <f>L70+J70+H70</f>
        <v>0</v>
      </c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</row>
    <row r="71" spans="1:26" s="89" customFormat="1" ht="25.5">
      <c r="A71" s="258">
        <v>13</v>
      </c>
      <c r="B71" s="259" t="s">
        <v>34</v>
      </c>
      <c r="C71" s="260" t="s">
        <v>85</v>
      </c>
      <c r="D71" s="261" t="s">
        <v>20</v>
      </c>
      <c r="E71" s="262"/>
      <c r="F71" s="512">
        <v>77</v>
      </c>
      <c r="G71" s="263"/>
      <c r="H71" s="263"/>
      <c r="I71" s="263"/>
      <c r="J71" s="263"/>
      <c r="K71" s="263"/>
      <c r="L71" s="263"/>
      <c r="M71" s="327"/>
    </row>
    <row r="72" spans="1:26" s="91" customFormat="1" ht="14.25">
      <c r="A72" s="265"/>
      <c r="B72" s="266"/>
      <c r="C72" s="267" t="s">
        <v>191</v>
      </c>
      <c r="D72" s="268" t="s">
        <v>13</v>
      </c>
      <c r="E72" s="270">
        <f>0.391*1.2</f>
        <v>0.46920000000000001</v>
      </c>
      <c r="F72" s="505">
        <f>F71*E72</f>
        <v>36.128399999999999</v>
      </c>
      <c r="G72" s="591"/>
      <c r="H72" s="280">
        <f>G72*F72</f>
        <v>0</v>
      </c>
      <c r="I72" s="271"/>
      <c r="J72" s="271"/>
      <c r="K72" s="271"/>
      <c r="L72" s="271"/>
      <c r="M72" s="272">
        <f t="shared" ref="M72:M77" si="13">L72+J72+H72</f>
        <v>0</v>
      </c>
    </row>
    <row r="73" spans="1:26" s="91" customFormat="1" ht="14.25">
      <c r="A73" s="265"/>
      <c r="B73" s="266"/>
      <c r="C73" s="267" t="s">
        <v>192</v>
      </c>
      <c r="D73" s="268" t="s">
        <v>16</v>
      </c>
      <c r="E73" s="274">
        <f>0.0284*1.2</f>
        <v>3.4079999999999999E-2</v>
      </c>
      <c r="F73" s="505">
        <f>F71*E73</f>
        <v>2.6241599999999998</v>
      </c>
      <c r="G73" s="271"/>
      <c r="H73" s="271"/>
      <c r="I73" s="271"/>
      <c r="J73" s="271"/>
      <c r="K73" s="591"/>
      <c r="L73" s="271">
        <f>K73*F73</f>
        <v>0</v>
      </c>
      <c r="M73" s="272">
        <f t="shared" si="13"/>
        <v>0</v>
      </c>
    </row>
    <row r="74" spans="1:26" s="91" customFormat="1" ht="25.5">
      <c r="A74" s="275"/>
      <c r="B74" s="283"/>
      <c r="C74" s="277" t="s">
        <v>193</v>
      </c>
      <c r="D74" s="278" t="s">
        <v>20</v>
      </c>
      <c r="E74" s="279">
        <v>1.05</v>
      </c>
      <c r="F74" s="516">
        <f>E74*F71</f>
        <v>80.850000000000009</v>
      </c>
      <c r="G74" s="271"/>
      <c r="H74" s="271"/>
      <c r="I74" s="600"/>
      <c r="J74" s="280">
        <f t="shared" ref="J74:J77" si="14">I74*F74</f>
        <v>0</v>
      </c>
      <c r="K74" s="271"/>
      <c r="L74" s="271"/>
      <c r="M74" s="272">
        <f t="shared" si="13"/>
        <v>0</v>
      </c>
    </row>
    <row r="75" spans="1:26" s="91" customFormat="1" ht="15" customHeight="1">
      <c r="A75" s="275"/>
      <c r="B75" s="283"/>
      <c r="C75" s="277" t="s">
        <v>28</v>
      </c>
      <c r="D75" s="278" t="s">
        <v>23</v>
      </c>
      <c r="E75" s="279">
        <v>7.1999999999999995E-2</v>
      </c>
      <c r="F75" s="516">
        <f>E75*F71</f>
        <v>5.5439999999999996</v>
      </c>
      <c r="G75" s="271"/>
      <c r="H75" s="271"/>
      <c r="I75" s="591"/>
      <c r="J75" s="271">
        <f t="shared" si="14"/>
        <v>0</v>
      </c>
      <c r="K75" s="271"/>
      <c r="L75" s="271"/>
      <c r="M75" s="272">
        <f t="shared" si="13"/>
        <v>0</v>
      </c>
    </row>
    <row r="76" spans="1:26" s="91" customFormat="1" ht="15" customHeight="1">
      <c r="A76" s="275"/>
      <c r="B76" s="283"/>
      <c r="C76" s="277" t="s">
        <v>194</v>
      </c>
      <c r="D76" s="278" t="s">
        <v>20</v>
      </c>
      <c r="E76" s="279">
        <v>1.05</v>
      </c>
      <c r="F76" s="513">
        <f>E76*F71</f>
        <v>80.850000000000009</v>
      </c>
      <c r="G76" s="271"/>
      <c r="H76" s="271"/>
      <c r="I76" s="591"/>
      <c r="J76" s="271">
        <f t="shared" si="14"/>
        <v>0</v>
      </c>
      <c r="K76" s="271"/>
      <c r="L76" s="271"/>
      <c r="M76" s="272">
        <f t="shared" si="13"/>
        <v>0</v>
      </c>
    </row>
    <row r="77" spans="1:26" s="91" customFormat="1" ht="14.25">
      <c r="A77" s="289"/>
      <c r="B77" s="290"/>
      <c r="C77" s="16" t="s">
        <v>25</v>
      </c>
      <c r="D77" s="291" t="s">
        <v>16</v>
      </c>
      <c r="E77" s="292">
        <v>5.4999999999999997E-3</v>
      </c>
      <c r="F77" s="509">
        <f>E77*F71</f>
        <v>0.42349999999999999</v>
      </c>
      <c r="G77" s="293"/>
      <c r="H77" s="293"/>
      <c r="I77" s="593"/>
      <c r="J77" s="293">
        <f t="shared" si="14"/>
        <v>0</v>
      </c>
      <c r="K77" s="293"/>
      <c r="L77" s="293"/>
      <c r="M77" s="294">
        <f t="shared" si="13"/>
        <v>0</v>
      </c>
    </row>
    <row r="78" spans="1:26" s="88" customFormat="1" ht="28.5" customHeight="1">
      <c r="A78" s="258">
        <v>14</v>
      </c>
      <c r="B78" s="259" t="s">
        <v>26</v>
      </c>
      <c r="C78" s="260" t="s">
        <v>257</v>
      </c>
      <c r="D78" s="261" t="s">
        <v>20</v>
      </c>
      <c r="E78" s="262"/>
      <c r="F78" s="535">
        <v>113</v>
      </c>
      <c r="G78" s="263"/>
      <c r="H78" s="263"/>
      <c r="I78" s="263"/>
      <c r="J78" s="263"/>
      <c r="K78" s="263"/>
      <c r="L78" s="263"/>
      <c r="M78" s="264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</row>
    <row r="79" spans="1:26" s="90" customFormat="1" ht="15" customHeight="1">
      <c r="A79" s="265"/>
      <c r="B79" s="266"/>
      <c r="C79" s="267" t="s">
        <v>195</v>
      </c>
      <c r="D79" s="268" t="s">
        <v>13</v>
      </c>
      <c r="E79" s="270">
        <f>0.271*1.2</f>
        <v>0.32519999999999999</v>
      </c>
      <c r="F79" s="505">
        <f>F78*E79</f>
        <v>36.747599999999998</v>
      </c>
      <c r="G79" s="591"/>
      <c r="H79" s="280">
        <f>G79*F79</f>
        <v>0</v>
      </c>
      <c r="I79" s="271"/>
      <c r="J79" s="271"/>
      <c r="K79" s="271"/>
      <c r="L79" s="271"/>
      <c r="M79" s="329">
        <f t="shared" ref="M79:M81" si="15">L79+J79+H79</f>
        <v>0</v>
      </c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</row>
    <row r="80" spans="1:26" s="90" customFormat="1" ht="15" customHeight="1">
      <c r="A80" s="265"/>
      <c r="B80" s="266"/>
      <c r="C80" s="267" t="s">
        <v>196</v>
      </c>
      <c r="D80" s="268" t="s">
        <v>16</v>
      </c>
      <c r="E80" s="274">
        <f>0.023*1.2</f>
        <v>2.76E-2</v>
      </c>
      <c r="F80" s="505">
        <f>F78*E80</f>
        <v>3.1187999999999998</v>
      </c>
      <c r="G80" s="271"/>
      <c r="H80" s="271"/>
      <c r="I80" s="271"/>
      <c r="J80" s="271"/>
      <c r="K80" s="591"/>
      <c r="L80" s="271">
        <f>K80*F80</f>
        <v>0</v>
      </c>
      <c r="M80" s="329">
        <f t="shared" si="15"/>
        <v>0</v>
      </c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</row>
    <row r="81" spans="1:26" s="90" customFormat="1" ht="15" customHeight="1">
      <c r="A81" s="289"/>
      <c r="B81" s="290"/>
      <c r="C81" s="16" t="s">
        <v>197</v>
      </c>
      <c r="D81" s="291" t="s">
        <v>20</v>
      </c>
      <c r="E81" s="330">
        <v>3.09</v>
      </c>
      <c r="F81" s="517">
        <f>E81*F78</f>
        <v>349.16999999999996</v>
      </c>
      <c r="G81" s="293"/>
      <c r="H81" s="293"/>
      <c r="I81" s="593"/>
      <c r="J81" s="332">
        <f>I81*F81</f>
        <v>0</v>
      </c>
      <c r="K81" s="293"/>
      <c r="L81" s="293"/>
      <c r="M81" s="333">
        <f t="shared" si="15"/>
        <v>0</v>
      </c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</row>
    <row r="82" spans="1:26" s="96" customFormat="1" ht="19.5" customHeight="1">
      <c r="A82" s="334">
        <v>15</v>
      </c>
      <c r="B82" s="259" t="s">
        <v>35</v>
      </c>
      <c r="C82" s="260" t="s">
        <v>36</v>
      </c>
      <c r="D82" s="335" t="s">
        <v>20</v>
      </c>
      <c r="E82" s="336"/>
      <c r="F82" s="512">
        <v>130</v>
      </c>
      <c r="G82" s="337"/>
      <c r="H82" s="337"/>
      <c r="I82" s="337"/>
      <c r="J82" s="337"/>
      <c r="K82" s="337"/>
      <c r="L82" s="337"/>
      <c r="M82" s="338"/>
    </row>
    <row r="83" spans="1:26" s="91" customFormat="1" ht="15" customHeight="1">
      <c r="A83" s="265"/>
      <c r="B83" s="266"/>
      <c r="C83" s="267" t="s">
        <v>198</v>
      </c>
      <c r="D83" s="268" t="s">
        <v>13</v>
      </c>
      <c r="E83" s="270">
        <f>0.391*1.2</f>
        <v>0.46920000000000001</v>
      </c>
      <c r="F83" s="505">
        <f>E83*F82</f>
        <v>60.996000000000002</v>
      </c>
      <c r="G83" s="591"/>
      <c r="H83" s="271">
        <f>F83*G83</f>
        <v>0</v>
      </c>
      <c r="I83" s="271"/>
      <c r="J83" s="271"/>
      <c r="K83" s="271"/>
      <c r="L83" s="271"/>
      <c r="M83" s="329">
        <f>H83+J83+L83</f>
        <v>0</v>
      </c>
    </row>
    <row r="84" spans="1:26" s="91" customFormat="1" ht="15" customHeight="1">
      <c r="A84" s="265"/>
      <c r="B84" s="266"/>
      <c r="C84" s="267" t="s">
        <v>192</v>
      </c>
      <c r="D84" s="268" t="s">
        <v>16</v>
      </c>
      <c r="E84" s="274">
        <f>0.0284*1.2</f>
        <v>3.4079999999999999E-2</v>
      </c>
      <c r="F84" s="505">
        <f>E84*F82</f>
        <v>4.4303999999999997</v>
      </c>
      <c r="G84" s="271"/>
      <c r="H84" s="271"/>
      <c r="I84" s="271"/>
      <c r="J84" s="271"/>
      <c r="K84" s="591"/>
      <c r="L84" s="271">
        <f>K84*F84</f>
        <v>0</v>
      </c>
      <c r="M84" s="329">
        <f>H84+J84+L84</f>
        <v>0</v>
      </c>
    </row>
    <row r="85" spans="1:26" s="91" customFormat="1" ht="15" customHeight="1">
      <c r="A85" s="275"/>
      <c r="B85" s="276"/>
      <c r="C85" s="267" t="s">
        <v>199</v>
      </c>
      <c r="D85" s="268" t="s">
        <v>20</v>
      </c>
      <c r="E85" s="270">
        <v>1.05</v>
      </c>
      <c r="F85" s="505">
        <f>E85*F82</f>
        <v>136.5</v>
      </c>
      <c r="G85" s="271"/>
      <c r="H85" s="271"/>
      <c r="I85" s="591"/>
      <c r="J85" s="271">
        <f>I85*F85</f>
        <v>0</v>
      </c>
      <c r="K85" s="271"/>
      <c r="L85" s="271"/>
      <c r="M85" s="329">
        <f>H85+J85+L85</f>
        <v>0</v>
      </c>
    </row>
    <row r="86" spans="1:26" s="91" customFormat="1" ht="15" customHeight="1">
      <c r="A86" s="275"/>
      <c r="B86" s="283"/>
      <c r="C86" s="267" t="s">
        <v>28</v>
      </c>
      <c r="D86" s="268" t="s">
        <v>23</v>
      </c>
      <c r="E86" s="274">
        <v>7.1999999999999995E-2</v>
      </c>
      <c r="F86" s="505">
        <f>E86*F82</f>
        <v>9.36</v>
      </c>
      <c r="G86" s="271"/>
      <c r="H86" s="271"/>
      <c r="I86" s="591"/>
      <c r="J86" s="271">
        <f>I86*F86</f>
        <v>0</v>
      </c>
      <c r="K86" s="271"/>
      <c r="L86" s="271"/>
      <c r="M86" s="329">
        <f>H86+J86+L86</f>
        <v>0</v>
      </c>
    </row>
    <row r="87" spans="1:26" s="91" customFormat="1" ht="15" customHeight="1">
      <c r="A87" s="339"/>
      <c r="B87" s="340"/>
      <c r="C87" s="341" t="s">
        <v>25</v>
      </c>
      <c r="D87" s="342" t="s">
        <v>16</v>
      </c>
      <c r="E87" s="292">
        <v>5.4999999999999997E-3</v>
      </c>
      <c r="F87" s="514">
        <f>E87*F82</f>
        <v>0.71499999999999997</v>
      </c>
      <c r="G87" s="293"/>
      <c r="H87" s="293"/>
      <c r="I87" s="593"/>
      <c r="J87" s="293">
        <f>I87*F87</f>
        <v>0</v>
      </c>
      <c r="K87" s="293"/>
      <c r="L87" s="293"/>
      <c r="M87" s="333">
        <f>H87+J87+L87</f>
        <v>0</v>
      </c>
    </row>
    <row r="88" spans="1:26" s="92" customFormat="1" ht="20.25" customHeight="1">
      <c r="A88" s="343">
        <v>16</v>
      </c>
      <c r="B88" s="483" t="s">
        <v>37</v>
      </c>
      <c r="C88" s="344" t="s">
        <v>38</v>
      </c>
      <c r="D88" s="357" t="s">
        <v>39</v>
      </c>
      <c r="E88" s="346"/>
      <c r="F88" s="515">
        <v>94</v>
      </c>
      <c r="G88" s="347"/>
      <c r="H88" s="347"/>
      <c r="I88" s="347"/>
      <c r="J88" s="347"/>
      <c r="K88" s="347"/>
      <c r="L88" s="347"/>
      <c r="M88" s="348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</row>
    <row r="89" spans="1:26" s="90" customFormat="1" ht="15" customHeight="1">
      <c r="A89" s="265"/>
      <c r="B89" s="266"/>
      <c r="C89" s="267" t="s">
        <v>200</v>
      </c>
      <c r="D89" s="268" t="s">
        <v>40</v>
      </c>
      <c r="E89" s="270">
        <f>0.162*1.2</f>
        <v>0.19439999999999999</v>
      </c>
      <c r="F89" s="505">
        <f>F88*E89</f>
        <v>18.273599999999998</v>
      </c>
      <c r="G89" s="591"/>
      <c r="H89" s="271">
        <f>F89*G89</f>
        <v>0</v>
      </c>
      <c r="I89" s="271"/>
      <c r="J89" s="271"/>
      <c r="K89" s="271"/>
      <c r="L89" s="271"/>
      <c r="M89" s="329">
        <f>H89+J89+L89</f>
        <v>0</v>
      </c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</row>
    <row r="90" spans="1:26" s="94" customFormat="1" ht="15" customHeight="1">
      <c r="A90" s="265"/>
      <c r="B90" s="349"/>
      <c r="C90" s="218" t="s">
        <v>15</v>
      </c>
      <c r="D90" s="350" t="s">
        <v>16</v>
      </c>
      <c r="E90" s="351">
        <f>0.00031*1.2</f>
        <v>3.7199999999999999E-4</v>
      </c>
      <c r="F90" s="516">
        <f>E90*F88</f>
        <v>3.4967999999999999E-2</v>
      </c>
      <c r="G90" s="328"/>
      <c r="H90" s="328"/>
      <c r="I90" s="352"/>
      <c r="J90" s="352"/>
      <c r="K90" s="600"/>
      <c r="L90" s="328">
        <f>F90*K90</f>
        <v>0</v>
      </c>
      <c r="M90" s="352">
        <f>H90+J90+L90</f>
        <v>0</v>
      </c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</row>
    <row r="91" spans="1:26" s="94" customFormat="1" ht="15" customHeight="1">
      <c r="A91" s="265"/>
      <c r="B91" s="276"/>
      <c r="C91" s="218" t="s">
        <v>87</v>
      </c>
      <c r="D91" s="350" t="s">
        <v>39</v>
      </c>
      <c r="E91" s="271">
        <v>1.05</v>
      </c>
      <c r="F91" s="516">
        <f>E91*F88</f>
        <v>98.7</v>
      </c>
      <c r="G91" s="328"/>
      <c r="H91" s="328"/>
      <c r="I91" s="601"/>
      <c r="J91" s="352">
        <f t="shared" ref="J91:J92" si="16">I91*F91</f>
        <v>0</v>
      </c>
      <c r="K91" s="328"/>
      <c r="L91" s="328"/>
      <c r="M91" s="352">
        <f t="shared" ref="M91:M92" si="17">H91+J91+L91</f>
        <v>0</v>
      </c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</row>
    <row r="92" spans="1:26" s="94" customFormat="1" ht="15" customHeight="1">
      <c r="A92" s="289"/>
      <c r="B92" s="353"/>
      <c r="C92" s="228" t="s">
        <v>201</v>
      </c>
      <c r="D92" s="354" t="s">
        <v>23</v>
      </c>
      <c r="E92" s="293">
        <v>1.2999999999999999E-2</v>
      </c>
      <c r="F92" s="517">
        <f>E92*F88</f>
        <v>1.222</v>
      </c>
      <c r="G92" s="355"/>
      <c r="H92" s="355"/>
      <c r="I92" s="602"/>
      <c r="J92" s="356">
        <f t="shared" si="16"/>
        <v>0</v>
      </c>
      <c r="K92" s="355"/>
      <c r="L92" s="355"/>
      <c r="M92" s="356">
        <f t="shared" si="17"/>
        <v>0</v>
      </c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</row>
    <row r="93" spans="1:26" s="92" customFormat="1" ht="18" customHeight="1">
      <c r="A93" s="343">
        <v>17</v>
      </c>
      <c r="B93" s="359" t="s">
        <v>42</v>
      </c>
      <c r="C93" s="344" t="s">
        <v>43</v>
      </c>
      <c r="D93" s="360" t="s">
        <v>20</v>
      </c>
      <c r="E93" s="346"/>
      <c r="F93" s="515">
        <v>42</v>
      </c>
      <c r="G93" s="347"/>
      <c r="H93" s="347"/>
      <c r="I93" s="347"/>
      <c r="J93" s="347"/>
      <c r="K93" s="347"/>
      <c r="L93" s="347"/>
      <c r="M93" s="348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</row>
    <row r="94" spans="1:26" s="152" customFormat="1" ht="15.75" customHeight="1">
      <c r="A94" s="361"/>
      <c r="B94" s="362"/>
      <c r="C94" s="277" t="s">
        <v>202</v>
      </c>
      <c r="D94" s="278" t="s">
        <v>44</v>
      </c>
      <c r="E94" s="284">
        <f>0.16*1.2</f>
        <v>0.192</v>
      </c>
      <c r="F94" s="516">
        <f>E94*F93</f>
        <v>8.0640000000000001</v>
      </c>
      <c r="G94" s="603"/>
      <c r="H94" s="282">
        <f>F94*G94</f>
        <v>0</v>
      </c>
      <c r="I94" s="282"/>
      <c r="J94" s="282"/>
      <c r="K94" s="282"/>
      <c r="L94" s="282"/>
      <c r="M94" s="282">
        <f>H94+J94+L94</f>
        <v>0</v>
      </c>
    </row>
    <row r="95" spans="1:26" s="92" customFormat="1" ht="15.75" customHeight="1">
      <c r="A95" s="271"/>
      <c r="B95" s="349"/>
      <c r="C95" s="218" t="s">
        <v>203</v>
      </c>
      <c r="D95" s="278" t="s">
        <v>16</v>
      </c>
      <c r="E95" s="284">
        <f>0.32/100*1.2</f>
        <v>3.8400000000000001E-3</v>
      </c>
      <c r="F95" s="518">
        <f>E95*F93</f>
        <v>0.16128000000000001</v>
      </c>
      <c r="G95" s="363"/>
      <c r="H95" s="363"/>
      <c r="I95" s="363"/>
      <c r="J95" s="363"/>
      <c r="K95" s="604"/>
      <c r="L95" s="363">
        <f>K95*F95</f>
        <v>0</v>
      </c>
      <c r="M95" s="363">
        <f>H95+J95+L95</f>
        <v>0</v>
      </c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</row>
    <row r="96" spans="1:26" s="92" customFormat="1" ht="15.75" customHeight="1">
      <c r="A96" s="271"/>
      <c r="B96" s="349"/>
      <c r="C96" s="218" t="s">
        <v>204</v>
      </c>
      <c r="D96" s="278" t="s">
        <v>23</v>
      </c>
      <c r="E96" s="284">
        <v>0.8</v>
      </c>
      <c r="F96" s="518">
        <f>E96*F93</f>
        <v>33.6</v>
      </c>
      <c r="G96" s="363"/>
      <c r="H96" s="363"/>
      <c r="I96" s="604"/>
      <c r="J96" s="363">
        <f>I96*F96</f>
        <v>0</v>
      </c>
      <c r="K96" s="363"/>
      <c r="L96" s="363"/>
      <c r="M96" s="363">
        <f>H96+J96+L96</f>
        <v>0</v>
      </c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</row>
    <row r="97" spans="1:26" s="92" customFormat="1" ht="15.75" customHeight="1">
      <c r="A97" s="364"/>
      <c r="B97" s="365"/>
      <c r="C97" s="228" t="s">
        <v>205</v>
      </c>
      <c r="D97" s="291" t="s">
        <v>20</v>
      </c>
      <c r="E97" s="330">
        <v>1.1100000000000001</v>
      </c>
      <c r="F97" s="519">
        <f>E97*F93</f>
        <v>46.620000000000005</v>
      </c>
      <c r="G97" s="366"/>
      <c r="H97" s="366"/>
      <c r="I97" s="605"/>
      <c r="J97" s="366">
        <f>F97*I97</f>
        <v>0</v>
      </c>
      <c r="K97" s="366"/>
      <c r="L97" s="366"/>
      <c r="M97" s="366">
        <f>H97+J97+L97</f>
        <v>0</v>
      </c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</row>
    <row r="98" spans="1:26" s="88" customFormat="1" ht="29.25" customHeight="1">
      <c r="A98" s="258">
        <v>18</v>
      </c>
      <c r="B98" s="259" t="s">
        <v>206</v>
      </c>
      <c r="C98" s="260" t="s">
        <v>256</v>
      </c>
      <c r="D98" s="261" t="s">
        <v>20</v>
      </c>
      <c r="E98" s="262"/>
      <c r="F98" s="512">
        <v>42</v>
      </c>
      <c r="G98" s="263"/>
      <c r="H98" s="263"/>
      <c r="I98" s="263"/>
      <c r="J98" s="263"/>
      <c r="K98" s="263"/>
      <c r="L98" s="263"/>
      <c r="M98" s="264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</row>
    <row r="99" spans="1:26" s="90" customFormat="1" ht="14.25">
      <c r="A99" s="265"/>
      <c r="B99" s="266"/>
      <c r="C99" s="267" t="s">
        <v>207</v>
      </c>
      <c r="D99" s="268" t="s">
        <v>13</v>
      </c>
      <c r="E99" s="270">
        <f>0.425*1.2</f>
        <v>0.51</v>
      </c>
      <c r="F99" s="505">
        <f>F98*E99</f>
        <v>21.42</v>
      </c>
      <c r="G99" s="591"/>
      <c r="H99" s="271">
        <f>G99*F99</f>
        <v>0</v>
      </c>
      <c r="I99" s="271"/>
      <c r="J99" s="271"/>
      <c r="K99" s="271"/>
      <c r="L99" s="271"/>
      <c r="M99" s="329">
        <f t="shared" ref="M99:M102" si="18">L99+J99+H99</f>
        <v>0</v>
      </c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</row>
    <row r="100" spans="1:26" s="90" customFormat="1" ht="14.25">
      <c r="A100" s="265"/>
      <c r="B100" s="266"/>
      <c r="C100" s="267" t="s">
        <v>208</v>
      </c>
      <c r="D100" s="268" t="s">
        <v>16</v>
      </c>
      <c r="E100" s="274">
        <f>0.0032*1.2</f>
        <v>3.8400000000000001E-3</v>
      </c>
      <c r="F100" s="505">
        <f>F98*E100</f>
        <v>0.16128000000000001</v>
      </c>
      <c r="G100" s="271"/>
      <c r="H100" s="271"/>
      <c r="I100" s="271"/>
      <c r="J100" s="271"/>
      <c r="K100" s="591"/>
      <c r="L100" s="271">
        <f>K100*F100</f>
        <v>0</v>
      </c>
      <c r="M100" s="329">
        <f t="shared" si="18"/>
        <v>0</v>
      </c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</row>
    <row r="101" spans="1:26" s="92" customFormat="1" ht="15.75" customHeight="1">
      <c r="A101" s="271"/>
      <c r="B101" s="349"/>
      <c r="C101" s="218" t="s">
        <v>204</v>
      </c>
      <c r="D101" s="278" t="s">
        <v>23</v>
      </c>
      <c r="E101" s="284">
        <v>0.8</v>
      </c>
      <c r="F101" s="518">
        <f>E101*F98</f>
        <v>33.6</v>
      </c>
      <c r="G101" s="363"/>
      <c r="H101" s="363"/>
      <c r="I101" s="604"/>
      <c r="J101" s="363">
        <f>I101*F101</f>
        <v>0</v>
      </c>
      <c r="K101" s="363"/>
      <c r="L101" s="363"/>
      <c r="M101" s="363">
        <f>H101+J101+L101</f>
        <v>0</v>
      </c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</row>
    <row r="102" spans="1:26" s="90" customFormat="1" ht="14.25">
      <c r="A102" s="289"/>
      <c r="B102" s="290"/>
      <c r="C102" s="16" t="s">
        <v>260</v>
      </c>
      <c r="D102" s="291" t="s">
        <v>20</v>
      </c>
      <c r="E102" s="330">
        <v>3.09</v>
      </c>
      <c r="F102" s="517">
        <f>E102*F98</f>
        <v>129.78</v>
      </c>
      <c r="G102" s="293"/>
      <c r="H102" s="293"/>
      <c r="I102" s="593"/>
      <c r="J102" s="293">
        <f>I102*F102</f>
        <v>0</v>
      </c>
      <c r="K102" s="293"/>
      <c r="L102" s="293"/>
      <c r="M102" s="333">
        <f t="shared" si="18"/>
        <v>0</v>
      </c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</row>
    <row r="103" spans="1:26" s="88" customFormat="1" ht="18.75" customHeight="1">
      <c r="A103" s="258">
        <v>19</v>
      </c>
      <c r="B103" s="259" t="s">
        <v>45</v>
      </c>
      <c r="C103" s="260" t="s">
        <v>46</v>
      </c>
      <c r="D103" s="261" t="s">
        <v>20</v>
      </c>
      <c r="E103" s="262"/>
      <c r="F103" s="512">
        <v>42</v>
      </c>
      <c r="G103" s="263"/>
      <c r="H103" s="263"/>
      <c r="I103" s="263"/>
      <c r="J103" s="263"/>
      <c r="K103" s="263"/>
      <c r="L103" s="263"/>
      <c r="M103" s="264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</row>
    <row r="104" spans="1:26" s="90" customFormat="1" ht="14.25">
      <c r="A104" s="265"/>
      <c r="B104" s="266" t="s">
        <v>209</v>
      </c>
      <c r="C104" s="267" t="s">
        <v>22</v>
      </c>
      <c r="D104" s="268" t="s">
        <v>20</v>
      </c>
      <c r="E104" s="270">
        <v>1</v>
      </c>
      <c r="F104" s="505">
        <f>F103*E104</f>
        <v>42</v>
      </c>
      <c r="G104" s="591"/>
      <c r="H104" s="271">
        <f>G104*F104</f>
        <v>0</v>
      </c>
      <c r="I104" s="271"/>
      <c r="J104" s="271"/>
      <c r="K104" s="271"/>
      <c r="L104" s="271"/>
      <c r="M104" s="329">
        <f t="shared" ref="M104:M107" si="19">L104+J104+H104</f>
        <v>0</v>
      </c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</row>
    <row r="105" spans="1:26" s="90" customFormat="1" ht="14.25">
      <c r="A105" s="265"/>
      <c r="B105" s="266"/>
      <c r="C105" s="267" t="s">
        <v>210</v>
      </c>
      <c r="D105" s="268" t="s">
        <v>16</v>
      </c>
      <c r="E105" s="270">
        <f>0.0225*1.2</f>
        <v>2.7E-2</v>
      </c>
      <c r="F105" s="505">
        <f>F103*E105</f>
        <v>1.1339999999999999</v>
      </c>
      <c r="G105" s="271"/>
      <c r="H105" s="271"/>
      <c r="I105" s="271"/>
      <c r="J105" s="271"/>
      <c r="K105" s="591"/>
      <c r="L105" s="271">
        <f>K105*F105</f>
        <v>0</v>
      </c>
      <c r="M105" s="329">
        <f t="shared" si="19"/>
        <v>0</v>
      </c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</row>
    <row r="106" spans="1:26" s="90" customFormat="1" ht="14.25">
      <c r="A106" s="275"/>
      <c r="B106" s="276"/>
      <c r="C106" s="277" t="s">
        <v>211</v>
      </c>
      <c r="D106" s="278" t="s">
        <v>20</v>
      </c>
      <c r="E106" s="279">
        <f>1.05</f>
        <v>1.05</v>
      </c>
      <c r="F106" s="516">
        <f>E106*F103</f>
        <v>44.1</v>
      </c>
      <c r="G106" s="271"/>
      <c r="H106" s="271"/>
      <c r="I106" s="603"/>
      <c r="J106" s="271">
        <f t="shared" ref="J106:J107" si="20">I106*F106</f>
        <v>0</v>
      </c>
      <c r="K106" s="271"/>
      <c r="L106" s="271"/>
      <c r="M106" s="329">
        <f t="shared" si="19"/>
        <v>0</v>
      </c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</row>
    <row r="107" spans="1:26" s="90" customFormat="1" ht="14.25">
      <c r="A107" s="289"/>
      <c r="B107" s="290"/>
      <c r="C107" s="16" t="s">
        <v>25</v>
      </c>
      <c r="D107" s="291" t="s">
        <v>16</v>
      </c>
      <c r="E107" s="330">
        <v>1.28</v>
      </c>
      <c r="F107" s="509">
        <f>E107*F103</f>
        <v>53.76</v>
      </c>
      <c r="G107" s="293"/>
      <c r="H107" s="293"/>
      <c r="I107" s="593"/>
      <c r="J107" s="293">
        <f t="shared" si="20"/>
        <v>0</v>
      </c>
      <c r="K107" s="293"/>
      <c r="L107" s="293"/>
      <c r="M107" s="333">
        <f t="shared" si="19"/>
        <v>0</v>
      </c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</row>
    <row r="108" spans="1:26" s="92" customFormat="1" ht="20.25" customHeight="1">
      <c r="A108" s="343">
        <v>20</v>
      </c>
      <c r="B108" s="358" t="s">
        <v>37</v>
      </c>
      <c r="C108" s="367" t="s">
        <v>47</v>
      </c>
      <c r="D108" s="345" t="s">
        <v>39</v>
      </c>
      <c r="E108" s="346"/>
      <c r="F108" s="515">
        <v>59.5</v>
      </c>
      <c r="G108" s="347"/>
      <c r="H108" s="347"/>
      <c r="I108" s="347"/>
      <c r="J108" s="347"/>
      <c r="K108" s="347"/>
      <c r="L108" s="347"/>
      <c r="M108" s="348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</row>
    <row r="109" spans="1:26" s="90" customFormat="1" ht="15" customHeight="1">
      <c r="A109" s="265"/>
      <c r="B109" s="266"/>
      <c r="C109" s="267" t="s">
        <v>200</v>
      </c>
      <c r="D109" s="268" t="s">
        <v>40</v>
      </c>
      <c r="E109" s="270">
        <f>0.162*1.2</f>
        <v>0.19439999999999999</v>
      </c>
      <c r="F109" s="505">
        <f>F108*E109</f>
        <v>11.566799999999999</v>
      </c>
      <c r="G109" s="591"/>
      <c r="H109" s="271">
        <f>F109*G109</f>
        <v>0</v>
      </c>
      <c r="I109" s="271"/>
      <c r="J109" s="271"/>
      <c r="K109" s="271"/>
      <c r="L109" s="271"/>
      <c r="M109" s="329">
        <f>H109+J109+L109</f>
        <v>0</v>
      </c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</row>
    <row r="110" spans="1:26" s="94" customFormat="1" ht="15" customHeight="1">
      <c r="A110" s="265"/>
      <c r="B110" s="349"/>
      <c r="C110" s="218" t="s">
        <v>15</v>
      </c>
      <c r="D110" s="350" t="s">
        <v>16</v>
      </c>
      <c r="E110" s="351">
        <f>0.00031*1.2</f>
        <v>3.7199999999999999E-4</v>
      </c>
      <c r="F110" s="516">
        <f>E110*F108</f>
        <v>2.2134000000000001E-2</v>
      </c>
      <c r="G110" s="328"/>
      <c r="H110" s="328"/>
      <c r="I110" s="352"/>
      <c r="J110" s="352"/>
      <c r="K110" s="600"/>
      <c r="L110" s="328">
        <f>F110*K110</f>
        <v>0</v>
      </c>
      <c r="M110" s="352">
        <f>H110+J110+L110</f>
        <v>0</v>
      </c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</row>
    <row r="111" spans="1:26" s="94" customFormat="1" ht="15" customHeight="1">
      <c r="A111" s="265"/>
      <c r="B111" s="276"/>
      <c r="C111" s="218" t="s">
        <v>87</v>
      </c>
      <c r="D111" s="350" t="s">
        <v>39</v>
      </c>
      <c r="E111" s="271">
        <v>1.05</v>
      </c>
      <c r="F111" s="516">
        <f>E111*F108</f>
        <v>62.475000000000001</v>
      </c>
      <c r="G111" s="328"/>
      <c r="H111" s="328"/>
      <c r="I111" s="601"/>
      <c r="J111" s="352">
        <f t="shared" ref="J111:J112" si="21">I111*F111</f>
        <v>0</v>
      </c>
      <c r="K111" s="328"/>
      <c r="L111" s="328"/>
      <c r="M111" s="352">
        <f t="shared" ref="M111:M112" si="22">H111+J111+L111</f>
        <v>0</v>
      </c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</row>
    <row r="112" spans="1:26" s="94" customFormat="1" ht="15" customHeight="1">
      <c r="A112" s="289"/>
      <c r="B112" s="353"/>
      <c r="C112" s="228" t="s">
        <v>201</v>
      </c>
      <c r="D112" s="354" t="s">
        <v>23</v>
      </c>
      <c r="E112" s="293">
        <v>1.2999999999999999E-2</v>
      </c>
      <c r="F112" s="517">
        <f>E112*F108</f>
        <v>0.77349999999999997</v>
      </c>
      <c r="G112" s="355"/>
      <c r="H112" s="355"/>
      <c r="I112" s="602"/>
      <c r="J112" s="356">
        <f t="shared" si="21"/>
        <v>0</v>
      </c>
      <c r="K112" s="355"/>
      <c r="L112" s="355"/>
      <c r="M112" s="356">
        <f t="shared" si="22"/>
        <v>0</v>
      </c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</row>
    <row r="113" spans="1:26" s="88" customFormat="1" ht="27.75" customHeight="1">
      <c r="A113" s="258">
        <v>21</v>
      </c>
      <c r="B113" s="259" t="s">
        <v>26</v>
      </c>
      <c r="C113" s="260" t="s">
        <v>258</v>
      </c>
      <c r="D113" s="261" t="s">
        <v>20</v>
      </c>
      <c r="E113" s="262"/>
      <c r="F113" s="512">
        <v>36</v>
      </c>
      <c r="G113" s="263"/>
      <c r="H113" s="263"/>
      <c r="I113" s="263"/>
      <c r="J113" s="263"/>
      <c r="K113" s="263"/>
      <c r="L113" s="263"/>
      <c r="M113" s="264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</row>
    <row r="114" spans="1:26" s="90" customFormat="1" ht="14.25">
      <c r="A114" s="265"/>
      <c r="B114" s="266"/>
      <c r="C114" s="267" t="s">
        <v>195</v>
      </c>
      <c r="D114" s="268" t="s">
        <v>13</v>
      </c>
      <c r="E114" s="270">
        <f>0.271*1.2</f>
        <v>0.32519999999999999</v>
      </c>
      <c r="F114" s="505">
        <f>F113*E114</f>
        <v>11.7072</v>
      </c>
      <c r="G114" s="591"/>
      <c r="H114" s="271">
        <f>G114*F114</f>
        <v>0</v>
      </c>
      <c r="I114" s="271"/>
      <c r="J114" s="271"/>
      <c r="K114" s="271"/>
      <c r="L114" s="271"/>
      <c r="M114" s="329">
        <f t="shared" ref="M114:M116" si="23">L114+J114+H114</f>
        <v>0</v>
      </c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</row>
    <row r="115" spans="1:26" s="90" customFormat="1" ht="14.25">
      <c r="A115" s="265"/>
      <c r="B115" s="266"/>
      <c r="C115" s="267" t="s">
        <v>196</v>
      </c>
      <c r="D115" s="268" t="s">
        <v>16</v>
      </c>
      <c r="E115" s="274">
        <f>0.023*1.2</f>
        <v>2.76E-2</v>
      </c>
      <c r="F115" s="505">
        <f>F113*E115</f>
        <v>0.99360000000000004</v>
      </c>
      <c r="G115" s="271"/>
      <c r="H115" s="271"/>
      <c r="I115" s="271"/>
      <c r="J115" s="271"/>
      <c r="K115" s="591"/>
      <c r="L115" s="271">
        <f>K115*F115</f>
        <v>0</v>
      </c>
      <c r="M115" s="329">
        <f t="shared" si="23"/>
        <v>0</v>
      </c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</row>
    <row r="116" spans="1:26" s="90" customFormat="1" ht="14.25">
      <c r="A116" s="289"/>
      <c r="B116" s="290"/>
      <c r="C116" s="16" t="s">
        <v>259</v>
      </c>
      <c r="D116" s="291" t="s">
        <v>20</v>
      </c>
      <c r="E116" s="330">
        <v>3.09</v>
      </c>
      <c r="F116" s="517">
        <f>E116*F113</f>
        <v>111.24</v>
      </c>
      <c r="G116" s="293"/>
      <c r="H116" s="293"/>
      <c r="I116" s="593"/>
      <c r="J116" s="293">
        <f>I116*F116</f>
        <v>0</v>
      </c>
      <c r="K116" s="293"/>
      <c r="L116" s="293"/>
      <c r="M116" s="333">
        <f t="shared" si="23"/>
        <v>0</v>
      </c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</row>
    <row r="117" spans="1:26" s="88" customFormat="1" ht="27" customHeight="1">
      <c r="A117" s="258">
        <v>22</v>
      </c>
      <c r="B117" s="259" t="s">
        <v>27</v>
      </c>
      <c r="C117" s="260" t="s">
        <v>212</v>
      </c>
      <c r="D117" s="261" t="s">
        <v>20</v>
      </c>
      <c r="E117" s="262"/>
      <c r="F117" s="536">
        <v>36</v>
      </c>
      <c r="G117" s="263"/>
      <c r="H117" s="263"/>
      <c r="I117" s="263"/>
      <c r="J117" s="263"/>
      <c r="K117" s="263"/>
      <c r="L117" s="263"/>
      <c r="M117" s="264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</row>
    <row r="118" spans="1:26" s="90" customFormat="1" ht="15" customHeight="1">
      <c r="A118" s="265"/>
      <c r="B118" s="266"/>
      <c r="C118" s="267" t="s">
        <v>213</v>
      </c>
      <c r="D118" s="268" t="s">
        <v>13</v>
      </c>
      <c r="E118" s="274">
        <f>0.431*1.2</f>
        <v>0.51719999999999999</v>
      </c>
      <c r="F118" s="505">
        <v>23.51</v>
      </c>
      <c r="G118" s="591"/>
      <c r="H118" s="271">
        <f>F118*G118</f>
        <v>0</v>
      </c>
      <c r="I118" s="271"/>
      <c r="J118" s="271"/>
      <c r="K118" s="271"/>
      <c r="L118" s="271"/>
      <c r="M118" s="329">
        <f t="shared" ref="M118:M122" si="24">L118+J118+H118</f>
        <v>0</v>
      </c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</row>
    <row r="119" spans="1:26" s="90" customFormat="1" ht="14.25">
      <c r="A119" s="265"/>
      <c r="B119" s="266"/>
      <c r="C119" s="267" t="s">
        <v>214</v>
      </c>
      <c r="D119" s="268" t="s">
        <v>16</v>
      </c>
      <c r="E119" s="274">
        <f>0.0224*1.2</f>
        <v>2.6879999999999998E-2</v>
      </c>
      <c r="F119" s="511">
        <f>F117*E119</f>
        <v>0.96767999999999987</v>
      </c>
      <c r="G119" s="271"/>
      <c r="H119" s="271"/>
      <c r="I119" s="271"/>
      <c r="J119" s="271"/>
      <c r="K119" s="591"/>
      <c r="L119" s="271">
        <f>K119*F119</f>
        <v>0</v>
      </c>
      <c r="M119" s="329">
        <f t="shared" si="24"/>
        <v>0</v>
      </c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</row>
    <row r="120" spans="1:26" s="90" customFormat="1" ht="14.25">
      <c r="A120" s="275"/>
      <c r="B120" s="283"/>
      <c r="C120" s="277" t="s">
        <v>28</v>
      </c>
      <c r="D120" s="278" t="s">
        <v>23</v>
      </c>
      <c r="E120" s="279">
        <v>5.33E-2</v>
      </c>
      <c r="F120" s="516">
        <v>2.91</v>
      </c>
      <c r="G120" s="271"/>
      <c r="H120" s="271"/>
      <c r="I120" s="591"/>
      <c r="J120" s="271">
        <f t="shared" ref="J120:J122" si="25">I120*F120</f>
        <v>0</v>
      </c>
      <c r="K120" s="271"/>
      <c r="L120" s="271"/>
      <c r="M120" s="329">
        <f t="shared" si="24"/>
        <v>0</v>
      </c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</row>
    <row r="121" spans="1:26" s="90" customFormat="1" ht="14.25">
      <c r="A121" s="275"/>
      <c r="B121" s="283"/>
      <c r="C121" s="277" t="s">
        <v>215</v>
      </c>
      <c r="D121" s="278" t="s">
        <v>20</v>
      </c>
      <c r="E121" s="284">
        <v>1.0269999999999999</v>
      </c>
      <c r="F121" s="516">
        <v>56.02</v>
      </c>
      <c r="G121" s="271"/>
      <c r="H121" s="271"/>
      <c r="I121" s="591"/>
      <c r="J121" s="271">
        <f t="shared" si="25"/>
        <v>0</v>
      </c>
      <c r="K121" s="271"/>
      <c r="L121" s="271"/>
      <c r="M121" s="329">
        <f t="shared" si="24"/>
        <v>0</v>
      </c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</row>
    <row r="122" spans="1:26" s="90" customFormat="1" ht="14.25">
      <c r="A122" s="289"/>
      <c r="B122" s="290"/>
      <c r="C122" s="16" t="s">
        <v>25</v>
      </c>
      <c r="D122" s="291" t="s">
        <v>16</v>
      </c>
      <c r="E122" s="292">
        <v>0.107</v>
      </c>
      <c r="F122" s="520">
        <v>5.8360000000000003</v>
      </c>
      <c r="G122" s="293"/>
      <c r="H122" s="293"/>
      <c r="I122" s="593"/>
      <c r="J122" s="293">
        <f t="shared" si="25"/>
        <v>0</v>
      </c>
      <c r="K122" s="293"/>
      <c r="L122" s="293"/>
      <c r="M122" s="333">
        <f t="shared" si="24"/>
        <v>0</v>
      </c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</row>
    <row r="123" spans="1:26" s="88" customFormat="1" ht="18" customHeight="1">
      <c r="A123" s="258">
        <v>23</v>
      </c>
      <c r="B123" s="259" t="s">
        <v>29</v>
      </c>
      <c r="C123" s="260" t="s">
        <v>30</v>
      </c>
      <c r="D123" s="261" t="s">
        <v>20</v>
      </c>
      <c r="E123" s="262"/>
      <c r="F123" s="510">
        <v>36</v>
      </c>
      <c r="G123" s="263"/>
      <c r="H123" s="263"/>
      <c r="I123" s="263"/>
      <c r="J123" s="263"/>
      <c r="K123" s="263"/>
      <c r="L123" s="263"/>
      <c r="M123" s="264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</row>
    <row r="124" spans="1:26" s="90" customFormat="1" ht="14.25">
      <c r="A124" s="265"/>
      <c r="B124" s="266"/>
      <c r="C124" s="267" t="s">
        <v>216</v>
      </c>
      <c r="D124" s="268" t="s">
        <v>13</v>
      </c>
      <c r="E124" s="270">
        <f>0.851*1.2</f>
        <v>1.0211999999999999</v>
      </c>
      <c r="F124" s="505">
        <f>F123*E124</f>
        <v>36.763199999999998</v>
      </c>
      <c r="G124" s="591"/>
      <c r="H124" s="271">
        <f>G124*F124</f>
        <v>0</v>
      </c>
      <c r="I124" s="271"/>
      <c r="J124" s="271"/>
      <c r="K124" s="271"/>
      <c r="L124" s="271"/>
      <c r="M124" s="329">
        <f t="shared" ref="M124:M127" si="26">L124+J124+H124</f>
        <v>0</v>
      </c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</row>
    <row r="125" spans="1:26" s="90" customFormat="1" ht="14.25">
      <c r="A125" s="265"/>
      <c r="B125" s="266"/>
      <c r="C125" s="267" t="s">
        <v>217</v>
      </c>
      <c r="D125" s="268" t="s">
        <v>16</v>
      </c>
      <c r="E125" s="274">
        <f>0.0483*1.2</f>
        <v>5.7959999999999998E-2</v>
      </c>
      <c r="F125" s="511">
        <f>F123*E125</f>
        <v>2.08656</v>
      </c>
      <c r="G125" s="271"/>
      <c r="H125" s="271"/>
      <c r="I125" s="271"/>
      <c r="J125" s="271"/>
      <c r="K125" s="591"/>
      <c r="L125" s="271">
        <f>K125*F125</f>
        <v>0</v>
      </c>
      <c r="M125" s="329">
        <f t="shared" si="26"/>
        <v>0</v>
      </c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</row>
    <row r="126" spans="1:26" s="90" customFormat="1" ht="14.25">
      <c r="A126" s="275"/>
      <c r="B126" s="283"/>
      <c r="C126" s="277" t="s">
        <v>28</v>
      </c>
      <c r="D126" s="278" t="s">
        <v>23</v>
      </c>
      <c r="E126" s="279">
        <v>23.3</v>
      </c>
      <c r="F126" s="516">
        <f>E126*F123</f>
        <v>838.80000000000007</v>
      </c>
      <c r="G126" s="271"/>
      <c r="H126" s="271"/>
      <c r="I126" s="591"/>
      <c r="J126" s="271">
        <f t="shared" ref="J126:J128" si="27">I126*F126</f>
        <v>0</v>
      </c>
      <c r="K126" s="271"/>
      <c r="L126" s="271"/>
      <c r="M126" s="329">
        <f t="shared" si="26"/>
        <v>0</v>
      </c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</row>
    <row r="127" spans="1:26" s="90" customFormat="1" ht="16.5" customHeight="1">
      <c r="A127" s="275"/>
      <c r="B127" s="276"/>
      <c r="C127" s="277" t="s">
        <v>86</v>
      </c>
      <c r="D127" s="278" t="s">
        <v>20</v>
      </c>
      <c r="E127" s="279">
        <v>1.03</v>
      </c>
      <c r="F127" s="516">
        <f>E127*F123</f>
        <v>37.08</v>
      </c>
      <c r="G127" s="271"/>
      <c r="H127" s="271"/>
      <c r="I127" s="592"/>
      <c r="J127" s="271">
        <f t="shared" si="27"/>
        <v>0</v>
      </c>
      <c r="K127" s="271"/>
      <c r="L127" s="271"/>
      <c r="M127" s="329">
        <f t="shared" si="26"/>
        <v>0</v>
      </c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</row>
    <row r="128" spans="1:26" s="94" customFormat="1">
      <c r="A128" s="339"/>
      <c r="B128" s="368"/>
      <c r="C128" s="369" t="s">
        <v>218</v>
      </c>
      <c r="D128" s="354" t="s">
        <v>39</v>
      </c>
      <c r="E128" s="293">
        <v>1.05</v>
      </c>
      <c r="F128" s="517">
        <f>E128*F123</f>
        <v>37.800000000000004</v>
      </c>
      <c r="G128" s="355"/>
      <c r="H128" s="355"/>
      <c r="I128" s="602"/>
      <c r="J128" s="356">
        <f t="shared" si="27"/>
        <v>0</v>
      </c>
      <c r="K128" s="355"/>
      <c r="L128" s="355"/>
      <c r="M128" s="356">
        <f t="shared" ref="M128" si="28">H128+J128+L128</f>
        <v>0</v>
      </c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</row>
    <row r="129" spans="1:26" s="90" customFormat="1" ht="25.5">
      <c r="A129" s="370">
        <v>24</v>
      </c>
      <c r="B129" s="371" t="s">
        <v>219</v>
      </c>
      <c r="C129" s="260" t="s">
        <v>220</v>
      </c>
      <c r="D129" s="360" t="s">
        <v>20</v>
      </c>
      <c r="E129" s="372"/>
      <c r="F129" s="512">
        <v>36</v>
      </c>
      <c r="G129" s="373"/>
      <c r="H129" s="373"/>
      <c r="I129" s="373"/>
      <c r="J129" s="373"/>
      <c r="K129" s="373"/>
      <c r="L129" s="373"/>
      <c r="M129" s="374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</row>
    <row r="130" spans="1:26" s="90" customFormat="1" ht="14.25">
      <c r="A130" s="275"/>
      <c r="B130" s="276"/>
      <c r="C130" s="277" t="s">
        <v>221</v>
      </c>
      <c r="D130" s="278" t="s">
        <v>13</v>
      </c>
      <c r="E130" s="279">
        <f>0.492*1.2</f>
        <v>0.59039999999999992</v>
      </c>
      <c r="F130" s="516">
        <v>55.68</v>
      </c>
      <c r="G130" s="591"/>
      <c r="H130" s="271">
        <f>G130*F130</f>
        <v>0</v>
      </c>
      <c r="I130" s="271"/>
      <c r="J130" s="271"/>
      <c r="K130" s="271"/>
      <c r="L130" s="271"/>
      <c r="M130" s="329">
        <f>H130</f>
        <v>0</v>
      </c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</row>
    <row r="131" spans="1:26" s="90" customFormat="1" ht="14.25">
      <c r="A131" s="265"/>
      <c r="B131" s="266"/>
      <c r="C131" s="267" t="s">
        <v>222</v>
      </c>
      <c r="D131" s="268" t="s">
        <v>16</v>
      </c>
      <c r="E131" s="274">
        <f>0.0083*1.2</f>
        <v>9.9600000000000001E-3</v>
      </c>
      <c r="F131" s="511">
        <f>F129*E131</f>
        <v>0.35855999999999999</v>
      </c>
      <c r="G131" s="271"/>
      <c r="H131" s="271"/>
      <c r="I131" s="271"/>
      <c r="J131" s="271"/>
      <c r="K131" s="591"/>
      <c r="L131" s="271">
        <f>K131*F131</f>
        <v>0</v>
      </c>
      <c r="M131" s="329">
        <f t="shared" ref="M131" si="29">L131+J131+H131</f>
        <v>0</v>
      </c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</row>
    <row r="132" spans="1:26" s="90" customFormat="1" ht="14.25">
      <c r="A132" s="275"/>
      <c r="B132" s="285"/>
      <c r="C132" s="277" t="s">
        <v>223</v>
      </c>
      <c r="D132" s="278" t="s">
        <v>23</v>
      </c>
      <c r="E132" s="279">
        <v>0.5</v>
      </c>
      <c r="F132" s="516">
        <f>F129*E132</f>
        <v>18</v>
      </c>
      <c r="G132" s="271"/>
      <c r="H132" s="271"/>
      <c r="I132" s="592"/>
      <c r="J132" s="271">
        <f>I132*F132</f>
        <v>0</v>
      </c>
      <c r="K132" s="271"/>
      <c r="L132" s="271"/>
      <c r="M132" s="329">
        <f>J132</f>
        <v>0</v>
      </c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</row>
    <row r="133" spans="1:26" s="90" customFormat="1" ht="14.25">
      <c r="A133" s="289"/>
      <c r="B133" s="290"/>
      <c r="C133" s="16" t="s">
        <v>25</v>
      </c>
      <c r="D133" s="291" t="s">
        <v>16</v>
      </c>
      <c r="E133" s="292">
        <v>7.0000000000000001E-3</v>
      </c>
      <c r="F133" s="520">
        <f>E133*F129</f>
        <v>0.252</v>
      </c>
      <c r="G133" s="293"/>
      <c r="H133" s="293"/>
      <c r="I133" s="593"/>
      <c r="J133" s="293">
        <f t="shared" ref="J133" si="30">I133*F133</f>
        <v>0</v>
      </c>
      <c r="K133" s="293"/>
      <c r="L133" s="293"/>
      <c r="M133" s="333">
        <f t="shared" ref="M133" si="31">L133+J133+H133</f>
        <v>0</v>
      </c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</row>
    <row r="134" spans="1:26" s="380" customFormat="1" ht="18" customHeight="1">
      <c r="A134" s="375">
        <v>25</v>
      </c>
      <c r="B134" s="303" t="s">
        <v>224</v>
      </c>
      <c r="C134" s="376" t="s">
        <v>225</v>
      </c>
      <c r="D134" s="377" t="s">
        <v>179</v>
      </c>
      <c r="E134" s="377"/>
      <c r="F134" s="378">
        <v>8.1999999999999993</v>
      </c>
      <c r="G134" s="302"/>
      <c r="H134" s="302"/>
      <c r="I134" s="302"/>
      <c r="J134" s="302"/>
      <c r="K134" s="302"/>
      <c r="L134" s="302"/>
      <c r="M134" s="379"/>
    </row>
    <row r="135" spans="1:26" s="380" customFormat="1" ht="18" customHeight="1">
      <c r="A135" s="381"/>
      <c r="B135" s="310"/>
      <c r="C135" s="320" t="s">
        <v>226</v>
      </c>
      <c r="D135" s="382" t="s">
        <v>227</v>
      </c>
      <c r="E135" s="383">
        <f>2.72*1.2</f>
        <v>3.2640000000000002</v>
      </c>
      <c r="F135" s="537">
        <f>E135*F134</f>
        <v>26.764800000000001</v>
      </c>
      <c r="G135" s="606"/>
      <c r="H135" s="384">
        <f>F135*G135</f>
        <v>0</v>
      </c>
      <c r="I135" s="607"/>
      <c r="J135" s="384"/>
      <c r="K135" s="385"/>
      <c r="L135" s="384"/>
      <c r="M135" s="309">
        <f t="shared" ref="M135:M136" si="32">H135+J135+L135</f>
        <v>0</v>
      </c>
    </row>
    <row r="136" spans="1:26" s="380" customFormat="1" ht="18" customHeight="1">
      <c r="A136" s="381"/>
      <c r="B136" s="310"/>
      <c r="C136" s="386" t="s">
        <v>228</v>
      </c>
      <c r="D136" s="382" t="s">
        <v>179</v>
      </c>
      <c r="E136" s="387">
        <v>1</v>
      </c>
      <c r="F136" s="537">
        <f>F134*E136</f>
        <v>8.1999999999999993</v>
      </c>
      <c r="G136" s="388"/>
      <c r="H136" s="384"/>
      <c r="I136" s="612"/>
      <c r="J136" s="390">
        <f>F136*I136</f>
        <v>0</v>
      </c>
      <c r="K136" s="389"/>
      <c r="L136" s="391"/>
      <c r="M136" s="392">
        <f t="shared" si="32"/>
        <v>0</v>
      </c>
    </row>
    <row r="137" spans="1:26" s="100" customFormat="1" ht="21" customHeight="1">
      <c r="A137" s="393">
        <v>26</v>
      </c>
      <c r="B137" s="394" t="s">
        <v>74</v>
      </c>
      <c r="C137" s="395" t="s">
        <v>229</v>
      </c>
      <c r="D137" s="396" t="s">
        <v>20</v>
      </c>
      <c r="E137" s="393"/>
      <c r="F137" s="521">
        <f>0.85*3*2.3</f>
        <v>5.8649999999999993</v>
      </c>
      <c r="G137" s="393"/>
      <c r="H137" s="209"/>
      <c r="I137" s="397"/>
      <c r="J137" s="209"/>
      <c r="K137" s="397"/>
      <c r="L137" s="209"/>
      <c r="M137" s="209"/>
      <c r="O137" s="97"/>
      <c r="P137" s="101"/>
      <c r="Q137" s="102"/>
      <c r="R137" s="97"/>
      <c r="S137" s="98"/>
      <c r="T137" s="102"/>
      <c r="U137" s="97"/>
      <c r="V137" s="98"/>
      <c r="W137" s="102"/>
      <c r="X137" s="99"/>
      <c r="Y137" s="102"/>
      <c r="Z137" s="102"/>
    </row>
    <row r="138" spans="1:26" s="100" customFormat="1">
      <c r="A138" s="44"/>
      <c r="B138" s="398"/>
      <c r="C138" s="399" t="s">
        <v>230</v>
      </c>
      <c r="D138" s="44" t="s">
        <v>64</v>
      </c>
      <c r="E138" s="44">
        <f>1.16*1.2</f>
        <v>1.3919999999999999</v>
      </c>
      <c r="F138" s="522">
        <f>F137*E138</f>
        <v>8.1640799999999984</v>
      </c>
      <c r="G138" s="574"/>
      <c r="H138" s="184">
        <f>F138*G138</f>
        <v>0</v>
      </c>
      <c r="I138" s="185"/>
      <c r="J138" s="184"/>
      <c r="K138" s="185"/>
      <c r="L138" s="184"/>
      <c r="M138" s="184">
        <f t="shared" ref="M138:M143" si="33">H138+J138+L138</f>
        <v>0</v>
      </c>
      <c r="O138" s="97"/>
      <c r="P138" s="98"/>
      <c r="Q138" s="102"/>
      <c r="R138" s="97"/>
      <c r="S138" s="98"/>
      <c r="T138" s="102"/>
      <c r="U138" s="97"/>
      <c r="V138" s="98"/>
      <c r="W138" s="102"/>
      <c r="X138" s="99"/>
      <c r="Y138" s="102"/>
      <c r="Z138" s="102"/>
    </row>
    <row r="139" spans="1:26" s="100" customFormat="1">
      <c r="A139" s="44"/>
      <c r="B139" s="43"/>
      <c r="C139" s="399" t="s">
        <v>231</v>
      </c>
      <c r="D139" s="44" t="s">
        <v>16</v>
      </c>
      <c r="E139" s="44">
        <f>0.13*1.2</f>
        <v>0.156</v>
      </c>
      <c r="F139" s="522">
        <f>F137*E139</f>
        <v>0.91493999999999986</v>
      </c>
      <c r="G139" s="44"/>
      <c r="H139" s="184"/>
      <c r="I139" s="185"/>
      <c r="J139" s="184"/>
      <c r="K139" s="574"/>
      <c r="L139" s="184">
        <f>F139*K139</f>
        <v>0</v>
      </c>
      <c r="M139" s="184">
        <f t="shared" si="33"/>
        <v>0</v>
      </c>
      <c r="O139" s="97"/>
      <c r="P139" s="98"/>
      <c r="Q139" s="102"/>
      <c r="R139" s="97"/>
      <c r="S139" s="98"/>
      <c r="T139" s="102"/>
      <c r="U139" s="97"/>
      <c r="V139" s="98"/>
      <c r="W139" s="102"/>
      <c r="X139" s="99"/>
      <c r="Y139" s="102"/>
      <c r="Z139" s="102"/>
    </row>
    <row r="140" spans="1:26" s="100" customFormat="1" ht="13.5" customHeight="1">
      <c r="A140" s="44"/>
      <c r="B140" s="213"/>
      <c r="C140" s="399" t="s">
        <v>75</v>
      </c>
      <c r="D140" s="44" t="s">
        <v>20</v>
      </c>
      <c r="E140" s="44">
        <v>1</v>
      </c>
      <c r="F140" s="522">
        <f>F137*E140</f>
        <v>5.8649999999999993</v>
      </c>
      <c r="G140" s="44"/>
      <c r="H140" s="184"/>
      <c r="I140" s="608"/>
      <c r="J140" s="184">
        <f t="shared" ref="J140:J143" si="34">F140*I140</f>
        <v>0</v>
      </c>
      <c r="K140" s="185"/>
      <c r="L140" s="184"/>
      <c r="M140" s="184">
        <f t="shared" si="33"/>
        <v>0</v>
      </c>
      <c r="O140" s="97"/>
      <c r="P140" s="98"/>
      <c r="Q140" s="102"/>
      <c r="R140" s="97"/>
      <c r="S140" s="98"/>
      <c r="T140" s="102"/>
      <c r="U140" s="97"/>
      <c r="V140" s="98"/>
      <c r="W140" s="102"/>
      <c r="X140" s="99"/>
      <c r="Y140" s="102"/>
      <c r="Z140" s="102"/>
    </row>
    <row r="141" spans="1:26" s="100" customFormat="1">
      <c r="A141" s="44"/>
      <c r="B141" s="400"/>
      <c r="C141" s="399" t="s">
        <v>232</v>
      </c>
      <c r="D141" s="44" t="s">
        <v>11</v>
      </c>
      <c r="E141" s="44">
        <v>8.0000000000000004E-4</v>
      </c>
      <c r="F141" s="522">
        <f>F137*E141</f>
        <v>4.692E-3</v>
      </c>
      <c r="G141" s="44"/>
      <c r="H141" s="184"/>
      <c r="I141" s="608"/>
      <c r="J141" s="184">
        <f t="shared" si="34"/>
        <v>0</v>
      </c>
      <c r="K141" s="185"/>
      <c r="L141" s="184"/>
      <c r="M141" s="184">
        <f t="shared" si="33"/>
        <v>0</v>
      </c>
      <c r="O141" s="97"/>
      <c r="P141" s="98"/>
      <c r="Q141" s="102"/>
      <c r="R141" s="97"/>
      <c r="S141" s="98"/>
      <c r="T141" s="102"/>
      <c r="U141" s="97"/>
      <c r="V141" s="98"/>
      <c r="W141" s="102"/>
      <c r="X141" s="99"/>
      <c r="Y141" s="102"/>
      <c r="Z141" s="102"/>
    </row>
    <row r="142" spans="1:26" s="100" customFormat="1">
      <c r="A142" s="44"/>
      <c r="B142" s="401"/>
      <c r="C142" s="399" t="s">
        <v>76</v>
      </c>
      <c r="D142" s="44" t="s">
        <v>77</v>
      </c>
      <c r="E142" s="44"/>
      <c r="F142" s="522">
        <v>5</v>
      </c>
      <c r="G142" s="44"/>
      <c r="H142" s="184"/>
      <c r="I142" s="608"/>
      <c r="J142" s="184">
        <f t="shared" si="34"/>
        <v>0</v>
      </c>
      <c r="K142" s="185"/>
      <c r="L142" s="184"/>
      <c r="M142" s="184">
        <f t="shared" si="33"/>
        <v>0</v>
      </c>
      <c r="O142" s="97"/>
      <c r="P142" s="98"/>
      <c r="Q142" s="102"/>
      <c r="R142" s="97"/>
      <c r="S142" s="98"/>
      <c r="T142" s="102"/>
      <c r="U142" s="97"/>
      <c r="V142" s="98"/>
      <c r="W142" s="102"/>
      <c r="X142" s="99"/>
      <c r="Y142" s="102"/>
      <c r="Z142" s="102"/>
    </row>
    <row r="143" spans="1:26" s="100" customFormat="1" ht="17.25" customHeight="1">
      <c r="A143" s="191"/>
      <c r="B143" s="402"/>
      <c r="C143" s="403" t="s">
        <v>66</v>
      </c>
      <c r="D143" s="191" t="s">
        <v>16</v>
      </c>
      <c r="E143" s="191">
        <v>2.06E-2</v>
      </c>
      <c r="F143" s="523">
        <f>F137*E143</f>
        <v>0.12081899999999998</v>
      </c>
      <c r="G143" s="191"/>
      <c r="H143" s="192"/>
      <c r="I143" s="576"/>
      <c r="J143" s="192">
        <f t="shared" si="34"/>
        <v>0</v>
      </c>
      <c r="K143" s="193"/>
      <c r="L143" s="192"/>
      <c r="M143" s="192">
        <f t="shared" si="33"/>
        <v>0</v>
      </c>
      <c r="O143" s="97"/>
      <c r="P143" s="98"/>
      <c r="Q143" s="102"/>
      <c r="R143" s="97"/>
      <c r="S143" s="98"/>
      <c r="T143" s="102"/>
      <c r="U143" s="97"/>
      <c r="V143" s="98"/>
      <c r="W143" s="102"/>
      <c r="X143" s="99"/>
      <c r="Y143" s="102"/>
      <c r="Z143" s="102"/>
    </row>
    <row r="144" spans="1:26" s="100" customFormat="1" ht="28.5" customHeight="1">
      <c r="A144" s="393">
        <v>27</v>
      </c>
      <c r="B144" s="394" t="s">
        <v>78</v>
      </c>
      <c r="C144" s="404" t="s">
        <v>79</v>
      </c>
      <c r="D144" s="393" t="s">
        <v>20</v>
      </c>
      <c r="E144" s="393"/>
      <c r="F144" s="521">
        <f>F137</f>
        <v>5.8649999999999993</v>
      </c>
      <c r="G144" s="393"/>
      <c r="H144" s="209"/>
      <c r="I144" s="397"/>
      <c r="J144" s="209"/>
      <c r="K144" s="397"/>
      <c r="L144" s="209"/>
      <c r="M144" s="209"/>
      <c r="O144" s="97"/>
      <c r="P144" s="101"/>
      <c r="Q144" s="102"/>
      <c r="R144" s="97"/>
      <c r="S144" s="98"/>
      <c r="T144" s="102"/>
      <c r="U144" s="97"/>
      <c r="V144" s="98"/>
      <c r="W144" s="102"/>
      <c r="X144" s="99"/>
      <c r="Y144" s="102"/>
      <c r="Z144" s="102"/>
    </row>
    <row r="145" spans="1:26" s="100" customFormat="1" ht="15.75" customHeight="1">
      <c r="A145" s="44"/>
      <c r="B145" s="44"/>
      <c r="C145" s="399" t="s">
        <v>63</v>
      </c>
      <c r="D145" s="44" t="s">
        <v>20</v>
      </c>
      <c r="E145" s="44">
        <v>1</v>
      </c>
      <c r="F145" s="522">
        <f>F144*E145</f>
        <v>5.8649999999999993</v>
      </c>
      <c r="G145" s="574"/>
      <c r="H145" s="184">
        <f>F145*G145</f>
        <v>0</v>
      </c>
      <c r="I145" s="185"/>
      <c r="J145" s="184"/>
      <c r="K145" s="185"/>
      <c r="L145" s="184"/>
      <c r="M145" s="184">
        <f>H145+J145+L145</f>
        <v>0</v>
      </c>
      <c r="O145" s="97"/>
      <c r="P145" s="98"/>
      <c r="Q145" s="102"/>
      <c r="R145" s="97"/>
      <c r="S145" s="98"/>
      <c r="T145" s="102"/>
      <c r="U145" s="97"/>
      <c r="V145" s="98"/>
      <c r="W145" s="102"/>
      <c r="X145" s="99"/>
      <c r="Y145" s="102"/>
      <c r="Z145" s="102"/>
    </row>
    <row r="146" spans="1:26" s="100" customFormat="1">
      <c r="A146" s="44"/>
      <c r="B146" s="213"/>
      <c r="C146" s="399" t="s">
        <v>233</v>
      </c>
      <c r="D146" s="44" t="s">
        <v>23</v>
      </c>
      <c r="E146" s="44">
        <v>0.22</v>
      </c>
      <c r="F146" s="522">
        <f>F144*E146</f>
        <v>1.2902999999999998</v>
      </c>
      <c r="G146" s="44"/>
      <c r="H146" s="184"/>
      <c r="I146" s="608"/>
      <c r="J146" s="184">
        <f t="shared" ref="J146:J147" si="35">F146*I146</f>
        <v>0</v>
      </c>
      <c r="K146" s="185"/>
      <c r="L146" s="184"/>
      <c r="M146" s="184">
        <f>H146+J146+L146</f>
        <v>0</v>
      </c>
      <c r="O146" s="97"/>
      <c r="P146" s="98"/>
      <c r="Q146" s="102"/>
      <c r="R146" s="97"/>
      <c r="S146" s="98"/>
      <c r="T146" s="102"/>
      <c r="U146" s="97"/>
      <c r="V146" s="98"/>
      <c r="W146" s="102"/>
      <c r="X146" s="99"/>
      <c r="Y146" s="102"/>
      <c r="Z146" s="102"/>
    </row>
    <row r="147" spans="1:26" s="100" customFormat="1">
      <c r="A147" s="191"/>
      <c r="B147" s="402"/>
      <c r="C147" s="403" t="s">
        <v>66</v>
      </c>
      <c r="D147" s="191" t="s">
        <v>16</v>
      </c>
      <c r="E147" s="191">
        <v>1.1999999999999999E-3</v>
      </c>
      <c r="F147" s="523">
        <f>F144*E147</f>
        <v>7.0379999999999983E-3</v>
      </c>
      <c r="G147" s="191"/>
      <c r="H147" s="192"/>
      <c r="I147" s="576"/>
      <c r="J147" s="192">
        <f t="shared" si="35"/>
        <v>0</v>
      </c>
      <c r="K147" s="193"/>
      <c r="L147" s="192"/>
      <c r="M147" s="192">
        <f>H147+J147+L147</f>
        <v>0</v>
      </c>
      <c r="O147" s="97"/>
      <c r="P147" s="98"/>
      <c r="Q147" s="102"/>
      <c r="R147" s="97"/>
      <c r="S147" s="98"/>
      <c r="T147" s="102"/>
      <c r="U147" s="97"/>
      <c r="V147" s="98"/>
      <c r="W147" s="102"/>
      <c r="X147" s="99"/>
      <c r="Y147" s="102"/>
      <c r="Z147" s="102"/>
    </row>
    <row r="148" spans="1:26" customFormat="1" ht="42" customHeight="1">
      <c r="A148" s="405">
        <v>28</v>
      </c>
      <c r="B148" s="298" t="s">
        <v>234</v>
      </c>
      <c r="C148" s="406" t="s">
        <v>235</v>
      </c>
      <c r="D148" s="407" t="s">
        <v>179</v>
      </c>
      <c r="E148" s="408"/>
      <c r="F148" s="409">
        <f>F82+F71+F103</f>
        <v>249</v>
      </c>
      <c r="G148" s="405"/>
      <c r="H148" s="405"/>
      <c r="I148" s="405"/>
      <c r="J148" s="405"/>
      <c r="K148" s="405"/>
      <c r="L148" s="410"/>
      <c r="M148" s="410"/>
      <c r="N148" s="411"/>
    </row>
    <row r="149" spans="1:26" customFormat="1" ht="15">
      <c r="A149" s="412"/>
      <c r="B149" s="412"/>
      <c r="C149" s="413" t="s">
        <v>236</v>
      </c>
      <c r="D149" s="412" t="s">
        <v>227</v>
      </c>
      <c r="E149" s="414">
        <f>0.817*1.2</f>
        <v>0.98039999999999994</v>
      </c>
      <c r="F149" s="415">
        <f>E149*F148</f>
        <v>244.11959999999999</v>
      </c>
      <c r="G149" s="609"/>
      <c r="H149" s="416">
        <f>F149*G149</f>
        <v>0</v>
      </c>
      <c r="I149" s="385"/>
      <c r="J149" s="384"/>
      <c r="K149" s="385"/>
      <c r="L149" s="384"/>
      <c r="M149" s="416">
        <f t="shared" ref="M149:M153" si="36">H149+J149+L149</f>
        <v>0</v>
      </c>
      <c r="N149" s="411"/>
    </row>
    <row r="150" spans="1:26" customFormat="1" ht="15">
      <c r="A150" s="412"/>
      <c r="B150" s="412"/>
      <c r="C150" s="413" t="s">
        <v>237</v>
      </c>
      <c r="D150" s="412" t="s">
        <v>177</v>
      </c>
      <c r="E150" s="417">
        <f>0.0069*1.2</f>
        <v>8.2799999999999992E-3</v>
      </c>
      <c r="F150" s="418">
        <f>E150*F148</f>
        <v>2.0617199999999998</v>
      </c>
      <c r="G150" s="388"/>
      <c r="H150" s="384"/>
      <c r="I150" s="385"/>
      <c r="J150" s="384"/>
      <c r="K150" s="607"/>
      <c r="L150" s="384">
        <f>F150*K150</f>
        <v>0</v>
      </c>
      <c r="M150" s="384">
        <f t="shared" si="36"/>
        <v>0</v>
      </c>
      <c r="N150" s="411"/>
    </row>
    <row r="151" spans="1:26" customFormat="1" ht="15">
      <c r="A151" s="412"/>
      <c r="B151" s="412"/>
      <c r="C151" s="413" t="s">
        <v>238</v>
      </c>
      <c r="D151" s="412" t="s">
        <v>181</v>
      </c>
      <c r="E151" s="417">
        <v>9.0999999999999998E-2</v>
      </c>
      <c r="F151" s="414">
        <f>E151*F148</f>
        <v>22.658999999999999</v>
      </c>
      <c r="G151" s="388"/>
      <c r="H151" s="384"/>
      <c r="I151" s="609"/>
      <c r="J151" s="415">
        <f>F151*I151</f>
        <v>0</v>
      </c>
      <c r="K151" s="385"/>
      <c r="L151" s="384"/>
      <c r="M151" s="416">
        <f t="shared" si="36"/>
        <v>0</v>
      </c>
      <c r="N151" s="411"/>
    </row>
    <row r="152" spans="1:26" customFormat="1" ht="15">
      <c r="A152" s="412"/>
      <c r="B152" s="412"/>
      <c r="C152" s="413" t="s">
        <v>239</v>
      </c>
      <c r="D152" s="412" t="s">
        <v>181</v>
      </c>
      <c r="E152" s="418">
        <f>0.25+0.008</f>
        <v>0.25800000000000001</v>
      </c>
      <c r="F152" s="418">
        <f>E152*F148</f>
        <v>64.242000000000004</v>
      </c>
      <c r="G152" s="388"/>
      <c r="H152" s="384"/>
      <c r="I152" s="610"/>
      <c r="J152" s="415">
        <f>F152*I152</f>
        <v>0</v>
      </c>
      <c r="K152" s="419"/>
      <c r="L152" s="414"/>
      <c r="M152" s="416">
        <f t="shared" si="36"/>
        <v>0</v>
      </c>
      <c r="N152" s="411"/>
    </row>
    <row r="153" spans="1:26" s="380" customFormat="1" ht="15.75" customHeight="1">
      <c r="A153" s="420"/>
      <c r="B153" s="421"/>
      <c r="C153" s="422" t="s">
        <v>240</v>
      </c>
      <c r="D153" s="423" t="s">
        <v>177</v>
      </c>
      <c r="E153" s="424">
        <v>7.0000000000000001E-3</v>
      </c>
      <c r="F153" s="425">
        <f>E153*F148</f>
        <v>1.7430000000000001</v>
      </c>
      <c r="G153" s="421"/>
      <c r="H153" s="425"/>
      <c r="I153" s="611"/>
      <c r="J153" s="427">
        <f>F153*I153</f>
        <v>0</v>
      </c>
      <c r="K153" s="426"/>
      <c r="L153" s="428"/>
      <c r="M153" s="428">
        <f t="shared" si="36"/>
        <v>0</v>
      </c>
      <c r="N153" s="429"/>
    </row>
    <row r="154" spans="1:26" s="24" customFormat="1" ht="16.5" customHeight="1">
      <c r="A154" s="5">
        <v>29</v>
      </c>
      <c r="B154" s="12"/>
      <c r="C154" s="7" t="s">
        <v>128</v>
      </c>
      <c r="D154" s="13">
        <v>1</v>
      </c>
      <c r="E154" s="9"/>
      <c r="F154" s="538"/>
      <c r="G154" s="12"/>
      <c r="H154" s="9">
        <f>SUM(H9:H153)</f>
        <v>0</v>
      </c>
      <c r="I154" s="8"/>
      <c r="J154" s="9">
        <f>SUM(J9:J153)</f>
        <v>0</v>
      </c>
      <c r="K154" s="12"/>
      <c r="L154" s="9">
        <f>SUM(L9:L153)</f>
        <v>0</v>
      </c>
      <c r="M154" s="9">
        <f>SUM(M9:M153)</f>
        <v>0</v>
      </c>
      <c r="O154" s="432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</row>
    <row r="155" spans="1:26" s="22" customFormat="1" ht="15" customHeight="1">
      <c r="A155" s="14">
        <v>30</v>
      </c>
      <c r="B155" s="15"/>
      <c r="C155" s="16" t="s">
        <v>104</v>
      </c>
      <c r="D155" s="19">
        <v>0.03</v>
      </c>
      <c r="E155" s="17"/>
      <c r="F155" s="539"/>
      <c r="G155" s="6"/>
      <c r="H155" s="15"/>
      <c r="I155" s="157"/>
      <c r="J155" s="15"/>
      <c r="K155" s="15"/>
      <c r="L155" s="15"/>
      <c r="M155" s="331">
        <f>J154*0.03</f>
        <v>0</v>
      </c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</row>
    <row r="156" spans="1:26" s="24" customFormat="1" ht="15" customHeight="1">
      <c r="A156" s="5">
        <v>31</v>
      </c>
      <c r="B156" s="12"/>
      <c r="C156" s="7" t="s">
        <v>8</v>
      </c>
      <c r="D156" s="13"/>
      <c r="E156" s="9"/>
      <c r="F156" s="538"/>
      <c r="G156" s="12"/>
      <c r="H156" s="18"/>
      <c r="I156" s="8"/>
      <c r="J156" s="12"/>
      <c r="K156" s="12"/>
      <c r="L156" s="12"/>
      <c r="M156" s="430">
        <f>SUM(M154:M155)</f>
        <v>0</v>
      </c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</row>
    <row r="157" spans="1:26" s="22" customFormat="1" ht="15" customHeight="1">
      <c r="A157" s="14">
        <v>32</v>
      </c>
      <c r="B157" s="6"/>
      <c r="C157" s="11" t="s">
        <v>102</v>
      </c>
      <c r="D157" s="19">
        <v>0.1</v>
      </c>
      <c r="E157" s="19"/>
      <c r="F157" s="540"/>
      <c r="G157" s="6"/>
      <c r="H157" s="20"/>
      <c r="I157" s="106"/>
      <c r="J157" s="6"/>
      <c r="K157" s="6"/>
      <c r="L157" s="6"/>
      <c r="M157" s="431">
        <f>M156*D157</f>
        <v>0</v>
      </c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</row>
    <row r="158" spans="1:26" s="24" customFormat="1" ht="15" customHeight="1">
      <c r="A158" s="5">
        <v>33</v>
      </c>
      <c r="B158" s="12"/>
      <c r="C158" s="7" t="s">
        <v>8</v>
      </c>
      <c r="D158" s="10"/>
      <c r="E158" s="10"/>
      <c r="F158" s="538"/>
      <c r="G158" s="12"/>
      <c r="H158" s="18"/>
      <c r="I158" s="8"/>
      <c r="J158" s="12"/>
      <c r="K158" s="12"/>
      <c r="L158" s="12"/>
      <c r="M158" s="430">
        <f>SUM(M156:M157)</f>
        <v>0</v>
      </c>
    </row>
    <row r="159" spans="1:26" s="22" customFormat="1" ht="15" customHeight="1">
      <c r="A159" s="14">
        <v>34</v>
      </c>
      <c r="B159" s="6"/>
      <c r="C159" s="11" t="s">
        <v>103</v>
      </c>
      <c r="D159" s="19">
        <v>0.08</v>
      </c>
      <c r="E159" s="19"/>
      <c r="F159" s="540"/>
      <c r="G159" s="6"/>
      <c r="H159" s="20"/>
      <c r="I159" s="106"/>
      <c r="J159" s="6"/>
      <c r="K159" s="6"/>
      <c r="L159" s="6"/>
      <c r="M159" s="431">
        <f>M158*D159</f>
        <v>0</v>
      </c>
    </row>
    <row r="160" spans="1:26" s="24" customFormat="1" ht="15" customHeight="1">
      <c r="A160" s="5">
        <v>35</v>
      </c>
      <c r="B160" s="12"/>
      <c r="C160" s="7" t="s">
        <v>10</v>
      </c>
      <c r="D160" s="13"/>
      <c r="E160" s="9"/>
      <c r="F160" s="538"/>
      <c r="G160" s="12"/>
      <c r="H160" s="18"/>
      <c r="I160" s="8"/>
      <c r="J160" s="12"/>
      <c r="K160" s="12"/>
      <c r="L160" s="12"/>
      <c r="M160" s="430">
        <f>SUM(M158:M159)</f>
        <v>0</v>
      </c>
    </row>
    <row r="161" spans="1:9" s="22" customFormat="1">
      <c r="A161" s="21"/>
      <c r="C161" s="23"/>
      <c r="D161" s="24"/>
      <c r="E161" s="24"/>
      <c r="F161" s="541"/>
      <c r="G161" s="30"/>
      <c r="I161" s="158"/>
    </row>
    <row r="162" spans="1:9" s="138" customFormat="1" ht="17.25" customHeight="1">
      <c r="A162" s="146"/>
      <c r="B162" s="146"/>
      <c r="C162" s="148"/>
      <c r="D162" s="146"/>
      <c r="E162" s="553"/>
      <c r="F162" s="553"/>
      <c r="G162" s="553"/>
      <c r="H162" s="146"/>
    </row>
  </sheetData>
  <mergeCells count="15">
    <mergeCell ref="A5:F5"/>
    <mergeCell ref="I5:M5"/>
    <mergeCell ref="A4:E4"/>
    <mergeCell ref="A2:M2"/>
    <mergeCell ref="A3:M3"/>
    <mergeCell ref="A6:A7"/>
    <mergeCell ref="B6:B7"/>
    <mergeCell ref="C6:C7"/>
    <mergeCell ref="D6:D7"/>
    <mergeCell ref="E6:F6"/>
    <mergeCell ref="E162:G162"/>
    <mergeCell ref="G6:H6"/>
    <mergeCell ref="I6:J6"/>
    <mergeCell ref="K6:L6"/>
    <mergeCell ref="M6:M7"/>
  </mergeCells>
  <pageMargins left="0.7" right="0.7" top="0.75" bottom="0.75" header="0.3" footer="0.3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V57"/>
  <sheetViews>
    <sheetView topLeftCell="A37" zoomScaleNormal="100" zoomScaleSheetLayoutView="115" workbookViewId="0">
      <selection activeCell="C56" sqref="C56"/>
    </sheetView>
  </sheetViews>
  <sheetFormatPr defaultColWidth="9.140625" defaultRowHeight="12.75"/>
  <cols>
    <col min="1" max="1" width="7" style="21" customWidth="1"/>
    <col min="2" max="2" width="10.85546875" style="38" customWidth="1"/>
    <col min="3" max="3" width="48.85546875" style="36" customWidth="1"/>
    <col min="4" max="4" width="7.7109375" style="109" customWidth="1"/>
    <col min="5" max="5" width="6.7109375" style="109" customWidth="1"/>
    <col min="6" max="6" width="7.5703125" style="38" customWidth="1"/>
    <col min="7" max="7" width="7" style="38" customWidth="1"/>
    <col min="8" max="8" width="7.5703125" style="38" customWidth="1"/>
    <col min="9" max="9" width="8.140625" style="38" customWidth="1"/>
    <col min="10" max="10" width="9" style="38" customWidth="1"/>
    <col min="11" max="11" width="7" style="38" customWidth="1"/>
    <col min="12" max="12" width="6.5703125" style="38" customWidth="1"/>
    <col min="13" max="13" width="10.5703125" style="38" customWidth="1"/>
    <col min="14" max="14" width="8.140625" style="38" customWidth="1"/>
    <col min="15" max="19" width="9.140625" style="38"/>
    <col min="20" max="20" width="16" style="38" customWidth="1"/>
    <col min="21" max="16384" width="9.140625" style="38"/>
  </cols>
  <sheetData>
    <row r="1" spans="1:26" s="34" customFormat="1" ht="14.25">
      <c r="A1" s="31"/>
      <c r="B1" s="32"/>
      <c r="C1" s="33"/>
      <c r="D1" s="32"/>
      <c r="E1" s="32"/>
      <c r="G1" s="150"/>
      <c r="H1" s="35"/>
      <c r="I1" s="35"/>
      <c r="J1" s="35"/>
      <c r="K1" s="35"/>
      <c r="L1" s="568"/>
      <c r="M1" s="568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s="1" customFormat="1" ht="15">
      <c r="A2" s="2"/>
      <c r="B2" s="3"/>
      <c r="C2" s="3"/>
      <c r="D2" s="3"/>
      <c r="E2" s="3"/>
      <c r="F2" s="3"/>
      <c r="G2" s="151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s="1" customFormat="1" ht="15">
      <c r="A3" s="567" t="s">
        <v>133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s="1" customFormat="1" ht="15">
      <c r="A4" s="567" t="s">
        <v>132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5">
      <c r="A5" s="566"/>
      <c r="B5" s="566"/>
      <c r="C5" s="566"/>
      <c r="D5" s="566"/>
      <c r="E5" s="566"/>
      <c r="F5" s="36"/>
      <c r="G5" s="37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s="65" customFormat="1" ht="29.25" customHeight="1">
      <c r="A6" s="558" t="s">
        <v>0</v>
      </c>
      <c r="B6" s="560" t="s">
        <v>1</v>
      </c>
      <c r="C6" s="560" t="s">
        <v>2</v>
      </c>
      <c r="D6" s="560" t="s">
        <v>3</v>
      </c>
      <c r="E6" s="562" t="s">
        <v>4</v>
      </c>
      <c r="F6" s="563"/>
      <c r="G6" s="554" t="s">
        <v>5</v>
      </c>
      <c r="H6" s="555"/>
      <c r="I6" s="554" t="s">
        <v>6</v>
      </c>
      <c r="J6" s="555"/>
      <c r="K6" s="554" t="s">
        <v>7</v>
      </c>
      <c r="L6" s="555"/>
      <c r="M6" s="556" t="s">
        <v>8</v>
      </c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:26" s="65" customFormat="1" ht="23.25" customHeight="1">
      <c r="A7" s="559"/>
      <c r="B7" s="561"/>
      <c r="C7" s="561"/>
      <c r="D7" s="561"/>
      <c r="E7" s="39" t="s">
        <v>9</v>
      </c>
      <c r="F7" s="39" t="s">
        <v>10</v>
      </c>
      <c r="G7" s="40" t="s">
        <v>9</v>
      </c>
      <c r="H7" s="40" t="s">
        <v>10</v>
      </c>
      <c r="I7" s="40" t="s">
        <v>9</v>
      </c>
      <c r="J7" s="40" t="s">
        <v>10</v>
      </c>
      <c r="K7" s="40" t="s">
        <v>9</v>
      </c>
      <c r="L7" s="40" t="s">
        <v>10</v>
      </c>
      <c r="M7" s="557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s="67" customFormat="1" ht="17.25" customHeight="1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2">
        <v>13</v>
      </c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</row>
    <row r="9" spans="1:26" s="115" customFormat="1" ht="21.75" customHeight="1">
      <c r="A9" s="393">
        <v>1</v>
      </c>
      <c r="B9" s="396" t="s">
        <v>96</v>
      </c>
      <c r="C9" s="404" t="s">
        <v>97</v>
      </c>
      <c r="D9" s="396" t="s">
        <v>33</v>
      </c>
      <c r="E9" s="396"/>
      <c r="F9" s="287">
        <v>1</v>
      </c>
      <c r="G9" s="208"/>
      <c r="H9" s="208"/>
      <c r="I9" s="208"/>
      <c r="J9" s="208"/>
      <c r="K9" s="208"/>
      <c r="L9" s="208"/>
      <c r="M9" s="209"/>
      <c r="O9" s="116"/>
    </row>
    <row r="10" spans="1:26" s="117" customFormat="1">
      <c r="A10" s="44"/>
      <c r="B10" s="436"/>
      <c r="C10" s="437" t="s">
        <v>241</v>
      </c>
      <c r="D10" s="44" t="s">
        <v>64</v>
      </c>
      <c r="E10" s="442">
        <f>3.37*1.12</f>
        <v>3.7744000000000004</v>
      </c>
      <c r="F10" s="44">
        <f>E10*F9</f>
        <v>3.7744000000000004</v>
      </c>
      <c r="G10" s="569"/>
      <c r="H10" s="184">
        <f>F10*G10</f>
        <v>0</v>
      </c>
      <c r="I10" s="184"/>
      <c r="J10" s="184"/>
      <c r="K10" s="184"/>
      <c r="L10" s="184"/>
      <c r="M10" s="184">
        <f t="shared" ref="M10:M16" si="0">H10+J10+L10</f>
        <v>0</v>
      </c>
      <c r="O10" s="104"/>
    </row>
    <row r="11" spans="1:26" s="117" customFormat="1">
      <c r="A11" s="44"/>
      <c r="B11" s="44"/>
      <c r="C11" s="437" t="s">
        <v>242</v>
      </c>
      <c r="D11" s="44" t="s">
        <v>16</v>
      </c>
      <c r="E11" s="44">
        <f>0.095*1.2</f>
        <v>0.11399999999999999</v>
      </c>
      <c r="F11" s="44">
        <f>E11*F9</f>
        <v>0.11399999999999999</v>
      </c>
      <c r="G11" s="184"/>
      <c r="H11" s="184"/>
      <c r="I11" s="184"/>
      <c r="J11" s="184"/>
      <c r="K11" s="569"/>
      <c r="L11" s="184">
        <f>K11*F11</f>
        <v>0</v>
      </c>
      <c r="M11" s="184">
        <f t="shared" si="0"/>
        <v>0</v>
      </c>
      <c r="O11" s="104"/>
    </row>
    <row r="12" spans="1:26" s="83" customFormat="1">
      <c r="A12" s="210"/>
      <c r="B12" s="213"/>
      <c r="C12" s="218" t="s">
        <v>99</v>
      </c>
      <c r="D12" s="213" t="s">
        <v>33</v>
      </c>
      <c r="E12" s="438"/>
      <c r="F12" s="439">
        <v>1</v>
      </c>
      <c r="G12" s="216"/>
      <c r="H12" s="216"/>
      <c r="I12" s="570"/>
      <c r="J12" s="215">
        <f t="shared" ref="J12:J16" si="1">F12*I12</f>
        <v>0</v>
      </c>
      <c r="K12" s="216"/>
      <c r="L12" s="216"/>
      <c r="M12" s="219">
        <f t="shared" si="0"/>
        <v>0</v>
      </c>
      <c r="N12" s="215"/>
    </row>
    <row r="13" spans="1:26" s="117" customFormat="1">
      <c r="A13" s="44"/>
      <c r="B13" s="213"/>
      <c r="C13" s="437" t="s">
        <v>98</v>
      </c>
      <c r="D13" s="44" t="s">
        <v>33</v>
      </c>
      <c r="E13" s="44"/>
      <c r="F13" s="44">
        <v>1</v>
      </c>
      <c r="G13" s="184"/>
      <c r="H13" s="184"/>
      <c r="I13" s="571"/>
      <c r="J13" s="219">
        <f t="shared" si="1"/>
        <v>0</v>
      </c>
      <c r="K13" s="184"/>
      <c r="L13" s="184"/>
      <c r="M13" s="184">
        <f t="shared" si="0"/>
        <v>0</v>
      </c>
      <c r="N13" s="219"/>
      <c r="O13" s="104"/>
    </row>
    <row r="14" spans="1:26" s="115" customFormat="1">
      <c r="A14" s="440"/>
      <c r="B14" s="213"/>
      <c r="C14" s="437" t="s">
        <v>100</v>
      </c>
      <c r="D14" s="44" t="s">
        <v>33</v>
      </c>
      <c r="E14" s="44"/>
      <c r="F14" s="185">
        <v>2</v>
      </c>
      <c r="G14" s="184"/>
      <c r="H14" s="184"/>
      <c r="I14" s="571"/>
      <c r="J14" s="219">
        <f t="shared" si="1"/>
        <v>0</v>
      </c>
      <c r="K14" s="184"/>
      <c r="L14" s="184"/>
      <c r="M14" s="184">
        <f t="shared" si="0"/>
        <v>0</v>
      </c>
      <c r="N14" s="219"/>
      <c r="O14" s="116"/>
    </row>
    <row r="15" spans="1:26" s="117" customFormat="1">
      <c r="A15" s="44"/>
      <c r="B15" s="213"/>
      <c r="C15" s="437" t="s">
        <v>101</v>
      </c>
      <c r="D15" s="44" t="s">
        <v>33</v>
      </c>
      <c r="E15" s="44"/>
      <c r="F15" s="44">
        <v>1</v>
      </c>
      <c r="G15" s="184"/>
      <c r="H15" s="184"/>
      <c r="I15" s="571"/>
      <c r="J15" s="219">
        <f t="shared" si="1"/>
        <v>0</v>
      </c>
      <c r="K15" s="184"/>
      <c r="L15" s="184"/>
      <c r="M15" s="184">
        <f t="shared" si="0"/>
        <v>0</v>
      </c>
      <c r="N15" s="219"/>
      <c r="O15" s="104"/>
    </row>
    <row r="16" spans="1:26" s="117" customFormat="1">
      <c r="A16" s="191"/>
      <c r="B16" s="176"/>
      <c r="C16" s="441" t="s">
        <v>66</v>
      </c>
      <c r="D16" s="191" t="s">
        <v>16</v>
      </c>
      <c r="E16" s="191">
        <v>0.98499999999999999</v>
      </c>
      <c r="F16" s="191">
        <f>E16*F9</f>
        <v>0.98499999999999999</v>
      </c>
      <c r="G16" s="192"/>
      <c r="H16" s="192"/>
      <c r="I16" s="572"/>
      <c r="J16" s="230">
        <f t="shared" si="1"/>
        <v>0</v>
      </c>
      <c r="K16" s="192"/>
      <c r="L16" s="192"/>
      <c r="M16" s="192">
        <f t="shared" si="0"/>
        <v>0</v>
      </c>
      <c r="O16" s="104"/>
    </row>
    <row r="17" spans="1:74" s="110" customFormat="1">
      <c r="A17" s="457">
        <v>2</v>
      </c>
      <c r="B17" s="443" t="s">
        <v>93</v>
      </c>
      <c r="C17" s="171" t="s">
        <v>94</v>
      </c>
      <c r="D17" s="443" t="s">
        <v>33</v>
      </c>
      <c r="E17" s="443"/>
      <c r="F17" s="444">
        <v>12</v>
      </c>
      <c r="G17" s="443"/>
      <c r="H17" s="445"/>
      <c r="I17" s="446"/>
      <c r="J17" s="445"/>
      <c r="K17" s="446"/>
      <c r="L17" s="445"/>
      <c r="M17" s="445"/>
      <c r="O17" s="105"/>
    </row>
    <row r="18" spans="1:74" s="118" customFormat="1">
      <c r="A18" s="44"/>
      <c r="B18" s="213"/>
      <c r="C18" s="399" t="s">
        <v>243</v>
      </c>
      <c r="D18" s="44" t="s">
        <v>64</v>
      </c>
      <c r="E18" s="184">
        <f>1.54*1.2</f>
        <v>1.8479999999999999</v>
      </c>
      <c r="F18" s="44">
        <f>F17*E18</f>
        <v>22.175999999999998</v>
      </c>
      <c r="G18" s="569"/>
      <c r="H18" s="447">
        <f>F18*G18</f>
        <v>0</v>
      </c>
      <c r="I18" s="184"/>
      <c r="J18" s="184"/>
      <c r="K18" s="184"/>
      <c r="L18" s="184"/>
      <c r="M18" s="184">
        <f>H18+J18+L18</f>
        <v>0</v>
      </c>
      <c r="O18" s="119"/>
    </row>
    <row r="19" spans="1:74" s="118" customFormat="1">
      <c r="A19" s="44"/>
      <c r="B19" s="44"/>
      <c r="C19" s="399" t="s">
        <v>244</v>
      </c>
      <c r="D19" s="44" t="s">
        <v>16</v>
      </c>
      <c r="E19" s="44">
        <f>0.29*1.2</f>
        <v>0.34799999999999998</v>
      </c>
      <c r="F19" s="44">
        <f>F17*E19</f>
        <v>4.1760000000000002</v>
      </c>
      <c r="G19" s="44"/>
      <c r="H19" s="184"/>
      <c r="I19" s="184"/>
      <c r="J19" s="184"/>
      <c r="K19" s="569"/>
      <c r="L19" s="184">
        <f>F19*K19</f>
        <v>0</v>
      </c>
      <c r="M19" s="184">
        <f t="shared" ref="M19:M21" si="2">H19+J19+L19</f>
        <v>0</v>
      </c>
      <c r="O19" s="119"/>
    </row>
    <row r="20" spans="1:74" s="118" customFormat="1">
      <c r="A20" s="44"/>
      <c r="B20" s="213"/>
      <c r="C20" s="437" t="s">
        <v>95</v>
      </c>
      <c r="D20" s="44" t="s">
        <v>33</v>
      </c>
      <c r="E20" s="44">
        <v>1</v>
      </c>
      <c r="F20" s="44">
        <f>F17*E20</f>
        <v>12</v>
      </c>
      <c r="G20" s="184"/>
      <c r="H20" s="184"/>
      <c r="I20" s="569"/>
      <c r="J20" s="184">
        <f t="shared" ref="J20:J21" si="3">F20*I20</f>
        <v>0</v>
      </c>
      <c r="K20" s="184"/>
      <c r="L20" s="184"/>
      <c r="M20" s="184">
        <f t="shared" si="2"/>
        <v>0</v>
      </c>
      <c r="O20" s="119"/>
    </row>
    <row r="21" spans="1:74" s="118" customFormat="1">
      <c r="A21" s="191"/>
      <c r="B21" s="191"/>
      <c r="C21" s="403" t="s">
        <v>66</v>
      </c>
      <c r="D21" s="191" t="s">
        <v>16</v>
      </c>
      <c r="E21" s="191">
        <v>0.57999999999999996</v>
      </c>
      <c r="F21" s="191">
        <f>F17*E21</f>
        <v>6.9599999999999991</v>
      </c>
      <c r="G21" s="192"/>
      <c r="H21" s="192"/>
      <c r="I21" s="573"/>
      <c r="J21" s="192">
        <f t="shared" si="3"/>
        <v>0</v>
      </c>
      <c r="K21" s="192"/>
      <c r="L21" s="192"/>
      <c r="M21" s="192">
        <f t="shared" si="2"/>
        <v>0</v>
      </c>
      <c r="O21" s="119"/>
    </row>
    <row r="22" spans="1:74" s="100" customFormat="1" ht="20.25" customHeight="1">
      <c r="A22" s="393">
        <v>3</v>
      </c>
      <c r="B22" s="448" t="s">
        <v>70</v>
      </c>
      <c r="C22" s="203" t="s">
        <v>81</v>
      </c>
      <c r="D22" s="443" t="s">
        <v>33</v>
      </c>
      <c r="E22" s="443"/>
      <c r="F22" s="443">
        <v>4</v>
      </c>
      <c r="G22" s="393"/>
      <c r="H22" s="209"/>
      <c r="I22" s="397"/>
      <c r="J22" s="209"/>
      <c r="K22" s="397"/>
      <c r="L22" s="209"/>
      <c r="M22" s="209"/>
      <c r="N22" s="120"/>
      <c r="O22" s="107"/>
      <c r="P22" s="107"/>
      <c r="Q22" s="121"/>
      <c r="R22" s="107"/>
      <c r="S22" s="107"/>
      <c r="T22" s="102"/>
      <c r="U22" s="107"/>
      <c r="V22" s="107"/>
      <c r="W22" s="102"/>
      <c r="X22" s="99"/>
      <c r="Y22" s="102"/>
      <c r="Z22" s="102"/>
    </row>
    <row r="23" spans="1:74" s="100" customFormat="1" ht="17.25" customHeight="1">
      <c r="A23" s="44"/>
      <c r="B23" s="436"/>
      <c r="C23" s="399" t="s">
        <v>245</v>
      </c>
      <c r="D23" s="44" t="s">
        <v>33</v>
      </c>
      <c r="E23" s="44">
        <f>1.35*1.2</f>
        <v>1.62</v>
      </c>
      <c r="F23" s="449">
        <f>F22*E23</f>
        <v>6.48</v>
      </c>
      <c r="G23" s="574"/>
      <c r="H23" s="184">
        <f>F23*G23</f>
        <v>0</v>
      </c>
      <c r="I23" s="254"/>
      <c r="J23" s="184"/>
      <c r="K23" s="185"/>
      <c r="L23" s="184"/>
      <c r="M23" s="184">
        <f>H23+J23+L23</f>
        <v>0</v>
      </c>
      <c r="N23" s="121"/>
      <c r="O23" s="97"/>
      <c r="P23" s="107"/>
      <c r="Q23" s="121"/>
      <c r="R23" s="97"/>
      <c r="S23" s="107"/>
      <c r="T23" s="102"/>
      <c r="U23" s="97"/>
      <c r="V23" s="107"/>
      <c r="W23" s="102"/>
      <c r="X23" s="99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</row>
    <row r="24" spans="1:74" s="123" customFormat="1" ht="13.5" customHeight="1">
      <c r="A24" s="44"/>
      <c r="B24" s="44"/>
      <c r="C24" s="399" t="s">
        <v>246</v>
      </c>
      <c r="D24" s="44" t="s">
        <v>16</v>
      </c>
      <c r="E24" s="184">
        <f>3.1/100*1.2</f>
        <v>3.7199999999999997E-2</v>
      </c>
      <c r="F24" s="449">
        <f>F22*E24</f>
        <v>0.14879999999999999</v>
      </c>
      <c r="G24" s="44"/>
      <c r="H24" s="184"/>
      <c r="I24" s="185"/>
      <c r="J24" s="184"/>
      <c r="K24" s="574"/>
      <c r="L24" s="184">
        <f>F24*K24</f>
        <v>0</v>
      </c>
      <c r="M24" s="184">
        <f>H24+J24+L24</f>
        <v>0</v>
      </c>
      <c r="N24" s="120"/>
      <c r="O24" s="97"/>
      <c r="P24" s="107"/>
      <c r="Q24" s="121"/>
      <c r="R24" s="97"/>
      <c r="S24" s="107"/>
      <c r="T24" s="122"/>
      <c r="U24" s="97"/>
      <c r="V24" s="107"/>
      <c r="W24" s="122"/>
      <c r="X24" s="99"/>
      <c r="Y24" s="122"/>
      <c r="Z24" s="122"/>
    </row>
    <row r="25" spans="1:74" s="103" customFormat="1">
      <c r="A25" s="449"/>
      <c r="B25" s="450"/>
      <c r="C25" s="218" t="s">
        <v>90</v>
      </c>
      <c r="D25" s="451" t="s">
        <v>33</v>
      </c>
      <c r="E25" s="452">
        <v>1</v>
      </c>
      <c r="F25" s="449">
        <f>F22*E25</f>
        <v>4</v>
      </c>
      <c r="G25" s="453"/>
      <c r="H25" s="219"/>
      <c r="I25" s="575"/>
      <c r="J25" s="219">
        <f t="shared" ref="J25:J26" si="4">F25*I25</f>
        <v>0</v>
      </c>
      <c r="K25" s="453"/>
      <c r="L25" s="219"/>
      <c r="M25" s="219">
        <f>H25+J25+L25</f>
        <v>0</v>
      </c>
      <c r="N25" s="124"/>
      <c r="O25" s="111"/>
      <c r="P25" s="107"/>
      <c r="Q25" s="124"/>
      <c r="R25" s="111"/>
      <c r="S25" s="107"/>
      <c r="T25" s="125"/>
      <c r="U25" s="111"/>
      <c r="V25" s="107"/>
      <c r="W25" s="125"/>
      <c r="X25" s="99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</row>
    <row r="26" spans="1:74" s="100" customFormat="1">
      <c r="A26" s="191"/>
      <c r="B26" s="454"/>
      <c r="C26" s="403" t="s">
        <v>66</v>
      </c>
      <c r="D26" s="191" t="s">
        <v>16</v>
      </c>
      <c r="E26" s="191">
        <v>0.29099999999999998</v>
      </c>
      <c r="F26" s="455">
        <f>F22*E26</f>
        <v>1.1639999999999999</v>
      </c>
      <c r="G26" s="193"/>
      <c r="H26" s="192"/>
      <c r="I26" s="576"/>
      <c r="J26" s="192">
        <f t="shared" si="4"/>
        <v>0</v>
      </c>
      <c r="K26" s="193"/>
      <c r="L26" s="192"/>
      <c r="M26" s="192">
        <f>H26+J26+L26</f>
        <v>0</v>
      </c>
      <c r="N26" s="121"/>
      <c r="O26" s="97"/>
      <c r="P26" s="126"/>
      <c r="Q26" s="121"/>
      <c r="R26" s="97"/>
      <c r="S26" s="126"/>
      <c r="T26" s="102"/>
      <c r="U26" s="97"/>
      <c r="V26" s="126"/>
      <c r="W26" s="102"/>
      <c r="X26" s="99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</row>
    <row r="27" spans="1:74" s="100" customFormat="1" ht="20.25" customHeight="1">
      <c r="A27" s="393">
        <v>4</v>
      </c>
      <c r="B27" s="393" t="s">
        <v>71</v>
      </c>
      <c r="C27" s="203" t="s">
        <v>249</v>
      </c>
      <c r="D27" s="393" t="s">
        <v>67</v>
      </c>
      <c r="E27" s="393"/>
      <c r="F27" s="287">
        <f>SUM(F30:F31)</f>
        <v>115</v>
      </c>
      <c r="G27" s="397"/>
      <c r="H27" s="209"/>
      <c r="I27" s="393"/>
      <c r="J27" s="209"/>
      <c r="K27" s="397"/>
      <c r="L27" s="209"/>
      <c r="M27" s="209"/>
      <c r="N27" s="121"/>
      <c r="O27" s="97"/>
      <c r="P27" s="101"/>
      <c r="Q27" s="121"/>
      <c r="R27" s="97"/>
      <c r="S27" s="101"/>
      <c r="T27" s="102"/>
      <c r="U27" s="97"/>
      <c r="V27" s="101"/>
      <c r="W27" s="102"/>
      <c r="X27" s="99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</row>
    <row r="28" spans="1:74" s="100" customFormat="1" ht="12.75" customHeight="1">
      <c r="A28" s="44"/>
      <c r="B28" s="436"/>
      <c r="C28" s="399" t="s">
        <v>247</v>
      </c>
      <c r="D28" s="44" t="s">
        <v>64</v>
      </c>
      <c r="E28" s="44">
        <f>0.11*1.2</f>
        <v>0.13200000000000001</v>
      </c>
      <c r="F28" s="449">
        <f>F27*E28</f>
        <v>15.180000000000001</v>
      </c>
      <c r="G28" s="574"/>
      <c r="H28" s="184">
        <f>F28*G28</f>
        <v>0</v>
      </c>
      <c r="I28" s="254"/>
      <c r="J28" s="184"/>
      <c r="K28" s="185"/>
      <c r="L28" s="184"/>
      <c r="M28" s="184">
        <f>H28+J28+L28</f>
        <v>0</v>
      </c>
      <c r="N28" s="121"/>
      <c r="O28" s="97"/>
      <c r="P28" s="107"/>
      <c r="Q28" s="121"/>
      <c r="R28" s="97"/>
      <c r="S28" s="107"/>
      <c r="T28" s="102"/>
      <c r="U28" s="97"/>
      <c r="V28" s="107"/>
      <c r="W28" s="102"/>
      <c r="X28" s="99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</row>
    <row r="29" spans="1:74" s="100" customFormat="1" ht="15.75" customHeight="1">
      <c r="A29" s="44"/>
      <c r="B29" s="44"/>
      <c r="C29" s="399" t="s">
        <v>248</v>
      </c>
      <c r="D29" s="44" t="s">
        <v>16</v>
      </c>
      <c r="E29" s="456">
        <f>0.0027*1.2</f>
        <v>3.2400000000000003E-3</v>
      </c>
      <c r="F29" s="44">
        <f>F27*E29</f>
        <v>0.37260000000000004</v>
      </c>
      <c r="G29" s="185"/>
      <c r="H29" s="184"/>
      <c r="I29" s="44"/>
      <c r="J29" s="184"/>
      <c r="K29" s="574"/>
      <c r="L29" s="184">
        <f>F29*K29</f>
        <v>0</v>
      </c>
      <c r="M29" s="184">
        <f>H29+J29+L29</f>
        <v>0</v>
      </c>
      <c r="N29" s="121"/>
      <c r="O29" s="97"/>
      <c r="P29" s="97"/>
      <c r="Q29" s="121"/>
      <c r="R29" s="97"/>
      <c r="S29" s="97"/>
      <c r="T29" s="102"/>
      <c r="U29" s="97"/>
      <c r="V29" s="97"/>
      <c r="W29" s="102"/>
      <c r="X29" s="99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</row>
    <row r="30" spans="1:74" s="103" customFormat="1" ht="18" customHeight="1">
      <c r="A30" s="449"/>
      <c r="B30" s="450"/>
      <c r="C30" s="218" t="s">
        <v>72</v>
      </c>
      <c r="D30" s="449" t="s">
        <v>67</v>
      </c>
      <c r="E30" s="449"/>
      <c r="F30" s="449">
        <v>60</v>
      </c>
      <c r="G30" s="453"/>
      <c r="H30" s="219"/>
      <c r="I30" s="575"/>
      <c r="J30" s="219">
        <f t="shared" ref="J30:J32" si="5">F30*I30</f>
        <v>0</v>
      </c>
      <c r="K30" s="453"/>
      <c r="L30" s="219"/>
      <c r="M30" s="219">
        <f t="shared" ref="M30:M32" si="6">H30+J30+L30</f>
        <v>0</v>
      </c>
      <c r="N30" s="124"/>
      <c r="O30" s="107"/>
      <c r="P30" s="107"/>
      <c r="Q30" s="124"/>
      <c r="R30" s="107"/>
      <c r="S30" s="107"/>
      <c r="T30" s="125"/>
      <c r="U30" s="107"/>
      <c r="V30" s="107"/>
      <c r="W30" s="125"/>
      <c r="X30" s="99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</row>
    <row r="31" spans="1:74" s="103" customFormat="1" ht="18" customHeight="1">
      <c r="A31" s="449"/>
      <c r="B31" s="450"/>
      <c r="C31" s="218" t="s">
        <v>80</v>
      </c>
      <c r="D31" s="449" t="s">
        <v>67</v>
      </c>
      <c r="E31" s="449"/>
      <c r="F31" s="449">
        <v>55</v>
      </c>
      <c r="G31" s="453"/>
      <c r="H31" s="219"/>
      <c r="I31" s="575"/>
      <c r="J31" s="219">
        <f t="shared" si="5"/>
        <v>0</v>
      </c>
      <c r="K31" s="453"/>
      <c r="L31" s="219"/>
      <c r="M31" s="219">
        <f t="shared" si="6"/>
        <v>0</v>
      </c>
      <c r="N31" s="124"/>
      <c r="O31" s="107"/>
      <c r="P31" s="107"/>
      <c r="Q31" s="124"/>
      <c r="R31" s="107"/>
      <c r="S31" s="107"/>
      <c r="T31" s="125"/>
      <c r="U31" s="107"/>
      <c r="V31" s="107"/>
      <c r="W31" s="125"/>
      <c r="X31" s="99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</row>
    <row r="32" spans="1:74" s="100" customFormat="1" ht="14.25" customHeight="1">
      <c r="A32" s="191"/>
      <c r="B32" s="454"/>
      <c r="C32" s="403" t="s">
        <v>66</v>
      </c>
      <c r="D32" s="191" t="s">
        <v>16</v>
      </c>
      <c r="E32" s="191">
        <v>3.49E-2</v>
      </c>
      <c r="F32" s="192">
        <f>F27*E32</f>
        <v>4.0134999999999996</v>
      </c>
      <c r="G32" s="193"/>
      <c r="H32" s="192"/>
      <c r="I32" s="576"/>
      <c r="J32" s="192">
        <f t="shared" si="5"/>
        <v>0</v>
      </c>
      <c r="K32" s="193"/>
      <c r="L32" s="192"/>
      <c r="M32" s="192">
        <f t="shared" si="6"/>
        <v>0</v>
      </c>
      <c r="N32" s="121"/>
      <c r="O32" s="97"/>
      <c r="P32" s="98"/>
      <c r="Q32" s="121"/>
      <c r="R32" s="97"/>
      <c r="S32" s="98"/>
      <c r="T32" s="102"/>
      <c r="U32" s="97"/>
      <c r="V32" s="98"/>
      <c r="W32" s="102"/>
      <c r="X32" s="99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</row>
    <row r="33" spans="1:74" s="128" customFormat="1" ht="15">
      <c r="A33" s="457">
        <v>5</v>
      </c>
      <c r="B33" s="457" t="s">
        <v>73</v>
      </c>
      <c r="C33" s="458" t="s">
        <v>92</v>
      </c>
      <c r="D33" s="457" t="s">
        <v>67</v>
      </c>
      <c r="E33" s="457"/>
      <c r="F33" s="446">
        <v>115</v>
      </c>
      <c r="G33" s="457"/>
      <c r="H33" s="460"/>
      <c r="I33" s="459"/>
      <c r="J33" s="460"/>
      <c r="K33" s="459"/>
      <c r="L33" s="460"/>
      <c r="M33" s="460"/>
      <c r="N33" s="120"/>
      <c r="O33" s="97"/>
      <c r="P33" s="101"/>
      <c r="Q33" s="121"/>
      <c r="R33" s="97"/>
      <c r="S33" s="101"/>
      <c r="T33" s="127"/>
      <c r="U33" s="97"/>
      <c r="V33" s="101"/>
      <c r="W33" s="127"/>
      <c r="X33" s="99"/>
      <c r="Y33" s="127"/>
      <c r="Z33" s="127"/>
    </row>
    <row r="34" spans="1:74" s="128" customFormat="1" ht="16.5" customHeight="1">
      <c r="A34" s="449"/>
      <c r="B34" s="450"/>
      <c r="C34" s="461" t="s">
        <v>250</v>
      </c>
      <c r="D34" s="449" t="s">
        <v>64</v>
      </c>
      <c r="E34" s="449">
        <f>0.15*1.2</f>
        <v>0.18</v>
      </c>
      <c r="F34" s="219">
        <f>F33*E34</f>
        <v>20.7</v>
      </c>
      <c r="G34" s="571"/>
      <c r="H34" s="219">
        <f>F34*G34</f>
        <v>0</v>
      </c>
      <c r="I34" s="462"/>
      <c r="J34" s="219"/>
      <c r="K34" s="453"/>
      <c r="L34" s="219"/>
      <c r="M34" s="219">
        <f>H34+J34+L34</f>
        <v>0</v>
      </c>
      <c r="N34" s="120"/>
      <c r="O34" s="97"/>
      <c r="P34" s="98"/>
      <c r="Q34" s="121"/>
      <c r="R34" s="97"/>
      <c r="S34" s="98"/>
      <c r="T34" s="127"/>
      <c r="U34" s="97"/>
      <c r="V34" s="98"/>
      <c r="W34" s="127"/>
      <c r="X34" s="99"/>
      <c r="Y34" s="127"/>
      <c r="Z34" s="127"/>
    </row>
    <row r="35" spans="1:74" s="123" customFormat="1" ht="13.5" customHeight="1">
      <c r="A35" s="449"/>
      <c r="B35" s="449"/>
      <c r="C35" s="461" t="s">
        <v>251</v>
      </c>
      <c r="D35" s="449" t="s">
        <v>16</v>
      </c>
      <c r="E35" s="468">
        <f>0.0017*1.2</f>
        <v>2.0399999999999997E-3</v>
      </c>
      <c r="F35" s="219">
        <f>F33*E35</f>
        <v>0.23459999999999998</v>
      </c>
      <c r="G35" s="449"/>
      <c r="H35" s="219"/>
      <c r="I35" s="453"/>
      <c r="J35" s="219"/>
      <c r="K35" s="575"/>
      <c r="L35" s="219">
        <f>F35*K35</f>
        <v>0</v>
      </c>
      <c r="M35" s="219">
        <f>H35+J35+L35</f>
        <v>0</v>
      </c>
      <c r="N35" s="120"/>
      <c r="O35" s="97"/>
      <c r="P35" s="98"/>
      <c r="Q35" s="121"/>
      <c r="R35" s="97"/>
      <c r="S35" s="98"/>
      <c r="T35" s="122"/>
      <c r="U35" s="97"/>
      <c r="V35" s="98"/>
      <c r="W35" s="122"/>
      <c r="X35" s="99"/>
      <c r="Y35" s="122"/>
      <c r="Z35" s="122"/>
    </row>
    <row r="36" spans="1:74" s="100" customFormat="1">
      <c r="A36" s="449"/>
      <c r="B36" s="450"/>
      <c r="C36" s="463" t="s">
        <v>91</v>
      </c>
      <c r="D36" s="449" t="s">
        <v>67</v>
      </c>
      <c r="E36" s="449">
        <v>1</v>
      </c>
      <c r="F36" s="219">
        <f>F33*E36</f>
        <v>115</v>
      </c>
      <c r="G36" s="462"/>
      <c r="H36" s="219"/>
      <c r="I36" s="571"/>
      <c r="J36" s="219">
        <f t="shared" ref="J36:J37" si="7">F36*I36</f>
        <v>0</v>
      </c>
      <c r="K36" s="453"/>
      <c r="L36" s="219"/>
      <c r="M36" s="219">
        <f>H36+J36+L36</f>
        <v>0</v>
      </c>
      <c r="N36" s="120"/>
      <c r="O36" s="97"/>
      <c r="P36" s="98"/>
      <c r="Q36" s="121"/>
      <c r="R36" s="97"/>
      <c r="S36" s="98"/>
      <c r="T36" s="102"/>
      <c r="U36" s="97"/>
      <c r="V36" s="98"/>
      <c r="W36" s="102"/>
      <c r="X36" s="99"/>
      <c r="Y36" s="102"/>
      <c r="Z36" s="102"/>
    </row>
    <row r="37" spans="1:74" s="100" customFormat="1" ht="13.5" customHeight="1">
      <c r="A37" s="464"/>
      <c r="B37" s="465"/>
      <c r="C37" s="466" t="s">
        <v>66</v>
      </c>
      <c r="D37" s="464" t="s">
        <v>16</v>
      </c>
      <c r="E37" s="464">
        <v>1.15E-2</v>
      </c>
      <c r="F37" s="230">
        <f>F33*E37</f>
        <v>1.3225</v>
      </c>
      <c r="G37" s="464"/>
      <c r="H37" s="230"/>
      <c r="I37" s="576"/>
      <c r="J37" s="230">
        <f t="shared" si="7"/>
        <v>0</v>
      </c>
      <c r="K37" s="467"/>
      <c r="L37" s="230"/>
      <c r="M37" s="230">
        <f>H37+J37+L37</f>
        <v>0</v>
      </c>
      <c r="N37" s="120"/>
      <c r="O37" s="97"/>
      <c r="P37" s="98"/>
      <c r="Q37" s="121"/>
      <c r="R37" s="97"/>
      <c r="S37" s="98"/>
      <c r="T37" s="102"/>
      <c r="U37" s="97"/>
      <c r="V37" s="98"/>
      <c r="W37" s="102"/>
      <c r="X37" s="99"/>
      <c r="Y37" s="102"/>
      <c r="Z37" s="102"/>
    </row>
    <row r="38" spans="1:74" s="100" customFormat="1" ht="18" customHeight="1">
      <c r="A38" s="393">
        <v>6</v>
      </c>
      <c r="B38" s="393" t="s">
        <v>68</v>
      </c>
      <c r="C38" s="404" t="s">
        <v>82</v>
      </c>
      <c r="D38" s="469" t="s">
        <v>33</v>
      </c>
      <c r="E38" s="393"/>
      <c r="F38" s="248">
        <v>4</v>
      </c>
      <c r="G38" s="397"/>
      <c r="H38" s="209"/>
      <c r="I38" s="393"/>
      <c r="J38" s="209"/>
      <c r="K38" s="397"/>
      <c r="L38" s="209"/>
      <c r="M38" s="209"/>
      <c r="N38" s="121"/>
      <c r="O38" s="97"/>
      <c r="P38" s="129"/>
      <c r="Q38" s="121"/>
      <c r="R38" s="97"/>
      <c r="S38" s="129"/>
      <c r="T38" s="102"/>
      <c r="U38" s="97"/>
      <c r="V38" s="129"/>
      <c r="W38" s="102"/>
      <c r="X38" s="99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</row>
    <row r="39" spans="1:74" s="100" customFormat="1" ht="15.75" customHeight="1">
      <c r="A39" s="44"/>
      <c r="B39" s="436"/>
      <c r="C39" s="399" t="s">
        <v>252</v>
      </c>
      <c r="D39" s="44" t="s">
        <v>64</v>
      </c>
      <c r="E39" s="44">
        <f>0.68*1.2</f>
        <v>0.81600000000000006</v>
      </c>
      <c r="F39" s="449">
        <f>F38*E39</f>
        <v>3.2640000000000002</v>
      </c>
      <c r="G39" s="569"/>
      <c r="H39" s="184">
        <f>F39*G39</f>
        <v>0</v>
      </c>
      <c r="I39" s="254"/>
      <c r="J39" s="184"/>
      <c r="K39" s="185"/>
      <c r="L39" s="184"/>
      <c r="M39" s="184">
        <f>H39+J39+L39</f>
        <v>0</v>
      </c>
      <c r="N39" s="121"/>
      <c r="O39" s="97"/>
      <c r="P39" s="107"/>
      <c r="Q39" s="121"/>
      <c r="R39" s="97"/>
      <c r="S39" s="107"/>
      <c r="T39" s="102"/>
      <c r="U39" s="97"/>
      <c r="V39" s="107"/>
      <c r="W39" s="102"/>
      <c r="X39" s="99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</row>
    <row r="40" spans="1:74" s="100" customFormat="1">
      <c r="A40" s="44"/>
      <c r="B40" s="44"/>
      <c r="C40" s="399" t="s">
        <v>253</v>
      </c>
      <c r="D40" s="44" t="s">
        <v>16</v>
      </c>
      <c r="E40" s="442">
        <f>0.011*1.2</f>
        <v>1.3199999999999998E-2</v>
      </c>
      <c r="F40" s="44">
        <f>F38*E40</f>
        <v>5.2799999999999993E-2</v>
      </c>
      <c r="G40" s="185"/>
      <c r="H40" s="184"/>
      <c r="I40" s="185"/>
      <c r="J40" s="184"/>
      <c r="K40" s="574"/>
      <c r="L40" s="184">
        <f>F40*K40</f>
        <v>0</v>
      </c>
      <c r="M40" s="184">
        <f>H40+J40+L40</f>
        <v>0</v>
      </c>
      <c r="N40" s="121"/>
      <c r="O40" s="97"/>
      <c r="P40" s="97"/>
      <c r="Q40" s="121"/>
      <c r="R40" s="97"/>
      <c r="S40" s="97"/>
      <c r="T40" s="102"/>
      <c r="U40" s="97"/>
      <c r="V40" s="97"/>
      <c r="W40" s="102"/>
      <c r="X40" s="99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</row>
    <row r="41" spans="1:74" s="100" customFormat="1">
      <c r="A41" s="44"/>
      <c r="B41" s="436"/>
      <c r="C41" s="399" t="s">
        <v>65</v>
      </c>
      <c r="D41" s="44"/>
      <c r="E41" s="44"/>
      <c r="F41" s="449"/>
      <c r="G41" s="185"/>
      <c r="H41" s="184"/>
      <c r="I41" s="44"/>
      <c r="J41" s="184"/>
      <c r="K41" s="185"/>
      <c r="L41" s="184"/>
      <c r="M41" s="184"/>
      <c r="N41" s="121"/>
      <c r="O41" s="97"/>
      <c r="P41" s="107"/>
      <c r="Q41" s="121"/>
      <c r="R41" s="97"/>
      <c r="S41" s="107"/>
      <c r="T41" s="102"/>
      <c r="U41" s="97"/>
      <c r="V41" s="107"/>
      <c r="W41" s="102"/>
      <c r="X41" s="99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</row>
    <row r="42" spans="1:74" s="100" customFormat="1" ht="14.25" customHeight="1">
      <c r="A42" s="44"/>
      <c r="B42" s="450"/>
      <c r="C42" s="218" t="s">
        <v>69</v>
      </c>
      <c r="D42" s="470" t="s">
        <v>33</v>
      </c>
      <c r="E42" s="44"/>
      <c r="F42" s="471">
        <f>F38</f>
        <v>4</v>
      </c>
      <c r="G42" s="185"/>
      <c r="H42" s="184"/>
      <c r="I42" s="577"/>
      <c r="J42" s="184">
        <f t="shared" ref="J42:J43" si="8">F42*I42</f>
        <v>0</v>
      </c>
      <c r="K42" s="185"/>
      <c r="L42" s="184"/>
      <c r="M42" s="184">
        <f>H42+J42+L42</f>
        <v>0</v>
      </c>
      <c r="N42" s="121"/>
      <c r="O42" s="97"/>
      <c r="P42" s="107"/>
      <c r="Q42" s="121"/>
      <c r="R42" s="97"/>
      <c r="S42" s="107"/>
      <c r="T42" s="102"/>
      <c r="U42" s="97"/>
      <c r="V42" s="107"/>
      <c r="W42" s="102"/>
      <c r="X42" s="99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</row>
    <row r="43" spans="1:74" s="100" customFormat="1">
      <c r="A43" s="191"/>
      <c r="B43" s="454"/>
      <c r="C43" s="403" t="s">
        <v>66</v>
      </c>
      <c r="D43" s="191" t="s">
        <v>16</v>
      </c>
      <c r="E43" s="191">
        <v>0.10299999999999999</v>
      </c>
      <c r="F43" s="455">
        <f>F38*E43</f>
        <v>0.41199999999999998</v>
      </c>
      <c r="G43" s="193"/>
      <c r="H43" s="192"/>
      <c r="I43" s="576"/>
      <c r="J43" s="192">
        <f t="shared" si="8"/>
        <v>0</v>
      </c>
      <c r="K43" s="193"/>
      <c r="L43" s="192"/>
      <c r="M43" s="192">
        <f>H43+J43+L43</f>
        <v>0</v>
      </c>
      <c r="N43" s="121"/>
      <c r="O43" s="97"/>
      <c r="P43" s="126"/>
      <c r="Q43" s="121"/>
      <c r="R43" s="97"/>
      <c r="S43" s="126"/>
      <c r="T43" s="102"/>
      <c r="U43" s="97"/>
      <c r="V43" s="126"/>
      <c r="W43" s="102"/>
      <c r="X43" s="99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</row>
    <row r="44" spans="1:74" s="100" customFormat="1" ht="22.5" customHeight="1">
      <c r="A44" s="393">
        <v>7</v>
      </c>
      <c r="B44" s="393" t="s">
        <v>83</v>
      </c>
      <c r="C44" s="203" t="s">
        <v>89</v>
      </c>
      <c r="D44" s="472" t="s">
        <v>33</v>
      </c>
      <c r="E44" s="393"/>
      <c r="F44" s="287">
        <v>10</v>
      </c>
      <c r="G44" s="397"/>
      <c r="H44" s="209"/>
      <c r="I44" s="393"/>
      <c r="J44" s="209"/>
      <c r="K44" s="397"/>
      <c r="L44" s="209"/>
      <c r="M44" s="209"/>
      <c r="N44" s="121"/>
      <c r="O44" s="97"/>
      <c r="P44" s="101"/>
      <c r="Q44" s="121"/>
      <c r="R44" s="97"/>
      <c r="S44" s="101"/>
      <c r="T44" s="102"/>
      <c r="U44" s="97"/>
      <c r="V44" s="101"/>
      <c r="W44" s="102"/>
      <c r="X44" s="99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</row>
    <row r="45" spans="1:74" s="100" customFormat="1">
      <c r="A45" s="44"/>
      <c r="B45" s="436"/>
      <c r="C45" s="399" t="s">
        <v>254</v>
      </c>
      <c r="D45" s="44" t="s">
        <v>64</v>
      </c>
      <c r="E45" s="44">
        <f>0.34*1.2</f>
        <v>0.40800000000000003</v>
      </c>
      <c r="F45" s="449">
        <f>F44*E45</f>
        <v>4.08</v>
      </c>
      <c r="G45" s="569"/>
      <c r="H45" s="184">
        <f>F45*G45</f>
        <v>0</v>
      </c>
      <c r="I45" s="254"/>
      <c r="J45" s="184"/>
      <c r="K45" s="185"/>
      <c r="L45" s="184"/>
      <c r="M45" s="184">
        <f>H45+J45+L45</f>
        <v>0</v>
      </c>
      <c r="N45" s="121"/>
      <c r="O45" s="97"/>
      <c r="P45" s="107"/>
      <c r="Q45" s="121"/>
      <c r="R45" s="97"/>
      <c r="S45" s="107"/>
      <c r="T45" s="102"/>
      <c r="U45" s="97"/>
      <c r="V45" s="107"/>
      <c r="W45" s="102"/>
      <c r="X45" s="99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</row>
    <row r="46" spans="1:74" s="100" customFormat="1">
      <c r="A46" s="44"/>
      <c r="B46" s="44"/>
      <c r="C46" s="399" t="s">
        <v>255</v>
      </c>
      <c r="D46" s="44" t="s">
        <v>16</v>
      </c>
      <c r="E46" s="442">
        <f>0.0113*1.2</f>
        <v>1.3559999999999999E-2</v>
      </c>
      <c r="F46" s="44">
        <f>F44*E46</f>
        <v>0.1356</v>
      </c>
      <c r="G46" s="185"/>
      <c r="H46" s="184"/>
      <c r="I46" s="185"/>
      <c r="J46" s="184"/>
      <c r="K46" s="574"/>
      <c r="L46" s="184">
        <f>F46*K46</f>
        <v>0</v>
      </c>
      <c r="M46" s="184">
        <f>H46+J46+L46</f>
        <v>0</v>
      </c>
      <c r="N46" s="121"/>
      <c r="O46" s="97"/>
      <c r="P46" s="97"/>
      <c r="Q46" s="121"/>
      <c r="R46" s="97"/>
      <c r="S46" s="97"/>
      <c r="T46" s="102"/>
      <c r="U46" s="97"/>
      <c r="V46" s="97"/>
      <c r="W46" s="102"/>
      <c r="X46" s="99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</row>
    <row r="47" spans="1:74" s="103" customFormat="1">
      <c r="A47" s="449"/>
      <c r="B47" s="450"/>
      <c r="C47" s="218" t="s">
        <v>89</v>
      </c>
      <c r="D47" s="451" t="s">
        <v>33</v>
      </c>
      <c r="E47" s="449">
        <v>1</v>
      </c>
      <c r="F47" s="449">
        <f>F44*E47</f>
        <v>10</v>
      </c>
      <c r="G47" s="453"/>
      <c r="H47" s="219"/>
      <c r="I47" s="578"/>
      <c r="J47" s="219">
        <f t="shared" ref="J47:J48" si="9">F47*I47</f>
        <v>0</v>
      </c>
      <c r="K47" s="453"/>
      <c r="L47" s="219"/>
      <c r="M47" s="219">
        <f>H47+J47+L47</f>
        <v>0</v>
      </c>
      <c r="N47" s="124"/>
      <c r="O47" s="107"/>
      <c r="P47" s="107"/>
      <c r="Q47" s="124"/>
      <c r="R47" s="107"/>
      <c r="S47" s="107"/>
      <c r="T47" s="125"/>
      <c r="U47" s="107"/>
      <c r="V47" s="107"/>
      <c r="W47" s="125"/>
      <c r="X47" s="99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</row>
    <row r="48" spans="1:74" s="100" customFormat="1">
      <c r="A48" s="191"/>
      <c r="B48" s="454"/>
      <c r="C48" s="403" t="s">
        <v>66</v>
      </c>
      <c r="D48" s="191" t="s">
        <v>16</v>
      </c>
      <c r="E48" s="191">
        <v>9.3700000000000006E-2</v>
      </c>
      <c r="F48" s="455">
        <f>F44*E48</f>
        <v>0.93700000000000006</v>
      </c>
      <c r="G48" s="193"/>
      <c r="H48" s="192"/>
      <c r="I48" s="576"/>
      <c r="J48" s="192">
        <f t="shared" si="9"/>
        <v>0</v>
      </c>
      <c r="K48" s="193"/>
      <c r="L48" s="192"/>
      <c r="M48" s="192">
        <f>H48+J48+L48</f>
        <v>0</v>
      </c>
      <c r="N48" s="121"/>
      <c r="O48" s="97"/>
      <c r="P48" s="126"/>
      <c r="Q48" s="121"/>
      <c r="R48" s="97"/>
      <c r="S48" s="126"/>
      <c r="T48" s="102"/>
      <c r="U48" s="97"/>
      <c r="V48" s="126"/>
      <c r="W48" s="102"/>
      <c r="X48" s="99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</row>
    <row r="49" spans="1:74" s="113" customFormat="1" ht="15.75" customHeight="1">
      <c r="A49" s="45">
        <v>8</v>
      </c>
      <c r="B49" s="45"/>
      <c r="C49" s="46" t="s">
        <v>8</v>
      </c>
      <c r="D49" s="47"/>
      <c r="E49" s="47"/>
      <c r="F49" s="48"/>
      <c r="G49" s="49"/>
      <c r="H49" s="49">
        <f>SUM(H9:H48)</f>
        <v>0</v>
      </c>
      <c r="I49" s="49"/>
      <c r="J49" s="49">
        <f>SUM(J9:J48)</f>
        <v>0</v>
      </c>
      <c r="K49" s="49"/>
      <c r="L49" s="49">
        <f>SUM(L9:L48)</f>
        <v>0</v>
      </c>
      <c r="M49" s="49">
        <f>SUM(M9:M48)</f>
        <v>0</v>
      </c>
      <c r="N49" s="112"/>
      <c r="O49" s="112"/>
      <c r="P49" s="112"/>
    </row>
    <row r="50" spans="1:74" s="114" customFormat="1" ht="15" customHeight="1">
      <c r="A50" s="50">
        <v>9</v>
      </c>
      <c r="B50" s="50"/>
      <c r="C50" s="484" t="s">
        <v>105</v>
      </c>
      <c r="D50" s="51">
        <v>0.03</v>
      </c>
      <c r="E50" s="52"/>
      <c r="F50" s="52"/>
      <c r="G50" s="53"/>
      <c r="H50" s="53"/>
      <c r="I50" s="53"/>
      <c r="J50" s="53"/>
      <c r="K50" s="53"/>
      <c r="L50" s="474"/>
      <c r="M50" s="53">
        <f>J49*D50</f>
        <v>0</v>
      </c>
    </row>
    <row r="51" spans="1:74" s="130" customFormat="1" ht="15" customHeight="1">
      <c r="A51" s="45">
        <v>10</v>
      </c>
      <c r="B51" s="54"/>
      <c r="C51" s="46" t="s">
        <v>8</v>
      </c>
      <c r="D51" s="55"/>
      <c r="E51" s="56"/>
      <c r="F51" s="57"/>
      <c r="G51" s="58"/>
      <c r="H51" s="473"/>
      <c r="I51" s="473"/>
      <c r="J51" s="473"/>
      <c r="K51" s="473"/>
      <c r="L51" s="473"/>
      <c r="M51" s="58">
        <f>M49+M50</f>
        <v>0</v>
      </c>
    </row>
    <row r="52" spans="1:74" s="132" customFormat="1" ht="15" customHeight="1">
      <c r="A52" s="50">
        <v>11</v>
      </c>
      <c r="B52" s="50"/>
      <c r="C52" s="484" t="s">
        <v>106</v>
      </c>
      <c r="D52" s="51">
        <v>0.75</v>
      </c>
      <c r="E52" s="52"/>
      <c r="F52" s="52"/>
      <c r="G52" s="53"/>
      <c r="H52" s="474"/>
      <c r="I52" s="474"/>
      <c r="J52" s="474"/>
      <c r="K52" s="474"/>
      <c r="L52" s="474"/>
      <c r="M52" s="53">
        <f>H49*D52</f>
        <v>0</v>
      </c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</row>
    <row r="53" spans="1:74" s="133" customFormat="1" ht="15" customHeight="1">
      <c r="A53" s="45">
        <v>12</v>
      </c>
      <c r="B53" s="54"/>
      <c r="C53" s="46" t="s">
        <v>8</v>
      </c>
      <c r="D53" s="55"/>
      <c r="E53" s="56"/>
      <c r="F53" s="57"/>
      <c r="G53" s="58"/>
      <c r="H53" s="473"/>
      <c r="I53" s="473"/>
      <c r="J53" s="473"/>
      <c r="K53" s="473"/>
      <c r="L53" s="473"/>
      <c r="M53" s="53">
        <f>M52+M51</f>
        <v>0</v>
      </c>
    </row>
    <row r="54" spans="1:74" s="134" customFormat="1" ht="15" customHeight="1">
      <c r="A54" s="50">
        <v>13</v>
      </c>
      <c r="B54" s="54"/>
      <c r="C54" s="484" t="s">
        <v>107</v>
      </c>
      <c r="D54" s="59">
        <v>0.08</v>
      </c>
      <c r="E54" s="56"/>
      <c r="F54" s="56"/>
      <c r="G54" s="58"/>
      <c r="H54" s="473"/>
      <c r="I54" s="473"/>
      <c r="J54" s="473"/>
      <c r="K54" s="473"/>
      <c r="L54" s="473"/>
      <c r="M54" s="53">
        <f>M53*D54</f>
        <v>0</v>
      </c>
    </row>
    <row r="55" spans="1:74" s="135" customFormat="1" ht="15" customHeight="1">
      <c r="A55" s="45">
        <v>14</v>
      </c>
      <c r="B55" s="60"/>
      <c r="C55" s="46" t="s">
        <v>8</v>
      </c>
      <c r="D55" s="60"/>
      <c r="E55" s="60"/>
      <c r="F55" s="60"/>
      <c r="G55" s="61"/>
      <c r="H55" s="475"/>
      <c r="I55" s="475"/>
      <c r="J55" s="475"/>
      <c r="K55" s="475"/>
      <c r="L55" s="475"/>
      <c r="M55" s="62">
        <f>M54+M53</f>
        <v>0</v>
      </c>
    </row>
    <row r="56" spans="1:74" s="22" customFormat="1">
      <c r="A56" s="21"/>
      <c r="C56" s="23"/>
      <c r="D56" s="24"/>
      <c r="E56" s="24"/>
      <c r="F56" s="25"/>
      <c r="G56" s="30"/>
    </row>
    <row r="57" spans="1:74" s="138" customFormat="1" ht="21.75" customHeight="1">
      <c r="A57" s="146"/>
      <c r="B57" s="146"/>
      <c r="C57" s="148"/>
      <c r="D57" s="146"/>
      <c r="E57" s="553"/>
      <c r="F57" s="553"/>
      <c r="G57" s="553"/>
      <c r="H57" s="146"/>
    </row>
  </sheetData>
  <mergeCells count="14">
    <mergeCell ref="A5:E5"/>
    <mergeCell ref="L1:M1"/>
    <mergeCell ref="A3:M3"/>
    <mergeCell ref="A4:M4"/>
    <mergeCell ref="A6:A7"/>
    <mergeCell ref="B6:B7"/>
    <mergeCell ref="C6:C7"/>
    <mergeCell ref="D6:D7"/>
    <mergeCell ref="E6:F6"/>
    <mergeCell ref="E57:G57"/>
    <mergeCell ref="G6:H6"/>
    <mergeCell ref="I6:J6"/>
    <mergeCell ref="K6:L6"/>
    <mergeCell ref="M6:M7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სანაკრებო</vt:lpstr>
      <vt:lpstr>სამშენებლო</vt:lpstr>
      <vt:lpstr>ელექტრობა</vt:lpstr>
      <vt:lpstr>ელექტრობა!Print_Area</vt:lpstr>
      <vt:lpstr>სამშენებლო!Print_Area</vt:lpstr>
      <vt:lpstr>სანაკრებო!Print_Area</vt:lpstr>
      <vt:lpstr>სანაკრებო!Print_Titles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2019-07-05T17:37:35Z</dcterms:modified>
</cp:coreProperties>
</file>