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 codeName="ThisWorkbook"/>
  <bookViews>
    <workbookView xWindow="0" yWindow="0" windowWidth="20730" windowHeight="11760" activeTab="7"/>
  </bookViews>
  <sheets>
    <sheet name="კრებსითი" sheetId="4" r:id="rId1"/>
    <sheet name="1-1" sheetId="5" r:id="rId2"/>
    <sheet name="2-1" sheetId="9" r:id="rId3"/>
    <sheet name="3-1" sheetId="11" r:id="rId4"/>
    <sheet name="3-2" sheetId="15" r:id="rId5"/>
    <sheet name="4-1" sheetId="24" r:id="rId6"/>
    <sheet name="5-1" sheetId="25" r:id="rId7"/>
    <sheet name="5-2" sheetId="28" r:id="rId8"/>
    <sheet name="სატენდერო კრებსითი" sheetId="31" r:id="rId9"/>
    <sheet name="სატენდერო" sheetId="30" r:id="rId10"/>
    <sheet name="ტრანსპორტირება" sheetId="29" r:id="rId11"/>
  </sheets>
  <definedNames>
    <definedName name="_xlnm.Print_Area" localSheetId="1">'1-1'!$A$1:$M$28</definedName>
    <definedName name="_xlnm.Print_Area" localSheetId="2">'2-1'!$A$1:$M$57</definedName>
    <definedName name="_xlnm.Print_Area" localSheetId="3">'3-1'!$A$1:$M$50</definedName>
    <definedName name="_xlnm.Print_Area" localSheetId="4">'3-2'!$A$1:$M$69</definedName>
    <definedName name="_xlnm.Print_Area" localSheetId="5">'4-1'!$A$1:$M$71</definedName>
    <definedName name="_xlnm.Print_Area" localSheetId="6">'5-1'!$A$1:$M$87</definedName>
    <definedName name="_xlnm.Print_Area" localSheetId="7">'5-2'!$A$1:$M$25</definedName>
    <definedName name="_xlnm.Print_Area" localSheetId="0">კრებსითი!$A$1:$G$39</definedName>
    <definedName name="_xlnm.Print_Area" localSheetId="9">სატენდერო!$A$1:$I$97</definedName>
    <definedName name="_xlnm.Print_Area" localSheetId="8">'სატენდერო კრებსითი'!$A$1:$D$37</definedName>
    <definedName name="_xlnm.Print_Area" localSheetId="10">ტრანსპორტირება!$A$1:$L$73</definedName>
    <definedName name="აგური251210">ტრანსპორტირება!$J$49</definedName>
    <definedName name="აგური251211">ტრანსპორტირება!$K$49</definedName>
    <definedName name="ანაკრებიკიუვეტი10">ტრანსპორტირება!$J$66</definedName>
    <definedName name="ანაკრებიკიუვეტი11">ტრანსპორტირება!$K$66</definedName>
    <definedName name="არმატურაა110">ტრანსპორტირება!$J$32</definedName>
    <definedName name="არმატურაა111">ტრანსპორტირება!$K$32</definedName>
    <definedName name="არმატურაა310">ტრანსპორტირება!$J$33</definedName>
    <definedName name="არმატურაა311">ტრანსპორტირება!$K$33</definedName>
    <definedName name="ბაგირიფოლადის10">ტრანსპორტირება!$J$60</definedName>
    <definedName name="ბაგირიფოლადის11">ტრანსპორტირება!$K$60</definedName>
    <definedName name="ბარიერიბეტონის10">ტრანსპორტირება!$J$64</definedName>
    <definedName name="ბარიერიბეტონის11">ტრანსპორტირება!$K$64</definedName>
    <definedName name="ბეტონიბ1510">ტრანსპორტირება!$J$26</definedName>
    <definedName name="ბეტონიბ1511">ტრანსპორტირება!$K$26</definedName>
    <definedName name="ბეტონიბ22510">ტრანსპორტირება!$J$27</definedName>
    <definedName name="ბეტონიბ22511">ტრანსპორტირება!$K$27</definedName>
    <definedName name="ბეტონიბ2510">ტრანსპორტირება!$J$29</definedName>
    <definedName name="ბეტონიბ2510უ">ტრანსპორტირება!$J$28</definedName>
    <definedName name="ბეტონიბ2511">ტრანსპორტირება!$K$29</definedName>
    <definedName name="ბეტონიბ2511უ">ტრანსპორტირება!$K$28</definedName>
    <definedName name="ბეტონიბ3010">ტრანსპორტირება!$J$31</definedName>
    <definedName name="ბეტონიბ3010უ">ტრანსპორტირება!$J$30</definedName>
    <definedName name="ბეტონიბ3011">ტრანსპორტირება!$K$31</definedName>
    <definedName name="ბეტონიბ3011უ">ტრანსპორტირება!$K$30</definedName>
    <definedName name="ბეტონიბ710">ტრანსპორტირება!$J$25</definedName>
    <definedName name="ბეტონიბ711">ტრანსპორტირება!$K$25</definedName>
    <definedName name="ბიტუმინავთობის10">ტრანსპორტირება!$J$47</definedName>
    <definedName name="ბიტუმინავთობის11">ტრანსპორტირება!$K$47</definedName>
    <definedName name="ბიტუმისემულსია10">ტრანსპორტირება!$J$48</definedName>
    <definedName name="ბიტუმისემულსია11">ტრანსპორტირება!$K$48</definedName>
    <definedName name="ბლოკიბეტონის10">ტრანსპორტირება!$J$65</definedName>
    <definedName name="ბლოკიბეტონის11">ტრანსპორტირება!$K$65</definedName>
    <definedName name="გაბიონი1.51110">ტრანსპორტირება!$J$62</definedName>
    <definedName name="გაბიონი1.51111">ტრანსპორტირება!$K$62</definedName>
    <definedName name="გაბიონი21110">ტრანსპორტირება!$J$61</definedName>
    <definedName name="გაბიონი21111">ტრანსპორტირება!$K$61</definedName>
    <definedName name="დგარიცდ10">ტრანსპორტირება!$J$58</definedName>
    <definedName name="დგარიცდ11">ტრანსპორტირება!$K$58</definedName>
    <definedName name="დეკორატიულიქვა">ტრანსპორტირება!$J$70</definedName>
    <definedName name="დეკორატიულიქვა10">ტრანსპორტირება!$J$70</definedName>
    <definedName name="დეკორატიულიქვა11">ტრანსპორტირება!$K$70</definedName>
    <definedName name="კუთხოვანა608010">ტრანსპორტირება!$J$51</definedName>
    <definedName name="კუთხოვანა608011">ტრანსპორტირება!$K$51</definedName>
    <definedName name="ლითონისდგარი10210">ტრანსპორტირება!$J$55</definedName>
    <definedName name="ლითონისდგარი10211">ტრანსპორტირება!$K$55</definedName>
    <definedName name="ლითონისდგარი11410">ტრანსპორტირება!$J$56</definedName>
    <definedName name="ლითონისდგარი11411">ტრანსპორტირება!$K$56</definedName>
    <definedName name="ლითონისდგარი7610">ტრანსპორტირება!$J$54</definedName>
    <definedName name="ლითონისდგარი7611">ტრანსპორტირება!$K$54</definedName>
    <definedName name="ლითონისმილი10">ტრანსპორტირება!$J$50</definedName>
    <definedName name="ლითონისმილი11">ტრანსპორტირება!$K$50</definedName>
    <definedName name="ლითონისმილიდ150010">ტრანსპორტირება!$J$57</definedName>
    <definedName name="ლითონისმილიდ150011">ტრანსპორტირება!$K$57</definedName>
    <definedName name="ლითონისმოაჯირი10">ტრანსპორტირება!$J$63</definedName>
    <definedName name="ლითონისმოაჯირი11">ტრანსპორტირება!$K$63</definedName>
    <definedName name="მილი1მრბ100010">ტრანსპორტირება!$J$68</definedName>
    <definedName name="მილი1მრბ100011">ტრანსპორტირება!$K$68</definedName>
    <definedName name="მილი1მრბ150010">ტრანსპორტირება!$J$69</definedName>
    <definedName name="მილი1მრბ150011">ტრანსპორტირება!$K$69</definedName>
    <definedName name="მილირბ100010">ტრანსპორტირება!$J$67</definedName>
    <definedName name="მილირბ100011">ტრანსპორტირება!$K$67</definedName>
    <definedName name="მსხვილმარცვლოვანიასფალტობეტონი10">ტრანსპორტირება!$J$34</definedName>
    <definedName name="მსხვილმარცვლოვანიასფალტობეტონი11">ტრანსპორტირება!$K$34</definedName>
    <definedName name="რესორიფოლადის10">ტრანსპორტირება!$J$59</definedName>
    <definedName name="რესორიფოლადის11">ტრანსპორტირება!$K$59</definedName>
    <definedName name="ფიცარიჩამოგანილი10">ტრანსპორტირება!$J$44</definedName>
    <definedName name="ფიცარიჩამოგანილი11">ტრანსპორტირება!$K$44</definedName>
    <definedName name="ფიცარიჩამოგანილი2510">ტრანსპორტირება!$J$43</definedName>
    <definedName name="ფიცარიჩამოგანილი2511">ტრანსპორტირება!$K$43</definedName>
    <definedName name="ფიცარიჩამოგანილი7010">ტრანსპორტირება!$J$45</definedName>
    <definedName name="ფიცარიჩამოგანილი7011">ტრანსპორტირება!$K$45</definedName>
    <definedName name="ფლეთილიქვა10">ტრანსპორტირება!$J$41</definedName>
    <definedName name="ფლეთილიქვა11">ტრანსპორტირება!$K$41</definedName>
    <definedName name="ფოლადისზოლოვანა6010">ტრანსპორტირება!$J$52</definedName>
    <definedName name="ფოლადისზოლოვანა6011">ტრანსპორტირება!$K$52</definedName>
    <definedName name="ფოლადისკვადრატი10">ტრანსპორტირება!$J$53</definedName>
    <definedName name="ფოლადისკვადრატი11">ტრანსპორტირება!$K$53</definedName>
    <definedName name="ქვიშაყვითელი10">ტრანსპორტირება!$J$39</definedName>
    <definedName name="ქვიშაყვითელი11">ტრანსპორტირება!$K$39</definedName>
    <definedName name="ქვიშაშავი10">ტრანსპორტირება!$J$38</definedName>
    <definedName name="ქვიშაშავი11">ტრანსპორტირება!$K$38</definedName>
    <definedName name="ქვიშახრეშოვანინარევი10">ტრანსპორტირება!$J$37</definedName>
    <definedName name="ქვიშახრეშოვანინარევი11">ტრანსპორტირება!$K$37</definedName>
    <definedName name="ღორღი10">ტრანსპორტირება!$J$36</definedName>
    <definedName name="ღორღი11">ტრანსპორტირება!$K$36</definedName>
    <definedName name="ყალიბისფიცარი4010">ტრანსპორტირება!$J$42</definedName>
    <definedName name="ყალიბისფიცარი4011">ტრანსპორტირება!$K$42</definedName>
    <definedName name="ყორექვა10">ტრანსპორტირება!$J$40</definedName>
    <definedName name="ყორექვა11">ტრანსპორტირება!$K$40</definedName>
    <definedName name="ცემენტიმ40010">ტრანსპორტირება!$J$21</definedName>
    <definedName name="ცემენტიმ40011">ტრანსპორტირება!$K$21</definedName>
    <definedName name="ცემენტისსხნარიმ20010">ტრანსპორტირება!$J$22</definedName>
    <definedName name="ცემენტისხნსარი1210">ტრანსპორტირება!$J$23</definedName>
    <definedName name="ცემენტისხსნარი1211">ტრანსპორტირება!$K$23</definedName>
    <definedName name="ცემენტისხსნარი1310">ტრანსპორტირება!$J$24</definedName>
    <definedName name="ცემენტისხსნარი1311">ტრანსპორტირება!$K$24</definedName>
    <definedName name="ცემენტისხსნარიმ20011">ტრანსპორტირება!$K$22</definedName>
    <definedName name="წვრილმარცვლოვანიასფალტობეტონი10">ტრანსპორტირება!$J$35</definedName>
    <definedName name="წვრილმარცვლოვანიასფალტობეტონი11">ტრანსპორტირება!$K$35</definedName>
    <definedName name="ხისმორი10">ტრანსპორტირება!$J$46</definedName>
    <definedName name="ხისმორი11">ტრანსპორტირება!$K$46</definedName>
  </definedName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8"/>
  <c r="F22" i="4" l="1"/>
  <c r="E22"/>
  <c r="D22"/>
  <c r="F20"/>
  <c r="E20"/>
  <c r="D20"/>
  <c r="F18"/>
  <c r="E18"/>
  <c r="D18"/>
  <c r="F17"/>
  <c r="E17"/>
  <c r="D17"/>
  <c r="F15"/>
  <c r="E15"/>
  <c r="D15"/>
  <c r="F16" i="28"/>
  <c r="F15"/>
  <c r="F14"/>
  <c r="F13"/>
  <c r="F12"/>
  <c r="F11"/>
  <c r="F66" i="25"/>
  <c r="F70" s="1"/>
  <c r="E63"/>
  <c r="E62"/>
  <c r="E57"/>
  <c r="E48"/>
  <c r="E47"/>
  <c r="E42"/>
  <c r="F40"/>
  <c r="F41" s="1"/>
  <c r="F35"/>
  <c r="F36" s="1"/>
  <c r="E33"/>
  <c r="E32"/>
  <c r="E30"/>
  <c r="E29"/>
  <c r="E28"/>
  <c r="F27"/>
  <c r="E26"/>
  <c r="E25"/>
  <c r="F25" s="1"/>
  <c r="F24"/>
  <c r="F15"/>
  <c r="F17" s="1"/>
  <c r="F10"/>
  <c r="F12" s="1"/>
  <c r="E49" i="24"/>
  <c r="F49" s="1"/>
  <c r="E48"/>
  <c r="F48" s="1"/>
  <c r="F46"/>
  <c r="F44"/>
  <c r="E43"/>
  <c r="F43" s="1"/>
  <c r="F42"/>
  <c r="F47" s="1"/>
  <c r="F52"/>
  <c r="F56" s="1"/>
  <c r="F41"/>
  <c r="F37"/>
  <c r="F39" s="1"/>
  <c r="E34"/>
  <c r="E33"/>
  <c r="E28"/>
  <c r="F27"/>
  <c r="F31" s="1"/>
  <c r="F22"/>
  <c r="F24" s="1"/>
  <c r="F19"/>
  <c r="F18"/>
  <c r="F17"/>
  <c r="F10"/>
  <c r="F13" s="1"/>
  <c r="F45" i="15"/>
  <c r="F43"/>
  <c r="F44" s="1"/>
  <c r="D23" i="4" l="1"/>
  <c r="E23"/>
  <c r="F23"/>
  <c r="F55" i="25"/>
  <c r="F33"/>
  <c r="F26"/>
  <c r="F19"/>
  <c r="F20"/>
  <c r="F30"/>
  <c r="F69"/>
  <c r="F21"/>
  <c r="F16"/>
  <c r="F32"/>
  <c r="F44"/>
  <c r="F56"/>
  <c r="F46"/>
  <c r="F45"/>
  <c r="F43"/>
  <c r="F48"/>
  <c r="F42"/>
  <c r="F37"/>
  <c r="F38"/>
  <c r="F47"/>
  <c r="F11"/>
  <c r="F18"/>
  <c r="F31"/>
  <c r="F50"/>
  <c r="F51" s="1"/>
  <c r="F67"/>
  <c r="F71"/>
  <c r="F72"/>
  <c r="F68"/>
  <c r="F28"/>
  <c r="F29"/>
  <c r="F45" i="24"/>
  <c r="F55"/>
  <c r="F28"/>
  <c r="F33"/>
  <c r="F54"/>
  <c r="F53"/>
  <c r="F57"/>
  <c r="F58"/>
  <c r="F23"/>
  <c r="F38"/>
  <c r="F30"/>
  <c r="F34"/>
  <c r="F11"/>
  <c r="F15"/>
  <c r="F16"/>
  <c r="F29"/>
  <c r="F12"/>
  <c r="F14"/>
  <c r="F32"/>
  <c r="F46" i="15"/>
  <c r="F47"/>
  <c r="F62" i="25" l="1"/>
  <c r="F61"/>
  <c r="F57"/>
  <c r="F59"/>
  <c r="F58"/>
  <c r="F60"/>
  <c r="F53"/>
  <c r="F52"/>
  <c r="F63"/>
  <c r="F52" i="15" l="1"/>
  <c r="F50"/>
  <c r="F54" s="1"/>
  <c r="F57"/>
  <c r="F58" s="1"/>
  <c r="F25"/>
  <c r="F26" s="1"/>
  <c r="F23"/>
  <c r="F20"/>
  <c r="F21" s="1"/>
  <c r="E18"/>
  <c r="F17"/>
  <c r="F13"/>
  <c r="F10"/>
  <c r="F14" s="1"/>
  <c r="F21" i="11"/>
  <c r="F19"/>
  <c r="E19"/>
  <c r="F11"/>
  <c r="F17"/>
  <c r="F10"/>
  <c r="F14" s="1"/>
  <c r="F35"/>
  <c r="F34"/>
  <c r="F31"/>
  <c r="F36" s="1"/>
  <c r="F53" i="15" l="1"/>
  <c r="F51"/>
  <c r="F18"/>
  <c r="F30"/>
  <c r="F28"/>
  <c r="F29"/>
  <c r="F27"/>
  <c r="F12"/>
  <c r="F11"/>
  <c r="F12" i="11"/>
  <c r="F33"/>
  <c r="F32"/>
  <c r="F39" i="9" l="1"/>
  <c r="F41" s="1"/>
  <c r="F34"/>
  <c r="F35" s="1"/>
  <c r="F36" s="1"/>
  <c r="F32"/>
  <c r="F30"/>
  <c r="F29"/>
  <c r="F26"/>
  <c r="F28" s="1"/>
  <c r="F18"/>
  <c r="F19" s="1"/>
  <c r="F16"/>
  <c r="F14"/>
  <c r="F13"/>
  <c r="F11"/>
  <c r="F10"/>
  <c r="F12" s="1"/>
  <c r="F13" i="4"/>
  <c r="D13"/>
  <c r="E17" i="5"/>
  <c r="F17" s="1"/>
  <c r="F40" i="9" l="1"/>
  <c r="F27"/>
  <c r="F21"/>
  <c r="F22"/>
  <c r="F23"/>
  <c r="F20"/>
  <c r="E13" i="4"/>
  <c r="D25" l="1"/>
  <c r="E25"/>
  <c r="F25"/>
  <c r="G23"/>
  <c r="G22"/>
  <c r="G20"/>
  <c r="G18"/>
  <c r="G17"/>
  <c r="G15"/>
  <c r="G13"/>
  <c r="G25" l="1"/>
  <c r="G27" s="1"/>
  <c r="G28" s="1"/>
  <c r="G29" s="1"/>
  <c r="G30" s="1"/>
  <c r="G31" s="1"/>
  <c r="G32" l="1"/>
  <c r="G33" s="1"/>
  <c r="G35" s="1"/>
  <c r="E38" s="1"/>
  <c r="J31" i="29" l="1"/>
  <c r="J29"/>
  <c r="J28"/>
  <c r="J27"/>
  <c r="I42" i="30" l="1"/>
  <c r="I41"/>
  <c r="D42"/>
  <c r="D41"/>
  <c r="C42"/>
  <c r="E42" s="1"/>
  <c r="C41"/>
  <c r="A42"/>
  <c r="A41"/>
  <c r="B42"/>
  <c r="B41"/>
  <c r="F41" l="1"/>
  <c r="E41"/>
  <c r="F42"/>
  <c r="G70" i="29" l="1"/>
  <c r="K70" s="1"/>
  <c r="H42" i="30" l="1"/>
  <c r="G42" s="1"/>
  <c r="E28" i="11" l="1"/>
  <c r="E26"/>
  <c r="F26" s="1"/>
  <c r="E25"/>
  <c r="F25" s="1"/>
  <c r="E23"/>
  <c r="E20"/>
  <c r="F20" s="1"/>
  <c r="E18"/>
  <c r="F18" s="1"/>
  <c r="F28"/>
  <c r="F24"/>
  <c r="F23"/>
  <c r="F22"/>
  <c r="H41" i="30" l="1"/>
  <c r="G41" s="1"/>
  <c r="G69" i="2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I89" i="30" l="1"/>
  <c r="D89"/>
  <c r="C89"/>
  <c r="E89" s="1"/>
  <c r="A89"/>
  <c r="B89"/>
  <c r="B88"/>
  <c r="B29" i="31" s="1"/>
  <c r="I82" i="30"/>
  <c r="I81"/>
  <c r="I80"/>
  <c r="I79"/>
  <c r="I78"/>
  <c r="I77"/>
  <c r="I76"/>
  <c r="I75"/>
  <c r="D82"/>
  <c r="D80"/>
  <c r="D79"/>
  <c r="D78"/>
  <c r="D77"/>
  <c r="D76"/>
  <c r="D75"/>
  <c r="C82"/>
  <c r="C81"/>
  <c r="E81" s="1"/>
  <c r="C80"/>
  <c r="E80" s="1"/>
  <c r="C79"/>
  <c r="F79" s="1"/>
  <c r="C78"/>
  <c r="E78" s="1"/>
  <c r="C77"/>
  <c r="F77" s="1"/>
  <c r="C76"/>
  <c r="E76" s="1"/>
  <c r="C75"/>
  <c r="F75" s="1"/>
  <c r="A82"/>
  <c r="A81"/>
  <c r="A80"/>
  <c r="A79"/>
  <c r="A78"/>
  <c r="A77"/>
  <c r="A76"/>
  <c r="A75"/>
  <c r="B82"/>
  <c r="B81"/>
  <c r="B80"/>
  <c r="B79"/>
  <c r="B78"/>
  <c r="B77"/>
  <c r="B76"/>
  <c r="B75"/>
  <c r="B74"/>
  <c r="B28" i="31" s="1"/>
  <c r="I68" i="30"/>
  <c r="I67"/>
  <c r="I66"/>
  <c r="I65"/>
  <c r="I64"/>
  <c r="I63"/>
  <c r="D68"/>
  <c r="D66"/>
  <c r="D65"/>
  <c r="D64"/>
  <c r="D63"/>
  <c r="C68"/>
  <c r="E68" s="1"/>
  <c r="C67"/>
  <c r="E67" s="1"/>
  <c r="C66"/>
  <c r="E66" s="1"/>
  <c r="C65"/>
  <c r="E65" s="1"/>
  <c r="C64"/>
  <c r="E64" s="1"/>
  <c r="C63"/>
  <c r="E63" s="1"/>
  <c r="A68"/>
  <c r="A67"/>
  <c r="A66"/>
  <c r="A65"/>
  <c r="A64"/>
  <c r="A63"/>
  <c r="B68"/>
  <c r="B67"/>
  <c r="B66"/>
  <c r="B65"/>
  <c r="B64"/>
  <c r="B63"/>
  <c r="B62"/>
  <c r="B26" i="31" s="1"/>
  <c r="I56" i="30"/>
  <c r="I55"/>
  <c r="I54"/>
  <c r="I53"/>
  <c r="I52"/>
  <c r="I51"/>
  <c r="I50"/>
  <c r="I49"/>
  <c r="D56"/>
  <c r="D54"/>
  <c r="D50"/>
  <c r="D49"/>
  <c r="C56"/>
  <c r="E56" s="1"/>
  <c r="C55"/>
  <c r="E55" s="1"/>
  <c r="C54"/>
  <c r="E54" s="1"/>
  <c r="C53"/>
  <c r="C52"/>
  <c r="E52" s="1"/>
  <c r="C51"/>
  <c r="C50"/>
  <c r="E50" s="1"/>
  <c r="C49"/>
  <c r="F49" s="1"/>
  <c r="A56"/>
  <c r="A55"/>
  <c r="A54"/>
  <c r="A53"/>
  <c r="A52"/>
  <c r="A51"/>
  <c r="A50"/>
  <c r="A49"/>
  <c r="B56"/>
  <c r="B55"/>
  <c r="B54"/>
  <c r="B53"/>
  <c r="B52"/>
  <c r="B51"/>
  <c r="B50"/>
  <c r="B49"/>
  <c r="B48"/>
  <c r="B24" i="31" s="1"/>
  <c r="B40" i="30"/>
  <c r="B23" i="31" s="1"/>
  <c r="I34" i="30"/>
  <c r="I33"/>
  <c r="I32"/>
  <c r="I31"/>
  <c r="I30"/>
  <c r="I29"/>
  <c r="I28"/>
  <c r="D34"/>
  <c r="D31"/>
  <c r="D28"/>
  <c r="C34"/>
  <c r="E34" s="1"/>
  <c r="C33"/>
  <c r="C32"/>
  <c r="C31"/>
  <c r="C30"/>
  <c r="E30" s="1"/>
  <c r="C29"/>
  <c r="E29" s="1"/>
  <c r="C28"/>
  <c r="A34"/>
  <c r="A33"/>
  <c r="A32"/>
  <c r="A31"/>
  <c r="A30"/>
  <c r="A29"/>
  <c r="A28"/>
  <c r="B34"/>
  <c r="B33"/>
  <c r="B32"/>
  <c r="B31"/>
  <c r="B30"/>
  <c r="B29"/>
  <c r="B28"/>
  <c r="B27"/>
  <c r="B21" i="31" s="1"/>
  <c r="B20" i="30"/>
  <c r="B19" i="31" s="1"/>
  <c r="I21" i="30"/>
  <c r="D21"/>
  <c r="C21"/>
  <c r="A21"/>
  <c r="B21"/>
  <c r="A13"/>
  <c r="A3"/>
  <c r="A3" i="31" s="1"/>
  <c r="A7" i="30"/>
  <c r="A7" i="31" s="1"/>
  <c r="F82" i="30" l="1"/>
  <c r="F89"/>
  <c r="F65"/>
  <c r="F80"/>
  <c r="E79"/>
  <c r="F63"/>
  <c r="E77"/>
  <c r="E82"/>
  <c r="F68"/>
  <c r="E75"/>
  <c r="F78"/>
  <c r="F66"/>
  <c r="F64"/>
  <c r="F76"/>
  <c r="E53"/>
  <c r="F54"/>
  <c r="F56"/>
  <c r="F50"/>
  <c r="E51"/>
  <c r="E49"/>
  <c r="F31"/>
  <c r="E31"/>
  <c r="F34"/>
  <c r="F28"/>
  <c r="E33"/>
  <c r="E28"/>
  <c r="E32"/>
  <c r="F21"/>
  <c r="E21"/>
  <c r="D81" l="1"/>
  <c r="F81" s="1"/>
  <c r="H75" l="1"/>
  <c r="G75" s="1"/>
  <c r="D67" l="1"/>
  <c r="F67" s="1"/>
  <c r="D53"/>
  <c r="F53" s="1"/>
  <c r="H50"/>
  <c r="G50" s="1"/>
  <c r="H56"/>
  <c r="G56" s="1"/>
  <c r="F38" i="15"/>
  <c r="F33"/>
  <c r="F39" l="1"/>
  <c r="D55" i="30"/>
  <c r="F55" s="1"/>
  <c r="D52"/>
  <c r="F52" s="1"/>
  <c r="D51"/>
  <c r="F51" s="1"/>
  <c r="H52"/>
  <c r="H51"/>
  <c r="F40" i="15"/>
  <c r="G52" i="30" l="1"/>
  <c r="G51"/>
  <c r="K69" i="29" l="1"/>
  <c r="A22"/>
  <c r="H34" i="30" l="1"/>
  <c r="G34" s="1"/>
  <c r="D33" l="1"/>
  <c r="F33" s="1"/>
  <c r="D32"/>
  <c r="F32" s="1"/>
  <c r="H33"/>
  <c r="H32"/>
  <c r="D30"/>
  <c r="F30" s="1"/>
  <c r="D29"/>
  <c r="F29" s="1"/>
  <c r="K68" i="29"/>
  <c r="J68"/>
  <c r="J67"/>
  <c r="D67"/>
  <c r="K67" s="1"/>
  <c r="D66"/>
  <c r="K66" s="1"/>
  <c r="K65"/>
  <c r="K64"/>
  <c r="D64"/>
  <c r="K63"/>
  <c r="K62"/>
  <c r="K61"/>
  <c r="K60"/>
  <c r="K59"/>
  <c r="K58"/>
  <c r="K57"/>
  <c r="J56"/>
  <c r="D56"/>
  <c r="K56" s="1"/>
  <c r="K55"/>
  <c r="J55"/>
  <c r="D55"/>
  <c r="K54"/>
  <c r="J54"/>
  <c r="D54"/>
  <c r="K53"/>
  <c r="K52"/>
  <c r="K51"/>
  <c r="K50"/>
  <c r="K49"/>
  <c r="K48"/>
  <c r="K47"/>
  <c r="K46"/>
  <c r="K45"/>
  <c r="K44"/>
  <c r="K43"/>
  <c r="D42"/>
  <c r="K42" s="1"/>
  <c r="K41"/>
  <c r="H55" i="30" s="1"/>
  <c r="G55" s="1"/>
  <c r="K40" i="29"/>
  <c r="K39"/>
  <c r="K38"/>
  <c r="K37"/>
  <c r="H82" i="30" s="1"/>
  <c r="G82" s="1"/>
  <c r="K36" i="29"/>
  <c r="K35"/>
  <c r="H67" i="30" s="1"/>
  <c r="G67" s="1"/>
  <c r="K34" i="29"/>
  <c r="K33"/>
  <c r="K32"/>
  <c r="K31"/>
  <c r="K30"/>
  <c r="K29"/>
  <c r="K28"/>
  <c r="K27"/>
  <c r="K26"/>
  <c r="K25"/>
  <c r="K24"/>
  <c r="K23"/>
  <c r="K22"/>
  <c r="K21"/>
  <c r="A3"/>
  <c r="G32" i="30" l="1"/>
  <c r="G33"/>
  <c r="H79"/>
  <c r="G79" s="1"/>
  <c r="H65"/>
  <c r="G65" s="1"/>
  <c r="H80"/>
  <c r="G80" s="1"/>
  <c r="H66"/>
  <c r="G66" s="1"/>
  <c r="H53"/>
  <c r="G53" s="1"/>
  <c r="H49"/>
  <c r="H31"/>
  <c r="G31" s="1"/>
  <c r="A7" i="29"/>
  <c r="H54" i="30" l="1"/>
  <c r="G54" s="1"/>
  <c r="G49"/>
  <c r="H57" l="1"/>
  <c r="H58" s="1"/>
  <c r="H59" s="1"/>
  <c r="H60" s="1"/>
  <c r="H61" s="1"/>
  <c r="D24" i="31" s="1"/>
  <c r="H43" i="30"/>
  <c r="H44" s="1"/>
  <c r="H45" s="1"/>
  <c r="H46" s="1"/>
  <c r="H47" s="1"/>
  <c r="D23" i="31" s="1"/>
  <c r="H89" i="30" l="1"/>
  <c r="G89" s="1"/>
  <c r="H68"/>
  <c r="G68" s="1"/>
  <c r="H76"/>
  <c r="G76" s="1"/>
  <c r="H77"/>
  <c r="G77" s="1"/>
  <c r="H78"/>
  <c r="G78" s="1"/>
  <c r="H81"/>
  <c r="H64"/>
  <c r="G64" s="1"/>
  <c r="H90" l="1"/>
  <c r="H91" s="1"/>
  <c r="H92" s="1"/>
  <c r="H93" s="1"/>
  <c r="H94" s="1"/>
  <c r="D29" i="31" s="1"/>
  <c r="G81" i="30"/>
  <c r="H83"/>
  <c r="H84" s="1"/>
  <c r="H85" s="1"/>
  <c r="H86" s="1"/>
  <c r="H87" s="1"/>
  <c r="D28" i="31" s="1"/>
  <c r="H63" i="30" l="1"/>
  <c r="G63" l="1"/>
  <c r="H69"/>
  <c r="H70" s="1"/>
  <c r="H71" s="1"/>
  <c r="H72" s="1"/>
  <c r="H73" s="1"/>
  <c r="D26" i="31" s="1"/>
  <c r="H29" i="30" l="1"/>
  <c r="G29" s="1"/>
  <c r="H28" l="1"/>
  <c r="G28" l="1"/>
  <c r="H30" l="1"/>
  <c r="H21"/>
  <c r="H22" l="1"/>
  <c r="H23" s="1"/>
  <c r="H24" s="1"/>
  <c r="H25" s="1"/>
  <c r="H26" s="1"/>
  <c r="D19" i="31" s="1"/>
  <c r="G21" i="30"/>
  <c r="G30"/>
  <c r="H35"/>
  <c r="H36" s="1"/>
  <c r="H37" s="1"/>
  <c r="H38" s="1"/>
  <c r="H39" s="1"/>
  <c r="D21" i="31" s="1"/>
  <c r="D30" l="1"/>
  <c r="D31" s="1"/>
  <c r="D32" s="1"/>
  <c r="D33" s="1"/>
  <c r="D34" s="1"/>
</calcChain>
</file>

<file path=xl/sharedStrings.xml><?xml version="1.0" encoding="utf-8"?>
<sst xmlns="http://schemas.openxmlformats.org/spreadsheetml/2006/main" count="1234" uniqueCount="381">
  <si>
    <t>1.1.1</t>
  </si>
  <si>
    <t>კაც/სთ</t>
  </si>
  <si>
    <t>N</t>
  </si>
  <si>
    <t>სამუშაოებისა და მასალების დასახელება</t>
  </si>
  <si>
    <t>ჯამი</t>
  </si>
  <si>
    <t>ნორმა</t>
  </si>
  <si>
    <t>ხელფასი</t>
  </si>
  <si>
    <t>განზ. ერთ.</t>
  </si>
  <si>
    <t>რაოდენობა</t>
  </si>
  <si>
    <t>I</t>
  </si>
  <si>
    <t>ზედნადები ხარჯები</t>
  </si>
  <si>
    <t>გეგმიური დაგროვება</t>
  </si>
  <si>
    <t>%</t>
  </si>
  <si>
    <t>სხვა მანქანები</t>
  </si>
  <si>
    <t>სხვა მასალები</t>
  </si>
  <si>
    <t>შრომითი დანახარჯები</t>
  </si>
  <si>
    <t>II</t>
  </si>
  <si>
    <t xml:space="preserve">დამკვეთი: </t>
  </si>
  <si>
    <t xml:space="preserve">საპროექტო ორგანიზაცია: </t>
  </si>
  <si>
    <t>სამშენებლო კომპანია:</t>
  </si>
  <si>
    <t>ოთარ დავითაძე</t>
  </si>
  <si>
    <t>1.2.1</t>
  </si>
  <si>
    <t>1.4.1</t>
  </si>
  <si>
    <t>ტ</t>
  </si>
  <si>
    <t>მანქ/სთ</t>
  </si>
  <si>
    <t>ლარი</t>
  </si>
  <si>
    <t>გაუთვალისწინებელი ხარჯები</t>
  </si>
  <si>
    <t>დ.ღ.გ</t>
  </si>
  <si>
    <t xml:space="preserve">                  ფასთა კრებული: 2017 წლის მე-4 კვარტალი </t>
  </si>
  <si>
    <t xml:space="preserve">                                ვალუტა: ლარი ₾</t>
  </si>
  <si>
    <t>1.3.1</t>
  </si>
  <si>
    <t>ტვირთის ტრანსპორტირება ნაყარში 3 კმ მანძილზე</t>
  </si>
  <si>
    <t>მოსამზადებელი სამუშაოები</t>
  </si>
  <si>
    <t>ტრასის აღდგენა და გამაგრება</t>
  </si>
  <si>
    <t>კმ</t>
  </si>
  <si>
    <t>1.2.2</t>
  </si>
  <si>
    <t>1.2.3</t>
  </si>
  <si>
    <t>1.2.4</t>
  </si>
  <si>
    <t>1.2.5</t>
  </si>
  <si>
    <t>1.2.6</t>
  </si>
  <si>
    <t xml:space="preserve">შრომითი დანახარჯები </t>
  </si>
  <si>
    <t>ტვირთის ტრანსპორტირების ხარჯები</t>
  </si>
  <si>
    <t>მასალის დასახელება</t>
  </si>
  <si>
    <t>სამონტაჟო მასალები</t>
  </si>
  <si>
    <t>ტრანსპორტირების მანძილი              (კმ)</t>
  </si>
  <si>
    <t>1.3.2</t>
  </si>
  <si>
    <t>1.3.3</t>
  </si>
  <si>
    <t>1.3.4</t>
  </si>
  <si>
    <t>კრებისთი ხარჯთაღრიცხვა</t>
  </si>
  <si>
    <t>სამშენებლო მასალების ღირებულება, სულ</t>
  </si>
  <si>
    <t>შრომის ანაზღაურება, სულ</t>
  </si>
  <si>
    <t>მანქანა/მექანიზმის ღირებულება, სულ</t>
  </si>
  <si>
    <t>სახარჯთაღრიცხვო ღირებულება, სულ</t>
  </si>
  <si>
    <t>თავი 1. მოსამზადებელი სამუშაოები</t>
  </si>
  <si>
    <t>თავი 2. მიწის ვაკისი</t>
  </si>
  <si>
    <t>თავი 3. ხელოვნური ნაგებობები</t>
  </si>
  <si>
    <t>თავი 4. გზის სამოსი</t>
  </si>
  <si>
    <t>თავი 5. გზის კუთვნილება და მოწყობილობა</t>
  </si>
  <si>
    <t>მიწის ვაკისი</t>
  </si>
  <si>
    <t xml:space="preserve">ხარჯთაღმრიცხველი: </t>
  </si>
  <si>
    <t>საგზაო სამოსი</t>
  </si>
  <si>
    <t>Checked</t>
  </si>
  <si>
    <t>1.6.1</t>
  </si>
  <si>
    <t>1.6.2</t>
  </si>
  <si>
    <t>1.7.1</t>
  </si>
  <si>
    <t>1.7.2</t>
  </si>
  <si>
    <t>1.8.1</t>
  </si>
  <si>
    <t>1.8.2</t>
  </si>
  <si>
    <t>ავტოგრეიდერი საშუალო ტიპის 79 კვტ (108 ც.ძ.)</t>
  </si>
  <si>
    <t>მოსარწყავ-მოსარეცხი მანქანა 6000 ლ</t>
  </si>
  <si>
    <t>წყალი</t>
  </si>
  <si>
    <t xml:space="preserve">მე-3 კატეგორიის გრუნტის დამუშავება და დატვირთვა ექსკავატორით ავტოთვითმცლელზე </t>
  </si>
  <si>
    <t>1-22-15</t>
  </si>
  <si>
    <t>მე-3 კატეგორიის გრუნტის დამუშავება ნაყარში</t>
  </si>
  <si>
    <t>1-25-2</t>
  </si>
  <si>
    <t>ბულდოზერი 79 კვტ (108 ც.ძ.)</t>
  </si>
  <si>
    <t>თხევადი ბიტუმის მოსხმა</t>
  </si>
  <si>
    <t>27-63-1</t>
  </si>
  <si>
    <t>ავტოგუდრონატორი 3500 ლ</t>
  </si>
  <si>
    <t>თვითმავალი სატკეპნი საგზაო, პნევმოსვლით 18 ტ</t>
  </si>
  <si>
    <t>თვითმავალი სატკეპნი საგზაო 5 ტ</t>
  </si>
  <si>
    <t>თვითმავალი სატკეპნი საგზაო 10 ტ</t>
  </si>
  <si>
    <t>ქვის ნამტვრევების გამანაწილებელი მანქანა</t>
  </si>
  <si>
    <t>ბიტუმის ემულსია</t>
  </si>
  <si>
    <t>ასფალტობეტონის დამგები</t>
  </si>
  <si>
    <t>ბეტონი B25 F200 W6</t>
  </si>
  <si>
    <t>ხის ფიცარი ყალიბის 25-40 მმ</t>
  </si>
  <si>
    <r>
      <t>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</si>
  <si>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ფიცარი ჩამოგანილი სისქით 40-60 მმ, III ხარისხის</t>
  </si>
  <si>
    <t>ც</t>
  </si>
  <si>
    <t>საპრ.</t>
  </si>
  <si>
    <t>კგ</t>
  </si>
  <si>
    <t>შრომითი დანახარჯი</t>
  </si>
  <si>
    <t>100 მ</t>
  </si>
  <si>
    <t>ქვიშა-ხრეშოვანი ნარევი</t>
  </si>
  <si>
    <t>რ/ბ ანაკრები კიუვეტი</t>
  </si>
  <si>
    <t>მ</t>
  </si>
  <si>
    <t>მიერთებებისა და ადგილობრივი შესასვლელების მოწყობის სამუშაოები</t>
  </si>
  <si>
    <t>ლითონის მილი D=1220 მმ, კედლის სისქე t=14მმ</t>
  </si>
  <si>
    <t>ბიტუმი ნავთობის</t>
  </si>
  <si>
    <t xml:space="preserve">სხვა მასალები </t>
  </si>
  <si>
    <t>1 ტ</t>
  </si>
  <si>
    <t>კუთხოვანა 60X80X3 მმ</t>
  </si>
  <si>
    <t>ცემენტის ხსნარი M200</t>
  </si>
  <si>
    <t>ცემენტის ხსნარი 1:3</t>
  </si>
  <si>
    <t>ფოლადის ზოლოვანა 60X6 მმ</t>
  </si>
  <si>
    <t>ფოლადის კვადრატი 8X8 მმ</t>
  </si>
  <si>
    <t>არმატურა A-I d=8 მმ</t>
  </si>
  <si>
    <t>შემასწორებელი ფენის მოწყობა ქვიშა-ხრეშოვანი ნარევით</t>
  </si>
  <si>
    <t xml:space="preserve">წყალი </t>
  </si>
  <si>
    <t xml:space="preserve">მოსარწყავ-მოსარეცხი მანქანა 6000 ლ </t>
  </si>
  <si>
    <t xml:space="preserve">თვითმავალი სატკეპნი საგზაო 10 ტ </t>
  </si>
  <si>
    <t xml:space="preserve">თვითმავალი სატკეპნი საგზაო 5 ტ </t>
  </si>
  <si>
    <t xml:space="preserve">ავტოგრეიდერი საშუალო ტიპის 79 კვტ (108 ც.ძ.) </t>
  </si>
  <si>
    <t>ბეტონი B22.5 F200 W6</t>
  </si>
  <si>
    <t>ლითონის მრუდხაზოვანი ზღუდარის მოწყობა</t>
  </si>
  <si>
    <t>27-50-6</t>
  </si>
  <si>
    <t>1-68-3</t>
  </si>
  <si>
    <t>ტერიტორიის მოშანდაკება</t>
  </si>
  <si>
    <t xml:space="preserve">მსხვილმარცვლოვანი ასფალტობეტონი </t>
  </si>
  <si>
    <t xml:space="preserve">წვრილმარცვლოვანი ასფალტობეტონი </t>
  </si>
  <si>
    <t>აგური  25X12X6.5 სმ</t>
  </si>
  <si>
    <t>ცემენტი M400</t>
  </si>
  <si>
    <t xml:space="preserve">წონა     ტ </t>
  </si>
  <si>
    <t>ტრანსპორტირების დაწყების ადგილი</t>
  </si>
  <si>
    <t xml:space="preserve">ტრანსპორტირების </t>
  </si>
  <si>
    <t xml:space="preserve">კლასი </t>
  </si>
  <si>
    <t>კოეფ.</t>
  </si>
  <si>
    <t>ღორღი, ფრაქცია 5-10 მმ, მარკა 600-1200</t>
  </si>
  <si>
    <t>ქვიშა შავი 0.5 სმ</t>
  </si>
  <si>
    <t>ხის მორი</t>
  </si>
  <si>
    <t>ფიცარი ჩამოგანილი სისქით 25-32 მმ, III ხარისხის</t>
  </si>
  <si>
    <t>არმატურა A-III კლასი</t>
  </si>
  <si>
    <r>
      <t>1 მ</t>
    </r>
    <r>
      <rPr>
        <sz val="16"/>
        <color theme="1"/>
        <rFont val="Sylfaen"/>
        <family val="1"/>
      </rPr>
      <t>³</t>
    </r>
  </si>
  <si>
    <t>გადაზიდვის მანძილი, კმ</t>
  </si>
  <si>
    <t>სატარიფო გადასახადი 1 ტ ტვირთის გადაზიდვისას, ლ</t>
  </si>
  <si>
    <t>1 ტ-ის ტრანსპორტირების ხარჯი                        ₾</t>
  </si>
  <si>
    <t>ღორღი, ფრაქცია 0-40 მმ, მარკა 600-1200</t>
  </si>
  <si>
    <t>მასალის საბაზრო ფასი</t>
  </si>
  <si>
    <r>
      <t>1 მ</t>
    </r>
    <r>
      <rPr>
        <sz val="16"/>
        <color theme="1"/>
        <rFont val="Sylfaen"/>
        <family val="1"/>
      </rPr>
      <t>²</t>
    </r>
    <r>
      <rPr>
        <sz val="14"/>
        <color theme="1"/>
        <rFont val="Sylfaen"/>
        <family val="1"/>
      </rPr>
      <t xml:space="preserve"> </t>
    </r>
  </si>
  <si>
    <t>სრფ საფუძველი</t>
  </si>
  <si>
    <t>4-344, 4-359</t>
  </si>
  <si>
    <t>4-246</t>
  </si>
  <si>
    <t>5-138</t>
  </si>
  <si>
    <t>5-22</t>
  </si>
  <si>
    <t>ერთეული განზომილების  მასალის ტრანსპორტირება</t>
  </si>
  <si>
    <t>4-222</t>
  </si>
  <si>
    <t>ბეტონი B7,5</t>
  </si>
  <si>
    <t>4-339</t>
  </si>
  <si>
    <t>4-371</t>
  </si>
  <si>
    <t>5-7</t>
  </si>
  <si>
    <t>5-19</t>
  </si>
  <si>
    <t>1  ტ</t>
  </si>
  <si>
    <t>1-1</t>
  </si>
  <si>
    <t>4-537</t>
  </si>
  <si>
    <t>4-224</t>
  </si>
  <si>
    <t>ყორე-ქვა</t>
  </si>
  <si>
    <t>4-228</t>
  </si>
  <si>
    <t>უახლოესი კარიერი</t>
  </si>
  <si>
    <t>1 მ</t>
  </si>
  <si>
    <t>4-90</t>
  </si>
  <si>
    <t xml:space="preserve">ქვიშახრეშოვანი ნარევი </t>
  </si>
  <si>
    <t>4-172</t>
  </si>
  <si>
    <t>4-538</t>
  </si>
  <si>
    <t>4-522</t>
  </si>
  <si>
    <t>4-524</t>
  </si>
  <si>
    <t>2-1</t>
  </si>
  <si>
    <t>ბაზა</t>
  </si>
  <si>
    <t>1-10</t>
  </si>
  <si>
    <t>1-4-27</t>
  </si>
  <si>
    <t>1-4-76</t>
  </si>
  <si>
    <t>4-379</t>
  </si>
  <si>
    <t>ბეტონი B15</t>
  </si>
  <si>
    <t>4-341</t>
  </si>
  <si>
    <t>ბეტონი B25</t>
  </si>
  <si>
    <t>ცემენტის ხსნარი 1:2</t>
  </si>
  <si>
    <t xml:space="preserve">ქვიშა ყვითელი ხსნარის </t>
  </si>
  <si>
    <t>4-221</t>
  </si>
  <si>
    <t>4-378</t>
  </si>
  <si>
    <t>1  ც</t>
  </si>
  <si>
    <t>4-1</t>
  </si>
  <si>
    <t>2-1-29</t>
  </si>
  <si>
    <t>ფიცარი ჩამოგანილი სისქით 70 მმ, II ხარისხის</t>
  </si>
  <si>
    <t>ბეტონი B30 F200 W6</t>
  </si>
  <si>
    <t xml:space="preserve">ბეტონი B30  </t>
  </si>
  <si>
    <t xml:space="preserve">ლითონის მოაჯირი </t>
  </si>
  <si>
    <t>ბეტონის უსაფრთხოების ბარიერი</t>
  </si>
  <si>
    <t>ბეტონის ბლოკი</t>
  </si>
  <si>
    <t>ლითონის მილი d-1500 მმ</t>
  </si>
  <si>
    <t>გრუნტის ტრანსპორტირება კარიერიდან 15 კმ მანძილზე</t>
  </si>
  <si>
    <t xml:space="preserve">ხრეშოვანი გრუნტის დატვირთვა კარიერში ექსკავატორით ავტოთვითმცლელზე </t>
  </si>
  <si>
    <t>შემოტანილი გრუნტის მოსწორება ბულდოზერით</t>
  </si>
  <si>
    <t>3-1</t>
  </si>
  <si>
    <t>3-2</t>
  </si>
  <si>
    <t>5-1</t>
  </si>
  <si>
    <t>5-2</t>
  </si>
  <si>
    <t>1.1.2</t>
  </si>
  <si>
    <t>1.1.3</t>
  </si>
  <si>
    <t>1.1.4</t>
  </si>
  <si>
    <t>1.5.1</t>
  </si>
  <si>
    <t>1.5.2</t>
  </si>
  <si>
    <t>1.5.3</t>
  </si>
  <si>
    <t>1.5.4</t>
  </si>
  <si>
    <t>1.1.5</t>
  </si>
  <si>
    <t>1.1.6</t>
  </si>
  <si>
    <t>1.7.3</t>
  </si>
  <si>
    <t>1.7.4</t>
  </si>
  <si>
    <t>1.7.5</t>
  </si>
  <si>
    <t>1.7.6</t>
  </si>
  <si>
    <t>1.7.7</t>
  </si>
  <si>
    <t>1.3.5</t>
  </si>
  <si>
    <t>1.3.6</t>
  </si>
  <si>
    <t>1.3.7</t>
  </si>
  <si>
    <t>1.5.5</t>
  </si>
  <si>
    <t>1.5.6</t>
  </si>
  <si>
    <t>1.6.3</t>
  </si>
  <si>
    <t>1.6.4</t>
  </si>
  <si>
    <t>1.6.5</t>
  </si>
  <si>
    <t>1.6.6</t>
  </si>
  <si>
    <t>1.8.3</t>
  </si>
  <si>
    <t>1.8.4</t>
  </si>
  <si>
    <t>1.8.5</t>
  </si>
  <si>
    <t>1.4.2</t>
  </si>
  <si>
    <t>1.4.3</t>
  </si>
  <si>
    <t>1.4.4</t>
  </si>
  <si>
    <t>1.5.7</t>
  </si>
  <si>
    <t>1.3.8</t>
  </si>
  <si>
    <t>მისაყრელი გვერდულების მოწყობა ქვიშა-ხრეშოვანი ნარევით</t>
  </si>
  <si>
    <t>ზუგდიდი</t>
  </si>
  <si>
    <t>ფლეთილი ქვა</t>
  </si>
  <si>
    <t>ლითონის დგარი d-76მმ , 2.5 მ</t>
  </si>
  <si>
    <t>ლითონის დგარი d-102მმ , 3.5 მ</t>
  </si>
  <si>
    <t>ლითონის დგარი d-114მმ , 3.5 მ</t>
  </si>
  <si>
    <t>დგარი CД-6, CД-7, CД-8</t>
  </si>
  <si>
    <t>ფოლადის რესორის კომპენსატორი და სამაგრი საშუალებები</t>
  </si>
  <si>
    <t>ფოლადის ბაგირი</t>
  </si>
  <si>
    <t>გაბიონის კალათა უჯრედით 8X10სმ, ზომით 2X1X1 მ, მოთუთიებული მავთულის სისქე t=2,7 მმ</t>
  </si>
  <si>
    <t>1-8-6</t>
  </si>
  <si>
    <t>გაბიონის კალათა უჯრედით 8X10სმ, ზომით 1,5X1X1 მ, მოთუთიებული მავთულის სისქე t=2,7 მმ</t>
  </si>
  <si>
    <t>1-8-5</t>
  </si>
  <si>
    <t>რკინაბეტონის ანაკრები მილი d-1000 მმ L-2000 მმ</t>
  </si>
  <si>
    <t>რკინაბეტონის ანაკრები მილი d-1000 მმ L-1000 მმ</t>
  </si>
  <si>
    <t>რკინაბეტონის ანაკრები მილი d-1500 მმ L-1000 მმ</t>
  </si>
  <si>
    <t>გაბიონის ყუთების მოწყობის სამუშაოები</t>
  </si>
  <si>
    <t>უჟანგავი გაბიონის ყუთების მოწყობა</t>
  </si>
  <si>
    <t>ЕНиР 61г №13-15 а1 а4009</t>
  </si>
  <si>
    <t>შესაკრავი მავთული</t>
  </si>
  <si>
    <t xml:space="preserve">უჟანგავი გაბიონის ყუთების შევსება ფლეთილი ქვით </t>
  </si>
  <si>
    <t>კედლის უკანა სივრცის შევსება ადგილობრივი ხრეშოვანი გრუნტით ხელით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</si>
  <si>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სმ.</t>
  </si>
  <si>
    <t>წვრილმარცვლოვანი ასფალტობეტონი</t>
  </si>
  <si>
    <t>1.3.9</t>
  </si>
  <si>
    <t>საფუძვლის მოწყობა ქვიშა-ღორღის ნარევით h-10 სმ</t>
  </si>
  <si>
    <t>საფარის მოწყობა წვრილმარცვლოვანი მკვრივი ა/ბეტონის ცხელი ნარევით ტიპი B მარკა II , სისქით 3 სმ.</t>
  </si>
  <si>
    <t>1.8.6</t>
  </si>
  <si>
    <t>ერთ. ფასი</t>
  </si>
  <si>
    <t>სულ</t>
  </si>
  <si>
    <t>ქარხანა</t>
  </si>
  <si>
    <t>ქუთაისი</t>
  </si>
  <si>
    <t>დაბა მესტიაში ხაფთანის ქუჩის სარეაბილიტაციო სამუშაოების ლოკალურ-რესურსული ხარჯთაღრიცხვა</t>
  </si>
  <si>
    <t>რ/ბ კედლის აღდგენა</t>
  </si>
  <si>
    <t>არმატურის კარკასი</t>
  </si>
  <si>
    <t>კედლების ტორკრეტირება 10 სმ</t>
  </si>
  <si>
    <t>კედლის ფასადის მოპირკეთება ქვის წყობით</t>
  </si>
  <si>
    <t>დეკორატიული ფლეთილი ქვა</t>
  </si>
  <si>
    <t>1.1.7</t>
  </si>
  <si>
    <t>1.1.8</t>
  </si>
  <si>
    <t>1.1.9</t>
  </si>
  <si>
    <t>ზღუდარის მონტაჟი</t>
  </si>
  <si>
    <t>პროექტის კოდი: KHAF-BoQ</t>
  </si>
  <si>
    <t>შესრულების თარიღი: 13/06/2018</t>
  </si>
  <si>
    <t>ვალუტა: ლარი ₾</t>
  </si>
  <si>
    <t xml:space="preserve">ფასთა კრებული: 2018 წლის II კვარტალი </t>
  </si>
  <si>
    <t>№</t>
  </si>
  <si>
    <t>საფუძველი</t>
  </si>
  <si>
    <t>სამუშაოს დასახელება</t>
  </si>
  <si>
    <t>ზ/ე</t>
  </si>
  <si>
    <t>ნორმატიული რესურსი</t>
  </si>
  <si>
    <t>მასალები</t>
  </si>
  <si>
    <t>ტრანსპორტი და მექანიზმები</t>
  </si>
  <si>
    <t>ერთ</t>
  </si>
  <si>
    <t>СЦИР-82, გვ. 557, ცხრ. 17; პ. 7 ა კ=1.1;  პ. 15 კ=1.13</t>
  </si>
  <si>
    <t>მ³</t>
  </si>
  <si>
    <t>მ3</t>
  </si>
  <si>
    <t>1000 მ3</t>
  </si>
  <si>
    <t>14-1-126</t>
  </si>
  <si>
    <t>ექსკავატორი პნევმოთვლიან სვლაზე 0.5 მ3</t>
  </si>
  <si>
    <t>4-1-238</t>
  </si>
  <si>
    <t>ღორღი ბუნებრივი ქვის ფრაქცია 40-70</t>
  </si>
  <si>
    <t>15-ტრ-3</t>
  </si>
  <si>
    <t>14-1-142</t>
  </si>
  <si>
    <t>15-ტრ-15</t>
  </si>
  <si>
    <t>14-1-143</t>
  </si>
  <si>
    <t>ბულდოზერი 96 კვტ (130 ც.ძ.)</t>
  </si>
  <si>
    <t>მ2</t>
  </si>
  <si>
    <t>10 000 მ2</t>
  </si>
  <si>
    <t>14-1-200</t>
  </si>
  <si>
    <t>100 მ2</t>
  </si>
  <si>
    <t>15-6-8.</t>
  </si>
  <si>
    <t>4-1-318</t>
  </si>
  <si>
    <t>4-1-379</t>
  </si>
  <si>
    <t>ბეტონის საგების  მომზადება სისქით 10 სმ</t>
  </si>
  <si>
    <t>100 მ3</t>
  </si>
  <si>
    <t>1-1-012</t>
  </si>
  <si>
    <t>არმატურა A-III კლასის</t>
  </si>
  <si>
    <t>პროექტი</t>
  </si>
  <si>
    <t>1.2.7</t>
  </si>
  <si>
    <t>1.2.8</t>
  </si>
  <si>
    <t>1.2.9</t>
  </si>
  <si>
    <t>15-61-1</t>
  </si>
  <si>
    <t>რკ/ბ კედლის აღდგენა</t>
  </si>
  <si>
    <t>6-29-2; -3</t>
  </si>
  <si>
    <t>წემენტის ზარბაზანი კომპრესორზე მომუშავე</t>
  </si>
  <si>
    <t>14-1-197</t>
  </si>
  <si>
    <t>14-1-114</t>
  </si>
  <si>
    <t>კომპრესორი მოძრავი ელექტროძრავით 7 ატმ., 0.5 მ3/წთ</t>
  </si>
  <si>
    <t>1.2.10</t>
  </si>
  <si>
    <t>1.2.11</t>
  </si>
  <si>
    <t>14-1-190</t>
  </si>
  <si>
    <t>ხსნარის ტუმბო 1 მ3/სთ</t>
  </si>
  <si>
    <t>14-1-323</t>
  </si>
  <si>
    <t>ქვიშაჭავლის აპარატი</t>
  </si>
  <si>
    <t>4-1-378</t>
  </si>
  <si>
    <t>ხსნარი მოსაპირკეთებელი, ცემენტის 1:2</t>
  </si>
  <si>
    <t>4-1-226</t>
  </si>
  <si>
    <t>4-1-187</t>
  </si>
  <si>
    <t>1-80-3</t>
  </si>
  <si>
    <t xml:space="preserve">მე-3 კატ. გრუნტის ფენის დამუშავება ხელით, სიღრმით 2 მ-მდე </t>
  </si>
  <si>
    <t>Е1-22/1-а</t>
  </si>
  <si>
    <t xml:space="preserve">გრუნტის დატვირთვა ავტოთვითმცლელზე ხელით </t>
  </si>
  <si>
    <t>ЕНиР</t>
  </si>
  <si>
    <t>В13-1-19/3-в</t>
  </si>
  <si>
    <t>გაბიონის საყრდენი კედლის მოწყობა კალათებით ზომით 2x1x1 მ</t>
  </si>
  <si>
    <t>ВНиР</t>
  </si>
  <si>
    <t>1-8-006</t>
  </si>
  <si>
    <t>გაბიონის კალათა უჯრედით 8x10სმ, ზომით 2x1x1 მ, მოთუთიებული მავთულის სისქე Ø2.7 მმ</t>
  </si>
  <si>
    <t>1-8-028</t>
  </si>
  <si>
    <t>გაბიონის სამონტაჟო მავთული Ø2.2 მმ</t>
  </si>
  <si>
    <t>4-1-231</t>
  </si>
  <si>
    <t>ფლეთილი ქვა გაბნიონებისათვის</t>
  </si>
  <si>
    <t>В13-1-19/3-б</t>
  </si>
  <si>
    <t>გაბიონის საყრდენი კედლის მოწყობა კალათებით ზომით 1.5x1x1 მ</t>
  </si>
  <si>
    <t>1-8-005</t>
  </si>
  <si>
    <t>გაბიონის კალათა უჯრედით 8x10სმ, ზომით 1.5x1x1 მ, მოთუთიებული მავთულის სისქე Ø2.7 მმ</t>
  </si>
  <si>
    <t>27-7-2.</t>
  </si>
  <si>
    <t>საფუძვლის ფენის მოწყობა ქვიშა-ღორღის ნარევით (ფრ. 0-40მმ), სისქით 18სმ.</t>
  </si>
  <si>
    <t>14-1-222</t>
  </si>
  <si>
    <t>14-1-228</t>
  </si>
  <si>
    <t>4-1-237</t>
  </si>
  <si>
    <t>ღორღი ბუნებრივი ქვის, ფრაქცია 0-40 მმ, მარკა 600-1200</t>
  </si>
  <si>
    <t>14-1-198</t>
  </si>
  <si>
    <t>14-1-538</t>
  </si>
  <si>
    <t>27-39-1; -2                            27-40-1; -2</t>
  </si>
  <si>
    <t>საფარის ქვედა ფენის მოწყობა  მსხვილმარცვლოვანი ფოროვანი ღორღოვანი ასფალტობეტონის ცხელი ნარევით, მარკა II, სისქით 6 სმ</t>
  </si>
  <si>
    <t>1000 მ2</t>
  </si>
  <si>
    <t>14-1-218</t>
  </si>
  <si>
    <t>14-1-219</t>
  </si>
  <si>
    <t>14-1-231</t>
  </si>
  <si>
    <t>4-1-522</t>
  </si>
  <si>
    <t>მსხვილმარცვლოვანი ასფალტობეტონი</t>
  </si>
  <si>
    <t>1000  მ2</t>
  </si>
  <si>
    <t>4-1-524</t>
  </si>
  <si>
    <t xml:space="preserve">ქვესაგები ფენის მოწყობა ქვიშახრეშოვანი ნარევით </t>
  </si>
  <si>
    <t>4-1-228</t>
  </si>
  <si>
    <t>საფარის ზედა ფენის მოწყობა  წვრილმარცვლოვანი მკვრივი ღორღოვანი ასფალტობეტონის ცხელი ნარევით, მარკა II, სისქით 3 სმ</t>
  </si>
  <si>
    <t>27-11-2.</t>
  </si>
  <si>
    <t>14-1-229</t>
  </si>
  <si>
    <t>4-1-234</t>
  </si>
  <si>
    <t>ლითონის მრუდხაზოვანი ზღუდარი ГОСТ 26804-86Б</t>
  </si>
  <si>
    <t>14-1-299</t>
  </si>
  <si>
    <t>ავტოამწე საბურღი მოწყობილობით</t>
  </si>
  <si>
    <t>14-1-043</t>
  </si>
  <si>
    <t>ამწე საავტომობილო სვლაზე 6.3 ტ</t>
  </si>
  <si>
    <t>4-1-340</t>
  </si>
  <si>
    <t>1-9-073</t>
  </si>
  <si>
    <t>ბეტონი B10 (მ-150)</t>
  </si>
  <si>
    <r>
      <t xml:space="preserve">1-29-6 </t>
    </r>
    <r>
      <rPr>
        <b/>
        <strike/>
        <sz val="10"/>
        <rFont val="Arial"/>
        <family val="2"/>
        <charset val="204"/>
      </rPr>
      <t xml:space="preserve"> -10</t>
    </r>
  </si>
  <si>
    <r>
      <t xml:space="preserve">ქვიშა </t>
    </r>
    <r>
      <rPr>
        <strike/>
        <sz val="10"/>
        <rFont val="Arial"/>
        <family val="2"/>
        <charset val="204"/>
      </rPr>
      <t>ყვითელი ხსნარის</t>
    </r>
    <r>
      <rPr>
        <sz val="10"/>
        <rFont val="Arial"/>
        <family val="2"/>
        <charset val="204"/>
      </rPr>
      <t xml:space="preserve"> შავი 0.5</t>
    </r>
  </si>
  <si>
    <r>
      <t xml:space="preserve">ცემენტი </t>
    </r>
    <r>
      <rPr>
        <strike/>
        <sz val="10"/>
        <rFont val="Arial"/>
        <family val="2"/>
        <charset val="204"/>
      </rPr>
      <t xml:space="preserve">M-400 </t>
    </r>
    <r>
      <rPr>
        <sz val="10"/>
        <rFont val="Arial"/>
        <family val="2"/>
        <charset val="204"/>
      </rPr>
      <t>მ-300</t>
    </r>
  </si>
  <si>
    <r>
      <rPr>
        <b/>
        <sz val="10"/>
        <rFont val="Arial"/>
        <family val="2"/>
        <charset val="204"/>
      </rPr>
      <t>პ.3-107</t>
    </r>
    <r>
      <rPr>
        <sz val="10"/>
        <rFont val="Arial"/>
        <family val="2"/>
        <charset val="204"/>
      </rPr>
      <t>, კ=1.2</t>
    </r>
  </si>
  <si>
    <r>
      <t>1-81</t>
    </r>
    <r>
      <rPr>
        <strike/>
        <sz val="10"/>
        <rFont val="Arial"/>
        <family val="2"/>
        <charset val="204"/>
      </rPr>
      <t>-3</t>
    </r>
    <r>
      <rPr>
        <b/>
        <sz val="10"/>
        <rFont val="Arial"/>
        <family val="2"/>
        <charset val="204"/>
      </rPr>
      <t>-2</t>
    </r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</si>
</sst>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₽_-;\-* #,##0.00\ _₽_-;_-* &quot;-&quot;??\ _₽_-;_-@_-"/>
    <numFmt numFmtId="165" formatCode="0.0"/>
    <numFmt numFmtId="166" formatCode="0.000"/>
    <numFmt numFmtId="167" formatCode="#,##0.000"/>
  </numFmts>
  <fonts count="18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6"/>
      <color theme="1"/>
      <name val="Sylfaen"/>
      <family val="1"/>
    </font>
    <font>
      <b/>
      <sz val="16"/>
      <color theme="1"/>
      <name val="Sylfaen"/>
      <family val="1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  <charset val="204"/>
    </font>
    <font>
      <sz val="14"/>
      <name val="Sylfaen"/>
      <family val="1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trike/>
      <sz val="10"/>
      <name val="Arial"/>
      <family val="2"/>
      <charset val="204"/>
    </font>
    <font>
      <strike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9" fontId="7" fillId="0" borderId="0" applyFont="0" applyFill="0" applyBorder="0" applyAlignment="0" applyProtection="0"/>
    <xf numFmtId="0" fontId="9" fillId="0" borderId="0"/>
    <xf numFmtId="0" fontId="10" fillId="0" borderId="0"/>
    <xf numFmtId="43" fontId="7" fillId="0" borderId="0" applyFont="0" applyFill="0" applyBorder="0" applyAlignment="0" applyProtection="0"/>
    <xf numFmtId="0" fontId="12" fillId="0" borderId="0"/>
    <xf numFmtId="0" fontId="13" fillId="0" borderId="0"/>
    <xf numFmtId="164" fontId="7" fillId="0" borderId="0" applyFont="0" applyFill="0" applyBorder="0" applyAlignment="0" applyProtection="0"/>
    <xf numFmtId="0" fontId="13" fillId="0" borderId="0"/>
    <xf numFmtId="0" fontId="10" fillId="0" borderId="0"/>
  </cellStyleXfs>
  <cellXfs count="188">
    <xf numFmtId="0" fontId="0" fillId="0" borderId="0" xfId="0"/>
    <xf numFmtId="0" fontId="0" fillId="2" borderId="0" xfId="0" applyFill="1" applyBorder="1"/>
    <xf numFmtId="0" fontId="2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2" fontId="0" fillId="2" borderId="0" xfId="0" applyNumberFormat="1" applyFill="1" applyBorder="1"/>
    <xf numFmtId="0" fontId="0" fillId="0" borderId="0" xfId="0" applyFill="1"/>
    <xf numFmtId="0" fontId="0" fillId="3" borderId="0" xfId="0" applyFill="1"/>
    <xf numFmtId="0" fontId="0" fillId="4" borderId="0" xfId="0" applyFill="1"/>
    <xf numFmtId="0" fontId="4" fillId="4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0" xfId="0" applyFill="1" applyBorder="1" applyAlignment="1"/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9" fontId="3" fillId="2" borderId="1" xfId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vertical="center"/>
    </xf>
    <xf numFmtId="2" fontId="0" fillId="2" borderId="0" xfId="0" applyNumberFormat="1" applyFill="1"/>
    <xf numFmtId="0" fontId="11" fillId="2" borderId="1" xfId="2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2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Border="1"/>
    <xf numFmtId="0" fontId="1" fillId="0" borderId="0" xfId="0" applyFont="1"/>
    <xf numFmtId="0" fontId="1" fillId="0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indent="1"/>
    </xf>
    <xf numFmtId="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indent="1"/>
    </xf>
    <xf numFmtId="9" fontId="1" fillId="2" borderId="1" xfId="1" applyNumberFormat="1" applyFont="1" applyFill="1" applyBorder="1" applyAlignment="1">
      <alignment horizontal="center" vertical="center"/>
    </xf>
    <xf numFmtId="9" fontId="1" fillId="2" borderId="1" xfId="1" applyFont="1" applyFill="1" applyBorder="1" applyAlignment="1">
      <alignment horizontal="center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0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1" fillId="2" borderId="0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vertical="center"/>
    </xf>
    <xf numFmtId="0" fontId="1" fillId="4" borderId="0" xfId="0" applyFont="1" applyFill="1"/>
    <xf numFmtId="0" fontId="1" fillId="3" borderId="0" xfId="0" applyFont="1" applyFill="1"/>
    <xf numFmtId="2" fontId="1" fillId="2" borderId="0" xfId="0" applyNumberFormat="1" applyFont="1" applyFill="1" applyAlignment="1">
      <alignment horizontal="center" vertical="center"/>
    </xf>
    <xf numFmtId="2" fontId="1" fillId="2" borderId="0" xfId="0" applyNumberFormat="1" applyFont="1" applyFill="1" applyAlignment="1">
      <alignment vertical="center"/>
    </xf>
    <xf numFmtId="2" fontId="1" fillId="2" borderId="0" xfId="0" applyNumberFormat="1" applyFont="1" applyFill="1"/>
    <xf numFmtId="0" fontId="1" fillId="2" borderId="0" xfId="0" applyFont="1" applyFill="1" applyAlignment="1">
      <alignment horizontal="center"/>
    </xf>
    <xf numFmtId="0" fontId="1" fillId="0" borderId="0" xfId="0" applyFont="1" applyBorder="1"/>
    <xf numFmtId="0" fontId="15" fillId="0" borderId="1" xfId="7" applyNumberFormat="1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vertical="center"/>
    </xf>
    <xf numFmtId="0" fontId="0" fillId="0" borderId="0" xfId="0" applyBorder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3" borderId="0" xfId="0" applyFont="1" applyFill="1" applyAlignment="1">
      <alignment horizontal="center"/>
    </xf>
    <xf numFmtId="0" fontId="10" fillId="0" borderId="1" xfId="2" applyFont="1" applyFill="1" applyBorder="1" applyAlignment="1">
      <alignment horizontal="left" vertical="center" wrapText="1"/>
    </xf>
    <xf numFmtId="0" fontId="10" fillId="0" borderId="1" xfId="8" applyNumberFormat="1" applyFont="1" applyFill="1" applyBorder="1" applyAlignment="1" applyProtection="1">
      <alignment horizontal="center" vertical="center"/>
    </xf>
    <xf numFmtId="167" fontId="10" fillId="0" borderId="1" xfId="9" applyNumberFormat="1" applyFont="1" applyFill="1" applyBorder="1" applyAlignment="1">
      <alignment horizontal="center" vertical="center"/>
    </xf>
    <xf numFmtId="0" fontId="10" fillId="4" borderId="0" xfId="0" applyFont="1" applyFill="1"/>
    <xf numFmtId="4" fontId="1" fillId="2" borderId="7" xfId="0" applyNumberFormat="1" applyFont="1" applyFill="1" applyBorder="1" applyAlignment="1">
      <alignment vertical="center"/>
    </xf>
    <xf numFmtId="4" fontId="14" fillId="2" borderId="7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0" fontId="10" fillId="0" borderId="0" xfId="0" applyFont="1" applyFill="1" applyBorder="1" applyAlignment="1"/>
    <xf numFmtId="0" fontId="10" fillId="0" borderId="0" xfId="0" applyFont="1" applyFill="1" applyBorder="1"/>
    <xf numFmtId="2" fontId="10" fillId="0" borderId="0" xfId="0" applyNumberFormat="1" applyFont="1" applyFill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inden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indent="1"/>
    </xf>
    <xf numFmtId="49" fontId="15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9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2" fontId="10" fillId="0" borderId="0" xfId="0" applyNumberFormat="1" applyFont="1" applyFill="1" applyAlignment="1">
      <alignment horizontal="center" vertical="center"/>
    </xf>
    <xf numFmtId="2" fontId="10" fillId="0" borderId="0" xfId="0" applyNumberFormat="1" applyFont="1" applyFill="1" applyAlignment="1">
      <alignment vertical="center"/>
    </xf>
    <xf numFmtId="0" fontId="10" fillId="0" borderId="0" xfId="0" applyFont="1" applyFill="1"/>
    <xf numFmtId="2" fontId="10" fillId="0" borderId="0" xfId="0" applyNumberFormat="1" applyFont="1" applyFill="1"/>
    <xf numFmtId="4" fontId="10" fillId="0" borderId="1" xfId="3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left" vertical="center"/>
    </xf>
    <xf numFmtId="1" fontId="15" fillId="0" borderId="1" xfId="0" applyNumberFormat="1" applyFont="1" applyFill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/>
    </xf>
    <xf numFmtId="165" fontId="10" fillId="0" borderId="1" xfId="0" applyNumberFormat="1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 vertical="center"/>
    </xf>
    <xf numFmtId="167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/>
    </xf>
    <xf numFmtId="2" fontId="17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2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center"/>
    </xf>
    <xf numFmtId="0" fontId="0" fillId="2" borderId="0" xfId="0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 vertical="center"/>
    </xf>
    <xf numFmtId="2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</cellXfs>
  <cellStyles count="10">
    <cellStyle name="Comma 2" xfId="4"/>
    <cellStyle name="Normal 12" xfId="5"/>
    <cellStyle name="Normal 2" xfId="8"/>
    <cellStyle name="Normal 2 3" xfId="3"/>
    <cellStyle name="Normal 3" xfId="6"/>
    <cellStyle name="Normal_Direct Cost &amp; Revenue as of May 22 2003" xfId="2"/>
    <cellStyle name="Normal_Sheet1" xfId="9"/>
    <cellStyle name="Обычный" xfId="0" builtinId="0"/>
    <cellStyle name="Процентный" xfId="1" builtinId="5"/>
    <cellStyle name="Финансовый" xfId="7" builtinId="3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colors>
    <mruColors>
      <color rgb="FFC9D2DD"/>
      <color rgb="FF5B718F"/>
      <color rgb="FF526680"/>
      <color rgb="FFB8C3D0"/>
      <color rgb="FF9DACBF"/>
      <color rgb="FF788DA8"/>
      <color rgb="FF8AA7FA"/>
      <color rgb="FFA3BAFB"/>
      <color rgb="FF4675F8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3"/>
  <sheetViews>
    <sheetView view="pageBreakPreview" topLeftCell="A19" zoomScaleNormal="55" zoomScaleSheetLayoutView="100" workbookViewId="0">
      <selection activeCell="A24" sqref="A1:L1048576"/>
    </sheetView>
  </sheetViews>
  <sheetFormatPr defaultRowHeight="12.75"/>
  <cols>
    <col min="1" max="1" width="6" style="52" customWidth="1"/>
    <col min="2" max="2" width="73.42578125" style="52" customWidth="1"/>
    <col min="3" max="3" width="6.7109375" style="52" customWidth="1"/>
    <col min="4" max="4" width="27.42578125" style="52" customWidth="1"/>
    <col min="5" max="5" width="24.140625" style="52" customWidth="1"/>
    <col min="6" max="7" width="24" style="52" customWidth="1"/>
    <col min="8" max="10" width="20.7109375" style="47" customWidth="1"/>
    <col min="11" max="16384" width="9.140625" style="47"/>
  </cols>
  <sheetData>
    <row r="1" spans="1:7">
      <c r="A1" s="74"/>
      <c r="B1" s="74" t="s">
        <v>269</v>
      </c>
      <c r="C1" s="46"/>
      <c r="D1" s="46"/>
      <c r="E1" s="69"/>
      <c r="F1" s="69" t="s">
        <v>17</v>
      </c>
      <c r="G1" s="69"/>
    </row>
    <row r="2" spans="1:7">
      <c r="A2" s="74"/>
      <c r="B2" s="74" t="s">
        <v>272</v>
      </c>
      <c r="C2" s="46"/>
      <c r="D2" s="46"/>
      <c r="E2" s="69"/>
      <c r="F2" s="69" t="s">
        <v>18</v>
      </c>
      <c r="G2" s="69"/>
    </row>
    <row r="3" spans="1:7">
      <c r="A3" s="74"/>
      <c r="B3" s="74" t="s">
        <v>270</v>
      </c>
      <c r="C3" s="46"/>
      <c r="D3" s="46"/>
      <c r="E3" s="69"/>
      <c r="F3" s="69" t="s">
        <v>59</v>
      </c>
      <c r="G3" s="73" t="s">
        <v>20</v>
      </c>
    </row>
    <row r="4" spans="1:7">
      <c r="A4" s="74"/>
      <c r="B4" s="74" t="s">
        <v>271</v>
      </c>
      <c r="C4" s="46"/>
      <c r="D4" s="46"/>
      <c r="E4" s="69"/>
      <c r="F4" s="69" t="s">
        <v>19</v>
      </c>
      <c r="G4" s="69"/>
    </row>
    <row r="5" spans="1:7" s="72" customFormat="1">
      <c r="A5" s="153" t="s">
        <v>48</v>
      </c>
      <c r="B5" s="153"/>
      <c r="C5" s="153"/>
      <c r="D5" s="153"/>
      <c r="E5" s="153"/>
      <c r="F5" s="153"/>
      <c r="G5" s="153"/>
    </row>
    <row r="6" spans="1:7" s="48" customFormat="1">
      <c r="A6" s="70"/>
      <c r="B6" s="71"/>
      <c r="C6" s="71"/>
      <c r="D6" s="71"/>
      <c r="E6" s="71"/>
      <c r="F6" s="71"/>
      <c r="G6" s="71"/>
    </row>
    <row r="7" spans="1:7" s="48" customFormat="1">
      <c r="A7" s="154" t="s">
        <v>2</v>
      </c>
      <c r="B7" s="154" t="s">
        <v>3</v>
      </c>
      <c r="C7" s="154" t="s">
        <v>12</v>
      </c>
      <c r="D7" s="152" t="s">
        <v>49</v>
      </c>
      <c r="E7" s="152" t="s">
        <v>50</v>
      </c>
      <c r="F7" s="152" t="s">
        <v>51</v>
      </c>
      <c r="G7" s="152" t="s">
        <v>52</v>
      </c>
    </row>
    <row r="8" spans="1:7" s="48" customFormat="1">
      <c r="A8" s="154"/>
      <c r="B8" s="154"/>
      <c r="C8" s="154"/>
      <c r="D8" s="152"/>
      <c r="E8" s="152"/>
      <c r="F8" s="152"/>
      <c r="G8" s="152"/>
    </row>
    <row r="9" spans="1:7" s="48" customFormat="1">
      <c r="A9" s="154"/>
      <c r="B9" s="154"/>
      <c r="C9" s="154"/>
      <c r="D9" s="152"/>
      <c r="E9" s="152"/>
      <c r="F9" s="152"/>
      <c r="G9" s="152"/>
    </row>
    <row r="10" spans="1:7" s="48" customFormat="1">
      <c r="A10" s="49">
        <v>1</v>
      </c>
      <c r="B10" s="49">
        <v>2</v>
      </c>
      <c r="C10" s="49">
        <v>3</v>
      </c>
      <c r="D10" s="49">
        <v>4</v>
      </c>
      <c r="E10" s="49">
        <v>5</v>
      </c>
      <c r="F10" s="49">
        <v>6</v>
      </c>
      <c r="G10" s="49">
        <v>7</v>
      </c>
    </row>
    <row r="11" spans="1:7" s="48" customFormat="1">
      <c r="A11" s="57"/>
      <c r="B11" s="58"/>
      <c r="C11" s="58"/>
      <c r="D11" s="58"/>
      <c r="E11" s="58"/>
      <c r="F11" s="58"/>
      <c r="G11" s="58"/>
    </row>
    <row r="12" spans="1:7" s="48" customFormat="1">
      <c r="A12" s="57"/>
      <c r="B12" s="57" t="s">
        <v>53</v>
      </c>
      <c r="C12" s="56"/>
      <c r="D12" s="56"/>
      <c r="E12" s="56"/>
      <c r="F12" s="56"/>
      <c r="G12" s="56"/>
    </row>
    <row r="13" spans="1:7" s="48" customFormat="1">
      <c r="A13" s="55" t="s">
        <v>153</v>
      </c>
      <c r="B13" s="59" t="s">
        <v>32</v>
      </c>
      <c r="C13" s="49"/>
      <c r="D13" s="63">
        <f>'1-1'!H19</f>
        <v>0</v>
      </c>
      <c r="E13" s="63">
        <f>'1-1'!J19</f>
        <v>0</v>
      </c>
      <c r="F13" s="63">
        <f>'1-1'!L19</f>
        <v>0</v>
      </c>
      <c r="G13" s="60">
        <f>SUM(D13:F13)</f>
        <v>0</v>
      </c>
    </row>
    <row r="14" spans="1:7" s="48" customFormat="1">
      <c r="A14" s="57"/>
      <c r="B14" s="57" t="s">
        <v>54</v>
      </c>
      <c r="C14" s="56"/>
      <c r="D14" s="95"/>
      <c r="E14" s="95"/>
      <c r="F14" s="95"/>
      <c r="G14" s="96"/>
    </row>
    <row r="15" spans="1:7" s="48" customFormat="1">
      <c r="A15" s="55" t="s">
        <v>166</v>
      </c>
      <c r="B15" s="59" t="s">
        <v>58</v>
      </c>
      <c r="C15" s="49"/>
      <c r="D15" s="63">
        <f>'2-1'!H43</f>
        <v>0</v>
      </c>
      <c r="E15" s="63">
        <f>'2-1'!J43</f>
        <v>0</v>
      </c>
      <c r="F15" s="63">
        <f>'2-1'!L43</f>
        <v>0</v>
      </c>
      <c r="G15" s="60">
        <f>SUM(D15:F15)</f>
        <v>0</v>
      </c>
    </row>
    <row r="16" spans="1:7" s="48" customFormat="1">
      <c r="A16" s="57"/>
      <c r="B16" s="57" t="s">
        <v>55</v>
      </c>
      <c r="C16" s="56"/>
      <c r="D16" s="95"/>
      <c r="E16" s="95"/>
      <c r="F16" s="95"/>
      <c r="G16" s="96"/>
    </row>
    <row r="17" spans="1:7" s="48" customFormat="1">
      <c r="A17" s="55" t="s">
        <v>192</v>
      </c>
      <c r="B17" s="59" t="s">
        <v>260</v>
      </c>
      <c r="C17" s="49"/>
      <c r="D17" s="63">
        <f>'3-1'!H38</f>
        <v>0</v>
      </c>
      <c r="E17" s="63">
        <f>'3-1'!J38</f>
        <v>0</v>
      </c>
      <c r="F17" s="63">
        <f>'3-1'!L38</f>
        <v>0</v>
      </c>
      <c r="G17" s="60">
        <f>SUM(D17:F17)</f>
        <v>0</v>
      </c>
    </row>
    <row r="18" spans="1:7" s="48" customFormat="1">
      <c r="A18" s="55" t="s">
        <v>193</v>
      </c>
      <c r="B18" s="59" t="s">
        <v>243</v>
      </c>
      <c r="C18" s="49"/>
      <c r="D18" s="63">
        <f>'3-2'!H60</f>
        <v>0</v>
      </c>
      <c r="E18" s="63">
        <f>'3-2'!J60</f>
        <v>0</v>
      </c>
      <c r="F18" s="63">
        <f>'3-2'!L60</f>
        <v>0</v>
      </c>
      <c r="G18" s="60">
        <f>SUM(D18:F18)</f>
        <v>0</v>
      </c>
    </row>
    <row r="19" spans="1:7" s="48" customFormat="1">
      <c r="A19" s="57"/>
      <c r="B19" s="57" t="s">
        <v>56</v>
      </c>
      <c r="C19" s="56"/>
      <c r="D19" s="95"/>
      <c r="E19" s="95"/>
      <c r="F19" s="95"/>
      <c r="G19" s="96"/>
    </row>
    <row r="20" spans="1:7" s="48" customFormat="1">
      <c r="A20" s="55" t="s">
        <v>180</v>
      </c>
      <c r="B20" s="59" t="s">
        <v>60</v>
      </c>
      <c r="C20" s="49"/>
      <c r="D20" s="63">
        <f>'4-1'!H60</f>
        <v>0</v>
      </c>
      <c r="E20" s="63">
        <f>'4-1'!J60</f>
        <v>0</v>
      </c>
      <c r="F20" s="63">
        <f>'4-1'!L60</f>
        <v>0</v>
      </c>
      <c r="G20" s="60">
        <f>SUM(D20:F20)</f>
        <v>0</v>
      </c>
    </row>
    <row r="21" spans="1:7" s="48" customFormat="1">
      <c r="A21" s="57"/>
      <c r="B21" s="57" t="s">
        <v>57</v>
      </c>
      <c r="C21" s="56"/>
      <c r="D21" s="95"/>
      <c r="E21" s="95"/>
      <c r="F21" s="95"/>
      <c r="G21" s="96"/>
    </row>
    <row r="22" spans="1:7" s="48" customFormat="1">
      <c r="A22" s="55" t="s">
        <v>194</v>
      </c>
      <c r="B22" s="59" t="s">
        <v>97</v>
      </c>
      <c r="C22" s="49"/>
      <c r="D22" s="63">
        <f>'5-1'!H75</f>
        <v>0</v>
      </c>
      <c r="E22" s="63">
        <f>'5-1'!J75</f>
        <v>0</v>
      </c>
      <c r="F22" s="63">
        <f>'5-1'!L75</f>
        <v>0</v>
      </c>
      <c r="G22" s="60">
        <f>SUM(D22:F22)</f>
        <v>0</v>
      </c>
    </row>
    <row r="23" spans="1:7" s="48" customFormat="1">
      <c r="A23" s="55" t="s">
        <v>195</v>
      </c>
      <c r="B23" s="59" t="s">
        <v>268</v>
      </c>
      <c r="C23" s="49"/>
      <c r="D23" s="63">
        <f>'5-2'!H18</f>
        <v>0</v>
      </c>
      <c r="E23" s="63">
        <f>'5-2'!J18</f>
        <v>0</v>
      </c>
      <c r="F23" s="63">
        <f>'5-2'!L18</f>
        <v>0</v>
      </c>
      <c r="G23" s="60">
        <f>SUM(D23:F23)</f>
        <v>0</v>
      </c>
    </row>
    <row r="24" spans="1:7" s="48" customFormat="1">
      <c r="A24" s="55"/>
      <c r="B24" s="59"/>
      <c r="C24" s="49"/>
      <c r="D24" s="67"/>
      <c r="E24" s="67"/>
      <c r="F24" s="67"/>
      <c r="G24" s="67"/>
    </row>
    <row r="25" spans="1:7" s="48" customFormat="1">
      <c r="A25" s="49"/>
      <c r="B25" s="49" t="s">
        <v>4</v>
      </c>
      <c r="C25" s="50"/>
      <c r="D25" s="67">
        <f t="shared" ref="D25:F25" si="0">SUM(D13:D24)</f>
        <v>0</v>
      </c>
      <c r="E25" s="67">
        <f t="shared" si="0"/>
        <v>0</v>
      </c>
      <c r="F25" s="67">
        <f t="shared" si="0"/>
        <v>0</v>
      </c>
      <c r="G25" s="67">
        <f>SUM(G13:G24)</f>
        <v>0</v>
      </c>
    </row>
    <row r="26" spans="1:7" s="48" customFormat="1">
      <c r="A26" s="49"/>
      <c r="B26" s="61"/>
      <c r="C26" s="62"/>
      <c r="D26" s="63"/>
      <c r="E26" s="63"/>
      <c r="F26" s="63"/>
      <c r="G26" s="63"/>
    </row>
    <row r="27" spans="1:7" s="48" customFormat="1">
      <c r="A27" s="51"/>
      <c r="B27" s="61" t="s">
        <v>10</v>
      </c>
      <c r="C27" s="62">
        <v>0.1</v>
      </c>
      <c r="D27" s="63"/>
      <c r="E27" s="63"/>
      <c r="F27" s="63"/>
      <c r="G27" s="63">
        <f>G25*C27</f>
        <v>0</v>
      </c>
    </row>
    <row r="28" spans="1:7" s="48" customFormat="1">
      <c r="A28" s="51"/>
      <c r="B28" s="64" t="s">
        <v>4</v>
      </c>
      <c r="C28" s="62"/>
      <c r="D28" s="63"/>
      <c r="E28" s="63"/>
      <c r="F28" s="63"/>
      <c r="G28" s="63">
        <f>SUM(G25:G27)</f>
        <v>0</v>
      </c>
    </row>
    <row r="29" spans="1:7" s="48" customFormat="1">
      <c r="A29" s="51"/>
      <c r="B29" s="61" t="s">
        <v>11</v>
      </c>
      <c r="C29" s="62">
        <v>0.08</v>
      </c>
      <c r="D29" s="63"/>
      <c r="E29" s="63"/>
      <c r="F29" s="63"/>
      <c r="G29" s="63">
        <f>G28*C29</f>
        <v>0</v>
      </c>
    </row>
    <row r="30" spans="1:7" s="48" customFormat="1">
      <c r="A30" s="51"/>
      <c r="B30" s="64" t="s">
        <v>4</v>
      </c>
      <c r="C30" s="62"/>
      <c r="D30" s="63"/>
      <c r="E30" s="63"/>
      <c r="F30" s="63"/>
      <c r="G30" s="63">
        <f>SUM(G28:G29)</f>
        <v>0</v>
      </c>
    </row>
    <row r="31" spans="1:7">
      <c r="A31" s="68"/>
      <c r="B31" s="61" t="s">
        <v>26</v>
      </c>
      <c r="C31" s="65">
        <v>0.05</v>
      </c>
      <c r="D31" s="63"/>
      <c r="E31" s="63"/>
      <c r="F31" s="63"/>
      <c r="G31" s="63">
        <f>G30*C31</f>
        <v>0</v>
      </c>
    </row>
    <row r="32" spans="1:7">
      <c r="A32" s="68"/>
      <c r="B32" s="64" t="s">
        <v>4</v>
      </c>
      <c r="C32" s="62"/>
      <c r="D32" s="63"/>
      <c r="E32" s="63"/>
      <c r="F32" s="63"/>
      <c r="G32" s="63">
        <f>SUM(G30:G31)</f>
        <v>0</v>
      </c>
    </row>
    <row r="33" spans="1:7">
      <c r="A33" s="68"/>
      <c r="B33" s="61" t="s">
        <v>27</v>
      </c>
      <c r="C33" s="65">
        <v>0.18</v>
      </c>
      <c r="D33" s="63"/>
      <c r="E33" s="63"/>
      <c r="F33" s="63"/>
      <c r="G33" s="63">
        <f>G32*C33</f>
        <v>0</v>
      </c>
    </row>
    <row r="34" spans="1:7">
      <c r="A34" s="68"/>
      <c r="B34" s="61"/>
      <c r="C34" s="66"/>
      <c r="D34" s="63"/>
      <c r="E34" s="63"/>
      <c r="F34" s="63"/>
      <c r="G34" s="63"/>
    </row>
    <row r="35" spans="1:7">
      <c r="A35" s="68"/>
      <c r="B35" s="49" t="s">
        <v>4</v>
      </c>
      <c r="C35" s="49"/>
      <c r="D35" s="67"/>
      <c r="E35" s="67"/>
      <c r="F35" s="67"/>
      <c r="G35" s="67">
        <f>SUM(G32:G34)</f>
        <v>0</v>
      </c>
    </row>
    <row r="36" spans="1:7">
      <c r="B36" s="53"/>
      <c r="C36" s="54"/>
      <c r="D36" s="54"/>
      <c r="E36" s="54"/>
      <c r="F36" s="54"/>
      <c r="G36" s="54"/>
    </row>
    <row r="37" spans="1:7">
      <c r="B37" s="53"/>
      <c r="C37" s="54"/>
      <c r="D37" s="54"/>
      <c r="E37" s="54"/>
      <c r="F37" s="54"/>
      <c r="G37" s="54"/>
    </row>
    <row r="38" spans="1:7">
      <c r="B38" s="53"/>
      <c r="C38" s="54"/>
      <c r="D38" s="54"/>
      <c r="E38" s="99">
        <f>G35</f>
        <v>0</v>
      </c>
      <c r="F38" s="54"/>
      <c r="G38" s="54"/>
    </row>
    <row r="39" spans="1:7">
      <c r="B39" s="53"/>
      <c r="C39" s="54"/>
      <c r="D39" s="54"/>
      <c r="E39" s="54"/>
      <c r="F39" s="54"/>
      <c r="G39" s="54"/>
    </row>
    <row r="40" spans="1:7">
      <c r="B40" s="53"/>
      <c r="C40" s="54"/>
      <c r="D40" s="54"/>
      <c r="E40" s="54"/>
      <c r="F40" s="54"/>
      <c r="G40" s="54"/>
    </row>
    <row r="41" spans="1:7">
      <c r="B41" s="53"/>
      <c r="C41" s="54"/>
      <c r="D41" s="54"/>
      <c r="E41" s="54"/>
      <c r="F41" s="54"/>
      <c r="G41" s="54"/>
    </row>
    <row r="42" spans="1:7">
      <c r="B42" s="53"/>
      <c r="C42" s="54"/>
      <c r="D42" s="54"/>
      <c r="E42" s="54"/>
      <c r="F42" s="54"/>
      <c r="G42" s="54"/>
    </row>
    <row r="43" spans="1:7">
      <c r="B43" s="53"/>
      <c r="C43" s="54"/>
      <c r="D43" s="54"/>
      <c r="E43" s="54"/>
      <c r="F43" s="54"/>
      <c r="G43" s="54"/>
    </row>
    <row r="44" spans="1:7">
      <c r="B44" s="53"/>
      <c r="C44" s="54"/>
      <c r="D44" s="54"/>
      <c r="E44" s="54"/>
      <c r="F44" s="54"/>
      <c r="G44" s="54"/>
    </row>
    <row r="45" spans="1:7">
      <c r="B45" s="53"/>
      <c r="C45" s="54"/>
      <c r="D45" s="54"/>
      <c r="E45" s="54"/>
      <c r="F45" s="54"/>
      <c r="G45" s="54"/>
    </row>
    <row r="46" spans="1:7">
      <c r="B46" s="53"/>
      <c r="C46" s="54"/>
      <c r="D46" s="54"/>
      <c r="E46" s="54"/>
      <c r="F46" s="54"/>
      <c r="G46" s="54"/>
    </row>
    <row r="47" spans="1:7">
      <c r="B47" s="53"/>
      <c r="C47" s="54"/>
      <c r="D47" s="54"/>
      <c r="E47" s="54"/>
      <c r="F47" s="54"/>
      <c r="G47" s="54"/>
    </row>
    <row r="48" spans="1:7">
      <c r="B48" s="53"/>
      <c r="C48" s="54"/>
      <c r="D48" s="54"/>
      <c r="E48" s="54"/>
      <c r="F48" s="54"/>
      <c r="G48" s="54"/>
    </row>
    <row r="49" spans="2:7">
      <c r="B49" s="53"/>
      <c r="C49" s="54"/>
      <c r="D49" s="54"/>
      <c r="E49" s="54"/>
      <c r="F49" s="54"/>
      <c r="G49" s="54"/>
    </row>
    <row r="50" spans="2:7">
      <c r="B50" s="53"/>
      <c r="C50" s="54"/>
      <c r="D50" s="54"/>
      <c r="E50" s="54"/>
      <c r="F50" s="54"/>
      <c r="G50" s="54"/>
    </row>
    <row r="51" spans="2:7">
      <c r="B51" s="53"/>
      <c r="C51" s="54"/>
      <c r="D51" s="54"/>
      <c r="E51" s="54"/>
      <c r="F51" s="54"/>
      <c r="G51" s="54"/>
    </row>
    <row r="52" spans="2:7">
      <c r="B52" s="53"/>
      <c r="C52" s="54"/>
      <c r="D52" s="54"/>
      <c r="E52" s="54"/>
      <c r="F52" s="54"/>
      <c r="G52" s="54"/>
    </row>
    <row r="53" spans="2:7">
      <c r="B53" s="53"/>
      <c r="C53" s="54"/>
      <c r="D53" s="54"/>
      <c r="E53" s="54"/>
      <c r="F53" s="54"/>
      <c r="G53" s="54"/>
    </row>
    <row r="54" spans="2:7">
      <c r="B54" s="53"/>
      <c r="C54" s="54"/>
      <c r="D54" s="54"/>
      <c r="E54" s="54"/>
      <c r="F54" s="54"/>
      <c r="G54" s="54"/>
    </row>
    <row r="55" spans="2:7">
      <c r="B55" s="53"/>
      <c r="C55" s="54"/>
      <c r="D55" s="54"/>
      <c r="E55" s="54"/>
      <c r="F55" s="54"/>
      <c r="G55" s="54"/>
    </row>
    <row r="56" spans="2:7">
      <c r="B56" s="53"/>
      <c r="C56" s="54"/>
      <c r="D56" s="54"/>
      <c r="E56" s="54"/>
      <c r="F56" s="54"/>
      <c r="G56" s="54"/>
    </row>
    <row r="57" spans="2:7">
      <c r="B57" s="53"/>
      <c r="C57" s="54"/>
      <c r="D57" s="54"/>
      <c r="E57" s="54"/>
      <c r="F57" s="54"/>
      <c r="G57" s="54"/>
    </row>
    <row r="58" spans="2:7">
      <c r="B58" s="53"/>
      <c r="C58" s="54"/>
      <c r="D58" s="54"/>
      <c r="E58" s="54"/>
      <c r="F58" s="54"/>
      <c r="G58" s="54"/>
    </row>
    <row r="59" spans="2:7">
      <c r="B59" s="53"/>
      <c r="C59" s="54"/>
      <c r="D59" s="54"/>
      <c r="E59" s="54"/>
      <c r="F59" s="54"/>
      <c r="G59" s="54"/>
    </row>
    <row r="60" spans="2:7">
      <c r="B60" s="53"/>
      <c r="C60" s="54"/>
      <c r="D60" s="54"/>
      <c r="E60" s="54"/>
      <c r="F60" s="54"/>
      <c r="G60" s="54"/>
    </row>
    <row r="61" spans="2:7">
      <c r="B61" s="53"/>
      <c r="C61" s="54"/>
      <c r="D61" s="54"/>
      <c r="E61" s="54"/>
      <c r="F61" s="54"/>
      <c r="G61" s="54"/>
    </row>
    <row r="62" spans="2:7">
      <c r="B62" s="53"/>
      <c r="C62" s="54"/>
      <c r="D62" s="54"/>
      <c r="E62" s="54"/>
      <c r="F62" s="54"/>
      <c r="G62" s="54"/>
    </row>
    <row r="63" spans="2:7">
      <c r="B63" s="53"/>
      <c r="C63" s="54"/>
      <c r="D63" s="54"/>
      <c r="E63" s="54"/>
      <c r="F63" s="54"/>
      <c r="G63" s="54"/>
    </row>
    <row r="64" spans="2:7">
      <c r="B64" s="53"/>
      <c r="C64" s="54"/>
      <c r="D64" s="54"/>
      <c r="E64" s="54"/>
      <c r="F64" s="54"/>
      <c r="G64" s="54"/>
    </row>
    <row r="65" spans="2:7">
      <c r="B65" s="53"/>
      <c r="C65" s="54"/>
      <c r="D65" s="54"/>
      <c r="E65" s="54"/>
      <c r="F65" s="54"/>
      <c r="G65" s="54"/>
    </row>
    <row r="66" spans="2:7">
      <c r="B66" s="53"/>
      <c r="C66" s="54"/>
      <c r="D66" s="54"/>
      <c r="E66" s="54"/>
      <c r="F66" s="54"/>
      <c r="G66" s="54"/>
    </row>
    <row r="67" spans="2:7">
      <c r="B67" s="53"/>
      <c r="C67" s="54"/>
      <c r="D67" s="54"/>
      <c r="E67" s="54"/>
      <c r="F67" s="54"/>
      <c r="G67" s="54"/>
    </row>
    <row r="68" spans="2:7">
      <c r="B68" s="53"/>
      <c r="C68" s="54"/>
      <c r="D68" s="54"/>
      <c r="E68" s="54"/>
      <c r="F68" s="54"/>
      <c r="G68" s="54"/>
    </row>
    <row r="69" spans="2:7">
      <c r="B69" s="53"/>
      <c r="C69" s="54"/>
      <c r="D69" s="54"/>
      <c r="E69" s="54"/>
      <c r="F69" s="54"/>
      <c r="G69" s="54"/>
    </row>
    <row r="70" spans="2:7">
      <c r="B70" s="53"/>
      <c r="C70" s="54"/>
      <c r="D70" s="54"/>
      <c r="E70" s="54"/>
      <c r="F70" s="54"/>
      <c r="G70" s="54"/>
    </row>
    <row r="71" spans="2:7">
      <c r="B71" s="53"/>
      <c r="C71" s="53"/>
      <c r="D71" s="53"/>
      <c r="E71" s="53"/>
      <c r="F71" s="53"/>
      <c r="G71" s="53"/>
    </row>
    <row r="72" spans="2:7">
      <c r="B72" s="53"/>
      <c r="C72" s="53"/>
      <c r="D72" s="53"/>
      <c r="E72" s="53"/>
      <c r="F72" s="53"/>
      <c r="G72" s="53"/>
    </row>
    <row r="73" spans="2:7">
      <c r="B73" s="53"/>
      <c r="C73" s="53"/>
      <c r="D73" s="53"/>
      <c r="E73" s="53"/>
      <c r="F73" s="53"/>
      <c r="G73" s="53"/>
    </row>
    <row r="74" spans="2:7">
      <c r="B74" s="53"/>
      <c r="C74" s="53"/>
      <c r="D74" s="53"/>
      <c r="E74" s="53"/>
      <c r="F74" s="53"/>
      <c r="G74" s="53"/>
    </row>
    <row r="75" spans="2:7">
      <c r="B75" s="53"/>
      <c r="C75" s="53"/>
      <c r="D75" s="53"/>
      <c r="E75" s="53"/>
      <c r="F75" s="53"/>
      <c r="G75" s="53"/>
    </row>
    <row r="76" spans="2:7">
      <c r="B76" s="53"/>
      <c r="C76" s="53"/>
      <c r="D76" s="53"/>
      <c r="E76" s="53"/>
      <c r="F76" s="53"/>
      <c r="G76" s="53"/>
    </row>
    <row r="77" spans="2:7">
      <c r="B77" s="53"/>
      <c r="C77" s="53"/>
      <c r="D77" s="53"/>
      <c r="E77" s="53"/>
      <c r="F77" s="53"/>
      <c r="G77" s="53"/>
    </row>
    <row r="78" spans="2:7">
      <c r="B78" s="53"/>
      <c r="C78" s="53"/>
      <c r="D78" s="53"/>
      <c r="E78" s="53"/>
      <c r="F78" s="53"/>
      <c r="G78" s="53"/>
    </row>
    <row r="79" spans="2:7">
      <c r="B79" s="53"/>
      <c r="C79" s="53"/>
      <c r="D79" s="53"/>
      <c r="E79" s="53"/>
      <c r="F79" s="53"/>
      <c r="G79" s="53"/>
    </row>
    <row r="80" spans="2:7">
      <c r="B80" s="53"/>
      <c r="C80" s="53"/>
      <c r="D80" s="53"/>
      <c r="E80" s="53"/>
      <c r="F80" s="53"/>
      <c r="G80" s="53"/>
    </row>
    <row r="81" spans="2:7">
      <c r="B81" s="53"/>
      <c r="C81" s="53"/>
      <c r="D81" s="53"/>
      <c r="E81" s="53"/>
      <c r="F81" s="53"/>
      <c r="G81" s="53"/>
    </row>
    <row r="82" spans="2:7">
      <c r="B82" s="53"/>
      <c r="C82" s="53"/>
      <c r="D82" s="53"/>
      <c r="E82" s="53"/>
      <c r="F82" s="53"/>
      <c r="G82" s="53"/>
    </row>
    <row r="83" spans="2:7">
      <c r="B83" s="53"/>
      <c r="C83" s="53"/>
      <c r="D83" s="53"/>
      <c r="E83" s="53"/>
      <c r="F83" s="53"/>
      <c r="G83" s="53"/>
    </row>
  </sheetData>
  <mergeCells count="8">
    <mergeCell ref="G7:G9"/>
    <mergeCell ref="A5:G5"/>
    <mergeCell ref="A7:A9"/>
    <mergeCell ref="B7:B9"/>
    <mergeCell ref="C7:C9"/>
    <mergeCell ref="D7:D9"/>
    <mergeCell ref="E7:E9"/>
    <mergeCell ref="F7:F9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6"/>
  <sheetViews>
    <sheetView view="pageBreakPreview" topLeftCell="A88" zoomScale="60" zoomScaleNormal="55" workbookViewId="0">
      <selection activeCell="A24" sqref="A1:L1048576"/>
    </sheetView>
  </sheetViews>
  <sheetFormatPr defaultRowHeight="15"/>
  <cols>
    <col min="1" max="1" width="15.7109375" style="27" customWidth="1"/>
    <col min="2" max="2" width="181.7109375" style="27" customWidth="1"/>
    <col min="3" max="4" width="15.7109375" style="27" hidden="1" customWidth="1"/>
    <col min="5" max="5" width="17.7109375" style="27" customWidth="1"/>
    <col min="6" max="6" width="15.7109375" style="27" customWidth="1"/>
    <col min="7" max="7" width="17.7109375" style="27" customWidth="1"/>
    <col min="8" max="8" width="21.28515625" style="36" bestFit="1" customWidth="1"/>
    <col min="9" max="9" width="20.7109375" style="27" customWidth="1"/>
    <col min="10" max="11" width="20.7109375" customWidth="1"/>
  </cols>
  <sheetData>
    <row r="1" spans="1:9">
      <c r="A1" s="173"/>
      <c r="B1" s="173"/>
      <c r="C1" s="1"/>
      <c r="D1" s="1"/>
      <c r="E1" s="1"/>
      <c r="F1" s="1"/>
      <c r="G1" s="1"/>
      <c r="H1" s="4"/>
      <c r="I1" s="1"/>
    </row>
    <row r="2" spans="1:9">
      <c r="A2" s="173"/>
      <c r="B2" s="173"/>
      <c r="C2" s="1"/>
      <c r="D2" s="1"/>
      <c r="E2" s="1"/>
      <c r="F2" s="1"/>
      <c r="G2" s="1"/>
      <c r="H2" s="4"/>
      <c r="I2" s="1"/>
    </row>
    <row r="3" spans="1:9" ht="15" customHeight="1">
      <c r="A3" s="165">
        <f>'1-1'!A2:C2</f>
        <v>0</v>
      </c>
      <c r="B3" s="165"/>
      <c r="C3" s="1"/>
      <c r="D3" s="1"/>
      <c r="E3" s="172" t="s">
        <v>17</v>
      </c>
      <c r="F3" s="172"/>
      <c r="G3" s="172"/>
      <c r="H3" s="165"/>
      <c r="I3" s="165"/>
    </row>
    <row r="4" spans="1:9" ht="15" customHeight="1">
      <c r="A4" s="165"/>
      <c r="B4" s="165"/>
      <c r="C4" s="1"/>
      <c r="D4" s="1"/>
      <c r="E4" s="172"/>
      <c r="F4" s="172"/>
      <c r="G4" s="172"/>
      <c r="H4" s="165"/>
      <c r="I4" s="165"/>
    </row>
    <row r="5" spans="1:9" ht="15" customHeight="1">
      <c r="A5" s="165" t="s">
        <v>28</v>
      </c>
      <c r="B5" s="165"/>
      <c r="C5" s="1"/>
      <c r="D5" s="1"/>
      <c r="E5" s="172" t="s">
        <v>18</v>
      </c>
      <c r="F5" s="172"/>
      <c r="G5" s="172"/>
      <c r="H5" s="165"/>
      <c r="I5" s="165"/>
    </row>
    <row r="6" spans="1:9" ht="15" customHeight="1">
      <c r="A6" s="165"/>
      <c r="B6" s="165"/>
      <c r="C6" s="1"/>
      <c r="D6" s="1"/>
      <c r="E6" s="172"/>
      <c r="F6" s="172"/>
      <c r="G6" s="172"/>
      <c r="H6" s="165"/>
      <c r="I6" s="165"/>
    </row>
    <row r="7" spans="1:9" ht="15" customHeight="1">
      <c r="A7" s="165">
        <f>'1-1'!A5:C5</f>
        <v>0</v>
      </c>
      <c r="B7" s="165"/>
      <c r="C7" s="1"/>
      <c r="D7" s="1"/>
      <c r="E7" s="172" t="s">
        <v>59</v>
      </c>
      <c r="F7" s="172"/>
      <c r="G7" s="172"/>
      <c r="H7" s="165" t="s">
        <v>20</v>
      </c>
      <c r="I7" s="165"/>
    </row>
    <row r="8" spans="1:9" ht="15" customHeight="1">
      <c r="A8" s="165"/>
      <c r="B8" s="165"/>
      <c r="C8" s="1"/>
      <c r="D8" s="1"/>
      <c r="E8" s="172"/>
      <c r="F8" s="172"/>
      <c r="G8" s="172"/>
      <c r="H8" s="165"/>
      <c r="I8" s="165"/>
    </row>
    <row r="9" spans="1:9" ht="15" customHeight="1">
      <c r="A9" s="165" t="s">
        <v>29</v>
      </c>
      <c r="B9" s="165"/>
      <c r="C9" s="1"/>
      <c r="D9" s="1"/>
      <c r="E9" s="172" t="s">
        <v>19</v>
      </c>
      <c r="F9" s="172"/>
      <c r="G9" s="172"/>
      <c r="H9" s="165"/>
      <c r="I9" s="165"/>
    </row>
    <row r="10" spans="1:9" ht="15" customHeight="1">
      <c r="A10" s="165"/>
      <c r="B10" s="165"/>
      <c r="C10" s="1"/>
      <c r="D10" s="1"/>
      <c r="E10" s="172"/>
      <c r="F10" s="172"/>
      <c r="G10" s="172"/>
      <c r="H10" s="165"/>
      <c r="I10" s="165"/>
    </row>
    <row r="11" spans="1:9" ht="15" customHeight="1">
      <c r="A11" s="165"/>
      <c r="B11" s="165"/>
      <c r="C11" s="1"/>
      <c r="D11" s="172"/>
      <c r="E11" s="172"/>
      <c r="F11" s="172"/>
      <c r="G11" s="172"/>
      <c r="H11" s="165"/>
      <c r="I11" s="165"/>
    </row>
    <row r="12" spans="1:9" ht="15" customHeight="1">
      <c r="A12" s="165"/>
      <c r="B12" s="165"/>
      <c r="C12" s="1"/>
      <c r="D12" s="172"/>
      <c r="E12" s="172"/>
      <c r="F12" s="172"/>
      <c r="G12" s="172"/>
      <c r="H12" s="165"/>
      <c r="I12" s="165"/>
    </row>
    <row r="13" spans="1:9" ht="15" customHeight="1">
      <c r="A13" s="177" t="e">
        <f>'1-1'!A7:M8</f>
        <v>#VALUE!</v>
      </c>
      <c r="B13" s="177"/>
      <c r="C13" s="177"/>
      <c r="D13" s="177"/>
      <c r="E13" s="177"/>
      <c r="F13" s="177"/>
      <c r="G13" s="177"/>
      <c r="H13" s="177"/>
      <c r="I13" s="177"/>
    </row>
    <row r="14" spans="1:9" ht="15" customHeight="1">
      <c r="A14" s="177"/>
      <c r="B14" s="177"/>
      <c r="C14" s="177"/>
      <c r="D14" s="177"/>
      <c r="E14" s="177"/>
      <c r="F14" s="177"/>
      <c r="G14" s="177"/>
      <c r="H14" s="177"/>
      <c r="I14" s="177"/>
    </row>
    <row r="15" spans="1:9" ht="15" customHeight="1">
      <c r="A15" s="177"/>
      <c r="B15" s="177"/>
      <c r="C15" s="177"/>
      <c r="D15" s="177"/>
      <c r="E15" s="177"/>
      <c r="F15" s="177"/>
      <c r="G15" s="177"/>
      <c r="H15" s="177"/>
      <c r="I15" s="177"/>
    </row>
    <row r="16" spans="1:9" s="5" customFormat="1" ht="39.950000000000003" customHeight="1">
      <c r="A16" s="170" t="s">
        <v>2</v>
      </c>
      <c r="B16" s="178" t="s">
        <v>3</v>
      </c>
      <c r="C16" s="181" t="s">
        <v>7</v>
      </c>
      <c r="D16" s="181" t="s">
        <v>8</v>
      </c>
      <c r="E16" s="181" t="s">
        <v>7</v>
      </c>
      <c r="F16" s="181" t="s">
        <v>8</v>
      </c>
      <c r="G16" s="174" t="s">
        <v>255</v>
      </c>
      <c r="H16" s="170" t="s">
        <v>256</v>
      </c>
      <c r="I16" s="170" t="s">
        <v>5</v>
      </c>
    </row>
    <row r="17" spans="1:9" s="5" customFormat="1" ht="39.950000000000003" customHeight="1">
      <c r="A17" s="170"/>
      <c r="B17" s="179"/>
      <c r="C17" s="182"/>
      <c r="D17" s="182"/>
      <c r="E17" s="182"/>
      <c r="F17" s="182"/>
      <c r="G17" s="175"/>
      <c r="H17" s="170"/>
      <c r="I17" s="170"/>
    </row>
    <row r="18" spans="1:9" s="5" customFormat="1" ht="39.950000000000003" customHeight="1">
      <c r="A18" s="170"/>
      <c r="B18" s="180"/>
      <c r="C18" s="183"/>
      <c r="D18" s="183"/>
      <c r="E18" s="183"/>
      <c r="F18" s="183"/>
      <c r="G18" s="176"/>
      <c r="H18" s="170"/>
      <c r="I18" s="170"/>
    </row>
    <row r="19" spans="1:9" s="5" customFormat="1" ht="39.950000000000003" customHeight="1">
      <c r="A19" s="15">
        <v>1</v>
      </c>
      <c r="B19" s="15">
        <v>2</v>
      </c>
      <c r="C19" s="15">
        <v>3</v>
      </c>
      <c r="D19" s="15">
        <v>4</v>
      </c>
      <c r="E19" s="15">
        <v>3</v>
      </c>
      <c r="F19" s="15">
        <v>4</v>
      </c>
      <c r="G19" s="15">
        <v>5</v>
      </c>
      <c r="H19" s="15">
        <v>6</v>
      </c>
      <c r="I19" s="15">
        <v>7</v>
      </c>
    </row>
    <row r="20" spans="1:9" s="5" customFormat="1" ht="80.099999999999994" customHeight="1">
      <c r="A20" s="15"/>
      <c r="B20" s="17" t="str">
        <f>'1-1'!C13</f>
        <v>მოსამზადებელი სამუშაოები</v>
      </c>
      <c r="C20" s="19"/>
      <c r="D20" s="19"/>
      <c r="E20" s="19"/>
      <c r="F20" s="19"/>
      <c r="G20" s="19"/>
      <c r="H20" s="20"/>
      <c r="I20" s="19"/>
    </row>
    <row r="21" spans="1:9" ht="39.950000000000003" customHeight="1">
      <c r="A21" s="31">
        <f>'1-1'!A14</f>
        <v>0</v>
      </c>
      <c r="B21" s="31">
        <f>'1-1'!C14</f>
        <v>0</v>
      </c>
      <c r="C21" s="31">
        <f>'1-1'!D14</f>
        <v>0</v>
      </c>
      <c r="D21" s="31">
        <f>'1-1'!F14</f>
        <v>0</v>
      </c>
      <c r="E21" s="30" t="b">
        <f t="shared" ref="E21" si="0">IF(C21="კმ","კმ",IF(C21="1 ჰა","1 ჰა",IF(C21="100 ც","ც",IF(C21="1 ც","ც",IF(C21="ც","ც",IF(C21="ტ","ტ",IF(C21="1 ტ","ტ",IF(C21="მ³","მ³",IF(C21="1 მ³","მ³",IF(C21="10 მ³","მ³",IF(C21="100 მ³","მ³",IF(C21="1000 მ³","მ³",IF(C21="1000 მ","მ",IF(C21="100 მ","მ",IF(C21="10 მ","მ",IF(C21="10 მ ","მ",IF(C21="მ","მ",IF(C21="1000 მ²","მ²",IF(C21="1000 მ² ","მ²",IF(C21="100 მ²","მ²",IF(C21="100 მ² ","მ²",IF(C21="10 მ²","მ²",IF(C21="მ² ","მ²",IF(C21="ლარი","ლარი",IF(C21="ხიდი","ლარი",IF(C21="100 მ","მ",IF(C21="გ.მ.","მ")))))))))))))))))))))))))))</f>
        <v>0</v>
      </c>
      <c r="F21" s="30" t="b">
        <f t="shared" ref="F21" si="1">IF(C21="კმ",D21,IF(C21="1 ჰა",D21,IF(C21="100 ც",D21*100,IF(C21="1 ც",D21,IF(C21="ც",D21,IF(C21="ტ",D21,IF(C21="1 ტ",D21,IF(C21="მ³",D21,IF(C21="1 მ³",D21,IF(C21="10 მ³",D21*10,IF(C21="100 მ³",D21*100,IF(C21="1000 მ³",D21*1000,IF(C21="1000 მ",D21*1000,IF(C21="100 მ",D21*100,IF(C21="10 მ",D21*10,IF(C21="10 მ ",D21*10,IF(C21="მ",D21,IF(C21="1000 მ²",D21*1000,IF(C21="1000 მ² ",D21*1000,IF(C21="100 მ²",D21*100,IF(C21="100 მ² ",D21*100,IF(C21="10 მ²",D21*10,IF(C21="მ² ",D21,IF(C21="ლარი",D21,IF(C21="ხიდი",D21,IF(C21="100 მ",D21*100,IF(C21="გ.მ.",D21)))))))))))))))))))))))))))</f>
        <v>0</v>
      </c>
      <c r="G21" s="30" t="e">
        <f t="shared" ref="G21" si="2">ROUND(H21/F21,2)</f>
        <v>#DIV/0!</v>
      </c>
      <c r="H21" s="31">
        <f>'1-1'!M14</f>
        <v>0</v>
      </c>
      <c r="I21" s="31">
        <f>'1-1'!B14</f>
        <v>0</v>
      </c>
    </row>
    <row r="22" spans="1:9" s="5" customFormat="1" ht="39.950000000000003" customHeight="1">
      <c r="A22" s="21"/>
      <c r="B22" s="15" t="s">
        <v>4</v>
      </c>
      <c r="C22" s="19"/>
      <c r="D22" s="20"/>
      <c r="E22" s="20"/>
      <c r="F22" s="30"/>
      <c r="G22" s="20"/>
      <c r="H22" s="20">
        <f>ROUND(SUM(H21:H21),2)</f>
        <v>0</v>
      </c>
      <c r="I22" s="32"/>
    </row>
    <row r="23" spans="1:9" s="5" customFormat="1" ht="39.950000000000003" customHeight="1">
      <c r="A23" s="21"/>
      <c r="B23" s="15" t="s">
        <v>10</v>
      </c>
      <c r="C23" s="19"/>
      <c r="D23" s="19"/>
      <c r="E23" s="39" t="s">
        <v>12</v>
      </c>
      <c r="F23" s="19">
        <v>10</v>
      </c>
      <c r="G23" s="19"/>
      <c r="H23" s="20">
        <f>ROUND(H22*F23%,2)</f>
        <v>0</v>
      </c>
      <c r="I23" s="32"/>
    </row>
    <row r="24" spans="1:9" s="5" customFormat="1" ht="39.950000000000003" customHeight="1">
      <c r="A24" s="21"/>
      <c r="B24" s="15" t="s">
        <v>4</v>
      </c>
      <c r="C24" s="19"/>
      <c r="D24" s="19"/>
      <c r="E24" s="30"/>
      <c r="F24" s="19"/>
      <c r="G24" s="30"/>
      <c r="H24" s="30">
        <f>ROUND(SUM(H22:H23),2)</f>
        <v>0</v>
      </c>
      <c r="I24" s="32"/>
    </row>
    <row r="25" spans="1:9" s="5" customFormat="1" ht="39.950000000000003" customHeight="1">
      <c r="A25" s="21"/>
      <c r="B25" s="15" t="s">
        <v>11</v>
      </c>
      <c r="C25" s="19"/>
      <c r="D25" s="19"/>
      <c r="E25" s="39" t="s">
        <v>12</v>
      </c>
      <c r="F25" s="19">
        <v>8</v>
      </c>
      <c r="G25" s="19"/>
      <c r="H25" s="20">
        <f>ROUND(H24*F25%,2)</f>
        <v>0</v>
      </c>
      <c r="I25" s="32"/>
    </row>
    <row r="26" spans="1:9" s="5" customFormat="1" ht="39.950000000000003" customHeight="1">
      <c r="A26" s="21"/>
      <c r="B26" s="15" t="s">
        <v>4</v>
      </c>
      <c r="C26" s="19"/>
      <c r="D26" s="19"/>
      <c r="E26" s="19"/>
      <c r="F26" s="19"/>
      <c r="G26" s="19"/>
      <c r="H26" s="20">
        <f>ROUND(SUM(H24:H25),2)</f>
        <v>0</v>
      </c>
      <c r="I26" s="32"/>
    </row>
    <row r="27" spans="1:9" s="5" customFormat="1" ht="80.099999999999994" customHeight="1">
      <c r="A27" s="15"/>
      <c r="B27" s="17" t="str">
        <f>'2-1'!C7</f>
        <v>მიწის ვაკისი</v>
      </c>
      <c r="C27" s="19"/>
      <c r="D27" s="19"/>
      <c r="E27" s="19"/>
      <c r="F27" s="19"/>
      <c r="G27" s="19"/>
      <c r="H27" s="20"/>
      <c r="I27" s="19"/>
    </row>
    <row r="28" spans="1:9" ht="39.950000000000003" customHeight="1">
      <c r="A28" s="31">
        <f>'2-1'!A8</f>
        <v>0</v>
      </c>
      <c r="B28" s="31">
        <f>'2-1'!C8</f>
        <v>0</v>
      </c>
      <c r="C28" s="31">
        <f>'2-1'!D8</f>
        <v>0</v>
      </c>
      <c r="D28" s="31">
        <f>'2-1'!F8</f>
        <v>0</v>
      </c>
      <c r="E28" s="30" t="b">
        <f t="shared" ref="E28" si="3">IF(C28="კმ","კმ",IF(C28="1 ჰა","1 ჰა",IF(C28="100 ც","ც",IF(C28="1 ც","ც",IF(C28="ც","ც",IF(C28="ტ","ტ",IF(C28="1 ტ","ტ",IF(C28="მ³","მ³",IF(C28="1 მ³","მ³",IF(C28="10 მ³","მ³",IF(C28="100 მ³","მ³",IF(C28="1000 მ³","მ³",IF(C28="1000 მ","მ",IF(C28="100 მ","მ",IF(C28="10 მ","მ",IF(C28="10 მ ","მ",IF(C28="მ","მ",IF(C28="1000 მ²","მ²",IF(C28="1000 მ² ","მ²",IF(C28="100 მ²","მ²",IF(C28="100 მ² ","მ²",IF(C28="10 მ²","მ²",IF(C28="მ² ","მ²",IF(C28="ლარი","ლარი",IF(C28="ხიდი","ლარი",IF(C28="100 მ","მ",IF(C28="გ.მ.","მ")))))))))))))))))))))))))))</f>
        <v>0</v>
      </c>
      <c r="F28" s="30" t="b">
        <f t="shared" ref="F28" si="4">IF(C28="კმ",D28,IF(C28="1 ჰა",D28,IF(C28="100 ც",D28*100,IF(C28="1 ც",D28,IF(C28="ც",D28,IF(C28="ტ",D28,IF(C28="1 ტ",D28,IF(C28="მ³",D28,IF(C28="1 მ³",D28,IF(C28="10 მ³",D28*10,IF(C28="100 მ³",D28*100,IF(C28="1000 მ³",D28*1000,IF(C28="1000 მ",D28*1000,IF(C28="100 მ",D28*100,IF(C28="10 მ",D28*10,IF(C28="10 მ ",D28*10,IF(C28="მ",D28,IF(C28="1000 მ²",D28*1000,IF(C28="1000 მ² ",D28*1000,IF(C28="100 მ²",D28*100,IF(C28="100 მ² ",D28*100,IF(C28="10 მ²",D28*10,IF(C28="მ² ",D28,IF(C28="ლარი",D28,IF(C28="ხიდი",D28,IF(C28="100 მ",D28*100,IF(C28="გ.მ.",D28)))))))))))))))))))))))))))</f>
        <v>0</v>
      </c>
      <c r="G28" s="30" t="e">
        <f t="shared" ref="G28" si="5">ROUND(H28/F28,2)</f>
        <v>#DIV/0!</v>
      </c>
      <c r="H28" s="31">
        <f>'2-1'!M8</f>
        <v>0</v>
      </c>
      <c r="I28" s="31">
        <f>'2-1'!B8</f>
        <v>0</v>
      </c>
    </row>
    <row r="29" spans="1:9" ht="39.950000000000003" customHeight="1">
      <c r="A29" s="31" t="str">
        <f>'2-1'!A13</f>
        <v>1.1.3</v>
      </c>
      <c r="B29" s="31" t="str">
        <f>'2-1'!C13</f>
        <v>სხვა მანქანები</v>
      </c>
      <c r="C29" s="31" t="str">
        <f>'2-1'!D13</f>
        <v>ლარი</v>
      </c>
      <c r="D29" s="31">
        <f>'2-1'!F13</f>
        <v>0.5586000000000001</v>
      </c>
      <c r="E29" s="30" t="str">
        <f t="shared" ref="E29:E34" si="6">IF(C29="კმ","კმ",IF(C29="1 ჰა","1 ჰა",IF(C29="100 ც","ც",IF(C29="1 ც","ც",IF(C29="ც","ც",IF(C29="ტ","ტ",IF(C29="1 ტ","ტ",IF(C29="მ³","მ³",IF(C29="1 მ³","მ³",IF(C29="10 მ³","მ³",IF(C29="100 მ³","მ³",IF(C29="1000 მ³","მ³",IF(C29="1000 მ","მ",IF(C29="100 მ","მ",IF(C29="10 მ","მ",IF(C29="10 მ ","მ",IF(C29="მ","მ",IF(C29="1000 მ²","მ²",IF(C29="1000 მ² ","მ²",IF(C29="100 მ²","მ²",IF(C29="100 მ² ","მ²",IF(C29="10 მ²","მ²",IF(C29="მ² ","მ²",IF(C29="ლარი","ლარი",IF(C29="ხიდი","ლარი",IF(C29="100 მ","მ",IF(C29="გ.მ.","მ")))))))))))))))))))))))))))</f>
        <v>ლარი</v>
      </c>
      <c r="F29" s="30">
        <f t="shared" ref="F29:F34" si="7">IF(C29="კმ",D29,IF(C29="1 ჰა",D29,IF(C29="100 ც",D29*100,IF(C29="1 ც",D29,IF(C29="ც",D29,IF(C29="ტ",D29,IF(C29="1 ტ",D29,IF(C29="მ³",D29,IF(C29="1 მ³",D29,IF(C29="10 მ³",D29*10,IF(C29="100 მ³",D29*100,IF(C29="1000 მ³",D29*1000,IF(C29="1000 მ",D29*1000,IF(C29="100 მ",D29*100,IF(C29="10 მ",D29*10,IF(C29="10 მ ",D29*10,IF(C29="მ",D29,IF(C29="1000 მ²",D29*1000,IF(C29="1000 მ² ",D29*1000,IF(C29="100 მ²",D29*100,IF(C29="100 მ² ",D29*100,IF(C29="10 მ²",D29*10,IF(C29="მ² ",D29,IF(C29="ლარი",D29,IF(C29="ხიდი",D29,IF(C29="100 მ",D29*100,IF(C29="გ.მ.",D29)))))))))))))))))))))))))))</f>
        <v>0.5586000000000001</v>
      </c>
      <c r="G29" s="30">
        <f t="shared" ref="G29:G34" si="8">ROUND(H29/F29,2)</f>
        <v>0</v>
      </c>
      <c r="H29" s="31">
        <f>'2-1'!M13</f>
        <v>0</v>
      </c>
      <c r="I29" s="31">
        <f>'2-1'!B13</f>
        <v>0</v>
      </c>
    </row>
    <row r="30" spans="1:9" ht="39.950000000000003" customHeight="1">
      <c r="A30" s="31" t="str">
        <f>'2-1'!A14</f>
        <v>1.1.4</v>
      </c>
      <c r="B30" s="31" t="str">
        <f>'2-1'!C14</f>
        <v>ღორღი ბუნებრივი ქვის ფრაქცია 40-70</v>
      </c>
      <c r="C30" s="31" t="str">
        <f>'2-1'!D14</f>
        <v>მ3</v>
      </c>
      <c r="D30" s="31">
        <f>'2-1'!F14</f>
        <v>1.3300000000000001E-2</v>
      </c>
      <c r="E30" s="30" t="b">
        <f t="shared" si="6"/>
        <v>0</v>
      </c>
      <c r="F30" s="30" t="b">
        <f t="shared" si="7"/>
        <v>0</v>
      </c>
      <c r="G30" s="30" t="e">
        <f t="shared" si="8"/>
        <v>#DIV/0!</v>
      </c>
      <c r="H30" s="31">
        <f>'2-1'!M14</f>
        <v>0</v>
      </c>
      <c r="I30" s="31" t="str">
        <f>'2-1'!B14</f>
        <v>4-1-238</v>
      </c>
    </row>
    <row r="31" spans="1:9" ht="39.950000000000003" customHeight="1">
      <c r="A31" s="31">
        <f>'2-1'!A19</f>
        <v>0</v>
      </c>
      <c r="B31" s="31">
        <f>'2-1'!C19</f>
        <v>0</v>
      </c>
      <c r="C31" s="31" t="str">
        <f>'2-1'!D19</f>
        <v>1000 მ3</v>
      </c>
      <c r="D31" s="31">
        <f>'2-1'!F19</f>
        <v>0.26600000000000001</v>
      </c>
      <c r="E31" s="30" t="b">
        <f t="shared" si="6"/>
        <v>0</v>
      </c>
      <c r="F31" s="30" t="b">
        <f t="shared" si="7"/>
        <v>0</v>
      </c>
      <c r="G31" s="30" t="e">
        <f t="shared" si="8"/>
        <v>#DIV/0!</v>
      </c>
      <c r="H31" s="31">
        <f>'2-1'!M19</f>
        <v>0</v>
      </c>
      <c r="I31" s="31">
        <f>'2-1'!B19</f>
        <v>0</v>
      </c>
    </row>
    <row r="32" spans="1:9" ht="39.950000000000003" customHeight="1">
      <c r="A32" s="31">
        <f>'2-1'!A24</f>
        <v>0</v>
      </c>
      <c r="B32" s="31">
        <f>'2-1'!C24</f>
        <v>0</v>
      </c>
      <c r="C32" s="31">
        <f>'2-1'!D24</f>
        <v>0</v>
      </c>
      <c r="D32" s="31">
        <f>'2-1'!F24</f>
        <v>0</v>
      </c>
      <c r="E32" s="30" t="b">
        <f t="shared" si="6"/>
        <v>0</v>
      </c>
      <c r="F32" s="30" t="b">
        <f t="shared" si="7"/>
        <v>0</v>
      </c>
      <c r="G32" s="30" t="e">
        <f t="shared" si="8"/>
        <v>#DIV/0!</v>
      </c>
      <c r="H32" s="31">
        <f>'2-1'!M24</f>
        <v>0</v>
      </c>
      <c r="I32" s="31">
        <f>'2-1'!B24</f>
        <v>0</v>
      </c>
    </row>
    <row r="33" spans="1:10" ht="39.950000000000003" customHeight="1">
      <c r="A33" s="31">
        <f>'2-1'!A25</f>
        <v>1.4</v>
      </c>
      <c r="B33" s="31" t="str">
        <f>'2-1'!C25</f>
        <v xml:space="preserve">ხრეშოვანი გრუნტის დატვირთვა კარიერში ექსკავატორით ავტოთვითმცლელზე </v>
      </c>
      <c r="C33" s="31" t="str">
        <f>'2-1'!D25</f>
        <v>მ3</v>
      </c>
      <c r="D33" s="31">
        <f>'2-1'!F25</f>
        <v>79</v>
      </c>
      <c r="E33" s="30" t="b">
        <f t="shared" si="6"/>
        <v>0</v>
      </c>
      <c r="F33" s="30" t="b">
        <f t="shared" si="7"/>
        <v>0</v>
      </c>
      <c r="G33" s="30" t="e">
        <f t="shared" si="8"/>
        <v>#DIV/0!</v>
      </c>
      <c r="H33" s="31">
        <f>'2-1'!M25</f>
        <v>0</v>
      </c>
      <c r="I33" s="31" t="str">
        <f>'2-1'!B25</f>
        <v>1-22-15</v>
      </c>
      <c r="J33" s="3"/>
    </row>
    <row r="34" spans="1:10" ht="39.950000000000003" customHeight="1">
      <c r="A34" s="40" t="str">
        <f>'2-1'!A27</f>
        <v>1.4.1</v>
      </c>
      <c r="B34" s="31" t="str">
        <f>'2-1'!C27</f>
        <v>შრომითი დანახარჯები</v>
      </c>
      <c r="C34" s="31" t="str">
        <f>'2-1'!D27</f>
        <v>კაც/სთ</v>
      </c>
      <c r="D34" s="31">
        <f>'2-1'!F27</f>
        <v>1.58</v>
      </c>
      <c r="E34" s="30" t="b">
        <f t="shared" si="6"/>
        <v>0</v>
      </c>
      <c r="F34" s="30" t="b">
        <f t="shared" si="7"/>
        <v>0</v>
      </c>
      <c r="G34" s="30" t="e">
        <f t="shared" si="8"/>
        <v>#DIV/0!</v>
      </c>
      <c r="H34" s="31">
        <f>'2-1'!M27</f>
        <v>0</v>
      </c>
      <c r="I34" s="31">
        <f>'2-1'!B27</f>
        <v>0</v>
      </c>
      <c r="J34" s="3"/>
    </row>
    <row r="35" spans="1:10" s="5" customFormat="1" ht="39.950000000000003" customHeight="1">
      <c r="A35" s="21"/>
      <c r="B35" s="15" t="s">
        <v>4</v>
      </c>
      <c r="C35" s="19"/>
      <c r="D35" s="20"/>
      <c r="E35" s="20"/>
      <c r="F35" s="30"/>
      <c r="G35" s="20"/>
      <c r="H35" s="20">
        <f>ROUND(SUM(H28:H34),2)</f>
        <v>0</v>
      </c>
      <c r="I35" s="32"/>
    </row>
    <row r="36" spans="1:10" s="5" customFormat="1" ht="39.950000000000003" customHeight="1">
      <c r="A36" s="21"/>
      <c r="B36" s="15" t="s">
        <v>10</v>
      </c>
      <c r="C36" s="19"/>
      <c r="D36" s="19"/>
      <c r="E36" s="39" t="s">
        <v>12</v>
      </c>
      <c r="F36" s="19">
        <v>10</v>
      </c>
      <c r="G36" s="19"/>
      <c r="H36" s="20">
        <f>ROUND(H35*F36%,2)</f>
        <v>0</v>
      </c>
      <c r="I36" s="32"/>
    </row>
    <row r="37" spans="1:10" s="5" customFormat="1" ht="39.950000000000003" customHeight="1">
      <c r="A37" s="21"/>
      <c r="B37" s="15" t="s">
        <v>4</v>
      </c>
      <c r="C37" s="19"/>
      <c r="D37" s="19"/>
      <c r="E37" s="30"/>
      <c r="F37" s="19"/>
      <c r="G37" s="30"/>
      <c r="H37" s="30">
        <f>ROUND(SUM(H35:H36),2)</f>
        <v>0</v>
      </c>
      <c r="I37" s="32"/>
    </row>
    <row r="38" spans="1:10" s="5" customFormat="1" ht="39.950000000000003" customHeight="1">
      <c r="A38" s="21"/>
      <c r="B38" s="15" t="s">
        <v>11</v>
      </c>
      <c r="C38" s="19"/>
      <c r="D38" s="19"/>
      <c r="E38" s="39" t="s">
        <v>12</v>
      </c>
      <c r="F38" s="19">
        <v>8</v>
      </c>
      <c r="G38" s="19"/>
      <c r="H38" s="20">
        <f>ROUND(H37*F38%,2)</f>
        <v>0</v>
      </c>
      <c r="I38" s="32"/>
    </row>
    <row r="39" spans="1:10" s="5" customFormat="1" ht="39.950000000000003" customHeight="1">
      <c r="A39" s="21"/>
      <c r="B39" s="15" t="s">
        <v>4</v>
      </c>
      <c r="C39" s="19"/>
      <c r="D39" s="19"/>
      <c r="E39" s="19"/>
      <c r="F39" s="19"/>
      <c r="G39" s="19"/>
      <c r="H39" s="20">
        <f>ROUND(SUM(H37:H38),2)</f>
        <v>0</v>
      </c>
      <c r="I39" s="32"/>
    </row>
    <row r="40" spans="1:10" s="5" customFormat="1" ht="80.099999999999994" customHeight="1">
      <c r="A40" s="15"/>
      <c r="B40" s="17" t="str">
        <f>'3-1'!C7</f>
        <v>რკ/ბ კედლის აღდგენა</v>
      </c>
      <c r="C40" s="19"/>
      <c r="D40" s="19"/>
      <c r="E40" s="19"/>
      <c r="F40" s="19"/>
      <c r="G40" s="19"/>
      <c r="H40" s="20"/>
      <c r="I40" s="19"/>
    </row>
    <row r="41" spans="1:10" ht="39.950000000000003" customHeight="1">
      <c r="A41" s="31">
        <f>'3-1'!A17</f>
        <v>0</v>
      </c>
      <c r="B41" s="31">
        <f>'3-1'!C17</f>
        <v>0</v>
      </c>
      <c r="C41" s="31" t="str">
        <f>'3-1'!D17</f>
        <v>100 მ2</v>
      </c>
      <c r="D41" s="31">
        <f>'3-1'!F17</f>
        <v>2.1</v>
      </c>
      <c r="E41" s="30" t="b">
        <f t="shared" ref="E41" si="9">IF(C41="კმ","კმ",IF(C41="1 ჰა","1 ჰა",IF(C41="100 ც","ც",IF(C41="1 ც","ც",IF(C41="ც","ც",IF(C41="ტ","ტ",IF(C41="1 ტ","ტ",IF(C41="მ³","მ³",IF(C41="1 მ³","მ³",IF(C41="10 მ³","მ³",IF(C41="100 მ³","მ³",IF(C41="1000 მ³","მ³",IF(C41="1000 მ","მ",IF(C41="100 მ","მ",IF(C41="10 მ","მ",IF(C41="10 მ ","მ",IF(C41="მ","მ",IF(C41="1000 მ²","მ²",IF(C41="1000 მ² ","მ²",IF(C41="100 მ²","მ²",IF(C41="100 მ² ","მ²",IF(C41="10 მ²","მ²",IF(C41="მ² ","მ²",IF(C41="ლარი","ლარი",IF(C41="ხიდი","ლარი",IF(C41="100 მ","მ",IF(C41="გ.მ.","მ")))))))))))))))))))))))))))</f>
        <v>0</v>
      </c>
      <c r="F41" s="30" t="b">
        <f t="shared" ref="F41" si="10">IF(C41="კმ",D41,IF(C41="1 ჰა",D41,IF(C41="100 ც",D41*100,IF(C41="1 ც",D41,IF(C41="ც",D41,IF(C41="ტ",D41,IF(C41="1 ტ",D41,IF(C41="მ³",D41,IF(C41="1 მ³",D41,IF(C41="10 მ³",D41*10,IF(C41="100 მ³",D41*100,IF(C41="1000 მ³",D41*1000,IF(C41="1000 მ",D41*1000,IF(C41="100 მ",D41*100,IF(C41="10 მ",D41*10,IF(C41="10 მ ",D41*10,IF(C41="მ",D41,IF(C41="1000 მ²",D41*1000,IF(C41="1000 მ² ",D41*1000,IF(C41="100 მ²",D41*100,IF(C41="100 მ² ",D41*100,IF(C41="10 მ²",D41*10,IF(C41="მ² ",D41,IF(C41="ლარი",D41,IF(C41="ხიდი",D41,IF(C41="100 მ",D41*100,IF(C41="გ.მ.",D41)))))))))))))))))))))))))))</f>
        <v>0</v>
      </c>
      <c r="G41" s="30" t="e">
        <f t="shared" ref="G41" si="11">ROUND(H41/F41,2)</f>
        <v>#DIV/0!</v>
      </c>
      <c r="H41" s="31">
        <f>'3-1'!M17</f>
        <v>0</v>
      </c>
      <c r="I41" s="31">
        <f>'3-1'!B17</f>
        <v>0</v>
      </c>
    </row>
    <row r="42" spans="1:10" ht="39.950000000000003" customHeight="1">
      <c r="A42" s="31">
        <f>'3-1'!A30</f>
        <v>1.3</v>
      </c>
      <c r="B42" s="31" t="str">
        <f>'3-1'!C30</f>
        <v>კედლის ფასადის მოპირკეთება ქვის წყობით</v>
      </c>
      <c r="C42" s="31" t="str">
        <f>'3-1'!D30</f>
        <v>მ2</v>
      </c>
      <c r="D42" s="31">
        <f>'3-1'!F30</f>
        <v>210</v>
      </c>
      <c r="E42" s="30" t="b">
        <f t="shared" ref="E42" si="12">IF(C42="კმ","კმ",IF(C42="1 ჰა","1 ჰა",IF(C42="100 ც","ც",IF(C42="1 ც","ც",IF(C42="ც","ც",IF(C42="ტ","ტ",IF(C42="1 ტ","ტ",IF(C42="მ³","მ³",IF(C42="1 მ³","მ³",IF(C42="10 მ³","მ³",IF(C42="100 მ³","მ³",IF(C42="1000 მ³","მ³",IF(C42="1000 მ","მ",IF(C42="100 მ","მ",IF(C42="10 მ","მ",IF(C42="10 მ ","მ",IF(C42="მ","მ",IF(C42="1000 მ²","მ²",IF(C42="1000 მ² ","მ²",IF(C42="100 მ²","მ²",IF(C42="100 მ² ","მ²",IF(C42="10 მ²","მ²",IF(C42="მ² ","მ²",IF(C42="ლარი","ლარი",IF(C42="ხიდი","ლარი",IF(C42="100 მ","მ",IF(C42="გ.მ.","მ")))))))))))))))))))))))))))</f>
        <v>0</v>
      </c>
      <c r="F42" s="30" t="b">
        <f t="shared" ref="F42" si="13">IF(C42="კმ",D42,IF(C42="1 ჰა",D42,IF(C42="100 ც",D42*100,IF(C42="1 ც",D42,IF(C42="ც",D42,IF(C42="ტ",D42,IF(C42="1 ტ",D42,IF(C42="მ³",D42,IF(C42="1 მ³",D42,IF(C42="10 მ³",D42*10,IF(C42="100 მ³",D42*100,IF(C42="1000 მ³",D42*1000,IF(C42="1000 მ",D42*1000,IF(C42="100 მ",D42*100,IF(C42="10 მ",D42*10,IF(C42="10 მ ",D42*10,IF(C42="მ",D42,IF(C42="1000 მ²",D42*1000,IF(C42="1000 მ² ",D42*1000,IF(C42="100 მ²",D42*100,IF(C42="100 მ² ",D42*100,IF(C42="10 მ²",D42*10,IF(C42="მ² ",D42,IF(C42="ლარი",D42,IF(C42="ხიდი",D42,IF(C42="100 მ",D42*100,IF(C42="გ.მ.",D42)))))))))))))))))))))))))))</f>
        <v>0</v>
      </c>
      <c r="G42" s="30" t="e">
        <f t="shared" ref="G42" si="14">ROUND(H42/F42,2)</f>
        <v>#DIV/0!</v>
      </c>
      <c r="H42" s="31">
        <f>'3-1'!M30</f>
        <v>0</v>
      </c>
      <c r="I42" s="31" t="str">
        <f>'3-1'!B30</f>
        <v>15-6-8.</v>
      </c>
    </row>
    <row r="43" spans="1:10" s="5" customFormat="1" ht="39.950000000000003" customHeight="1">
      <c r="A43" s="21"/>
      <c r="B43" s="15" t="s">
        <v>4</v>
      </c>
      <c r="C43" s="19"/>
      <c r="D43" s="20"/>
      <c r="E43" s="20"/>
      <c r="F43" s="30"/>
      <c r="G43" s="20"/>
      <c r="H43" s="20">
        <f>ROUND(SUM(H41:H42),2)</f>
        <v>0</v>
      </c>
      <c r="I43" s="32"/>
    </row>
    <row r="44" spans="1:10" s="5" customFormat="1" ht="39.950000000000003" customHeight="1">
      <c r="A44" s="21"/>
      <c r="B44" s="15" t="s">
        <v>10</v>
      </c>
      <c r="C44" s="19"/>
      <c r="D44" s="19"/>
      <c r="E44" s="39" t="s">
        <v>12</v>
      </c>
      <c r="F44" s="19">
        <v>10</v>
      </c>
      <c r="G44" s="19"/>
      <c r="H44" s="20">
        <f>ROUND(H43*F44%,2)</f>
        <v>0</v>
      </c>
      <c r="I44" s="32"/>
    </row>
    <row r="45" spans="1:10" s="5" customFormat="1" ht="39.950000000000003" customHeight="1">
      <c r="A45" s="21"/>
      <c r="B45" s="15" t="s">
        <v>4</v>
      </c>
      <c r="C45" s="19"/>
      <c r="D45" s="19"/>
      <c r="E45" s="30"/>
      <c r="F45" s="19"/>
      <c r="G45" s="30"/>
      <c r="H45" s="30">
        <f>ROUND(SUM(H43:H44),2)</f>
        <v>0</v>
      </c>
      <c r="I45" s="32"/>
    </row>
    <row r="46" spans="1:10" s="5" customFormat="1" ht="39.950000000000003" customHeight="1">
      <c r="A46" s="21"/>
      <c r="B46" s="15" t="s">
        <v>11</v>
      </c>
      <c r="C46" s="19"/>
      <c r="D46" s="19"/>
      <c r="E46" s="39" t="s">
        <v>12</v>
      </c>
      <c r="F46" s="19">
        <v>8</v>
      </c>
      <c r="G46" s="19"/>
      <c r="H46" s="20">
        <f>ROUND(H45*F46%,2)</f>
        <v>0</v>
      </c>
      <c r="I46" s="32"/>
    </row>
    <row r="47" spans="1:10" s="5" customFormat="1" ht="39.950000000000003" customHeight="1">
      <c r="A47" s="21"/>
      <c r="B47" s="15" t="s">
        <v>4</v>
      </c>
      <c r="C47" s="19"/>
      <c r="D47" s="19"/>
      <c r="E47" s="19"/>
      <c r="F47" s="19"/>
      <c r="G47" s="19"/>
      <c r="H47" s="20">
        <f>ROUND(SUM(H45:H46),2)</f>
        <v>0</v>
      </c>
      <c r="I47" s="32"/>
    </row>
    <row r="48" spans="1:10" s="5" customFormat="1" ht="80.099999999999994" customHeight="1">
      <c r="A48" s="15"/>
      <c r="B48" s="17" t="str">
        <f>'3-2'!C7</f>
        <v>გაბიონის ყუთების მოწყობის სამუშაოები</v>
      </c>
      <c r="C48" s="19"/>
      <c r="D48" s="19"/>
      <c r="E48" s="19"/>
      <c r="F48" s="19"/>
      <c r="G48" s="19"/>
      <c r="H48" s="20"/>
      <c r="I48" s="19"/>
    </row>
    <row r="49" spans="1:10" ht="39.950000000000003" customHeight="1">
      <c r="A49" s="31">
        <f>'3-2'!A8</f>
        <v>0</v>
      </c>
      <c r="B49" s="31">
        <f>'3-2'!C8</f>
        <v>0</v>
      </c>
      <c r="C49" s="31">
        <f>'3-2'!D8</f>
        <v>0</v>
      </c>
      <c r="D49" s="31">
        <f>'3-2'!F8</f>
        <v>0</v>
      </c>
      <c r="E49" s="30" t="b">
        <f t="shared" ref="E49" si="15">IF(C49="კმ","კმ",IF(C49="1 ჰა","1 ჰა",IF(C49="100 ც","ც",IF(C49="1 ც","ც",IF(C49="ც","ც",IF(C49="ტ","ტ",IF(C49="1 ტ","ტ",IF(C49="მ³","მ³",IF(C49="1 მ³","მ³",IF(C49="10 მ³","მ³",IF(C49="100 მ³","მ³",IF(C49="1000 მ³","მ³",IF(C49="1000 მ","მ",IF(C49="100 მ","მ",IF(C49="10 მ","მ",IF(C49="10 მ ","მ",IF(C49="მ","მ",IF(C49="1000 მ²","მ²",IF(C49="1000 მ² ","მ²",IF(C49="100 მ²","მ²",IF(C49="100 მ² ","მ²",IF(C49="10 მ²","მ²",IF(C49="მ² ","მ²",IF(C49="ლარი","ლარი",IF(C49="ხიდი","ლარი",IF(C49="100 მ","მ",IF(C49="გ.მ.","მ")))))))))))))))))))))))))))</f>
        <v>0</v>
      </c>
      <c r="F49" s="30" t="b">
        <f t="shared" ref="F49" si="16">IF(C49="კმ",D49,IF(C49="1 ჰა",D49,IF(C49="100 ც",D49*100,IF(C49="1 ც",D49,IF(C49="ც",D49,IF(C49="ტ",D49,IF(C49="1 ტ",D49,IF(C49="მ³",D49,IF(C49="1 მ³",D49,IF(C49="10 მ³",D49*10,IF(C49="100 მ³",D49*100,IF(C49="1000 მ³",D49*1000,IF(C49="1000 მ",D49*1000,IF(C49="100 მ",D49*100,IF(C49="10 მ",D49*10,IF(C49="10 მ ",D49*10,IF(C49="მ",D49,IF(C49="1000 მ²",D49*1000,IF(C49="1000 მ² ",D49*1000,IF(C49="100 მ²",D49*100,IF(C49="100 მ² ",D49*100,IF(C49="10 მ²",D49*10,IF(C49="მ² ",D49,IF(C49="ლარი",D49,IF(C49="ხიდი",D49,IF(C49="100 მ",D49*100,IF(C49="გ.მ.",D49)))))))))))))))))))))))))))</f>
        <v>0</v>
      </c>
      <c r="G49" s="30" t="e">
        <f t="shared" ref="G49" si="17">ROUND(H49/F49,2)</f>
        <v>#DIV/0!</v>
      </c>
      <c r="H49" s="31">
        <f>'3-2'!M8</f>
        <v>0</v>
      </c>
      <c r="I49" s="31">
        <f>'3-2'!B8</f>
        <v>0</v>
      </c>
    </row>
    <row r="50" spans="1:10" ht="39.950000000000003" customHeight="1">
      <c r="A50" s="31" t="str">
        <f>'3-2'!A13</f>
        <v>1.1.3</v>
      </c>
      <c r="B50" s="31" t="str">
        <f>'3-2'!C13</f>
        <v>სხვა მანქანები</v>
      </c>
      <c r="C50" s="31" t="str">
        <f>'3-2'!D13</f>
        <v>ლარი</v>
      </c>
      <c r="D50" s="31">
        <f>'3-2'!F13</f>
        <v>0.49476000000000003</v>
      </c>
      <c r="E50" s="30" t="str">
        <f t="shared" ref="E50:E56" si="18">IF(C50="კმ","კმ",IF(C50="1 ჰა","1 ჰა",IF(C50="100 ც","ც",IF(C50="1 ც","ც",IF(C50="ც","ც",IF(C50="ტ","ტ",IF(C50="1 ტ","ტ",IF(C50="მ³","მ³",IF(C50="1 მ³","მ³",IF(C50="10 მ³","მ³",IF(C50="100 მ³","მ³",IF(C50="1000 მ³","მ³",IF(C50="1000 მ","მ",IF(C50="100 მ","მ",IF(C50="10 მ","მ",IF(C50="10 მ ","მ",IF(C50="მ","მ",IF(C50="1000 მ²","მ²",IF(C50="1000 მ² ","მ²",IF(C50="100 მ²","მ²",IF(C50="100 მ² ","მ²",IF(C50="10 მ²","მ²",IF(C50="მ² ","მ²",IF(C50="ლარი","ლარი",IF(C50="ხიდი","ლარი",IF(C50="100 მ","მ",IF(C50="გ.მ.","მ")))))))))))))))))))))))))))</f>
        <v>ლარი</v>
      </c>
      <c r="F50" s="30">
        <f t="shared" ref="F50:F56" si="19">IF(C50="კმ",D50,IF(C50="1 ჰა",D50,IF(C50="100 ც",D50*100,IF(C50="1 ც",D50,IF(C50="ც",D50,IF(C50="ტ",D50,IF(C50="1 ტ",D50,IF(C50="მ³",D50,IF(C50="1 მ³",D50,IF(C50="10 მ³",D50*10,IF(C50="100 მ³",D50*100,IF(C50="1000 მ³",D50*1000,IF(C50="1000 მ",D50*1000,IF(C50="100 მ",D50*100,IF(C50="10 მ",D50*10,IF(C50="10 მ ",D50*10,IF(C50="მ",D50,IF(C50="1000 მ²",D50*1000,IF(C50="1000 მ² ",D50*1000,IF(C50="100 მ²",D50*100,IF(C50="100 მ² ",D50*100,IF(C50="10 მ²",D50*10,IF(C50="მ² ",D50,IF(C50="ლარი",D50,IF(C50="ხიდი",D50,IF(C50="100 მ",D50*100,IF(C50="გ.მ.",D50)))))))))))))))))))))))))))</f>
        <v>0.49476000000000003</v>
      </c>
      <c r="G50" s="30">
        <f t="shared" ref="G50:G56" si="20">ROUND(H50/F50,2)</f>
        <v>0</v>
      </c>
      <c r="H50" s="31">
        <f>'3-2'!M13</f>
        <v>0</v>
      </c>
      <c r="I50" s="31">
        <f>'3-2'!B13</f>
        <v>0</v>
      </c>
      <c r="J50" s="3"/>
    </row>
    <row r="51" spans="1:10" ht="39.950000000000003" customHeight="1">
      <c r="A51" s="31">
        <f>'3-2'!A15</f>
        <v>0</v>
      </c>
      <c r="B51" s="31">
        <f>'3-2'!C15</f>
        <v>0</v>
      </c>
      <c r="C51" s="31">
        <f>'3-2'!D15</f>
        <v>0</v>
      </c>
      <c r="D51" s="31">
        <f>'3-2'!F15</f>
        <v>0</v>
      </c>
      <c r="E51" s="30" t="b">
        <f t="shared" si="18"/>
        <v>0</v>
      </c>
      <c r="F51" s="30" t="b">
        <f t="shared" si="19"/>
        <v>0</v>
      </c>
      <c r="G51" s="30" t="e">
        <f t="shared" si="20"/>
        <v>#DIV/0!</v>
      </c>
      <c r="H51" s="31">
        <f>'3-2'!M15</f>
        <v>0</v>
      </c>
      <c r="I51" s="31">
        <f>'3-2'!B15</f>
        <v>0</v>
      </c>
    </row>
    <row r="52" spans="1:10" ht="39.950000000000003" customHeight="1">
      <c r="A52" s="31">
        <f>'3-2'!A17</f>
        <v>0</v>
      </c>
      <c r="B52" s="31">
        <f>'3-2'!C17</f>
        <v>0</v>
      </c>
      <c r="C52" s="31" t="str">
        <f>'3-2'!D17</f>
        <v>100 მ3</v>
      </c>
      <c r="D52" s="31">
        <f>'3-2'!F17</f>
        <v>0.35299999999999998</v>
      </c>
      <c r="E52" s="30" t="b">
        <f t="shared" si="18"/>
        <v>0</v>
      </c>
      <c r="F52" s="30" t="b">
        <f t="shared" si="19"/>
        <v>0</v>
      </c>
      <c r="G52" s="30" t="e">
        <f t="shared" si="20"/>
        <v>#DIV/0!</v>
      </c>
      <c r="H52" s="31">
        <f>'3-2'!M17</f>
        <v>0</v>
      </c>
      <c r="I52" s="31" t="str">
        <f>'3-2'!B17</f>
        <v>პ.3-107, კ=1.2</v>
      </c>
    </row>
    <row r="53" spans="1:10" ht="39.950000000000003" customHeight="1">
      <c r="A53" s="31" t="str">
        <f>'3-2'!A18</f>
        <v>1.2.1</v>
      </c>
      <c r="B53" s="31" t="str">
        <f>'3-2'!C18</f>
        <v>შრომითი დანახარჯები</v>
      </c>
      <c r="C53" s="31" t="str">
        <f>'3-2'!D18</f>
        <v>კაც/სთ</v>
      </c>
      <c r="D53" s="31">
        <f>'3-2'!F18</f>
        <v>87.261599999999987</v>
      </c>
      <c r="E53" s="30" t="b">
        <f t="shared" si="18"/>
        <v>0</v>
      </c>
      <c r="F53" s="30" t="b">
        <f t="shared" si="19"/>
        <v>0</v>
      </c>
      <c r="G53" s="30" t="e">
        <f t="shared" si="20"/>
        <v>#DIV/0!</v>
      </c>
      <c r="H53" s="31">
        <f>'3-2'!M18</f>
        <v>0</v>
      </c>
      <c r="I53" s="31">
        <f>'3-2'!B18</f>
        <v>0</v>
      </c>
    </row>
    <row r="54" spans="1:10" ht="39.950000000000003" customHeight="1">
      <c r="A54" s="31">
        <f>'3-2'!A32</f>
        <v>1.6</v>
      </c>
      <c r="B54" s="31" t="str">
        <f>'3-2'!C32</f>
        <v>უჟანგავი გაბიონის ყუთების მოწყობა</v>
      </c>
      <c r="C54" s="31" t="str">
        <f>'3-2'!D32</f>
        <v>მ³</v>
      </c>
      <c r="D54" s="31">
        <f>'3-2'!F32</f>
        <v>0</v>
      </c>
      <c r="E54" s="30" t="str">
        <f t="shared" si="18"/>
        <v>მ³</v>
      </c>
      <c r="F54" s="30">
        <f t="shared" si="19"/>
        <v>0</v>
      </c>
      <c r="G54" s="30" t="e">
        <f t="shared" si="20"/>
        <v>#DIV/0!</v>
      </c>
      <c r="H54" s="31">
        <f>'3-2'!M32</f>
        <v>0</v>
      </c>
      <c r="I54" s="31" t="str">
        <f>'3-2'!B32</f>
        <v>ЕНиР 61г №13-15 а1 а4009</v>
      </c>
    </row>
    <row r="55" spans="1:10" ht="39.950000000000003" customHeight="1">
      <c r="A55" s="31">
        <f>'3-2'!A38</f>
        <v>1.7</v>
      </c>
      <c r="B55" s="31" t="str">
        <f>'3-2'!C38</f>
        <v xml:space="preserve">უჟანგავი გაბიონის ყუთების შევსება ფლეთილი ქვით </v>
      </c>
      <c r="C55" s="31" t="str">
        <f>'3-2'!D38</f>
        <v>მ³</v>
      </c>
      <c r="D55" s="31">
        <f>'3-2'!F38</f>
        <v>0</v>
      </c>
      <c r="E55" s="30" t="str">
        <f t="shared" si="18"/>
        <v>მ³</v>
      </c>
      <c r="F55" s="30">
        <f t="shared" si="19"/>
        <v>0</v>
      </c>
      <c r="G55" s="30" t="e">
        <f t="shared" si="20"/>
        <v>#DIV/0!</v>
      </c>
      <c r="H55" s="31">
        <f>'3-2'!M38</f>
        <v>0</v>
      </c>
      <c r="I55" s="31" t="str">
        <f>'3-2'!B38</f>
        <v>ЕНиР 61г №13-15 а1 а4009</v>
      </c>
    </row>
    <row r="56" spans="1:10" ht="39.950000000000003" customHeight="1">
      <c r="A56" s="31">
        <f>'3-2'!A42</f>
        <v>1.6</v>
      </c>
      <c r="B56" s="31" t="str">
        <f>'3-2'!C42</f>
        <v>გაბიონის საყრდენი კედლის მოწყობა კალათებით ზომით 1.5x1x1 მ</v>
      </c>
      <c r="C56" s="31" t="str">
        <f>'3-2'!D42</f>
        <v>ც</v>
      </c>
      <c r="D56" s="31">
        <f>'3-2'!F42</f>
        <v>88</v>
      </c>
      <c r="E56" s="30" t="str">
        <f t="shared" si="18"/>
        <v>ც</v>
      </c>
      <c r="F56" s="30">
        <f t="shared" si="19"/>
        <v>88</v>
      </c>
      <c r="G56" s="30">
        <f t="shared" si="20"/>
        <v>0</v>
      </c>
      <c r="H56" s="31">
        <f>'3-2'!M42</f>
        <v>0</v>
      </c>
      <c r="I56" s="31" t="str">
        <f>'3-2'!B42</f>
        <v>В13-1-19/3-б</v>
      </c>
    </row>
    <row r="57" spans="1:10" s="5" customFormat="1" ht="39.950000000000003" customHeight="1">
      <c r="A57" s="21"/>
      <c r="B57" s="15" t="s">
        <v>4</v>
      </c>
      <c r="C57" s="19"/>
      <c r="D57" s="20"/>
      <c r="E57" s="20"/>
      <c r="F57" s="30"/>
      <c r="G57" s="20"/>
      <c r="H57" s="20">
        <f>ROUND(SUM(H49:H56),2)</f>
        <v>0</v>
      </c>
      <c r="I57" s="32"/>
    </row>
    <row r="58" spans="1:10" s="5" customFormat="1" ht="39.950000000000003" customHeight="1">
      <c r="A58" s="21"/>
      <c r="B58" s="15" t="s">
        <v>10</v>
      </c>
      <c r="C58" s="19"/>
      <c r="D58" s="19"/>
      <c r="E58" s="39" t="s">
        <v>12</v>
      </c>
      <c r="F58" s="19">
        <v>10</v>
      </c>
      <c r="G58" s="19"/>
      <c r="H58" s="20">
        <f>ROUND(H57*F58%,2)</f>
        <v>0</v>
      </c>
      <c r="I58" s="32"/>
    </row>
    <row r="59" spans="1:10" s="5" customFormat="1" ht="39.950000000000003" customHeight="1">
      <c r="A59" s="21"/>
      <c r="B59" s="15" t="s">
        <v>4</v>
      </c>
      <c r="C59" s="19"/>
      <c r="D59" s="19"/>
      <c r="E59" s="30"/>
      <c r="F59" s="19"/>
      <c r="G59" s="30"/>
      <c r="H59" s="20">
        <f>ROUND(SUM(H57:H58),2)</f>
        <v>0</v>
      </c>
      <c r="I59" s="32"/>
    </row>
    <row r="60" spans="1:10" s="5" customFormat="1" ht="39.950000000000003" customHeight="1">
      <c r="A60" s="21"/>
      <c r="B60" s="15" t="s">
        <v>11</v>
      </c>
      <c r="C60" s="19"/>
      <c r="D60" s="19"/>
      <c r="E60" s="39" t="s">
        <v>12</v>
      </c>
      <c r="F60" s="19">
        <v>8</v>
      </c>
      <c r="G60" s="19"/>
      <c r="H60" s="20">
        <f>ROUND(H59*F60%,2)</f>
        <v>0</v>
      </c>
      <c r="I60" s="32"/>
    </row>
    <row r="61" spans="1:10" s="5" customFormat="1" ht="39.75" customHeight="1">
      <c r="A61" s="21"/>
      <c r="B61" s="15" t="s">
        <v>4</v>
      </c>
      <c r="C61" s="19"/>
      <c r="D61" s="19"/>
      <c r="E61" s="19"/>
      <c r="F61" s="19"/>
      <c r="G61" s="19"/>
      <c r="H61" s="20">
        <f>ROUND(SUM(H59:H60),2)</f>
        <v>0</v>
      </c>
      <c r="I61" s="32"/>
    </row>
    <row r="62" spans="1:10" s="5" customFormat="1" ht="80.099999999999994" customHeight="1">
      <c r="A62" s="15"/>
      <c r="B62" s="17" t="str">
        <f>'4-1'!C7</f>
        <v>საგზაო სამოსი</v>
      </c>
      <c r="C62" s="19"/>
      <c r="D62" s="19"/>
      <c r="E62" s="19"/>
      <c r="F62" s="19"/>
      <c r="G62" s="19"/>
      <c r="H62" s="20"/>
      <c r="I62" s="19"/>
    </row>
    <row r="63" spans="1:10" ht="39.950000000000003" customHeight="1">
      <c r="A63" s="31">
        <f>'4-1'!A9</f>
        <v>1.1000000000000001</v>
      </c>
      <c r="B63" s="31" t="str">
        <f>'4-1'!C9</f>
        <v>საფუძვლის ფენის მოწყობა ქვიშა-ღორღის ნარევით (ფრ. 0-40მმ), სისქით 18სმ.</v>
      </c>
      <c r="C63" s="31" t="str">
        <f>'4-1'!D9</f>
        <v>მ3</v>
      </c>
      <c r="D63" s="31">
        <f>'4-1'!F9</f>
        <v>282</v>
      </c>
      <c r="E63" s="30" t="b">
        <f t="shared" ref="E63" si="21">IF(C63="კმ","კმ",IF(C63="1 ჰა","1 ჰა",IF(C63="100 ც","ც",IF(C63="1 ც","ც",IF(C63="ც","ც",IF(C63="ტ","ტ",IF(C63="1 ტ","ტ",IF(C63="მ³","მ³",IF(C63="1 მ³","მ³",IF(C63="10 მ³","მ³",IF(C63="100 მ³","მ³",IF(C63="1000 მ³","მ³",IF(C63="1000 მ","მ",IF(C63="100 მ","მ",IF(C63="10 მ","მ",IF(C63="10 მ ","მ",IF(C63="მ","მ",IF(C63="1000 მ²","მ²",IF(C63="1000 მ² ","მ²",IF(C63="100 მ²","მ²",IF(C63="100 მ² ","მ²",IF(C63="10 მ²","მ²",IF(C63="მ² ","მ²",IF(C63="ლარი","ლარი",IF(C63="ხიდი","ლარი",IF(C63="100 მ","მ",IF(C63="გ.მ.","მ")))))))))))))))))))))))))))</f>
        <v>0</v>
      </c>
      <c r="F63" s="30" t="b">
        <f t="shared" ref="F63" si="22">IF(C63="კმ",D63,IF(C63="1 ჰა",D63,IF(C63="100 ც",D63*100,IF(C63="1 ც",D63,IF(C63="ც",D63,IF(C63="ტ",D63,IF(C63="1 ტ",D63,IF(C63="მ³",D63,IF(C63="1 მ³",D63,IF(C63="10 მ³",D63*10,IF(C63="100 მ³",D63*100,IF(C63="1000 მ³",D63*1000,IF(C63="1000 მ",D63*1000,IF(C63="100 მ",D63*100,IF(C63="10 მ",D63*10,IF(C63="10 მ ",D63*10,IF(C63="მ",D63,IF(C63="1000 მ²",D63*1000,IF(C63="1000 მ² ",D63*1000,IF(C63="100 მ²",D63*100,IF(C63="100 მ² ",D63*100,IF(C63="10 მ²",D63*10,IF(C63="მ² ",D63,IF(C63="ლარი",D63,IF(C63="ხიდი",D63,IF(C63="100 მ",D63*100,IF(C63="გ.მ.",D63)))))))))))))))))))))))))))</f>
        <v>0</v>
      </c>
      <c r="G63" s="30" t="e">
        <f t="shared" ref="G63" si="23">ROUND(H63/F63,2)</f>
        <v>#DIV/0!</v>
      </c>
      <c r="H63" s="31">
        <f>'4-1'!M9</f>
        <v>0</v>
      </c>
      <c r="I63" s="31" t="str">
        <f>'4-1'!B9</f>
        <v>27-7-2.</v>
      </c>
    </row>
    <row r="64" spans="1:10" ht="39.950000000000003" customHeight="1">
      <c r="A64" s="31">
        <f>'4-1'!A20</f>
        <v>0</v>
      </c>
      <c r="B64" s="31">
        <f>'4-1'!C20</f>
        <v>0</v>
      </c>
      <c r="C64" s="31">
        <f>'4-1'!D20</f>
        <v>0</v>
      </c>
      <c r="D64" s="31">
        <f>'4-1'!F20</f>
        <v>0</v>
      </c>
      <c r="E64" s="30" t="b">
        <f t="shared" ref="E64:E68" si="24">IF(C64="კმ","კმ",IF(C64="1 ჰა","1 ჰა",IF(C64="100 ც","ც",IF(C64="1 ც","ც",IF(C64="ც","ც",IF(C64="ტ","ტ",IF(C64="1 ტ","ტ",IF(C64="მ³","მ³",IF(C64="1 მ³","მ³",IF(C64="10 მ³","მ³",IF(C64="100 მ³","მ³",IF(C64="1000 მ³","მ³",IF(C64="1000 მ","მ",IF(C64="100 მ","მ",IF(C64="10 მ","მ",IF(C64="10 მ ","მ",IF(C64="მ","მ",IF(C64="1000 მ²","მ²",IF(C64="1000 მ² ","მ²",IF(C64="100 მ²","მ²",IF(C64="100 მ² ","მ²",IF(C64="10 მ²","მ²",IF(C64="მ² ","მ²",IF(C64="ლარი","ლარი",IF(C64="ხიდი","ლარი",IF(C64="100 მ","მ",IF(C64="გ.მ.","მ")))))))))))))))))))))))))))</f>
        <v>0</v>
      </c>
      <c r="F64" s="30" t="b">
        <f t="shared" ref="F64:F68" si="25">IF(C64="კმ",D64,IF(C64="1 ჰა",D64,IF(C64="100 ც",D64*100,IF(C64="1 ც",D64,IF(C64="ც",D64,IF(C64="ტ",D64,IF(C64="1 ტ",D64,IF(C64="მ³",D64,IF(C64="1 მ³",D64,IF(C64="10 მ³",D64*10,IF(C64="100 მ³",D64*100,IF(C64="1000 მ³",D64*1000,IF(C64="1000 მ",D64*1000,IF(C64="100 მ",D64*100,IF(C64="10 მ",D64*10,IF(C64="10 მ ",D64*10,IF(C64="მ",D64,IF(C64="1000 მ²",D64*1000,IF(C64="1000 მ² ",D64*1000,IF(C64="100 მ²",D64*100,IF(C64="100 მ² ",D64*100,IF(C64="10 მ²",D64*10,IF(C64="მ² ",D64,IF(C64="ლარი",D64,IF(C64="ხიდი",D64,IF(C64="100 მ",D64*100,IF(C64="გ.მ.",D64)))))))))))))))))))))))))))</f>
        <v>0</v>
      </c>
      <c r="G64" s="30" t="e">
        <f t="shared" ref="G64:G68" si="26">ROUND(H64/F64,2)</f>
        <v>#DIV/0!</v>
      </c>
      <c r="H64" s="31">
        <f>'4-1'!M20</f>
        <v>0</v>
      </c>
      <c r="I64" s="31">
        <f>'4-1'!B20</f>
        <v>0</v>
      </c>
    </row>
    <row r="65" spans="1:9" ht="39.950000000000003" customHeight="1">
      <c r="A65" s="31" t="str">
        <f>'4-1'!A24</f>
        <v>1.2.2</v>
      </c>
      <c r="B65" s="31" t="str">
        <f>'4-1'!C24</f>
        <v>ბიტუმის ემულსია</v>
      </c>
      <c r="C65" s="31" t="str">
        <f>'4-1'!D24</f>
        <v>ტ</v>
      </c>
      <c r="D65" s="31">
        <f>'4-1'!F24</f>
        <v>0.83</v>
      </c>
      <c r="E65" s="30" t="str">
        <f t="shared" si="24"/>
        <v>ტ</v>
      </c>
      <c r="F65" s="30">
        <f t="shared" si="25"/>
        <v>0.83</v>
      </c>
      <c r="G65" s="30">
        <f t="shared" si="26"/>
        <v>0</v>
      </c>
      <c r="H65" s="31">
        <f>'4-1'!M24</f>
        <v>0</v>
      </c>
      <c r="I65" s="31" t="str">
        <f>'4-1'!B24</f>
        <v>14-1-538</v>
      </c>
    </row>
    <row r="66" spans="1:9" ht="39.950000000000003" customHeight="1">
      <c r="A66" s="31" t="str">
        <f>'4-1'!A33</f>
        <v>1.3.6</v>
      </c>
      <c r="B66" s="31" t="str">
        <f>'4-1'!C33</f>
        <v>მსხვილმარცვლოვანი ასფალტობეტონი</v>
      </c>
      <c r="C66" s="31" t="str">
        <f>'4-1'!D33</f>
        <v>ტ</v>
      </c>
      <c r="D66" s="31">
        <f>'4-1'!F33</f>
        <v>195.95520000000002</v>
      </c>
      <c r="E66" s="30" t="str">
        <f t="shared" si="24"/>
        <v>ტ</v>
      </c>
      <c r="F66" s="30">
        <f t="shared" si="25"/>
        <v>195.95520000000002</v>
      </c>
      <c r="G66" s="30">
        <f t="shared" si="26"/>
        <v>0</v>
      </c>
      <c r="H66" s="31">
        <f>'4-1'!M33</f>
        <v>0</v>
      </c>
      <c r="I66" s="31" t="str">
        <f>'4-1'!B33</f>
        <v>4-1-522</v>
      </c>
    </row>
    <row r="67" spans="1:9" ht="39.950000000000003" customHeight="1">
      <c r="A67" s="31">
        <f>'4-1'!A37</f>
        <v>0</v>
      </c>
      <c r="B67" s="31">
        <f>'4-1'!C37</f>
        <v>0</v>
      </c>
      <c r="C67" s="31" t="str">
        <f>'4-1'!D37</f>
        <v>1 ტ</v>
      </c>
      <c r="D67" s="31">
        <f>'4-1'!F37</f>
        <v>0.4</v>
      </c>
      <c r="E67" s="30" t="str">
        <f t="shared" si="24"/>
        <v>ტ</v>
      </c>
      <c r="F67" s="30">
        <f t="shared" si="25"/>
        <v>0.4</v>
      </c>
      <c r="G67" s="30">
        <f t="shared" si="26"/>
        <v>0</v>
      </c>
      <c r="H67" s="31">
        <f>'4-1'!M37</f>
        <v>0</v>
      </c>
      <c r="I67" s="31">
        <f>'4-1'!B37</f>
        <v>0</v>
      </c>
    </row>
    <row r="68" spans="1:9" ht="39.950000000000003" customHeight="1">
      <c r="A68" s="31">
        <f>'4-1'!A51</f>
        <v>1.6</v>
      </c>
      <c r="B68" s="31" t="str">
        <f>'4-1'!C51</f>
        <v xml:space="preserve">ქვესაგები ფენის მოწყობა ქვიშახრეშოვანი ნარევით </v>
      </c>
      <c r="C68" s="31" t="str">
        <f>'4-1'!D51</f>
        <v>მ3</v>
      </c>
      <c r="D68" s="31">
        <f>'4-1'!F51</f>
        <v>57</v>
      </c>
      <c r="E68" s="30" t="b">
        <f t="shared" si="24"/>
        <v>0</v>
      </c>
      <c r="F68" s="30" t="b">
        <f t="shared" si="25"/>
        <v>0</v>
      </c>
      <c r="G68" s="30" t="e">
        <f t="shared" si="26"/>
        <v>#DIV/0!</v>
      </c>
      <c r="H68" s="31">
        <f>'4-1'!M51</f>
        <v>0</v>
      </c>
      <c r="I68" s="31" t="str">
        <f>'4-1'!B51</f>
        <v>27-7-2.</v>
      </c>
    </row>
    <row r="69" spans="1:9" s="5" customFormat="1" ht="39.950000000000003" customHeight="1">
      <c r="A69" s="21"/>
      <c r="B69" s="15" t="s">
        <v>4</v>
      </c>
      <c r="C69" s="19"/>
      <c r="D69" s="20"/>
      <c r="E69" s="20"/>
      <c r="F69" s="30"/>
      <c r="G69" s="20"/>
      <c r="H69" s="20">
        <f>ROUND(SUM(H63:H68),2)</f>
        <v>0</v>
      </c>
      <c r="I69" s="32"/>
    </row>
    <row r="70" spans="1:9" s="5" customFormat="1" ht="39.950000000000003" customHeight="1">
      <c r="A70" s="21"/>
      <c r="B70" s="15" t="s">
        <v>10</v>
      </c>
      <c r="C70" s="19"/>
      <c r="D70" s="19"/>
      <c r="E70" s="39" t="s">
        <v>12</v>
      </c>
      <c r="F70" s="19">
        <v>10</v>
      </c>
      <c r="G70" s="19"/>
      <c r="H70" s="20">
        <f>ROUND(H69*F70%,2)</f>
        <v>0</v>
      </c>
      <c r="I70" s="32"/>
    </row>
    <row r="71" spans="1:9" s="5" customFormat="1" ht="39.950000000000003" customHeight="1">
      <c r="A71" s="21"/>
      <c r="B71" s="15" t="s">
        <v>4</v>
      </c>
      <c r="C71" s="19"/>
      <c r="D71" s="19"/>
      <c r="E71" s="30"/>
      <c r="F71" s="19"/>
      <c r="G71" s="30"/>
      <c r="H71" s="20">
        <f>ROUND(SUM(H69:H70),2)</f>
        <v>0</v>
      </c>
      <c r="I71" s="32"/>
    </row>
    <row r="72" spans="1:9" s="5" customFormat="1" ht="39.950000000000003" customHeight="1">
      <c r="A72" s="21"/>
      <c r="B72" s="15" t="s">
        <v>11</v>
      </c>
      <c r="C72" s="19"/>
      <c r="D72" s="19"/>
      <c r="E72" s="39" t="s">
        <v>12</v>
      </c>
      <c r="F72" s="19">
        <v>8</v>
      </c>
      <c r="G72" s="19"/>
      <c r="H72" s="20">
        <f>ROUND(H71*F72%,2)</f>
        <v>0</v>
      </c>
      <c r="I72" s="32"/>
    </row>
    <row r="73" spans="1:9" s="5" customFormat="1" ht="39.75" customHeight="1">
      <c r="A73" s="21"/>
      <c r="B73" s="15" t="s">
        <v>4</v>
      </c>
      <c r="C73" s="19"/>
      <c r="D73" s="19"/>
      <c r="E73" s="19"/>
      <c r="F73" s="19"/>
      <c r="G73" s="19"/>
      <c r="H73" s="20">
        <f>ROUND(SUM(H71:H72),2)</f>
        <v>0</v>
      </c>
      <c r="I73" s="32"/>
    </row>
    <row r="74" spans="1:9" s="5" customFormat="1" ht="80.099999999999994" customHeight="1">
      <c r="A74" s="15"/>
      <c r="B74" s="17" t="str">
        <f>'5-1'!C7</f>
        <v>მიერთებებისა და ადგილობრივი შესასვლელების მოწყობის სამუშაოები</v>
      </c>
      <c r="C74" s="19"/>
      <c r="D74" s="19"/>
      <c r="E74" s="19"/>
      <c r="F74" s="19"/>
      <c r="G74" s="19"/>
      <c r="H74" s="20"/>
      <c r="I74" s="19"/>
    </row>
    <row r="75" spans="1:9" ht="39.950000000000003" customHeight="1">
      <c r="A75" s="31">
        <f>'5-1'!A8</f>
        <v>0</v>
      </c>
      <c r="B75" s="31">
        <f>'5-1'!C8</f>
        <v>0</v>
      </c>
      <c r="C75" s="31">
        <f>'5-1'!D8</f>
        <v>0</v>
      </c>
      <c r="D75" s="31">
        <f>'5-1'!F8</f>
        <v>0</v>
      </c>
      <c r="E75" s="30" t="b">
        <f t="shared" ref="E75" si="27">IF(C75="კმ","კმ",IF(C75="1 ჰა","1 ჰა",IF(C75="100 ც","ც",IF(C75="1 ც","ც",IF(C75="ც","ც",IF(C75="ტ","ტ",IF(C75="1 ტ","ტ",IF(C75="მ³","მ³",IF(C75="1 მ³","მ³",IF(C75="10 მ³","მ³",IF(C75="100 მ³","მ³",IF(C75="1000 მ³","მ³",IF(C75="1000 მ","მ",IF(C75="100 მ","მ",IF(C75="10 მ","მ",IF(C75="10 მ ","მ",IF(C75="მ","მ",IF(C75="1000 მ²","მ²",IF(C75="1000 მ² ","მ²",IF(C75="100 მ²","მ²",IF(C75="100 მ² ","მ²",IF(C75="10 მ²","მ²",IF(C75="მ² ","მ²",IF(C75="ლარი","ლარი",IF(C75="ხიდი","ლარი",IF(C75="100 მ","მ",IF(C75="გ.მ.","მ")))))))))))))))))))))))))))</f>
        <v>0</v>
      </c>
      <c r="F75" s="30" t="b">
        <f t="shared" ref="F75" si="28">IF(C75="კმ",D75,IF(C75="1 ჰა",D75,IF(C75="100 ც",D75*100,IF(C75="1 ც",D75,IF(C75="ც",D75,IF(C75="ტ",D75,IF(C75="1 ტ",D75,IF(C75="მ³",D75,IF(C75="1 მ³",D75,IF(C75="10 მ³",D75*10,IF(C75="100 მ³",D75*100,IF(C75="1000 მ³",D75*1000,IF(C75="1000 მ",D75*1000,IF(C75="100 მ",D75*100,IF(C75="10 მ",D75*10,IF(C75="10 მ ",D75*10,IF(C75="მ",D75,IF(C75="1000 მ²",D75*1000,IF(C75="1000 მ² ",D75*1000,IF(C75="100 მ²",D75*100,IF(C75="100 მ² ",D75*100,IF(C75="10 მ²",D75*10,IF(C75="მ² ",D75,IF(C75="ლარი",D75,IF(C75="ხიდი",D75,IF(C75="100 მ",D75*100,IF(C75="გ.მ.",D75)))))))))))))))))))))))))))</f>
        <v>0</v>
      </c>
      <c r="G75" s="30" t="e">
        <f t="shared" ref="G75" si="29">ROUND(H75/F75,2)</f>
        <v>#DIV/0!</v>
      </c>
      <c r="H75" s="31">
        <f>'5-1'!M8</f>
        <v>0</v>
      </c>
      <c r="I75" s="31">
        <f>'5-1'!B8</f>
        <v>0</v>
      </c>
    </row>
    <row r="76" spans="1:9" ht="39.950000000000003" customHeight="1">
      <c r="A76" s="31" t="str">
        <f>'5-1'!A11</f>
        <v>1.1.1</v>
      </c>
      <c r="B76" s="31" t="str">
        <f>'5-1'!C11</f>
        <v>შრომითი დანახარჯები</v>
      </c>
      <c r="C76" s="31" t="str">
        <f>'5-1'!D11</f>
        <v>კაც/სთ</v>
      </c>
      <c r="D76" s="31">
        <f>'5-1'!F11</f>
        <v>6.1999999999999998E-3</v>
      </c>
      <c r="E76" s="30" t="b">
        <f t="shared" ref="E76:E82" si="30">IF(C76="კმ","კმ",IF(C76="1 ჰა","1 ჰა",IF(C76="100 ც","ც",IF(C76="1 ც","ც",IF(C76="ც","ც",IF(C76="ტ","ტ",IF(C76="1 ტ","ტ",IF(C76="მ³","მ³",IF(C76="1 მ³","მ³",IF(C76="10 მ³","მ³",IF(C76="100 მ³","მ³",IF(C76="1000 მ³","მ³",IF(C76="1000 მ","მ",IF(C76="100 მ","მ",IF(C76="10 მ","მ",IF(C76="10 მ ","მ",IF(C76="მ","მ",IF(C76="1000 მ²","მ²",IF(C76="1000 მ² ","მ²",IF(C76="100 მ²","მ²",IF(C76="100 მ² ","მ²",IF(C76="10 მ²","მ²",IF(C76="მ² ","მ²",IF(C76="ლარი","ლარი",IF(C76="ხიდი","ლარი",IF(C76="100 მ","მ",IF(C76="გ.მ.","მ")))))))))))))))))))))))))))</f>
        <v>0</v>
      </c>
      <c r="F76" s="30" t="b">
        <f t="shared" ref="F76:F82" si="31">IF(C76="კმ",D76,IF(C76="1 ჰა",D76,IF(C76="100 ც",D76*100,IF(C76="1 ც",D76,IF(C76="ც",D76,IF(C76="ტ",D76,IF(C76="1 ტ",D76,IF(C76="მ³",D76,IF(C76="1 მ³",D76,IF(C76="10 მ³",D76*10,IF(C76="100 მ³",D76*100,IF(C76="1000 მ³",D76*1000,IF(C76="1000 მ",D76*1000,IF(C76="100 მ",D76*100,IF(C76="10 მ",D76*10,IF(C76="10 მ ",D76*10,IF(C76="მ",D76,IF(C76="1000 მ²",D76*1000,IF(C76="1000 მ² ",D76*1000,IF(C76="100 მ²",D76*100,IF(C76="100 მ² ",D76*100,IF(C76="10 მ²",D76*10,IF(C76="მ² ",D76,IF(C76="ლარი",D76,IF(C76="ხიდი",D76,IF(C76="100 მ",D76*100,IF(C76="გ.მ.",D76)))))))))))))))))))))))))))</f>
        <v>0</v>
      </c>
      <c r="G76" s="30" t="e">
        <f t="shared" ref="G76:G82" si="32">ROUND(H76/F76,2)</f>
        <v>#DIV/0!</v>
      </c>
      <c r="H76" s="31">
        <f>'5-1'!M11</f>
        <v>0</v>
      </c>
      <c r="I76" s="31">
        <f>'5-1'!B11</f>
        <v>0</v>
      </c>
    </row>
    <row r="77" spans="1:9" ht="39.950000000000003" customHeight="1">
      <c r="A77" s="31" t="str">
        <f>'5-1'!A18</f>
        <v>1.2.3</v>
      </c>
      <c r="B77" s="31" t="str">
        <f>'5-1'!C18</f>
        <v>თვითმავალი სატკეპნი საგზაო, პნევმოსვლით 18 ტ</v>
      </c>
      <c r="C77" s="31" t="str">
        <f>'5-1'!D18</f>
        <v>მანქ/სთ</v>
      </c>
      <c r="D77" s="31">
        <f>'5-1'!F18</f>
        <v>1.5779399999999999</v>
      </c>
      <c r="E77" s="30" t="b">
        <f t="shared" si="30"/>
        <v>0</v>
      </c>
      <c r="F77" s="30" t="b">
        <f t="shared" si="31"/>
        <v>0</v>
      </c>
      <c r="G77" s="30" t="e">
        <f t="shared" si="32"/>
        <v>#DIV/0!</v>
      </c>
      <c r="H77" s="31">
        <f>'5-1'!M18</f>
        <v>0</v>
      </c>
      <c r="I77" s="31" t="str">
        <f>'5-1'!B18</f>
        <v>14-1-222</v>
      </c>
    </row>
    <row r="78" spans="1:9" ht="39.950000000000003" customHeight="1">
      <c r="A78" s="31" t="str">
        <f>'5-1'!A28</f>
        <v>1.3.4</v>
      </c>
      <c r="B78" s="31" t="str">
        <f>'5-1'!C28</f>
        <v xml:space="preserve">თვითმავალი სატკეპნი საგზაო 5 ტ </v>
      </c>
      <c r="C78" s="31" t="str">
        <f>'5-1'!D28</f>
        <v>მანქ/სთ</v>
      </c>
      <c r="D78" s="31">
        <f>'5-1'!F28</f>
        <v>8.0975999999999999</v>
      </c>
      <c r="E78" s="30" t="b">
        <f t="shared" si="30"/>
        <v>0</v>
      </c>
      <c r="F78" s="30" t="b">
        <f t="shared" si="31"/>
        <v>0</v>
      </c>
      <c r="G78" s="30" t="e">
        <f t="shared" si="32"/>
        <v>#DIV/0!</v>
      </c>
      <c r="H78" s="31">
        <f>'5-1'!M28</f>
        <v>0</v>
      </c>
      <c r="I78" s="31" t="str">
        <f>'5-1'!B28</f>
        <v>14-1-218</v>
      </c>
    </row>
    <row r="79" spans="1:9" ht="39.950000000000003" customHeight="1">
      <c r="A79" s="31" t="str">
        <f>'5-1'!A31</f>
        <v>1.3.7</v>
      </c>
      <c r="B79" s="31" t="str">
        <f>'5-1'!C31</f>
        <v>ქვის ნამტვრევების გამანაწილებელი მანქანა</v>
      </c>
      <c r="C79" s="31" t="str">
        <f>'5-1'!D31</f>
        <v>მანქ/სთ</v>
      </c>
      <c r="D79" s="31">
        <f>'5-1'!F31</f>
        <v>0.38319000000000003</v>
      </c>
      <c r="E79" s="30" t="b">
        <f t="shared" si="30"/>
        <v>0</v>
      </c>
      <c r="F79" s="30" t="b">
        <f t="shared" si="31"/>
        <v>0</v>
      </c>
      <c r="G79" s="30" t="e">
        <f t="shared" si="32"/>
        <v>#DIV/0!</v>
      </c>
      <c r="H79" s="31">
        <f>'5-1'!M31</f>
        <v>0</v>
      </c>
      <c r="I79" s="31" t="str">
        <f>'5-1'!B31</f>
        <v>14-1-229</v>
      </c>
    </row>
    <row r="80" spans="1:9" ht="39.950000000000003" customHeight="1">
      <c r="A80" s="31">
        <f>'5-1'!A39</f>
        <v>0</v>
      </c>
      <c r="B80" s="31">
        <f>'5-1'!C39</f>
        <v>0</v>
      </c>
      <c r="C80" s="31">
        <f>'5-1'!D39</f>
        <v>0</v>
      </c>
      <c r="D80" s="31">
        <f>'5-1'!F39</f>
        <v>0</v>
      </c>
      <c r="E80" s="30" t="b">
        <f t="shared" si="30"/>
        <v>0</v>
      </c>
      <c r="F80" s="30" t="b">
        <f t="shared" si="31"/>
        <v>0</v>
      </c>
      <c r="G80" s="30" t="e">
        <f t="shared" si="32"/>
        <v>#DIV/0!</v>
      </c>
      <c r="H80" s="31">
        <f>'5-1'!M39</f>
        <v>0</v>
      </c>
      <c r="I80" s="31">
        <f>'5-1'!B39</f>
        <v>0</v>
      </c>
    </row>
    <row r="81" spans="1:9" ht="39.950000000000003" customHeight="1">
      <c r="A81" s="31" t="str">
        <f>'5-1'!A42</f>
        <v>1.5.1</v>
      </c>
      <c r="B81" s="31" t="str">
        <f>'5-1'!C42</f>
        <v>შრომითი დანახარჯები</v>
      </c>
      <c r="C81" s="31" t="str">
        <f>'5-1'!D42</f>
        <v>კაც/სთ</v>
      </c>
      <c r="D81" s="31">
        <f>'5-1'!F42</f>
        <v>27.31494</v>
      </c>
      <c r="E81" s="30" t="b">
        <f t="shared" si="30"/>
        <v>0</v>
      </c>
      <c r="F81" s="30" t="b">
        <f t="shared" si="31"/>
        <v>0</v>
      </c>
      <c r="G81" s="30" t="e">
        <f t="shared" si="32"/>
        <v>#DIV/0!</v>
      </c>
      <c r="H81" s="31">
        <f>'5-1'!M42</f>
        <v>0</v>
      </c>
      <c r="I81" s="31">
        <f>'5-1'!B42</f>
        <v>0</v>
      </c>
    </row>
    <row r="82" spans="1:9" ht="39.950000000000003" customHeight="1">
      <c r="A82" s="31">
        <f>'5-1'!A50</f>
        <v>1.6</v>
      </c>
      <c r="B82" s="31" t="str">
        <f>'5-1'!C50</f>
        <v>თხევადი ბიტუმის მოსხმა</v>
      </c>
      <c r="C82" s="31" t="str">
        <f>'5-1'!D50</f>
        <v>ტ</v>
      </c>
      <c r="D82" s="31">
        <f>'5-1'!F50</f>
        <v>0.25305</v>
      </c>
      <c r="E82" s="30" t="str">
        <f t="shared" si="30"/>
        <v>ტ</v>
      </c>
      <c r="F82" s="30">
        <f t="shared" si="31"/>
        <v>0.25305</v>
      </c>
      <c r="G82" s="30">
        <f t="shared" si="32"/>
        <v>0</v>
      </c>
      <c r="H82" s="31">
        <f>'5-1'!M50</f>
        <v>0</v>
      </c>
      <c r="I82" s="31" t="str">
        <f>'5-1'!B50</f>
        <v>27-63-1</v>
      </c>
    </row>
    <row r="83" spans="1:9" s="5" customFormat="1" ht="39.950000000000003" customHeight="1">
      <c r="A83" s="21"/>
      <c r="B83" s="15" t="s">
        <v>4</v>
      </c>
      <c r="C83" s="19"/>
      <c r="D83" s="20"/>
      <c r="E83" s="20"/>
      <c r="F83" s="30"/>
      <c r="G83" s="20"/>
      <c r="H83" s="20">
        <f>ROUND(SUM(H75:H82),2)</f>
        <v>0</v>
      </c>
      <c r="I83" s="32"/>
    </row>
    <row r="84" spans="1:9" s="5" customFormat="1" ht="39.950000000000003" customHeight="1">
      <c r="A84" s="21"/>
      <c r="B84" s="15" t="s">
        <v>10</v>
      </c>
      <c r="C84" s="19"/>
      <c r="D84" s="19"/>
      <c r="E84" s="39" t="s">
        <v>12</v>
      </c>
      <c r="F84" s="19">
        <v>10</v>
      </c>
      <c r="G84" s="19"/>
      <c r="H84" s="20">
        <f>ROUND(H83*F84%,2)</f>
        <v>0</v>
      </c>
      <c r="I84" s="32"/>
    </row>
    <row r="85" spans="1:9" s="5" customFormat="1" ht="39.950000000000003" customHeight="1">
      <c r="A85" s="21"/>
      <c r="B85" s="15" t="s">
        <v>4</v>
      </c>
      <c r="C85" s="19"/>
      <c r="D85" s="19"/>
      <c r="E85" s="30"/>
      <c r="F85" s="19"/>
      <c r="G85" s="30"/>
      <c r="H85" s="20">
        <f>ROUND(SUM(H83:H84),2)</f>
        <v>0</v>
      </c>
      <c r="I85" s="32"/>
    </row>
    <row r="86" spans="1:9" s="5" customFormat="1" ht="39.950000000000003" customHeight="1">
      <c r="A86" s="21"/>
      <c r="B86" s="15" t="s">
        <v>11</v>
      </c>
      <c r="C86" s="19"/>
      <c r="D86" s="19"/>
      <c r="E86" s="39" t="s">
        <v>12</v>
      </c>
      <c r="F86" s="19">
        <v>8</v>
      </c>
      <c r="G86" s="19"/>
      <c r="H86" s="20">
        <f>ROUND(H85*F86%,2)</f>
        <v>0</v>
      </c>
      <c r="I86" s="32"/>
    </row>
    <row r="87" spans="1:9" s="5" customFormat="1" ht="39.75" customHeight="1">
      <c r="A87" s="21"/>
      <c r="B87" s="15" t="s">
        <v>4</v>
      </c>
      <c r="C87" s="19"/>
      <c r="D87" s="19"/>
      <c r="E87" s="19"/>
      <c r="F87" s="19"/>
      <c r="G87" s="19"/>
      <c r="H87" s="20">
        <f>ROUND(SUM(H85:H86),2)</f>
        <v>0</v>
      </c>
      <c r="I87" s="32"/>
    </row>
    <row r="88" spans="1:9" s="5" customFormat="1" ht="80.099999999999994" customHeight="1">
      <c r="A88" s="15"/>
      <c r="B88" s="17" t="str">
        <f>'5-2'!C7</f>
        <v>ზღუდარის მონტაჟი</v>
      </c>
      <c r="C88" s="19"/>
      <c r="D88" s="19"/>
      <c r="E88" s="19"/>
      <c r="F88" s="19"/>
      <c r="G88" s="19"/>
      <c r="H88" s="20"/>
      <c r="I88" s="19"/>
    </row>
    <row r="89" spans="1:9" ht="39.950000000000003" customHeight="1">
      <c r="A89" s="31">
        <f>'5-2'!A9</f>
        <v>1.1000000000000001</v>
      </c>
      <c r="B89" s="31" t="str">
        <f>'5-2'!C9</f>
        <v>ლითონის მრუდხაზოვანი ზღუდარის მოწყობა</v>
      </c>
      <c r="C89" s="31" t="str">
        <f>'5-2'!D9</f>
        <v>მ</v>
      </c>
      <c r="D89" s="31">
        <f>'5-2'!F9</f>
        <v>100.64</v>
      </c>
      <c r="E89" s="30" t="str">
        <f t="shared" ref="E89" si="33">IF(C89="კმ","კმ",IF(C89="1 ჰა","1 ჰა",IF(C89="100 ც","ც",IF(C89="1 ც","ც",IF(C89="ც","ც",IF(C89="ტ","ტ",IF(C89="1 ტ","ტ",IF(C89="მ³","მ³",IF(C89="1 მ³","მ³",IF(C89="10 მ³","მ³",IF(C89="100 მ³","მ³",IF(C89="1000 მ³","მ³",IF(C89="1000 მ","მ",IF(C89="100 მ","მ",IF(C89="10 მ","მ",IF(C89="10 მ ","მ",IF(C89="მ","მ",IF(C89="1000 მ²","მ²",IF(C89="1000 მ² ","მ²",IF(C89="100 მ²","მ²",IF(C89="100 მ² ","მ²",IF(C89="10 მ²","მ²",IF(C89="მ² ","მ²",IF(C89="ლარი","ლარი",IF(C89="ხიდი","ლარი",IF(C89="100 მ","მ",IF(C89="გ.მ.","მ")))))))))))))))))))))))))))</f>
        <v>მ</v>
      </c>
      <c r="F89" s="30">
        <f t="shared" ref="F89" si="34">IF(C89="კმ",D89,IF(C89="1 ჰა",D89,IF(C89="100 ც",D89*100,IF(C89="1 ც",D89,IF(C89="ც",D89,IF(C89="ტ",D89,IF(C89="1 ტ",D89,IF(C89="მ³",D89,IF(C89="1 მ³",D89,IF(C89="10 მ³",D89*10,IF(C89="100 მ³",D89*100,IF(C89="1000 მ³",D89*1000,IF(C89="1000 მ",D89*1000,IF(C89="100 მ",D89*100,IF(C89="10 მ",D89*10,IF(C89="10 მ ",D89*10,IF(C89="მ",D89,IF(C89="1000 მ²",D89*1000,IF(C89="1000 მ² ",D89*1000,IF(C89="100 მ²",D89*100,IF(C89="100 მ² ",D89*100,IF(C89="10 მ²",D89*10,IF(C89="მ² ",D89,IF(C89="ლარი",D89,IF(C89="ხიდი",D89,IF(C89="100 მ",D89*100,IF(C89="გ.მ.",D89)))))))))))))))))))))))))))</f>
        <v>100.64</v>
      </c>
      <c r="G89" s="30">
        <f t="shared" ref="G89" si="35">ROUND(H89/F89,2)</f>
        <v>0</v>
      </c>
      <c r="H89" s="31">
        <f>'5-2'!M9</f>
        <v>0</v>
      </c>
      <c r="I89" s="31" t="str">
        <f>'5-2'!B9</f>
        <v>27-50-6</v>
      </c>
    </row>
    <row r="90" spans="1:9" s="5" customFormat="1" ht="39.950000000000003" customHeight="1">
      <c r="A90" s="21"/>
      <c r="B90" s="15" t="s">
        <v>4</v>
      </c>
      <c r="C90" s="19"/>
      <c r="D90" s="20"/>
      <c r="E90" s="20"/>
      <c r="F90" s="30"/>
      <c r="G90" s="20"/>
      <c r="H90" s="20">
        <f>ROUND(SUM(H89:H89),2)</f>
        <v>0</v>
      </c>
      <c r="I90" s="32"/>
    </row>
    <row r="91" spans="1:9" s="5" customFormat="1" ht="39.950000000000003" customHeight="1">
      <c r="A91" s="21"/>
      <c r="B91" s="15" t="s">
        <v>10</v>
      </c>
      <c r="C91" s="19"/>
      <c r="D91" s="19"/>
      <c r="E91" s="39" t="s">
        <v>12</v>
      </c>
      <c r="F91" s="19">
        <v>8</v>
      </c>
      <c r="G91" s="19"/>
      <c r="H91" s="20">
        <f>ROUND(H90*F91%,2)</f>
        <v>0</v>
      </c>
      <c r="I91" s="32"/>
    </row>
    <row r="92" spans="1:9" s="5" customFormat="1" ht="39.950000000000003" customHeight="1">
      <c r="A92" s="21"/>
      <c r="B92" s="15" t="s">
        <v>4</v>
      </c>
      <c r="C92" s="19"/>
      <c r="D92" s="19"/>
      <c r="E92" s="30"/>
      <c r="F92" s="19"/>
      <c r="G92" s="30"/>
      <c r="H92" s="20">
        <f>ROUND(SUM(H90:H91),2)</f>
        <v>0</v>
      </c>
      <c r="I92" s="32"/>
    </row>
    <row r="93" spans="1:9" s="5" customFormat="1" ht="39.950000000000003" customHeight="1">
      <c r="A93" s="21"/>
      <c r="B93" s="15" t="s">
        <v>11</v>
      </c>
      <c r="C93" s="19"/>
      <c r="D93" s="19"/>
      <c r="E93" s="39" t="s">
        <v>12</v>
      </c>
      <c r="F93" s="19">
        <v>8</v>
      </c>
      <c r="G93" s="19"/>
      <c r="H93" s="20">
        <f>ROUND(H92*F93%,2)</f>
        <v>0</v>
      </c>
      <c r="I93" s="32"/>
    </row>
    <row r="94" spans="1:9" s="5" customFormat="1" ht="39.75" customHeight="1">
      <c r="A94" s="21"/>
      <c r="B94" s="15" t="s">
        <v>4</v>
      </c>
      <c r="C94" s="19"/>
      <c r="D94" s="19"/>
      <c r="E94" s="19"/>
      <c r="F94" s="19"/>
      <c r="G94" s="19"/>
      <c r="H94" s="20">
        <f>ROUND(SUM(H92:H93),2)</f>
        <v>0</v>
      </c>
      <c r="I94" s="32"/>
    </row>
    <row r="95" spans="1:9" ht="39.950000000000003" customHeight="1">
      <c r="A95" s="24"/>
      <c r="B95" s="25"/>
      <c r="C95" s="26"/>
      <c r="D95" s="26"/>
      <c r="E95" s="26"/>
      <c r="F95" s="26"/>
      <c r="G95" s="26"/>
      <c r="H95" s="33"/>
      <c r="I95" s="26"/>
    </row>
    <row r="96" spans="1:9" ht="39.950000000000003" customHeight="1">
      <c r="A96" s="24"/>
      <c r="B96" s="25"/>
      <c r="C96" s="26"/>
      <c r="D96" s="26"/>
      <c r="E96" s="26"/>
      <c r="F96" s="26"/>
      <c r="G96" s="26"/>
      <c r="H96" s="33"/>
      <c r="I96" s="26"/>
    </row>
    <row r="97" spans="1:9" ht="39.950000000000003" customHeight="1">
      <c r="A97" s="24"/>
      <c r="B97" s="25"/>
      <c r="C97" s="26"/>
      <c r="D97" s="26"/>
      <c r="E97" s="26"/>
      <c r="F97" s="26"/>
      <c r="G97" s="26"/>
      <c r="H97" s="33"/>
      <c r="I97" s="26"/>
    </row>
    <row r="98" spans="1:9" ht="39.950000000000003" customHeight="1">
      <c r="A98" s="24"/>
      <c r="B98" s="25"/>
      <c r="C98" s="26"/>
      <c r="D98" s="26"/>
      <c r="E98" s="26"/>
      <c r="F98" s="26"/>
      <c r="G98" s="26"/>
      <c r="H98" s="33"/>
      <c r="I98" s="26"/>
    </row>
    <row r="99" spans="1:9" ht="39.950000000000003" customHeight="1">
      <c r="A99" s="24"/>
      <c r="B99" s="25"/>
      <c r="C99" s="26"/>
      <c r="D99" s="26"/>
      <c r="E99" s="26"/>
      <c r="F99" s="26"/>
      <c r="G99" s="26"/>
      <c r="H99" s="33"/>
      <c r="I99" s="26"/>
    </row>
    <row r="100" spans="1:9">
      <c r="B100" s="28"/>
      <c r="C100" s="29"/>
      <c r="D100" s="29"/>
      <c r="E100" s="29"/>
      <c r="F100" s="29"/>
      <c r="G100" s="29"/>
      <c r="H100" s="34"/>
      <c r="I100" s="29"/>
    </row>
    <row r="101" spans="1:9">
      <c r="B101" s="28"/>
      <c r="C101" s="29"/>
      <c r="D101" s="29"/>
      <c r="E101" s="29"/>
      <c r="F101" s="29"/>
      <c r="G101" s="29"/>
      <c r="H101" s="34"/>
      <c r="I101" s="29"/>
    </row>
    <row r="102" spans="1:9">
      <c r="B102" s="28"/>
      <c r="C102" s="29"/>
      <c r="D102" s="29"/>
      <c r="E102" s="29"/>
      <c r="F102" s="29"/>
      <c r="G102" s="29"/>
      <c r="H102" s="34"/>
      <c r="I102" s="29"/>
    </row>
    <row r="103" spans="1:9">
      <c r="B103" s="28"/>
      <c r="C103" s="29"/>
      <c r="D103" s="29"/>
      <c r="E103" s="29"/>
      <c r="F103" s="29"/>
      <c r="G103" s="29"/>
      <c r="H103" s="34"/>
      <c r="I103" s="29"/>
    </row>
    <row r="104" spans="1:9">
      <c r="B104" s="28"/>
      <c r="C104" s="28"/>
      <c r="D104" s="28"/>
      <c r="E104" s="28"/>
      <c r="F104" s="28"/>
      <c r="G104" s="28"/>
      <c r="H104" s="35"/>
      <c r="I104" s="28"/>
    </row>
    <row r="105" spans="1:9">
      <c r="B105" s="28"/>
      <c r="C105" s="28"/>
      <c r="D105" s="28"/>
      <c r="E105" s="28"/>
      <c r="F105" s="28"/>
      <c r="G105" s="28"/>
      <c r="H105" s="35"/>
      <c r="I105" s="28"/>
    </row>
    <row r="106" spans="1:9">
      <c r="B106" s="28"/>
      <c r="C106" s="28"/>
      <c r="D106" s="28"/>
      <c r="E106" s="28"/>
      <c r="F106" s="28"/>
      <c r="G106" s="28"/>
      <c r="H106" s="35"/>
      <c r="I106" s="28"/>
    </row>
    <row r="107" spans="1:9">
      <c r="B107" s="28"/>
      <c r="C107" s="28"/>
      <c r="D107" s="28"/>
      <c r="E107" s="28"/>
      <c r="F107" s="28"/>
      <c r="G107" s="28"/>
      <c r="H107" s="35"/>
      <c r="I107" s="28"/>
    </row>
    <row r="108" spans="1:9">
      <c r="B108" s="28"/>
      <c r="C108" s="28"/>
      <c r="D108" s="28"/>
      <c r="E108" s="28"/>
      <c r="F108" s="28"/>
      <c r="G108" s="28"/>
      <c r="H108" s="35"/>
      <c r="I108" s="28"/>
    </row>
    <row r="109" spans="1:9">
      <c r="B109" s="28"/>
      <c r="C109" s="28"/>
      <c r="D109" s="28"/>
      <c r="E109" s="28"/>
      <c r="F109" s="28"/>
      <c r="G109" s="28"/>
      <c r="H109" s="35"/>
      <c r="I109" s="28"/>
    </row>
    <row r="110" spans="1:9">
      <c r="B110" s="28"/>
      <c r="C110" s="28"/>
      <c r="D110" s="28"/>
      <c r="E110" s="28"/>
      <c r="F110" s="28"/>
      <c r="G110" s="28"/>
      <c r="H110" s="35"/>
      <c r="I110" s="28"/>
    </row>
    <row r="111" spans="1:9">
      <c r="B111" s="28"/>
      <c r="C111" s="28"/>
      <c r="D111" s="28"/>
      <c r="E111" s="28"/>
      <c r="F111" s="28"/>
      <c r="G111" s="28"/>
      <c r="H111" s="35"/>
      <c r="I111" s="28"/>
    </row>
    <row r="112" spans="1:9">
      <c r="B112" s="28"/>
      <c r="C112" s="28"/>
      <c r="D112" s="28"/>
      <c r="E112" s="28"/>
      <c r="F112" s="28"/>
      <c r="G112" s="28"/>
      <c r="H112" s="35"/>
      <c r="I112" s="28"/>
    </row>
    <row r="113" spans="2:9">
      <c r="B113" s="28"/>
      <c r="C113" s="28"/>
      <c r="D113" s="28"/>
      <c r="E113" s="28"/>
      <c r="F113" s="28"/>
      <c r="G113" s="28"/>
      <c r="H113" s="35"/>
      <c r="I113" s="28"/>
    </row>
    <row r="114" spans="2:9">
      <c r="B114" s="28"/>
      <c r="C114" s="28"/>
      <c r="D114" s="28"/>
      <c r="E114" s="28"/>
      <c r="F114" s="28"/>
      <c r="G114" s="28"/>
      <c r="H114" s="35"/>
      <c r="I114" s="28"/>
    </row>
    <row r="115" spans="2:9">
      <c r="B115" s="28"/>
      <c r="C115" s="28"/>
      <c r="D115" s="28"/>
      <c r="E115" s="28"/>
      <c r="F115" s="28"/>
      <c r="G115" s="28"/>
      <c r="H115" s="35"/>
      <c r="I115" s="28"/>
    </row>
    <row r="116" spans="2:9">
      <c r="B116" s="28"/>
      <c r="C116" s="28"/>
      <c r="D116" s="28"/>
      <c r="E116" s="28"/>
      <c r="F116" s="28"/>
      <c r="G116" s="28"/>
      <c r="H116" s="35"/>
      <c r="I116" s="28"/>
    </row>
  </sheetData>
  <mergeCells count="27">
    <mergeCell ref="G16:G18"/>
    <mergeCell ref="H16:H18"/>
    <mergeCell ref="I16:I18"/>
    <mergeCell ref="A11:B12"/>
    <mergeCell ref="D11:G12"/>
    <mergeCell ref="H11:I12"/>
    <mergeCell ref="A13:I15"/>
    <mergeCell ref="A16:A18"/>
    <mergeCell ref="B16:B18"/>
    <mergeCell ref="C16:C18"/>
    <mergeCell ref="D16:D18"/>
    <mergeCell ref="E16:E18"/>
    <mergeCell ref="F16:F18"/>
    <mergeCell ref="A7:B8"/>
    <mergeCell ref="E7:G8"/>
    <mergeCell ref="H7:I8"/>
    <mergeCell ref="A9:B10"/>
    <mergeCell ref="E9:G10"/>
    <mergeCell ref="H9:I10"/>
    <mergeCell ref="A5:B6"/>
    <mergeCell ref="E5:G6"/>
    <mergeCell ref="H5:I6"/>
    <mergeCell ref="A1:B1"/>
    <mergeCell ref="A2:B2"/>
    <mergeCell ref="A3:B4"/>
    <mergeCell ref="E3:G4"/>
    <mergeCell ref="H3:I4"/>
  </mergeCells>
  <pageMargins left="0.7" right="0.7" top="0.75" bottom="0.75" header="0.3" footer="0.3"/>
  <pageSetup paperSize="9" scale="37" orientation="landscape" r:id="rId1"/>
  <rowBreaks count="2" manualBreakCount="2">
    <brk id="39" max="8" man="1"/>
    <brk id="70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L242"/>
  <sheetViews>
    <sheetView view="pageBreakPreview" topLeftCell="A65" zoomScale="55" zoomScaleNormal="55" zoomScaleSheetLayoutView="55" workbookViewId="0">
      <selection activeCell="A24" sqref="A1:L1048576"/>
    </sheetView>
  </sheetViews>
  <sheetFormatPr defaultRowHeight="19.5"/>
  <cols>
    <col min="1" max="1" width="15.7109375" style="27" customWidth="1"/>
    <col min="2" max="2" width="105.7109375" style="27" customWidth="1"/>
    <col min="3" max="4" width="12.7109375" style="27" customWidth="1"/>
    <col min="5" max="5" width="25.7109375" style="27" customWidth="1"/>
    <col min="6" max="7" width="20.7109375" style="27" customWidth="1"/>
    <col min="8" max="9" width="13.28515625" style="27" customWidth="1"/>
    <col min="10" max="12" width="20.7109375" style="27" customWidth="1"/>
    <col min="13" max="15" width="20.7109375" customWidth="1"/>
    <col min="19" max="20" width="20.7109375" style="9" customWidth="1"/>
  </cols>
  <sheetData>
    <row r="1" spans="1:220">
      <c r="A1" s="173"/>
      <c r="B1" s="173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20">
      <c r="A2" s="173"/>
      <c r="B2" s="173"/>
      <c r="C2" s="1"/>
      <c r="D2" s="1"/>
      <c r="E2" s="1"/>
      <c r="F2" s="1"/>
      <c r="G2" s="1"/>
      <c r="H2" s="1"/>
      <c r="I2" s="1"/>
      <c r="J2" s="1"/>
      <c r="K2" s="1"/>
      <c r="L2" s="1"/>
      <c r="S2" s="184" t="s">
        <v>134</v>
      </c>
      <c r="T2" s="184"/>
      <c r="U2" s="9">
        <v>1</v>
      </c>
      <c r="V2" s="9">
        <v>2</v>
      </c>
      <c r="W2" s="9">
        <v>3</v>
      </c>
      <c r="X2" s="9">
        <v>4</v>
      </c>
      <c r="Y2" s="9">
        <v>5</v>
      </c>
      <c r="Z2" s="9">
        <v>6</v>
      </c>
      <c r="AA2" s="9">
        <v>7</v>
      </c>
      <c r="AB2" s="9">
        <v>8</v>
      </c>
      <c r="AC2" s="9">
        <v>9</v>
      </c>
      <c r="AD2" s="9">
        <v>10</v>
      </c>
      <c r="AE2" s="9">
        <v>11</v>
      </c>
      <c r="AF2" s="9">
        <v>12</v>
      </c>
      <c r="AG2" s="9">
        <v>13</v>
      </c>
      <c r="AH2" s="9">
        <v>14</v>
      </c>
      <c r="AI2" s="9">
        <v>15</v>
      </c>
      <c r="AJ2" s="9">
        <v>16</v>
      </c>
      <c r="AK2" s="9">
        <v>17</v>
      </c>
      <c r="AL2" s="9">
        <v>18</v>
      </c>
      <c r="AM2" s="9">
        <v>19</v>
      </c>
      <c r="AN2" s="9">
        <v>20</v>
      </c>
      <c r="AO2" s="9">
        <v>21</v>
      </c>
      <c r="AP2" s="9">
        <v>22</v>
      </c>
      <c r="AQ2" s="9">
        <v>23</v>
      </c>
      <c r="AR2" s="9">
        <v>24</v>
      </c>
      <c r="AS2" s="9">
        <v>25</v>
      </c>
      <c r="AT2" s="9">
        <v>26</v>
      </c>
      <c r="AU2" s="9">
        <v>27</v>
      </c>
      <c r="AV2" s="9">
        <v>28</v>
      </c>
      <c r="AW2" s="9">
        <v>29</v>
      </c>
      <c r="AX2" s="9">
        <v>30</v>
      </c>
      <c r="AY2" s="9">
        <v>31</v>
      </c>
      <c r="AZ2" s="9">
        <v>32</v>
      </c>
      <c r="BA2" s="9">
        <v>33</v>
      </c>
      <c r="BB2" s="9">
        <v>34</v>
      </c>
      <c r="BC2" s="9">
        <v>35</v>
      </c>
      <c r="BD2" s="9">
        <v>36</v>
      </c>
      <c r="BE2" s="9">
        <v>37</v>
      </c>
      <c r="BF2" s="9">
        <v>38</v>
      </c>
      <c r="BG2" s="9">
        <v>39</v>
      </c>
      <c r="BH2" s="9">
        <v>40</v>
      </c>
      <c r="BI2" s="9">
        <v>41</v>
      </c>
      <c r="BJ2" s="9">
        <v>42</v>
      </c>
      <c r="BK2" s="9">
        <v>43</v>
      </c>
      <c r="BL2" s="9">
        <v>44</v>
      </c>
      <c r="BM2" s="9">
        <v>45</v>
      </c>
      <c r="BN2" s="9">
        <v>46</v>
      </c>
      <c r="BO2" s="9">
        <v>47</v>
      </c>
      <c r="BP2" s="9">
        <v>48</v>
      </c>
      <c r="BQ2" s="9">
        <v>49</v>
      </c>
      <c r="BR2" s="9">
        <v>50</v>
      </c>
      <c r="BS2" s="9">
        <v>51</v>
      </c>
      <c r="BT2" s="9">
        <v>52</v>
      </c>
      <c r="BU2" s="9">
        <v>53</v>
      </c>
      <c r="BV2" s="9">
        <v>54</v>
      </c>
      <c r="BW2" s="9">
        <v>55</v>
      </c>
      <c r="BX2" s="9">
        <v>56</v>
      </c>
      <c r="BY2" s="9">
        <v>57</v>
      </c>
      <c r="BZ2" s="9">
        <v>58</v>
      </c>
      <c r="CA2" s="9">
        <v>59</v>
      </c>
      <c r="CB2" s="9">
        <v>60</v>
      </c>
      <c r="CC2" s="9">
        <v>61</v>
      </c>
      <c r="CD2" s="9">
        <v>62</v>
      </c>
      <c r="CE2" s="9">
        <v>63</v>
      </c>
      <c r="CF2" s="9">
        <v>64</v>
      </c>
      <c r="CG2" s="9">
        <v>65</v>
      </c>
      <c r="CH2" s="9">
        <v>66</v>
      </c>
      <c r="CI2" s="9">
        <v>67</v>
      </c>
      <c r="CJ2" s="9">
        <v>68</v>
      </c>
      <c r="CK2" s="9">
        <v>69</v>
      </c>
      <c r="CL2" s="9">
        <v>70</v>
      </c>
      <c r="CM2" s="9">
        <v>71</v>
      </c>
      <c r="CN2" s="9">
        <v>72</v>
      </c>
      <c r="CO2" s="9">
        <v>73</v>
      </c>
      <c r="CP2" s="9">
        <v>74</v>
      </c>
      <c r="CQ2" s="9">
        <v>75</v>
      </c>
      <c r="CR2" s="9">
        <v>76</v>
      </c>
      <c r="CS2" s="9">
        <v>77</v>
      </c>
      <c r="CT2" s="9">
        <v>78</v>
      </c>
      <c r="CU2" s="9">
        <v>79</v>
      </c>
      <c r="CV2" s="9">
        <v>80</v>
      </c>
      <c r="CW2" s="9">
        <v>81</v>
      </c>
      <c r="CX2" s="9">
        <v>82</v>
      </c>
      <c r="CY2" s="9">
        <v>83</v>
      </c>
      <c r="CZ2" s="9">
        <v>84</v>
      </c>
      <c r="DA2" s="9">
        <v>85</v>
      </c>
      <c r="DB2" s="9">
        <v>86</v>
      </c>
      <c r="DC2" s="9">
        <v>87</v>
      </c>
      <c r="DD2" s="9">
        <v>88</v>
      </c>
      <c r="DE2" s="9">
        <v>89</v>
      </c>
      <c r="DF2" s="9">
        <v>90</v>
      </c>
      <c r="DG2" s="9">
        <v>91</v>
      </c>
      <c r="DH2" s="9">
        <v>92</v>
      </c>
      <c r="DI2" s="9">
        <v>93</v>
      </c>
      <c r="DJ2" s="9">
        <v>94</v>
      </c>
      <c r="DK2" s="9">
        <v>95</v>
      </c>
      <c r="DL2" s="9">
        <v>96</v>
      </c>
      <c r="DM2" s="9">
        <v>97</v>
      </c>
      <c r="DN2" s="9">
        <v>98</v>
      </c>
      <c r="DO2" s="9">
        <v>99</v>
      </c>
      <c r="DP2" s="9">
        <v>100</v>
      </c>
      <c r="DQ2" s="9">
        <v>101</v>
      </c>
      <c r="DR2" s="9">
        <v>102</v>
      </c>
      <c r="DS2" s="9">
        <v>103</v>
      </c>
      <c r="DT2" s="9">
        <v>104</v>
      </c>
      <c r="DU2" s="9">
        <v>105</v>
      </c>
      <c r="DV2" s="9">
        <v>106</v>
      </c>
      <c r="DW2" s="9">
        <v>107</v>
      </c>
      <c r="DX2" s="9">
        <v>108</v>
      </c>
      <c r="DY2" s="9">
        <v>109</v>
      </c>
      <c r="DZ2" s="9">
        <v>110</v>
      </c>
      <c r="EA2" s="9">
        <v>111</v>
      </c>
      <c r="EB2" s="9">
        <v>112</v>
      </c>
      <c r="EC2" s="9">
        <v>113</v>
      </c>
      <c r="ED2" s="9">
        <v>114</v>
      </c>
      <c r="EE2" s="9">
        <v>115</v>
      </c>
      <c r="EF2" s="9">
        <v>116</v>
      </c>
      <c r="EG2" s="9">
        <v>117</v>
      </c>
      <c r="EH2" s="9">
        <v>118</v>
      </c>
      <c r="EI2" s="9">
        <v>119</v>
      </c>
      <c r="EJ2" s="9">
        <v>120</v>
      </c>
      <c r="EK2" s="9">
        <v>121</v>
      </c>
      <c r="EL2" s="9">
        <v>122</v>
      </c>
      <c r="EM2" s="9">
        <v>123</v>
      </c>
      <c r="EN2" s="9">
        <v>124</v>
      </c>
      <c r="EO2" s="9">
        <v>125</v>
      </c>
      <c r="EP2" s="9">
        <v>126</v>
      </c>
      <c r="EQ2" s="9">
        <v>127</v>
      </c>
      <c r="ER2" s="9">
        <v>128</v>
      </c>
      <c r="ES2" s="9">
        <v>129</v>
      </c>
      <c r="ET2" s="9">
        <v>130</v>
      </c>
      <c r="EU2" s="9">
        <v>131</v>
      </c>
      <c r="EV2" s="9">
        <v>132</v>
      </c>
      <c r="EW2" s="9">
        <v>133</v>
      </c>
      <c r="EX2" s="9">
        <v>134</v>
      </c>
      <c r="EY2" s="9">
        <v>135</v>
      </c>
      <c r="EZ2" s="9">
        <v>136</v>
      </c>
      <c r="FA2" s="9">
        <v>137</v>
      </c>
      <c r="FB2" s="9">
        <v>138</v>
      </c>
      <c r="FC2" s="9">
        <v>139</v>
      </c>
      <c r="FD2" s="9">
        <v>140</v>
      </c>
      <c r="FE2" s="9">
        <v>141</v>
      </c>
      <c r="FF2" s="9">
        <v>142</v>
      </c>
      <c r="FG2" s="9">
        <v>143</v>
      </c>
      <c r="FH2" s="9">
        <v>144</v>
      </c>
      <c r="FI2" s="9">
        <v>145</v>
      </c>
      <c r="FJ2" s="9">
        <v>146</v>
      </c>
      <c r="FK2" s="9">
        <v>147</v>
      </c>
      <c r="FL2" s="9">
        <v>148</v>
      </c>
      <c r="FM2" s="9">
        <v>149</v>
      </c>
      <c r="FN2" s="9">
        <v>150</v>
      </c>
      <c r="FO2" s="9">
        <v>151</v>
      </c>
      <c r="FP2" s="9">
        <v>152</v>
      </c>
      <c r="FQ2" s="9">
        <v>153</v>
      </c>
      <c r="FR2" s="9">
        <v>154</v>
      </c>
      <c r="FS2" s="9">
        <v>155</v>
      </c>
      <c r="FT2" s="9">
        <v>156</v>
      </c>
      <c r="FU2" s="9">
        <v>157</v>
      </c>
      <c r="FV2" s="9">
        <v>158</v>
      </c>
      <c r="FW2" s="9">
        <v>159</v>
      </c>
      <c r="FX2" s="9">
        <v>160</v>
      </c>
      <c r="FY2" s="9">
        <v>161</v>
      </c>
      <c r="FZ2" s="9">
        <v>162</v>
      </c>
      <c r="GA2" s="9">
        <v>163</v>
      </c>
      <c r="GB2" s="9">
        <v>164</v>
      </c>
      <c r="GC2" s="9">
        <v>165</v>
      </c>
      <c r="GD2" s="9">
        <v>166</v>
      </c>
      <c r="GE2" s="9">
        <v>167</v>
      </c>
      <c r="GF2" s="9">
        <v>168</v>
      </c>
      <c r="GG2" s="9">
        <v>169</v>
      </c>
      <c r="GH2" s="9">
        <v>170</v>
      </c>
      <c r="GI2" s="9">
        <v>171</v>
      </c>
      <c r="GJ2" s="9">
        <v>172</v>
      </c>
      <c r="GK2" s="9">
        <v>173</v>
      </c>
      <c r="GL2" s="9">
        <v>174</v>
      </c>
      <c r="GM2" s="9">
        <v>175</v>
      </c>
      <c r="GN2" s="9">
        <v>176</v>
      </c>
      <c r="GO2" s="9">
        <v>177</v>
      </c>
      <c r="GP2" s="9">
        <v>178</v>
      </c>
      <c r="GQ2" s="9">
        <v>179</v>
      </c>
      <c r="GR2" s="9">
        <v>180</v>
      </c>
      <c r="GS2" s="9">
        <v>181</v>
      </c>
      <c r="GT2" s="9">
        <v>182</v>
      </c>
      <c r="GU2" s="9">
        <v>183</v>
      </c>
      <c r="GV2" s="9">
        <v>184</v>
      </c>
      <c r="GW2" s="9">
        <v>185</v>
      </c>
      <c r="GX2" s="9">
        <v>186</v>
      </c>
      <c r="GY2" s="9">
        <v>187</v>
      </c>
      <c r="GZ2" s="9">
        <v>188</v>
      </c>
      <c r="HA2" s="9">
        <v>189</v>
      </c>
      <c r="HB2" s="9">
        <v>190</v>
      </c>
      <c r="HC2" s="9">
        <v>191</v>
      </c>
      <c r="HD2" s="9">
        <v>192</v>
      </c>
      <c r="HE2" s="9">
        <v>193</v>
      </c>
      <c r="HF2" s="9">
        <v>194</v>
      </c>
      <c r="HG2" s="9">
        <v>195</v>
      </c>
      <c r="HH2" s="9">
        <v>196</v>
      </c>
      <c r="HI2" s="9">
        <v>197</v>
      </c>
      <c r="HJ2" s="9">
        <v>198</v>
      </c>
      <c r="HK2" s="9">
        <v>199</v>
      </c>
      <c r="HL2" s="9">
        <v>200</v>
      </c>
    </row>
    <row r="3" spans="1:220" ht="15" customHeight="1">
      <c r="A3" s="165">
        <f>კრებსითი!A1</f>
        <v>0</v>
      </c>
      <c r="B3" s="165"/>
      <c r="C3" s="1"/>
      <c r="D3" s="1"/>
      <c r="E3" s="1"/>
      <c r="F3" s="1"/>
      <c r="G3" s="1"/>
      <c r="H3" s="1"/>
      <c r="I3" s="1"/>
      <c r="J3" s="1"/>
      <c r="K3" s="165"/>
      <c r="L3" s="165"/>
      <c r="S3" s="184" t="s">
        <v>135</v>
      </c>
      <c r="T3" s="184"/>
      <c r="U3" s="9">
        <v>1.55</v>
      </c>
      <c r="V3" s="9">
        <v>1.93</v>
      </c>
      <c r="W3" s="9">
        <v>2.42</v>
      </c>
      <c r="X3" s="9">
        <v>2.84</v>
      </c>
      <c r="Y3" s="9">
        <v>3.32</v>
      </c>
      <c r="Z3" s="9">
        <v>3.8</v>
      </c>
      <c r="AA3" s="9">
        <v>4.26</v>
      </c>
      <c r="AB3" s="9">
        <v>4.7</v>
      </c>
      <c r="AC3" s="9">
        <v>5.17</v>
      </c>
      <c r="AD3" s="9">
        <v>5.63</v>
      </c>
      <c r="AE3" s="9">
        <v>6.27</v>
      </c>
      <c r="AF3" s="9">
        <v>6.73</v>
      </c>
      <c r="AG3" s="9">
        <v>7.24</v>
      </c>
      <c r="AH3" s="9">
        <v>7.54</v>
      </c>
      <c r="AI3" s="9">
        <v>7.82</v>
      </c>
      <c r="AJ3" s="9">
        <v>8.18</v>
      </c>
      <c r="AK3" s="9">
        <v>8.5399999999999991</v>
      </c>
      <c r="AL3" s="9">
        <v>8.94</v>
      </c>
      <c r="AM3" s="9">
        <v>9.31</v>
      </c>
      <c r="AN3" s="9">
        <v>9.75</v>
      </c>
      <c r="AO3" s="9">
        <v>10.79</v>
      </c>
      <c r="AP3" s="9">
        <v>10.79</v>
      </c>
      <c r="AQ3" s="9">
        <v>10.79</v>
      </c>
      <c r="AR3" s="9">
        <v>10.79</v>
      </c>
      <c r="AS3" s="9">
        <v>10.79</v>
      </c>
      <c r="AT3" s="9">
        <v>12.31</v>
      </c>
      <c r="AU3" s="9">
        <v>12.31</v>
      </c>
      <c r="AV3" s="9">
        <v>12.31</v>
      </c>
      <c r="AW3" s="9">
        <v>12.31</v>
      </c>
      <c r="AX3" s="9">
        <v>12.31</v>
      </c>
      <c r="AY3" s="9">
        <v>13.26</v>
      </c>
      <c r="AZ3" s="9">
        <v>13.26</v>
      </c>
      <c r="BA3" s="9">
        <v>13.26</v>
      </c>
      <c r="BB3" s="9">
        <v>13.26</v>
      </c>
      <c r="BC3" s="9">
        <v>13.26</v>
      </c>
      <c r="BD3" s="9">
        <v>14.94</v>
      </c>
      <c r="BE3" s="9">
        <v>14.94</v>
      </c>
      <c r="BF3" s="9">
        <v>14.94</v>
      </c>
      <c r="BG3" s="9">
        <v>14.94</v>
      </c>
      <c r="BH3" s="9">
        <v>14.94</v>
      </c>
      <c r="BI3" s="9">
        <v>16.41</v>
      </c>
      <c r="BJ3" s="9">
        <v>16.41</v>
      </c>
      <c r="BK3" s="9">
        <v>16.41</v>
      </c>
      <c r="BL3" s="9">
        <v>16.41</v>
      </c>
      <c r="BM3" s="9">
        <v>16.41</v>
      </c>
      <c r="BN3" s="9">
        <v>18.14</v>
      </c>
      <c r="BO3" s="9">
        <v>18.14</v>
      </c>
      <c r="BP3" s="9">
        <v>18.14</v>
      </c>
      <c r="BQ3" s="9">
        <v>18.14</v>
      </c>
      <c r="BR3" s="9">
        <v>18.14</v>
      </c>
      <c r="BS3" s="9">
        <v>19.64</v>
      </c>
      <c r="BT3" s="9">
        <v>19.64</v>
      </c>
      <c r="BU3" s="9">
        <v>19.64</v>
      </c>
      <c r="BV3" s="9">
        <v>19.64</v>
      </c>
      <c r="BW3" s="9">
        <v>19.64</v>
      </c>
      <c r="BX3" s="9">
        <v>21.44</v>
      </c>
      <c r="BY3" s="9">
        <v>21.44</v>
      </c>
      <c r="BZ3" s="9">
        <v>21.44</v>
      </c>
      <c r="CA3" s="9">
        <v>21.44</v>
      </c>
      <c r="CB3" s="9">
        <v>21.44</v>
      </c>
      <c r="CC3" s="9">
        <v>22.41</v>
      </c>
      <c r="CD3" s="9">
        <v>22.41</v>
      </c>
      <c r="CE3" s="9">
        <v>22.41</v>
      </c>
      <c r="CF3" s="9">
        <v>22.41</v>
      </c>
      <c r="CG3" s="9">
        <v>22.41</v>
      </c>
      <c r="CH3" s="9">
        <v>23.66</v>
      </c>
      <c r="CI3" s="9">
        <v>23.66</v>
      </c>
      <c r="CJ3" s="9">
        <v>23.66</v>
      </c>
      <c r="CK3" s="9">
        <v>23.66</v>
      </c>
      <c r="CL3" s="9">
        <v>23.66</v>
      </c>
      <c r="CM3" s="9">
        <v>25.25</v>
      </c>
      <c r="CN3" s="9">
        <v>25.25</v>
      </c>
      <c r="CO3" s="9">
        <v>25.25</v>
      </c>
      <c r="CP3" s="9">
        <v>25.25</v>
      </c>
      <c r="CQ3" s="9">
        <v>25.25</v>
      </c>
      <c r="CR3" s="9">
        <v>26.59</v>
      </c>
      <c r="CS3" s="9">
        <v>26.59</v>
      </c>
      <c r="CT3" s="9">
        <v>26.59</v>
      </c>
      <c r="CU3" s="9">
        <v>26.59</v>
      </c>
      <c r="CV3" s="9">
        <v>26.59</v>
      </c>
      <c r="CW3" s="9">
        <v>27.25</v>
      </c>
      <c r="CX3" s="9">
        <v>27.25</v>
      </c>
      <c r="CY3" s="9">
        <v>27.25</v>
      </c>
      <c r="CZ3" s="9">
        <v>27.25</v>
      </c>
      <c r="DA3" s="9">
        <v>27.25</v>
      </c>
      <c r="DB3" s="9">
        <v>28.38</v>
      </c>
      <c r="DC3" s="9">
        <v>28.38</v>
      </c>
      <c r="DD3" s="9">
        <v>28.38</v>
      </c>
      <c r="DE3" s="9">
        <v>28.38</v>
      </c>
      <c r="DF3" s="9">
        <v>28.38</v>
      </c>
      <c r="DG3" s="9">
        <v>29.93</v>
      </c>
      <c r="DH3" s="9">
        <v>29.93</v>
      </c>
      <c r="DI3" s="9">
        <v>29.93</v>
      </c>
      <c r="DJ3" s="9">
        <v>29.93</v>
      </c>
      <c r="DK3" s="9">
        <v>29.93</v>
      </c>
      <c r="DL3" s="9">
        <v>31.25</v>
      </c>
      <c r="DM3" s="9">
        <v>31.25</v>
      </c>
      <c r="DN3" s="9">
        <v>31.25</v>
      </c>
      <c r="DO3" s="9">
        <v>31.25</v>
      </c>
      <c r="DP3" s="9">
        <v>31.25</v>
      </c>
      <c r="DQ3" s="9">
        <v>32.340000000000003</v>
      </c>
      <c r="DR3" s="9">
        <v>32.340000000000003</v>
      </c>
      <c r="DS3" s="9">
        <v>32.340000000000003</v>
      </c>
      <c r="DT3" s="9">
        <v>32.340000000000003</v>
      </c>
      <c r="DU3" s="9">
        <v>32.340000000000003</v>
      </c>
      <c r="DV3" s="9">
        <v>33.64</v>
      </c>
      <c r="DW3" s="9">
        <v>33.64</v>
      </c>
      <c r="DX3" s="9">
        <v>33.64</v>
      </c>
      <c r="DY3" s="9">
        <v>33.64</v>
      </c>
      <c r="DZ3" s="9">
        <v>33.64</v>
      </c>
      <c r="EA3" s="9">
        <v>34.840000000000003</v>
      </c>
      <c r="EB3" s="9">
        <v>34.840000000000003</v>
      </c>
      <c r="EC3" s="9">
        <v>34.840000000000003</v>
      </c>
      <c r="ED3" s="9">
        <v>34.840000000000003</v>
      </c>
      <c r="EE3" s="9">
        <v>34.840000000000003</v>
      </c>
      <c r="EF3" s="9">
        <v>36.14</v>
      </c>
      <c r="EG3" s="9">
        <v>36.14</v>
      </c>
      <c r="EH3" s="9">
        <v>36.14</v>
      </c>
      <c r="EI3" s="9">
        <v>36.14</v>
      </c>
      <c r="EJ3" s="9">
        <v>36.14</v>
      </c>
      <c r="EK3" s="9">
        <v>36.56</v>
      </c>
      <c r="EL3" s="9">
        <v>36.56</v>
      </c>
      <c r="EM3" s="9">
        <v>36.56</v>
      </c>
      <c r="EN3" s="9">
        <v>36.56</v>
      </c>
      <c r="EO3" s="9">
        <v>36.56</v>
      </c>
      <c r="EP3" s="9">
        <v>38.54</v>
      </c>
      <c r="EQ3" s="9">
        <v>38.54</v>
      </c>
      <c r="ER3" s="9">
        <v>38.54</v>
      </c>
      <c r="ES3" s="9">
        <v>38.54</v>
      </c>
      <c r="ET3" s="9">
        <v>38.54</v>
      </c>
      <c r="EU3" s="9">
        <v>39.47</v>
      </c>
      <c r="EV3" s="9">
        <v>39.47</v>
      </c>
      <c r="EW3" s="9">
        <v>39.47</v>
      </c>
      <c r="EX3" s="9">
        <v>39.47</v>
      </c>
      <c r="EY3" s="9">
        <v>39.47</v>
      </c>
      <c r="EZ3" s="9">
        <v>40.69</v>
      </c>
      <c r="FA3" s="9">
        <v>40.69</v>
      </c>
      <c r="FB3" s="9">
        <v>40.69</v>
      </c>
      <c r="FC3" s="9">
        <v>40.69</v>
      </c>
      <c r="FD3" s="9">
        <v>40.69</v>
      </c>
      <c r="FE3" s="9">
        <v>41.88</v>
      </c>
      <c r="FF3" s="9">
        <v>41.88</v>
      </c>
      <c r="FG3" s="9">
        <v>41.88</v>
      </c>
      <c r="FH3" s="9">
        <v>41.88</v>
      </c>
      <c r="FI3" s="9">
        <v>41.88</v>
      </c>
      <c r="FJ3" s="9">
        <v>43.37</v>
      </c>
      <c r="FK3" s="9">
        <v>43.37</v>
      </c>
      <c r="FL3" s="9">
        <v>43.37</v>
      </c>
      <c r="FM3" s="9">
        <v>43.37</v>
      </c>
      <c r="FN3" s="9">
        <v>43.37</v>
      </c>
      <c r="FO3" s="9">
        <v>44.39</v>
      </c>
      <c r="FP3" s="9">
        <v>44.39</v>
      </c>
      <c r="FQ3" s="9">
        <v>44.39</v>
      </c>
      <c r="FR3" s="9">
        <v>44.39</v>
      </c>
      <c r="FS3" s="9">
        <v>44.39</v>
      </c>
      <c r="FT3" s="9">
        <v>45.49</v>
      </c>
      <c r="FU3" s="9">
        <v>45.49</v>
      </c>
      <c r="FV3" s="9">
        <v>45.49</v>
      </c>
      <c r="FW3" s="9">
        <v>45.49</v>
      </c>
      <c r="FX3" s="9">
        <v>45.49</v>
      </c>
      <c r="FY3" s="9">
        <v>46.79</v>
      </c>
      <c r="FZ3" s="9">
        <v>46.79</v>
      </c>
      <c r="GA3" s="9">
        <v>46.79</v>
      </c>
      <c r="GB3" s="9">
        <v>46.79</v>
      </c>
      <c r="GC3" s="9">
        <v>46.79</v>
      </c>
      <c r="GD3" s="9">
        <v>48.52</v>
      </c>
      <c r="GE3" s="9">
        <v>48.52</v>
      </c>
      <c r="GF3" s="9">
        <v>48.52</v>
      </c>
      <c r="GG3" s="9">
        <v>48.52</v>
      </c>
      <c r="GH3" s="9">
        <v>48.52</v>
      </c>
      <c r="GI3" s="9">
        <v>49.72</v>
      </c>
      <c r="GJ3" s="9">
        <v>49.72</v>
      </c>
      <c r="GK3" s="9">
        <v>49.72</v>
      </c>
      <c r="GL3" s="9">
        <v>49.72</v>
      </c>
      <c r="GM3" s="9">
        <v>49.72</v>
      </c>
      <c r="GN3" s="9">
        <v>50.9</v>
      </c>
      <c r="GO3" s="9">
        <v>50.9</v>
      </c>
      <c r="GP3" s="9">
        <v>50.9</v>
      </c>
      <c r="GQ3" s="9">
        <v>50.9</v>
      </c>
      <c r="GR3" s="9">
        <v>50.9</v>
      </c>
      <c r="GS3" s="9">
        <v>52.22</v>
      </c>
      <c r="GT3" s="9">
        <v>52.22</v>
      </c>
      <c r="GU3" s="9">
        <v>52.22</v>
      </c>
      <c r="GV3" s="9">
        <v>52.22</v>
      </c>
      <c r="GW3" s="9">
        <v>52.22</v>
      </c>
      <c r="GX3" s="9">
        <v>53.42</v>
      </c>
      <c r="GY3" s="9">
        <v>53.42</v>
      </c>
      <c r="GZ3" s="9">
        <v>53.42</v>
      </c>
      <c r="HA3" s="9">
        <v>53.42</v>
      </c>
      <c r="HB3" s="9">
        <v>53.42</v>
      </c>
      <c r="HC3" s="9">
        <v>54.07</v>
      </c>
      <c r="HD3" s="9">
        <v>54.07</v>
      </c>
      <c r="HE3" s="9">
        <v>54.07</v>
      </c>
      <c r="HF3" s="9">
        <v>54.07</v>
      </c>
      <c r="HG3" s="9">
        <v>54.07</v>
      </c>
      <c r="HH3" s="9">
        <v>54.71</v>
      </c>
      <c r="HI3" s="9">
        <v>54.71</v>
      </c>
      <c r="HJ3" s="9">
        <v>54.71</v>
      </c>
      <c r="HK3" s="9">
        <v>54.71</v>
      </c>
      <c r="HL3" s="9">
        <v>54.71</v>
      </c>
    </row>
    <row r="4" spans="1:220" ht="15" customHeight="1">
      <c r="A4" s="165"/>
      <c r="B4" s="165"/>
      <c r="C4" s="1"/>
      <c r="D4" s="1"/>
      <c r="E4" s="1"/>
      <c r="F4" s="1"/>
      <c r="G4" s="1"/>
      <c r="H4" s="1"/>
      <c r="I4" s="1"/>
      <c r="J4" s="1"/>
      <c r="K4" s="165"/>
      <c r="L4" s="165"/>
    </row>
    <row r="5" spans="1:220" ht="15" customHeight="1">
      <c r="A5" s="165" t="s">
        <v>28</v>
      </c>
      <c r="B5" s="165"/>
      <c r="C5" s="1"/>
      <c r="D5" s="1"/>
      <c r="E5" s="1"/>
      <c r="F5" s="1"/>
      <c r="G5" s="1"/>
      <c r="H5" s="1"/>
      <c r="I5" s="1"/>
      <c r="J5" s="1"/>
      <c r="K5" s="165"/>
      <c r="L5" s="165"/>
    </row>
    <row r="6" spans="1:220" ht="15" customHeight="1">
      <c r="A6" s="165"/>
      <c r="B6" s="165"/>
      <c r="C6" s="1"/>
      <c r="D6" s="1"/>
      <c r="E6" s="1"/>
      <c r="F6" s="1"/>
      <c r="G6" s="1"/>
      <c r="H6" s="1"/>
      <c r="I6" s="1"/>
      <c r="J6" s="1"/>
      <c r="K6" s="165"/>
      <c r="L6" s="165"/>
    </row>
    <row r="7" spans="1:220" ht="15" customHeight="1">
      <c r="A7" s="165">
        <f>კრებსითი!A3</f>
        <v>0</v>
      </c>
      <c r="B7" s="165"/>
      <c r="C7" s="1"/>
      <c r="D7" s="1"/>
      <c r="E7" s="1"/>
      <c r="F7" s="1"/>
      <c r="G7" s="1"/>
      <c r="H7" s="1"/>
      <c r="I7" s="1"/>
      <c r="J7" s="1"/>
      <c r="K7" s="165"/>
      <c r="L7" s="165"/>
      <c r="S7" s="185"/>
      <c r="T7" s="185"/>
    </row>
    <row r="8" spans="1:220" ht="15" customHeight="1">
      <c r="A8" s="165"/>
      <c r="B8" s="165"/>
      <c r="C8" s="1"/>
      <c r="D8" s="1"/>
      <c r="E8" s="1"/>
      <c r="F8" s="1"/>
      <c r="G8" s="1"/>
      <c r="H8" s="1"/>
      <c r="I8" s="1"/>
      <c r="J8" s="1"/>
      <c r="K8" s="165"/>
      <c r="L8" s="165"/>
      <c r="S8" s="185"/>
      <c r="T8" s="185"/>
    </row>
    <row r="9" spans="1:220" ht="15" customHeight="1">
      <c r="A9" s="165" t="s">
        <v>29</v>
      </c>
      <c r="B9" s="165"/>
      <c r="C9" s="1"/>
      <c r="D9" s="1"/>
      <c r="E9" s="1"/>
      <c r="F9" s="1"/>
      <c r="G9" s="1"/>
      <c r="H9" s="1"/>
      <c r="I9" s="1"/>
      <c r="J9" s="1"/>
      <c r="K9" s="165"/>
      <c r="L9" s="165"/>
      <c r="S9" s="185"/>
      <c r="T9" s="185"/>
    </row>
    <row r="10" spans="1:220" ht="15" customHeight="1">
      <c r="A10" s="165"/>
      <c r="B10" s="165"/>
      <c r="C10" s="2"/>
      <c r="D10" s="2"/>
      <c r="E10" s="2"/>
      <c r="F10" s="2"/>
      <c r="G10" s="1"/>
      <c r="H10" s="1"/>
      <c r="I10" s="1"/>
      <c r="J10" s="1"/>
      <c r="K10" s="165"/>
      <c r="L10" s="165"/>
      <c r="S10" s="185"/>
      <c r="T10" s="185"/>
    </row>
    <row r="11" spans="1:220" ht="15" customHeight="1">
      <c r="A11" s="165"/>
      <c r="B11" s="165"/>
      <c r="C11" s="1"/>
      <c r="D11" s="1"/>
      <c r="E11" s="1"/>
      <c r="F11" s="1"/>
      <c r="G11" s="1"/>
      <c r="H11" s="172"/>
      <c r="I11" s="14"/>
      <c r="J11" s="165"/>
      <c r="K11" s="165"/>
      <c r="L11" s="13"/>
      <c r="S11" s="185"/>
      <c r="T11" s="185"/>
    </row>
    <row r="12" spans="1:220" ht="15" customHeight="1">
      <c r="A12" s="165"/>
      <c r="B12" s="165"/>
      <c r="C12" s="1"/>
      <c r="D12" s="1"/>
      <c r="E12" s="1"/>
      <c r="F12" s="1"/>
      <c r="G12" s="1"/>
      <c r="H12" s="172"/>
      <c r="I12" s="14"/>
      <c r="J12" s="165"/>
      <c r="K12" s="165"/>
      <c r="L12" s="13"/>
      <c r="S12" s="185"/>
      <c r="T12" s="185"/>
    </row>
    <row r="13" spans="1:220" ht="15" customHeight="1">
      <c r="A13" s="186" t="s">
        <v>41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S13" s="185"/>
      <c r="T13" s="185"/>
    </row>
    <row r="14" spans="1:220" ht="15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S14" s="185"/>
      <c r="T14" s="185"/>
    </row>
    <row r="15" spans="1:220" ht="15" customHeight="1">
      <c r="A15" s="186"/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S15" s="185"/>
      <c r="T15" s="185"/>
    </row>
    <row r="16" spans="1:220" s="7" customFormat="1" ht="39.950000000000003" customHeight="1">
      <c r="A16" s="170" t="s">
        <v>2</v>
      </c>
      <c r="B16" s="170" t="s">
        <v>42</v>
      </c>
      <c r="C16" s="171" t="s">
        <v>7</v>
      </c>
      <c r="D16" s="171" t="s">
        <v>123</v>
      </c>
      <c r="E16" s="171" t="s">
        <v>124</v>
      </c>
      <c r="F16" s="171" t="s">
        <v>44</v>
      </c>
      <c r="G16" s="171" t="s">
        <v>136</v>
      </c>
      <c r="H16" s="171" t="s">
        <v>125</v>
      </c>
      <c r="I16" s="171"/>
      <c r="J16" s="171" t="s">
        <v>138</v>
      </c>
      <c r="K16" s="171" t="s">
        <v>145</v>
      </c>
      <c r="L16" s="181" t="s">
        <v>140</v>
      </c>
      <c r="S16" s="8"/>
      <c r="T16" s="8"/>
    </row>
    <row r="17" spans="1:20" s="7" customFormat="1" ht="39.950000000000003" customHeight="1">
      <c r="A17" s="170"/>
      <c r="B17" s="170"/>
      <c r="C17" s="171"/>
      <c r="D17" s="171"/>
      <c r="E17" s="171"/>
      <c r="F17" s="171"/>
      <c r="G17" s="171"/>
      <c r="H17" s="171" t="s">
        <v>126</v>
      </c>
      <c r="I17" s="171" t="s">
        <v>127</v>
      </c>
      <c r="J17" s="171"/>
      <c r="K17" s="171"/>
      <c r="L17" s="182"/>
      <c r="S17" s="8"/>
      <c r="T17" s="8"/>
    </row>
    <row r="18" spans="1:20" s="7" customFormat="1" ht="39.950000000000003" customHeight="1">
      <c r="A18" s="170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83"/>
      <c r="S18" s="8"/>
      <c r="T18" s="8"/>
    </row>
    <row r="19" spans="1:20" s="7" customFormat="1" ht="39.950000000000003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S19" s="8"/>
      <c r="T19" s="8"/>
    </row>
    <row r="20" spans="1:20" s="7" customFormat="1" ht="80.099999999999994" customHeight="1">
      <c r="A20" s="15" t="s">
        <v>9</v>
      </c>
      <c r="B20" s="17" t="s">
        <v>43</v>
      </c>
      <c r="C20" s="19"/>
      <c r="D20" s="19"/>
      <c r="E20" s="19"/>
      <c r="F20" s="19"/>
      <c r="G20" s="41"/>
      <c r="H20" s="19"/>
      <c r="I20" s="19"/>
      <c r="J20" s="19"/>
      <c r="K20" s="19"/>
      <c r="L20" s="19"/>
      <c r="S20" s="8"/>
      <c r="T20" s="8"/>
    </row>
    <row r="21" spans="1:20" ht="39.950000000000003" customHeight="1">
      <c r="A21" s="30">
        <v>1.1000000000000001</v>
      </c>
      <c r="B21" s="31" t="s">
        <v>122</v>
      </c>
      <c r="C21" s="19" t="s">
        <v>101</v>
      </c>
      <c r="D21" s="20">
        <v>1.2</v>
      </c>
      <c r="E21" s="19" t="s">
        <v>167</v>
      </c>
      <c r="F21" s="19">
        <v>15</v>
      </c>
      <c r="G21" s="41">
        <f>IF(F21&lt;=200,HLOOKUP(F21,$U$2:$HL$3,2,TRUE),(((F21-200)*0.24)+54.71))</f>
        <v>7.82</v>
      </c>
      <c r="H21" s="30" t="s">
        <v>9</v>
      </c>
      <c r="I21" s="20">
        <v>1</v>
      </c>
      <c r="J21" s="19">
        <v>162</v>
      </c>
      <c r="K21" s="42">
        <f t="shared" ref="K21:K26" si="0">ROUND(D21*G21*I21,2)</f>
        <v>9.3800000000000008</v>
      </c>
      <c r="L21" s="32" t="s">
        <v>162</v>
      </c>
    </row>
    <row r="22" spans="1:20" ht="39.950000000000003" customHeight="1">
      <c r="A22" s="30">
        <f>A21+0.1</f>
        <v>1.2000000000000002</v>
      </c>
      <c r="B22" s="31" t="s">
        <v>103</v>
      </c>
      <c r="C22" s="19" t="s">
        <v>133</v>
      </c>
      <c r="D22" s="19">
        <v>2.2000000000000002</v>
      </c>
      <c r="E22" s="19" t="s">
        <v>167</v>
      </c>
      <c r="F22" s="19">
        <v>15</v>
      </c>
      <c r="G22" s="41">
        <f t="shared" ref="G22:G70" si="1">IF(F22&lt;=200,HLOOKUP(F22,$U$2:$HL$3,2,TRUE),(((F22-200)*0.24)+54.71))</f>
        <v>7.82</v>
      </c>
      <c r="H22" s="30" t="s">
        <v>9</v>
      </c>
      <c r="I22" s="30">
        <v>1</v>
      </c>
      <c r="J22" s="19">
        <v>95</v>
      </c>
      <c r="K22" s="42">
        <f t="shared" si="0"/>
        <v>17.2</v>
      </c>
      <c r="L22" s="19" t="s">
        <v>149</v>
      </c>
    </row>
    <row r="23" spans="1:20" ht="39.950000000000003" customHeight="1">
      <c r="A23" s="30">
        <v>1.3</v>
      </c>
      <c r="B23" s="31" t="s">
        <v>175</v>
      </c>
      <c r="C23" s="19" t="s">
        <v>133</v>
      </c>
      <c r="D23" s="19">
        <v>2.2000000000000002</v>
      </c>
      <c r="E23" s="19" t="s">
        <v>167</v>
      </c>
      <c r="F23" s="19">
        <v>15</v>
      </c>
      <c r="G23" s="41">
        <f t="shared" si="1"/>
        <v>7.82</v>
      </c>
      <c r="H23" s="30" t="s">
        <v>9</v>
      </c>
      <c r="I23" s="20">
        <v>1</v>
      </c>
      <c r="J23" s="19">
        <v>103</v>
      </c>
      <c r="K23" s="42">
        <f t="shared" si="0"/>
        <v>17.2</v>
      </c>
      <c r="L23" s="32" t="s">
        <v>178</v>
      </c>
    </row>
    <row r="24" spans="1:20" ht="39.950000000000003" customHeight="1">
      <c r="A24" s="19">
        <v>1.4</v>
      </c>
      <c r="B24" s="31" t="s">
        <v>104</v>
      </c>
      <c r="C24" s="19" t="s">
        <v>133</v>
      </c>
      <c r="D24" s="19">
        <v>2.2000000000000002</v>
      </c>
      <c r="E24" s="19" t="s">
        <v>167</v>
      </c>
      <c r="F24" s="19">
        <v>15</v>
      </c>
      <c r="G24" s="41">
        <f t="shared" si="1"/>
        <v>7.82</v>
      </c>
      <c r="H24" s="30" t="s">
        <v>9</v>
      </c>
      <c r="I24" s="20">
        <v>1</v>
      </c>
      <c r="J24" s="19">
        <v>92</v>
      </c>
      <c r="K24" s="42">
        <f t="shared" si="0"/>
        <v>17.2</v>
      </c>
      <c r="L24" s="32" t="s">
        <v>171</v>
      </c>
    </row>
    <row r="25" spans="1:20" ht="39.950000000000003" customHeight="1">
      <c r="A25" s="30">
        <v>1.5</v>
      </c>
      <c r="B25" s="31" t="s">
        <v>147</v>
      </c>
      <c r="C25" s="19" t="s">
        <v>133</v>
      </c>
      <c r="D25" s="19">
        <v>2.4</v>
      </c>
      <c r="E25" s="19" t="s">
        <v>167</v>
      </c>
      <c r="F25" s="19">
        <v>15</v>
      </c>
      <c r="G25" s="41">
        <f t="shared" si="1"/>
        <v>7.82</v>
      </c>
      <c r="H25" s="30" t="s">
        <v>9</v>
      </c>
      <c r="I25" s="30">
        <v>1</v>
      </c>
      <c r="J25" s="38">
        <v>89</v>
      </c>
      <c r="K25" s="42">
        <f t="shared" si="0"/>
        <v>18.77</v>
      </c>
      <c r="L25" s="42" t="s">
        <v>148</v>
      </c>
    </row>
    <row r="26" spans="1:20" ht="39.950000000000003" customHeight="1">
      <c r="A26" s="19">
        <v>1.6</v>
      </c>
      <c r="B26" s="31" t="s">
        <v>172</v>
      </c>
      <c r="C26" s="19" t="s">
        <v>133</v>
      </c>
      <c r="D26" s="19">
        <v>2.4</v>
      </c>
      <c r="E26" s="19" t="s">
        <v>167</v>
      </c>
      <c r="F26" s="19">
        <v>15</v>
      </c>
      <c r="G26" s="41">
        <f t="shared" si="1"/>
        <v>7.82</v>
      </c>
      <c r="H26" s="30" t="s">
        <v>9</v>
      </c>
      <c r="I26" s="20">
        <v>1</v>
      </c>
      <c r="J26" s="19">
        <v>97</v>
      </c>
      <c r="K26" s="42">
        <f t="shared" si="0"/>
        <v>18.77</v>
      </c>
      <c r="L26" s="32" t="s">
        <v>173</v>
      </c>
    </row>
    <row r="27" spans="1:20" ht="39.950000000000003" customHeight="1">
      <c r="A27" s="19">
        <v>1.8</v>
      </c>
      <c r="B27" s="31" t="s">
        <v>114</v>
      </c>
      <c r="C27" s="19" t="s">
        <v>133</v>
      </c>
      <c r="D27" s="19">
        <v>2.4</v>
      </c>
      <c r="E27" s="19" t="s">
        <v>167</v>
      </c>
      <c r="F27" s="19">
        <v>15</v>
      </c>
      <c r="G27" s="41">
        <f t="shared" si="1"/>
        <v>7.82</v>
      </c>
      <c r="H27" s="30" t="s">
        <v>9</v>
      </c>
      <c r="I27" s="30">
        <v>1</v>
      </c>
      <c r="J27" s="38">
        <f>106+13</f>
        <v>119</v>
      </c>
      <c r="K27" s="42">
        <f>ROUND(D27*G27*I27,2)</f>
        <v>18.77</v>
      </c>
      <c r="L27" s="42" t="s">
        <v>141</v>
      </c>
    </row>
    <row r="28" spans="1:20" ht="39.950000000000003" customHeight="1">
      <c r="A28" s="30">
        <v>1.7</v>
      </c>
      <c r="B28" s="31" t="s">
        <v>174</v>
      </c>
      <c r="C28" s="19" t="s">
        <v>133</v>
      </c>
      <c r="D28" s="19">
        <v>2.4</v>
      </c>
      <c r="E28" s="19" t="s">
        <v>167</v>
      </c>
      <c r="F28" s="19">
        <v>15</v>
      </c>
      <c r="G28" s="41">
        <f t="shared" si="1"/>
        <v>7.82</v>
      </c>
      <c r="H28" s="30" t="s">
        <v>9</v>
      </c>
      <c r="I28" s="30">
        <v>1</v>
      </c>
      <c r="J28" s="38">
        <f>108</f>
        <v>108</v>
      </c>
      <c r="K28" s="42">
        <f>ROUND(D28*G28*I28,2)</f>
        <v>18.77</v>
      </c>
      <c r="L28" s="42" t="s">
        <v>141</v>
      </c>
    </row>
    <row r="29" spans="1:20" ht="39.950000000000003" customHeight="1">
      <c r="A29" s="19">
        <v>1.8</v>
      </c>
      <c r="B29" s="31" t="s">
        <v>85</v>
      </c>
      <c r="C29" s="19" t="s">
        <v>133</v>
      </c>
      <c r="D29" s="19">
        <v>2.4</v>
      </c>
      <c r="E29" s="19" t="s">
        <v>167</v>
      </c>
      <c r="F29" s="19">
        <v>15</v>
      </c>
      <c r="G29" s="41">
        <f t="shared" si="1"/>
        <v>7.82</v>
      </c>
      <c r="H29" s="30" t="s">
        <v>9</v>
      </c>
      <c r="I29" s="30">
        <v>1</v>
      </c>
      <c r="J29" s="38">
        <f>108+13</f>
        <v>121</v>
      </c>
      <c r="K29" s="42">
        <f>ROUND(D29*G29*I29,2)</f>
        <v>18.77</v>
      </c>
      <c r="L29" s="42" t="s">
        <v>141</v>
      </c>
    </row>
    <row r="30" spans="1:20" ht="39.950000000000003" customHeight="1">
      <c r="A30" s="30">
        <v>1.9</v>
      </c>
      <c r="B30" s="31" t="s">
        <v>184</v>
      </c>
      <c r="C30" s="19" t="s">
        <v>133</v>
      </c>
      <c r="D30" s="19">
        <v>2.4</v>
      </c>
      <c r="E30" s="19" t="s">
        <v>167</v>
      </c>
      <c r="F30" s="19">
        <v>15</v>
      </c>
      <c r="G30" s="41">
        <f t="shared" si="1"/>
        <v>7.82</v>
      </c>
      <c r="H30" s="30" t="s">
        <v>9</v>
      </c>
      <c r="I30" s="30">
        <v>1</v>
      </c>
      <c r="J30" s="38">
        <v>113</v>
      </c>
      <c r="K30" s="42">
        <f>ROUND(D30*G30*I30,2)</f>
        <v>18.77</v>
      </c>
      <c r="L30" s="42" t="s">
        <v>141</v>
      </c>
    </row>
    <row r="31" spans="1:20" ht="39.950000000000003" customHeight="1">
      <c r="A31" s="20">
        <v>1.1000000000000001</v>
      </c>
      <c r="B31" s="31" t="s">
        <v>183</v>
      </c>
      <c r="C31" s="19" t="s">
        <v>133</v>
      </c>
      <c r="D31" s="19">
        <v>2.4</v>
      </c>
      <c r="E31" s="19" t="s">
        <v>167</v>
      </c>
      <c r="F31" s="19">
        <v>15</v>
      </c>
      <c r="G31" s="41">
        <f t="shared" si="1"/>
        <v>7.82</v>
      </c>
      <c r="H31" s="30" t="s">
        <v>9</v>
      </c>
      <c r="I31" s="30">
        <v>1</v>
      </c>
      <c r="J31" s="38">
        <f>113+13</f>
        <v>126</v>
      </c>
      <c r="K31" s="42">
        <f t="shared" ref="K31:K40" si="2">ROUND(D31*G31*I31,2)</f>
        <v>18.77</v>
      </c>
      <c r="L31" s="42" t="s">
        <v>141</v>
      </c>
    </row>
    <row r="32" spans="1:20" ht="39.950000000000003" customHeight="1">
      <c r="A32" s="20">
        <v>1.1100000000000001</v>
      </c>
      <c r="B32" s="31" t="s">
        <v>107</v>
      </c>
      <c r="C32" s="19" t="s">
        <v>152</v>
      </c>
      <c r="D32" s="19">
        <v>1</v>
      </c>
      <c r="E32" s="19" t="s">
        <v>258</v>
      </c>
      <c r="F32" s="19">
        <v>240</v>
      </c>
      <c r="G32" s="41">
        <f t="shared" si="1"/>
        <v>64.31</v>
      </c>
      <c r="H32" s="30" t="s">
        <v>9</v>
      </c>
      <c r="I32" s="30">
        <v>1</v>
      </c>
      <c r="J32" s="19">
        <v>1600</v>
      </c>
      <c r="K32" s="42">
        <f t="shared" si="2"/>
        <v>64.31</v>
      </c>
      <c r="L32" s="32" t="s">
        <v>168</v>
      </c>
    </row>
    <row r="33" spans="1:12" ht="39.950000000000003" customHeight="1">
      <c r="A33" s="20">
        <v>1.1200000000000001</v>
      </c>
      <c r="B33" s="31" t="s">
        <v>132</v>
      </c>
      <c r="C33" s="19" t="s">
        <v>152</v>
      </c>
      <c r="D33" s="19">
        <v>1</v>
      </c>
      <c r="E33" s="19" t="s">
        <v>258</v>
      </c>
      <c r="F33" s="19">
        <v>240</v>
      </c>
      <c r="G33" s="41">
        <f t="shared" si="1"/>
        <v>64.31</v>
      </c>
      <c r="H33" s="30" t="s">
        <v>9</v>
      </c>
      <c r="I33" s="30">
        <v>1</v>
      </c>
      <c r="J33" s="19">
        <v>1520</v>
      </c>
      <c r="K33" s="42">
        <f t="shared" si="2"/>
        <v>64.31</v>
      </c>
      <c r="L33" s="32" t="s">
        <v>153</v>
      </c>
    </row>
    <row r="34" spans="1:12" ht="39.950000000000003" customHeight="1">
      <c r="A34" s="20">
        <v>1.1299999999999999</v>
      </c>
      <c r="B34" s="31" t="s">
        <v>119</v>
      </c>
      <c r="C34" s="19" t="s">
        <v>101</v>
      </c>
      <c r="D34" s="19">
        <v>1</v>
      </c>
      <c r="E34" s="19" t="s">
        <v>257</v>
      </c>
      <c r="F34" s="19">
        <v>110</v>
      </c>
      <c r="G34" s="41">
        <f t="shared" si="1"/>
        <v>33.64</v>
      </c>
      <c r="H34" s="30" t="s">
        <v>9</v>
      </c>
      <c r="I34" s="20">
        <v>1</v>
      </c>
      <c r="J34" s="19">
        <v>101.7</v>
      </c>
      <c r="K34" s="42">
        <f t="shared" si="2"/>
        <v>33.64</v>
      </c>
      <c r="L34" s="32" t="s">
        <v>164</v>
      </c>
    </row>
    <row r="35" spans="1:12" ht="39.950000000000003" customHeight="1">
      <c r="A35" s="20">
        <v>1.1399999999999999</v>
      </c>
      <c r="B35" s="31" t="s">
        <v>120</v>
      </c>
      <c r="C35" s="19" t="s">
        <v>101</v>
      </c>
      <c r="D35" s="19">
        <v>1</v>
      </c>
      <c r="E35" s="19" t="s">
        <v>257</v>
      </c>
      <c r="F35" s="19">
        <v>110</v>
      </c>
      <c r="G35" s="41">
        <f t="shared" si="1"/>
        <v>33.64</v>
      </c>
      <c r="H35" s="30" t="s">
        <v>9</v>
      </c>
      <c r="I35" s="20">
        <v>1</v>
      </c>
      <c r="J35" s="19">
        <v>110.2</v>
      </c>
      <c r="K35" s="42">
        <f t="shared" si="2"/>
        <v>33.64</v>
      </c>
      <c r="L35" s="32" t="s">
        <v>165</v>
      </c>
    </row>
    <row r="36" spans="1:12" ht="39.950000000000003" customHeight="1">
      <c r="A36" s="20">
        <v>1.1499999999999999</v>
      </c>
      <c r="B36" s="31" t="s">
        <v>128</v>
      </c>
      <c r="C36" s="19" t="s">
        <v>133</v>
      </c>
      <c r="D36" s="19">
        <v>1.6</v>
      </c>
      <c r="E36" s="19" t="s">
        <v>158</v>
      </c>
      <c r="F36" s="19">
        <v>20</v>
      </c>
      <c r="G36" s="41">
        <f t="shared" si="1"/>
        <v>9.75</v>
      </c>
      <c r="H36" s="30" t="s">
        <v>9</v>
      </c>
      <c r="I36" s="30">
        <v>1</v>
      </c>
      <c r="J36" s="38">
        <v>17</v>
      </c>
      <c r="K36" s="42">
        <f t="shared" si="2"/>
        <v>15.6</v>
      </c>
      <c r="L36" s="42" t="s">
        <v>142</v>
      </c>
    </row>
    <row r="37" spans="1:12" ht="39.950000000000003" customHeight="1">
      <c r="A37" s="20">
        <v>1.1599999999999999</v>
      </c>
      <c r="B37" s="31" t="s">
        <v>94</v>
      </c>
      <c r="C37" s="19" t="s">
        <v>133</v>
      </c>
      <c r="D37" s="19">
        <v>1.55</v>
      </c>
      <c r="E37" s="19" t="s">
        <v>158</v>
      </c>
      <c r="F37" s="19">
        <v>20</v>
      </c>
      <c r="G37" s="41">
        <f t="shared" si="1"/>
        <v>9.75</v>
      </c>
      <c r="H37" s="30" t="s">
        <v>9</v>
      </c>
      <c r="I37" s="30">
        <v>1</v>
      </c>
      <c r="J37" s="19">
        <v>12.7</v>
      </c>
      <c r="K37" s="42">
        <f t="shared" si="2"/>
        <v>15.11</v>
      </c>
      <c r="L37" s="32" t="s">
        <v>155</v>
      </c>
    </row>
    <row r="38" spans="1:12" ht="39.950000000000003" customHeight="1">
      <c r="A38" s="20">
        <v>1.17</v>
      </c>
      <c r="B38" s="31" t="s">
        <v>129</v>
      </c>
      <c r="C38" s="19" t="s">
        <v>133</v>
      </c>
      <c r="D38" s="19">
        <v>1.5</v>
      </c>
      <c r="E38" s="19" t="s">
        <v>167</v>
      </c>
      <c r="F38" s="19">
        <v>15</v>
      </c>
      <c r="G38" s="41">
        <f t="shared" si="1"/>
        <v>7.82</v>
      </c>
      <c r="H38" s="30" t="s">
        <v>9</v>
      </c>
      <c r="I38" s="30">
        <v>1</v>
      </c>
      <c r="J38" s="19">
        <v>28</v>
      </c>
      <c r="K38" s="42">
        <f t="shared" si="2"/>
        <v>11.73</v>
      </c>
      <c r="L38" s="19" t="s">
        <v>146</v>
      </c>
    </row>
    <row r="39" spans="1:12" ht="39.950000000000003" customHeight="1">
      <c r="A39" s="20">
        <v>1.18</v>
      </c>
      <c r="B39" s="31" t="s">
        <v>176</v>
      </c>
      <c r="C39" s="19" t="s">
        <v>133</v>
      </c>
      <c r="D39" s="19">
        <v>1.5</v>
      </c>
      <c r="E39" s="19" t="s">
        <v>167</v>
      </c>
      <c r="F39" s="19">
        <v>15</v>
      </c>
      <c r="G39" s="41">
        <f t="shared" si="1"/>
        <v>7.82</v>
      </c>
      <c r="H39" s="30" t="s">
        <v>9</v>
      </c>
      <c r="I39" s="20">
        <v>1</v>
      </c>
      <c r="J39" s="19">
        <v>38</v>
      </c>
      <c r="K39" s="42">
        <f t="shared" si="2"/>
        <v>11.73</v>
      </c>
      <c r="L39" s="32" t="s">
        <v>177</v>
      </c>
    </row>
    <row r="40" spans="1:12" ht="39.950000000000003" customHeight="1">
      <c r="A40" s="20">
        <v>1.19</v>
      </c>
      <c r="B40" s="19" t="s">
        <v>156</v>
      </c>
      <c r="C40" s="19" t="s">
        <v>133</v>
      </c>
      <c r="D40" s="19">
        <v>2</v>
      </c>
      <c r="E40" s="19" t="s">
        <v>158</v>
      </c>
      <c r="F40" s="19">
        <v>20</v>
      </c>
      <c r="G40" s="41">
        <f t="shared" si="1"/>
        <v>9.75</v>
      </c>
      <c r="H40" s="30" t="s">
        <v>9</v>
      </c>
      <c r="I40" s="30">
        <v>1</v>
      </c>
      <c r="J40" s="19">
        <v>15</v>
      </c>
      <c r="K40" s="42">
        <f t="shared" si="2"/>
        <v>19.5</v>
      </c>
      <c r="L40" s="32" t="s">
        <v>157</v>
      </c>
    </row>
    <row r="41" spans="1:12" ht="39.950000000000003" customHeight="1">
      <c r="A41" s="20">
        <v>1.2</v>
      </c>
      <c r="B41" s="19" t="s">
        <v>229</v>
      </c>
      <c r="C41" s="19" t="s">
        <v>133</v>
      </c>
      <c r="D41" s="19">
        <v>2</v>
      </c>
      <c r="E41" s="19" t="s">
        <v>158</v>
      </c>
      <c r="F41" s="19">
        <v>20</v>
      </c>
      <c r="G41" s="41">
        <f t="shared" si="1"/>
        <v>9.75</v>
      </c>
      <c r="H41" s="30" t="s">
        <v>9</v>
      </c>
      <c r="I41" s="30">
        <v>1</v>
      </c>
      <c r="J41" s="19">
        <v>18</v>
      </c>
      <c r="K41" s="42">
        <f>ROUND(D41*G41*I41,2)</f>
        <v>19.5</v>
      </c>
      <c r="L41" s="32" t="s">
        <v>157</v>
      </c>
    </row>
    <row r="42" spans="1:12" ht="39.950000000000003" customHeight="1">
      <c r="A42" s="20">
        <v>1.21</v>
      </c>
      <c r="B42" s="31" t="s">
        <v>86</v>
      </c>
      <c r="C42" s="19" t="s">
        <v>139</v>
      </c>
      <c r="D42" s="19">
        <f>0.4*1*0.6</f>
        <v>0.24</v>
      </c>
      <c r="E42" s="19" t="s">
        <v>228</v>
      </c>
      <c r="F42" s="19">
        <v>130</v>
      </c>
      <c r="G42" s="41">
        <f t="shared" si="1"/>
        <v>38.54</v>
      </c>
      <c r="H42" s="30" t="s">
        <v>9</v>
      </c>
      <c r="I42" s="30">
        <v>1</v>
      </c>
      <c r="J42" s="38">
        <v>16</v>
      </c>
      <c r="K42" s="42">
        <f t="shared" ref="K42:K68" si="3">ROUND(D42*G42*I42,2)</f>
        <v>9.25</v>
      </c>
      <c r="L42" s="42" t="s">
        <v>143</v>
      </c>
    </row>
    <row r="43" spans="1:12" ht="39.950000000000003" customHeight="1">
      <c r="A43" s="20">
        <v>1.22</v>
      </c>
      <c r="B43" s="31" t="s">
        <v>131</v>
      </c>
      <c r="C43" s="19" t="s">
        <v>133</v>
      </c>
      <c r="D43" s="19">
        <v>0.6</v>
      </c>
      <c r="E43" s="19" t="s">
        <v>228</v>
      </c>
      <c r="F43" s="19">
        <v>130</v>
      </c>
      <c r="G43" s="41">
        <f t="shared" si="1"/>
        <v>38.54</v>
      </c>
      <c r="H43" s="30" t="s">
        <v>9</v>
      </c>
      <c r="I43" s="30">
        <v>1</v>
      </c>
      <c r="J43" s="38">
        <v>443</v>
      </c>
      <c r="K43" s="42">
        <f t="shared" si="3"/>
        <v>23.12</v>
      </c>
      <c r="L43" s="43" t="s">
        <v>151</v>
      </c>
    </row>
    <row r="44" spans="1:12" ht="39.950000000000003" customHeight="1">
      <c r="A44" s="20">
        <v>1.23</v>
      </c>
      <c r="B44" s="31" t="s">
        <v>88</v>
      </c>
      <c r="C44" s="19" t="s">
        <v>133</v>
      </c>
      <c r="D44" s="19">
        <v>0.6</v>
      </c>
      <c r="E44" s="19" t="s">
        <v>228</v>
      </c>
      <c r="F44" s="19">
        <v>130</v>
      </c>
      <c r="G44" s="41">
        <f t="shared" si="1"/>
        <v>38.54</v>
      </c>
      <c r="H44" s="30" t="s">
        <v>9</v>
      </c>
      <c r="I44" s="30">
        <v>1</v>
      </c>
      <c r="J44" s="38">
        <v>475</v>
      </c>
      <c r="K44" s="42">
        <f t="shared" si="3"/>
        <v>23.12</v>
      </c>
      <c r="L44" s="43" t="s">
        <v>144</v>
      </c>
    </row>
    <row r="45" spans="1:12" ht="39.950000000000003" customHeight="1">
      <c r="A45" s="20">
        <v>1.24</v>
      </c>
      <c r="B45" s="31" t="s">
        <v>182</v>
      </c>
      <c r="C45" s="19" t="s">
        <v>133</v>
      </c>
      <c r="D45" s="19">
        <v>0.6</v>
      </c>
      <c r="E45" s="19" t="s">
        <v>228</v>
      </c>
      <c r="F45" s="19">
        <v>130</v>
      </c>
      <c r="G45" s="41">
        <f t="shared" si="1"/>
        <v>38.54</v>
      </c>
      <c r="H45" s="30" t="s">
        <v>9</v>
      </c>
      <c r="I45" s="30">
        <v>1</v>
      </c>
      <c r="J45" s="30">
        <v>521</v>
      </c>
      <c r="K45" s="42">
        <f>ROUND(D45*G45*I45,2)</f>
        <v>23.12</v>
      </c>
      <c r="L45" s="43" t="s">
        <v>144</v>
      </c>
    </row>
    <row r="46" spans="1:12" ht="39.950000000000003" customHeight="1">
      <c r="A46" s="20">
        <v>1.25</v>
      </c>
      <c r="B46" s="19" t="s">
        <v>130</v>
      </c>
      <c r="C46" s="19" t="s">
        <v>133</v>
      </c>
      <c r="D46" s="19">
        <v>0.7</v>
      </c>
      <c r="E46" s="19" t="s">
        <v>228</v>
      </c>
      <c r="F46" s="19">
        <v>130</v>
      </c>
      <c r="G46" s="41">
        <f t="shared" si="1"/>
        <v>38.54</v>
      </c>
      <c r="H46" s="30" t="s">
        <v>9</v>
      </c>
      <c r="I46" s="30">
        <v>1</v>
      </c>
      <c r="J46" s="19">
        <v>280</v>
      </c>
      <c r="K46" s="42">
        <f t="shared" si="3"/>
        <v>26.98</v>
      </c>
      <c r="L46" s="32" t="s">
        <v>150</v>
      </c>
    </row>
    <row r="47" spans="1:12" ht="39.950000000000003" customHeight="1">
      <c r="A47" s="20">
        <v>1.26</v>
      </c>
      <c r="B47" s="31" t="s">
        <v>99</v>
      </c>
      <c r="C47" s="19" t="s">
        <v>152</v>
      </c>
      <c r="D47" s="19">
        <v>1</v>
      </c>
      <c r="E47" s="19" t="s">
        <v>167</v>
      </c>
      <c r="F47" s="19">
        <v>15</v>
      </c>
      <c r="G47" s="41">
        <f t="shared" si="1"/>
        <v>7.82</v>
      </c>
      <c r="H47" s="30" t="s">
        <v>9</v>
      </c>
      <c r="I47" s="30">
        <v>1</v>
      </c>
      <c r="J47" s="19">
        <v>995</v>
      </c>
      <c r="K47" s="42">
        <f>ROUND(D47*G47*I47,2)</f>
        <v>7.82</v>
      </c>
      <c r="L47" s="32" t="s">
        <v>154</v>
      </c>
    </row>
    <row r="48" spans="1:12" ht="39.950000000000003" customHeight="1">
      <c r="A48" s="20">
        <v>1.27</v>
      </c>
      <c r="B48" s="31" t="s">
        <v>83</v>
      </c>
      <c r="C48" s="19" t="s">
        <v>101</v>
      </c>
      <c r="D48" s="19">
        <v>1</v>
      </c>
      <c r="E48" s="19" t="s">
        <v>167</v>
      </c>
      <c r="F48" s="19">
        <v>15</v>
      </c>
      <c r="G48" s="41">
        <f t="shared" si="1"/>
        <v>7.82</v>
      </c>
      <c r="H48" s="30" t="s">
        <v>9</v>
      </c>
      <c r="I48" s="20">
        <v>1</v>
      </c>
      <c r="J48" s="19">
        <v>1250</v>
      </c>
      <c r="K48" s="42">
        <f>ROUND(D48*G48*I48,2)</f>
        <v>7.82</v>
      </c>
      <c r="L48" s="32" t="s">
        <v>163</v>
      </c>
    </row>
    <row r="49" spans="1:12" ht="39.950000000000003" customHeight="1">
      <c r="A49" s="20">
        <v>1.28</v>
      </c>
      <c r="B49" s="26" t="s">
        <v>121</v>
      </c>
      <c r="C49" s="19" t="s">
        <v>179</v>
      </c>
      <c r="D49" s="19">
        <v>3.5999999999999999E-3</v>
      </c>
      <c r="E49" s="19" t="s">
        <v>167</v>
      </c>
      <c r="F49" s="19">
        <v>15</v>
      </c>
      <c r="G49" s="41">
        <f t="shared" si="1"/>
        <v>7.82</v>
      </c>
      <c r="H49" s="30" t="s">
        <v>9</v>
      </c>
      <c r="I49" s="20">
        <v>1</v>
      </c>
      <c r="J49" s="19">
        <v>0.41</v>
      </c>
      <c r="K49" s="42">
        <f>ROUND(D49*G49*I49,2)</f>
        <v>0.03</v>
      </c>
      <c r="L49" s="32" t="s">
        <v>180</v>
      </c>
    </row>
    <row r="50" spans="1:12" ht="39.950000000000003" customHeight="1">
      <c r="A50" s="20">
        <v>1.29</v>
      </c>
      <c r="B50" s="31" t="s">
        <v>98</v>
      </c>
      <c r="C50" s="19" t="s">
        <v>101</v>
      </c>
      <c r="D50" s="19">
        <v>1</v>
      </c>
      <c r="E50" s="19" t="s">
        <v>258</v>
      </c>
      <c r="F50" s="19">
        <v>240</v>
      </c>
      <c r="G50" s="41">
        <f t="shared" si="1"/>
        <v>64.31</v>
      </c>
      <c r="H50" s="30" t="s">
        <v>9</v>
      </c>
      <c r="I50" s="20">
        <v>1</v>
      </c>
      <c r="J50" s="19">
        <v>1810</v>
      </c>
      <c r="K50" s="42">
        <f t="shared" si="3"/>
        <v>64.31</v>
      </c>
      <c r="L50" s="32" t="s">
        <v>166</v>
      </c>
    </row>
    <row r="51" spans="1:12" ht="39.950000000000003" customHeight="1">
      <c r="A51" s="20">
        <v>1.3</v>
      </c>
      <c r="B51" s="31" t="s">
        <v>102</v>
      </c>
      <c r="C51" s="19" t="s">
        <v>101</v>
      </c>
      <c r="D51" s="19">
        <v>1</v>
      </c>
      <c r="E51" s="19" t="s">
        <v>258</v>
      </c>
      <c r="F51" s="19">
        <v>240</v>
      </c>
      <c r="G51" s="41">
        <f t="shared" si="1"/>
        <v>64.31</v>
      </c>
      <c r="H51" s="30" t="s">
        <v>9</v>
      </c>
      <c r="I51" s="20">
        <v>1</v>
      </c>
      <c r="J51" s="19">
        <v>1830</v>
      </c>
      <c r="K51" s="42">
        <f t="shared" si="3"/>
        <v>64.31</v>
      </c>
      <c r="L51" s="32" t="s">
        <v>169</v>
      </c>
    </row>
    <row r="52" spans="1:12" ht="39.950000000000003" customHeight="1">
      <c r="A52" s="20">
        <v>1.31</v>
      </c>
      <c r="B52" s="31" t="s">
        <v>105</v>
      </c>
      <c r="C52" s="19" t="s">
        <v>101</v>
      </c>
      <c r="D52" s="19">
        <v>1</v>
      </c>
      <c r="E52" s="19" t="s">
        <v>258</v>
      </c>
      <c r="F52" s="19">
        <v>240</v>
      </c>
      <c r="G52" s="41">
        <f t="shared" si="1"/>
        <v>64.31</v>
      </c>
      <c r="H52" s="30" t="s">
        <v>9</v>
      </c>
      <c r="I52" s="20">
        <v>1</v>
      </c>
      <c r="J52" s="19">
        <v>2087</v>
      </c>
      <c r="K52" s="42">
        <f t="shared" si="3"/>
        <v>64.31</v>
      </c>
      <c r="L52" s="32" t="s">
        <v>166</v>
      </c>
    </row>
    <row r="53" spans="1:12" ht="39.950000000000003" customHeight="1">
      <c r="A53" s="20">
        <v>1.32</v>
      </c>
      <c r="B53" s="31" t="s">
        <v>106</v>
      </c>
      <c r="C53" s="19" t="s">
        <v>101</v>
      </c>
      <c r="D53" s="19">
        <v>1</v>
      </c>
      <c r="E53" s="19" t="s">
        <v>258</v>
      </c>
      <c r="F53" s="19">
        <v>240</v>
      </c>
      <c r="G53" s="41">
        <f t="shared" si="1"/>
        <v>64.31</v>
      </c>
      <c r="H53" s="30" t="s">
        <v>9</v>
      </c>
      <c r="I53" s="20">
        <v>1</v>
      </c>
      <c r="J53" s="19">
        <v>1920</v>
      </c>
      <c r="K53" s="42">
        <f t="shared" si="3"/>
        <v>64.31</v>
      </c>
      <c r="L53" s="32" t="s">
        <v>170</v>
      </c>
    </row>
    <row r="54" spans="1:12" ht="39.950000000000003" customHeight="1">
      <c r="A54" s="20">
        <v>1.33</v>
      </c>
      <c r="B54" s="31" t="s">
        <v>230</v>
      </c>
      <c r="C54" s="19" t="s">
        <v>179</v>
      </c>
      <c r="D54" s="19">
        <f>2.5*6.26/1000</f>
        <v>1.5649999999999997E-2</v>
      </c>
      <c r="E54" s="19" t="s">
        <v>258</v>
      </c>
      <c r="F54" s="19">
        <v>240</v>
      </c>
      <c r="G54" s="41">
        <f t="shared" si="1"/>
        <v>64.31</v>
      </c>
      <c r="H54" s="30" t="s">
        <v>9</v>
      </c>
      <c r="I54" s="20">
        <v>1</v>
      </c>
      <c r="J54" s="19">
        <f>11.6*2.5</f>
        <v>29</v>
      </c>
      <c r="K54" s="42">
        <f t="shared" si="3"/>
        <v>1.01</v>
      </c>
      <c r="L54" s="32" t="s">
        <v>181</v>
      </c>
    </row>
    <row r="55" spans="1:12" ht="39.950000000000003" customHeight="1">
      <c r="A55" s="20">
        <v>1.34</v>
      </c>
      <c r="B55" s="31" t="s">
        <v>231</v>
      </c>
      <c r="C55" s="19" t="s">
        <v>179</v>
      </c>
      <c r="D55" s="19">
        <f>3.5*9.77/1000</f>
        <v>3.4195000000000003E-2</v>
      </c>
      <c r="E55" s="19" t="s">
        <v>258</v>
      </c>
      <c r="F55" s="19">
        <v>240</v>
      </c>
      <c r="G55" s="41">
        <f t="shared" si="1"/>
        <v>64.31</v>
      </c>
      <c r="H55" s="30" t="s">
        <v>9</v>
      </c>
      <c r="I55" s="20">
        <v>1</v>
      </c>
      <c r="J55" s="19">
        <f>17.3*3.5</f>
        <v>60.550000000000004</v>
      </c>
      <c r="K55" s="42">
        <f t="shared" si="3"/>
        <v>2.2000000000000002</v>
      </c>
      <c r="L55" s="32" t="s">
        <v>181</v>
      </c>
    </row>
    <row r="56" spans="1:12" ht="39.950000000000003" customHeight="1">
      <c r="A56" s="20">
        <v>1.35</v>
      </c>
      <c r="B56" s="31" t="s">
        <v>232</v>
      </c>
      <c r="C56" s="19" t="s">
        <v>179</v>
      </c>
      <c r="D56" s="19">
        <f>4*10.85/1000</f>
        <v>4.3400000000000001E-2</v>
      </c>
      <c r="E56" s="19" t="s">
        <v>258</v>
      </c>
      <c r="F56" s="19">
        <v>240</v>
      </c>
      <c r="G56" s="41">
        <f t="shared" si="1"/>
        <v>64.31</v>
      </c>
      <c r="H56" s="30" t="s">
        <v>9</v>
      </c>
      <c r="I56" s="20">
        <v>1</v>
      </c>
      <c r="J56" s="19">
        <f>18.3*4</f>
        <v>73.2</v>
      </c>
      <c r="K56" s="42">
        <f t="shared" si="3"/>
        <v>2.79</v>
      </c>
      <c r="L56" s="32" t="s">
        <v>181</v>
      </c>
    </row>
    <row r="57" spans="1:12" ht="39.950000000000003" customHeight="1">
      <c r="A57" s="20">
        <v>1.36</v>
      </c>
      <c r="B57" s="31" t="s">
        <v>188</v>
      </c>
      <c r="C57" s="19" t="s">
        <v>101</v>
      </c>
      <c r="D57" s="19">
        <v>1</v>
      </c>
      <c r="E57" s="19" t="s">
        <v>258</v>
      </c>
      <c r="F57" s="19">
        <v>240</v>
      </c>
      <c r="G57" s="41">
        <f t="shared" si="1"/>
        <v>64.31</v>
      </c>
      <c r="H57" s="30" t="s">
        <v>9</v>
      </c>
      <c r="I57" s="20">
        <v>1</v>
      </c>
      <c r="J57" s="30">
        <v>1851</v>
      </c>
      <c r="K57" s="42">
        <f t="shared" si="3"/>
        <v>64.31</v>
      </c>
      <c r="L57" s="32" t="s">
        <v>181</v>
      </c>
    </row>
    <row r="58" spans="1:12" ht="39.950000000000003" customHeight="1">
      <c r="A58" s="20">
        <v>1.37</v>
      </c>
      <c r="B58" s="31" t="s">
        <v>233</v>
      </c>
      <c r="C58" s="19" t="s">
        <v>101</v>
      </c>
      <c r="D58" s="19">
        <v>1</v>
      </c>
      <c r="E58" s="19" t="s">
        <v>258</v>
      </c>
      <c r="F58" s="19">
        <v>240</v>
      </c>
      <c r="G58" s="41">
        <f t="shared" si="1"/>
        <v>64.31</v>
      </c>
      <c r="H58" s="30" t="s">
        <v>9</v>
      </c>
      <c r="I58" s="20">
        <v>1</v>
      </c>
      <c r="J58" s="30">
        <v>1870</v>
      </c>
      <c r="K58" s="42">
        <f t="shared" si="3"/>
        <v>64.31</v>
      </c>
      <c r="L58" s="32" t="s">
        <v>181</v>
      </c>
    </row>
    <row r="59" spans="1:12" ht="39.950000000000003" customHeight="1">
      <c r="A59" s="20">
        <v>1.38</v>
      </c>
      <c r="B59" s="31" t="s">
        <v>234</v>
      </c>
      <c r="C59" s="19" t="s">
        <v>101</v>
      </c>
      <c r="D59" s="19">
        <v>1</v>
      </c>
      <c r="E59" s="19" t="s">
        <v>258</v>
      </c>
      <c r="F59" s="19">
        <v>240</v>
      </c>
      <c r="G59" s="41">
        <f t="shared" si="1"/>
        <v>64.31</v>
      </c>
      <c r="H59" s="30" t="s">
        <v>9</v>
      </c>
      <c r="I59" s="20">
        <v>1</v>
      </c>
      <c r="J59" s="30">
        <v>1920</v>
      </c>
      <c r="K59" s="42">
        <f t="shared" si="3"/>
        <v>64.31</v>
      </c>
      <c r="L59" s="32" t="s">
        <v>181</v>
      </c>
    </row>
    <row r="60" spans="1:12" ht="39.950000000000003" customHeight="1">
      <c r="A60" s="20">
        <v>1.39</v>
      </c>
      <c r="B60" s="31" t="s">
        <v>235</v>
      </c>
      <c r="C60" s="19" t="s">
        <v>159</v>
      </c>
      <c r="D60" s="19">
        <v>1.41E-3</v>
      </c>
      <c r="E60" s="19" t="s">
        <v>258</v>
      </c>
      <c r="F60" s="19">
        <v>240</v>
      </c>
      <c r="G60" s="41">
        <f t="shared" si="1"/>
        <v>64.31</v>
      </c>
      <c r="H60" s="30" t="s">
        <v>9</v>
      </c>
      <c r="I60" s="20">
        <v>1</v>
      </c>
      <c r="J60" s="30">
        <v>4</v>
      </c>
      <c r="K60" s="42">
        <f t="shared" si="3"/>
        <v>0.09</v>
      </c>
      <c r="L60" s="32" t="s">
        <v>181</v>
      </c>
    </row>
    <row r="61" spans="1:12" ht="39.950000000000003" customHeight="1">
      <c r="A61" s="20">
        <v>1.4</v>
      </c>
      <c r="B61" s="31" t="s">
        <v>236</v>
      </c>
      <c r="C61" s="19" t="s">
        <v>179</v>
      </c>
      <c r="D61" s="19">
        <v>1.7500000000000002E-2</v>
      </c>
      <c r="E61" s="19" t="s">
        <v>258</v>
      </c>
      <c r="F61" s="19">
        <v>240</v>
      </c>
      <c r="G61" s="41">
        <f t="shared" si="1"/>
        <v>64.31</v>
      </c>
      <c r="H61" s="30" t="s">
        <v>9</v>
      </c>
      <c r="I61" s="20">
        <v>1</v>
      </c>
      <c r="J61" s="30">
        <v>72.900000000000006</v>
      </c>
      <c r="K61" s="42">
        <f t="shared" si="3"/>
        <v>1.1299999999999999</v>
      </c>
      <c r="L61" s="32" t="s">
        <v>237</v>
      </c>
    </row>
    <row r="62" spans="1:12" ht="39.950000000000003" customHeight="1">
      <c r="A62" s="20">
        <v>1.41</v>
      </c>
      <c r="B62" s="31" t="s">
        <v>238</v>
      </c>
      <c r="C62" s="19" t="s">
        <v>179</v>
      </c>
      <c r="D62" s="19">
        <v>1.32E-2</v>
      </c>
      <c r="E62" s="19" t="s">
        <v>258</v>
      </c>
      <c r="F62" s="19">
        <v>240</v>
      </c>
      <c r="G62" s="41">
        <f t="shared" si="1"/>
        <v>64.31</v>
      </c>
      <c r="H62" s="30" t="s">
        <v>9</v>
      </c>
      <c r="I62" s="20">
        <v>1</v>
      </c>
      <c r="J62" s="30">
        <v>56.8</v>
      </c>
      <c r="K62" s="42">
        <f t="shared" si="3"/>
        <v>0.85</v>
      </c>
      <c r="L62" s="32" t="s">
        <v>239</v>
      </c>
    </row>
    <row r="63" spans="1:12" ht="39.950000000000003" customHeight="1">
      <c r="A63" s="20">
        <v>1.42</v>
      </c>
      <c r="B63" s="31" t="s">
        <v>185</v>
      </c>
      <c r="C63" s="19" t="s">
        <v>101</v>
      </c>
      <c r="D63" s="19">
        <v>1</v>
      </c>
      <c r="E63" s="19" t="s">
        <v>258</v>
      </c>
      <c r="F63" s="19">
        <v>240</v>
      </c>
      <c r="G63" s="41">
        <f t="shared" si="1"/>
        <v>64.31</v>
      </c>
      <c r="H63" s="30" t="s">
        <v>9</v>
      </c>
      <c r="I63" s="20">
        <v>1</v>
      </c>
      <c r="J63" s="19">
        <v>3200</v>
      </c>
      <c r="K63" s="42">
        <f t="shared" si="3"/>
        <v>64.31</v>
      </c>
      <c r="L63" s="32" t="s">
        <v>181</v>
      </c>
    </row>
    <row r="64" spans="1:12" ht="39.950000000000003" customHeight="1">
      <c r="A64" s="20">
        <v>1.43</v>
      </c>
      <c r="B64" s="31" t="s">
        <v>186</v>
      </c>
      <c r="C64" s="19" t="s">
        <v>159</v>
      </c>
      <c r="D64" s="19">
        <f>(0.3*0.3*2400)/1000</f>
        <v>0.216</v>
      </c>
      <c r="E64" s="19" t="s">
        <v>258</v>
      </c>
      <c r="F64" s="19">
        <v>240</v>
      </c>
      <c r="G64" s="41">
        <f t="shared" si="1"/>
        <v>64.31</v>
      </c>
      <c r="H64" s="30" t="s">
        <v>9</v>
      </c>
      <c r="I64" s="20">
        <v>1</v>
      </c>
      <c r="J64" s="30">
        <v>97</v>
      </c>
      <c r="K64" s="42">
        <f t="shared" si="3"/>
        <v>13.89</v>
      </c>
      <c r="L64" s="32" t="s">
        <v>181</v>
      </c>
    </row>
    <row r="65" spans="1:20" ht="39.950000000000003" customHeight="1">
      <c r="A65" s="20">
        <v>1.44</v>
      </c>
      <c r="B65" s="31" t="s">
        <v>187</v>
      </c>
      <c r="C65" s="19" t="s">
        <v>133</v>
      </c>
      <c r="D65" s="19">
        <v>2.4</v>
      </c>
      <c r="E65" s="19" t="s">
        <v>167</v>
      </c>
      <c r="F65" s="19">
        <v>15</v>
      </c>
      <c r="G65" s="41">
        <f t="shared" si="1"/>
        <v>7.82</v>
      </c>
      <c r="H65" s="30" t="s">
        <v>9</v>
      </c>
      <c r="I65" s="20">
        <v>1</v>
      </c>
      <c r="J65" s="30">
        <v>308.8</v>
      </c>
      <c r="K65" s="42">
        <f t="shared" si="3"/>
        <v>18.77</v>
      </c>
      <c r="L65" s="32" t="s">
        <v>181</v>
      </c>
    </row>
    <row r="66" spans="1:20" ht="39.950000000000003" customHeight="1">
      <c r="A66" s="20">
        <v>1.45</v>
      </c>
      <c r="B66" s="31" t="s">
        <v>95</v>
      </c>
      <c r="C66" s="19" t="s">
        <v>159</v>
      </c>
      <c r="D66" s="20">
        <f>0.1*2.5</f>
        <v>0.25</v>
      </c>
      <c r="E66" s="19" t="s">
        <v>228</v>
      </c>
      <c r="F66" s="19">
        <v>130</v>
      </c>
      <c r="G66" s="41">
        <f t="shared" si="1"/>
        <v>38.54</v>
      </c>
      <c r="H66" s="30" t="s">
        <v>16</v>
      </c>
      <c r="I66" s="20">
        <v>1.25</v>
      </c>
      <c r="J66" s="19">
        <v>78.900000000000006</v>
      </c>
      <c r="K66" s="42">
        <f t="shared" si="3"/>
        <v>12.04</v>
      </c>
      <c r="L66" s="32" t="s">
        <v>160</v>
      </c>
    </row>
    <row r="67" spans="1:20" ht="39.950000000000003" customHeight="1">
      <c r="A67" s="20">
        <v>1.46</v>
      </c>
      <c r="B67" s="31" t="s">
        <v>240</v>
      </c>
      <c r="C67" s="19" t="s">
        <v>179</v>
      </c>
      <c r="D67" s="20">
        <f>1.75*2</f>
        <v>3.5</v>
      </c>
      <c r="E67" s="19" t="s">
        <v>228</v>
      </c>
      <c r="F67" s="19">
        <v>130</v>
      </c>
      <c r="G67" s="41">
        <f t="shared" si="1"/>
        <v>38.54</v>
      </c>
      <c r="H67" s="30" t="s">
        <v>16</v>
      </c>
      <c r="I67" s="20">
        <v>1.25</v>
      </c>
      <c r="J67" s="19">
        <f>136*2</f>
        <v>272</v>
      </c>
      <c r="K67" s="42">
        <f t="shared" si="3"/>
        <v>168.61</v>
      </c>
      <c r="L67" s="32" t="s">
        <v>160</v>
      </c>
    </row>
    <row r="68" spans="1:20" ht="39.950000000000003" customHeight="1">
      <c r="A68" s="20">
        <v>1.47</v>
      </c>
      <c r="B68" s="31" t="s">
        <v>241</v>
      </c>
      <c r="C68" s="19" t="s">
        <v>179</v>
      </c>
      <c r="D68" s="20">
        <v>1.75</v>
      </c>
      <c r="E68" s="19" t="s">
        <v>228</v>
      </c>
      <c r="F68" s="19">
        <v>130</v>
      </c>
      <c r="G68" s="41">
        <f t="shared" si="1"/>
        <v>38.54</v>
      </c>
      <c r="H68" s="30" t="s">
        <v>16</v>
      </c>
      <c r="I68" s="20">
        <v>1.25</v>
      </c>
      <c r="J68" s="19">
        <f>136</f>
        <v>136</v>
      </c>
      <c r="K68" s="42">
        <f t="shared" si="3"/>
        <v>84.31</v>
      </c>
      <c r="L68" s="32" t="s">
        <v>160</v>
      </c>
    </row>
    <row r="69" spans="1:20" ht="39.950000000000003" customHeight="1">
      <c r="A69" s="20">
        <v>1.48</v>
      </c>
      <c r="B69" s="31" t="s">
        <v>242</v>
      </c>
      <c r="C69" s="19" t="s">
        <v>179</v>
      </c>
      <c r="D69" s="30">
        <v>2.5</v>
      </c>
      <c r="E69" s="19" t="s">
        <v>228</v>
      </c>
      <c r="F69" s="19">
        <v>130</v>
      </c>
      <c r="G69" s="41">
        <f t="shared" si="1"/>
        <v>38.54</v>
      </c>
      <c r="H69" s="30" t="s">
        <v>16</v>
      </c>
      <c r="I69" s="20">
        <v>1.25</v>
      </c>
      <c r="J69" s="19">
        <v>153</v>
      </c>
      <c r="K69" s="42">
        <f t="shared" ref="K69:K70" si="4">ROUND(D69*G69*I69,2)</f>
        <v>120.44</v>
      </c>
      <c r="L69" s="32" t="s">
        <v>160</v>
      </c>
    </row>
    <row r="70" spans="1:20" ht="39.950000000000003" customHeight="1">
      <c r="A70" s="20">
        <v>1.5</v>
      </c>
      <c r="B70" s="37" t="s">
        <v>264</v>
      </c>
      <c r="C70" s="19" t="s">
        <v>87</v>
      </c>
      <c r="D70" s="44">
        <v>2.5000000000000001E-2</v>
      </c>
      <c r="E70" s="19" t="s">
        <v>228</v>
      </c>
      <c r="F70" s="19">
        <v>130</v>
      </c>
      <c r="G70" s="41">
        <f t="shared" si="1"/>
        <v>38.54</v>
      </c>
      <c r="H70" s="30" t="s">
        <v>9</v>
      </c>
      <c r="I70" s="20">
        <v>1</v>
      </c>
      <c r="J70" s="19">
        <v>27</v>
      </c>
      <c r="K70" s="42">
        <f t="shared" si="4"/>
        <v>0.96</v>
      </c>
      <c r="L70" s="32" t="s">
        <v>160</v>
      </c>
      <c r="S70" s="12"/>
      <c r="T70" s="12"/>
    </row>
    <row r="71" spans="1:20" ht="39.950000000000003" customHeight="1">
      <c r="A71" s="24"/>
      <c r="B71" s="25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20" ht="39.950000000000003" customHeight="1">
      <c r="A72" s="24"/>
      <c r="B72" s="25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0" ht="39.950000000000003" customHeight="1">
      <c r="A73" s="24"/>
      <c r="B73" s="25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20" ht="39.950000000000003" customHeight="1">
      <c r="A74" s="24"/>
      <c r="B74" s="25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20" ht="39.950000000000003" customHeight="1">
      <c r="A75" s="24"/>
      <c r="B75" s="25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20" ht="39.950000000000003" customHeight="1">
      <c r="A76" s="24"/>
      <c r="B76" s="25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20" ht="39.950000000000003" customHeight="1">
      <c r="A77" s="24"/>
      <c r="B77" s="25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0">
      <c r="B78" s="28"/>
      <c r="C78" s="29"/>
      <c r="D78" s="29"/>
      <c r="E78" s="29"/>
      <c r="F78" s="29"/>
      <c r="G78" s="29"/>
      <c r="H78" s="29"/>
      <c r="I78" s="29"/>
      <c r="J78" s="29"/>
      <c r="K78" s="29"/>
      <c r="L78" s="29"/>
    </row>
    <row r="79" spans="1:20">
      <c r="B79" s="28"/>
      <c r="C79" s="29"/>
      <c r="D79" s="29"/>
      <c r="E79" s="29"/>
      <c r="F79" s="29"/>
      <c r="G79" s="29"/>
      <c r="H79" s="29"/>
      <c r="I79" s="29"/>
      <c r="J79" s="29"/>
      <c r="K79" s="29"/>
      <c r="L79" s="29"/>
    </row>
    <row r="80" spans="1:20">
      <c r="B80" s="28"/>
      <c r="C80" s="29"/>
      <c r="D80" s="29"/>
      <c r="E80" s="29"/>
      <c r="F80" s="29"/>
      <c r="G80" s="29"/>
      <c r="H80" s="29"/>
      <c r="I80" s="29"/>
      <c r="J80" s="29"/>
      <c r="K80" s="29"/>
      <c r="L80" s="29"/>
    </row>
    <row r="81" spans="2:12"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9"/>
    </row>
    <row r="82" spans="2:12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</row>
    <row r="83" spans="2:12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</row>
    <row r="84" spans="2:12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</row>
    <row r="85" spans="2:12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</row>
    <row r="86" spans="2:12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</row>
    <row r="87" spans="2:12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</row>
    <row r="88" spans="2:12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</row>
    <row r="89" spans="2:12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</row>
    <row r="90" spans="2:12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</row>
    <row r="91" spans="2:12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</row>
    <row r="92" spans="2:12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</row>
    <row r="93" spans="2:12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</row>
    <row r="94" spans="2:12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</row>
    <row r="241" spans="3:211" ht="19.5" customHeight="1">
      <c r="C241" s="45"/>
      <c r="D241" s="45"/>
      <c r="E241" s="45"/>
      <c r="F241" s="45"/>
      <c r="G241" s="45"/>
      <c r="H241" s="45"/>
      <c r="I241" s="45"/>
      <c r="J241" s="45"/>
      <c r="K241" s="45"/>
      <c r="L241" s="26"/>
      <c r="M241" s="9"/>
      <c r="N241" s="9"/>
      <c r="O241" s="9"/>
      <c r="P241" s="9"/>
      <c r="Q241" s="9"/>
      <c r="R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9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9"/>
      <c r="FZ241" s="9"/>
      <c r="GA241" s="9"/>
      <c r="GB241" s="9"/>
      <c r="GC241" s="9"/>
      <c r="GD241" s="9"/>
      <c r="GE241" s="9"/>
      <c r="GF241" s="9"/>
      <c r="GG241" s="9"/>
      <c r="GH241" s="9"/>
      <c r="GI241" s="9"/>
      <c r="GJ241" s="9"/>
      <c r="GK241" s="9"/>
      <c r="GL241" s="9"/>
      <c r="GM241" s="9"/>
      <c r="GN241" s="9"/>
      <c r="GO241" s="9"/>
      <c r="GP241" s="9"/>
      <c r="GQ241" s="9"/>
      <c r="GR241" s="9"/>
      <c r="GS241" s="9"/>
      <c r="GT241" s="9"/>
      <c r="GU241" s="9"/>
      <c r="GV241" s="9"/>
      <c r="GW241" s="9"/>
      <c r="GX241" s="9"/>
      <c r="GY241" s="9"/>
      <c r="GZ241" s="9"/>
      <c r="HA241" s="9"/>
      <c r="HB241" s="9"/>
      <c r="HC241" s="9"/>
    </row>
    <row r="242" spans="3:211" ht="19.5" customHeight="1">
      <c r="C242" s="45"/>
      <c r="D242" s="45"/>
      <c r="E242" s="45"/>
      <c r="F242" s="45"/>
      <c r="G242" s="45"/>
      <c r="H242" s="45"/>
      <c r="I242" s="45"/>
      <c r="J242" s="45"/>
      <c r="K242" s="45"/>
      <c r="L242" s="26"/>
      <c r="M242" s="9"/>
      <c r="N242" s="9"/>
      <c r="O242" s="9"/>
      <c r="P242" s="9"/>
      <c r="Q242" s="9"/>
      <c r="R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9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9"/>
      <c r="FZ242" s="9"/>
      <c r="GA242" s="9"/>
      <c r="GB242" s="9"/>
      <c r="GC242" s="9"/>
      <c r="GD242" s="9"/>
      <c r="GE242" s="9"/>
      <c r="GF242" s="9"/>
      <c r="GG242" s="9"/>
      <c r="GH242" s="9"/>
      <c r="GI242" s="9"/>
      <c r="GJ242" s="9"/>
      <c r="GK242" s="9"/>
      <c r="GL242" s="9"/>
      <c r="GM242" s="9"/>
      <c r="GN242" s="9"/>
      <c r="GO242" s="9"/>
      <c r="GP242" s="9"/>
      <c r="GQ242" s="9"/>
      <c r="GR242" s="9"/>
      <c r="GS242" s="9"/>
      <c r="GT242" s="9"/>
      <c r="GU242" s="9"/>
      <c r="GV242" s="9"/>
      <c r="GW242" s="9"/>
      <c r="GX242" s="9"/>
      <c r="GY242" s="9"/>
      <c r="GZ242" s="9"/>
      <c r="HA242" s="9"/>
      <c r="HB242" s="9"/>
      <c r="HC242" s="9"/>
    </row>
  </sheetData>
  <mergeCells count="31">
    <mergeCell ref="L16:L18"/>
    <mergeCell ref="H17:H18"/>
    <mergeCell ref="I17:I18"/>
    <mergeCell ref="F16:F18"/>
    <mergeCell ref="G16:G18"/>
    <mergeCell ref="H16:I16"/>
    <mergeCell ref="J16:J18"/>
    <mergeCell ref="K16:K18"/>
    <mergeCell ref="A16:A18"/>
    <mergeCell ref="B16:B18"/>
    <mergeCell ref="C16:C18"/>
    <mergeCell ref="D16:D18"/>
    <mergeCell ref="E16:E18"/>
    <mergeCell ref="A5:B6"/>
    <mergeCell ref="K5:L6"/>
    <mergeCell ref="A7:B8"/>
    <mergeCell ref="K7:L8"/>
    <mergeCell ref="S7:S15"/>
    <mergeCell ref="J11:K12"/>
    <mergeCell ref="A13:L15"/>
    <mergeCell ref="T7:T15"/>
    <mergeCell ref="A9:B10"/>
    <mergeCell ref="K9:L10"/>
    <mergeCell ref="A11:B12"/>
    <mergeCell ref="H11:H12"/>
    <mergeCell ref="A1:B1"/>
    <mergeCell ref="A2:B2"/>
    <mergeCell ref="S2:T2"/>
    <mergeCell ref="A3:B4"/>
    <mergeCell ref="K3:L4"/>
    <mergeCell ref="S3:T3"/>
  </mergeCells>
  <pageMargins left="0.78740157480314965" right="0.78740157480314965" top="0.39370078740157483" bottom="0.39370078740157483" header="0.31496062992125984" footer="0.31496062992125984"/>
  <pageSetup paperSize="9" scale="42" fitToWidth="0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74"/>
  <sheetViews>
    <sheetView view="pageBreakPreview" zoomScaleNormal="60" zoomScaleSheetLayoutView="100" workbookViewId="0">
      <selection activeCell="J23" sqref="J23"/>
    </sheetView>
  </sheetViews>
  <sheetFormatPr defaultRowHeight="12.75"/>
  <cols>
    <col min="1" max="1" width="7.140625" style="116" customWidth="1"/>
    <col min="2" max="2" width="12.85546875" style="121" customWidth="1"/>
    <col min="3" max="3" width="52.42578125" style="121" customWidth="1"/>
    <col min="4" max="4" width="8.140625" style="121" customWidth="1"/>
    <col min="5" max="12" width="9.85546875" style="121" customWidth="1"/>
    <col min="13" max="13" width="11.7109375" style="122" customWidth="1"/>
    <col min="14" max="16" width="20.7109375" style="47" customWidth="1"/>
    <col min="17" max="16384" width="9.140625" style="47"/>
  </cols>
  <sheetData>
    <row r="1" spans="1:13">
      <c r="A1" s="100"/>
      <c r="B1" s="101"/>
      <c r="C1" s="100"/>
      <c r="D1" s="101"/>
      <c r="E1" s="101"/>
      <c r="F1" s="101"/>
      <c r="G1" s="101"/>
      <c r="H1" s="101"/>
      <c r="I1" s="101"/>
      <c r="J1" s="101"/>
      <c r="K1" s="101"/>
      <c r="L1" s="101"/>
      <c r="M1" s="102"/>
    </row>
    <row r="2" spans="1:13">
      <c r="A2" s="103"/>
      <c r="B2" s="103"/>
      <c r="C2" s="103" t="s">
        <v>269</v>
      </c>
      <c r="D2" s="101"/>
      <c r="E2" s="101"/>
      <c r="F2" s="104"/>
      <c r="G2" s="104" t="s">
        <v>17</v>
      </c>
      <c r="H2" s="104"/>
      <c r="I2" s="101"/>
      <c r="J2" s="103"/>
      <c r="K2" s="103"/>
      <c r="L2" s="103"/>
      <c r="M2" s="103"/>
    </row>
    <row r="3" spans="1:13">
      <c r="A3" s="103"/>
      <c r="B3" s="103"/>
      <c r="C3" s="103" t="s">
        <v>272</v>
      </c>
      <c r="D3" s="101"/>
      <c r="E3" s="101"/>
      <c r="F3" s="104"/>
      <c r="G3" s="104" t="s">
        <v>18</v>
      </c>
      <c r="H3" s="104"/>
      <c r="I3" s="101"/>
      <c r="J3" s="103"/>
      <c r="K3" s="103"/>
      <c r="L3" s="103"/>
      <c r="M3" s="103"/>
    </row>
    <row r="4" spans="1:13">
      <c r="A4" s="103"/>
      <c r="B4" s="103"/>
      <c r="C4" s="103" t="s">
        <v>270</v>
      </c>
      <c r="D4" s="101"/>
      <c r="E4" s="101"/>
      <c r="F4" s="104"/>
      <c r="G4" s="104" t="s">
        <v>59</v>
      </c>
      <c r="H4" s="105"/>
      <c r="I4" s="105" t="s">
        <v>20</v>
      </c>
      <c r="J4" s="103"/>
      <c r="K4" s="103"/>
      <c r="L4" s="103"/>
      <c r="M4" s="103"/>
    </row>
    <row r="5" spans="1:13">
      <c r="A5" s="103"/>
      <c r="B5" s="103"/>
      <c r="C5" s="103" t="s">
        <v>271</v>
      </c>
      <c r="D5" s="101"/>
      <c r="E5" s="101"/>
      <c r="F5" s="104"/>
      <c r="G5" s="104" t="s">
        <v>19</v>
      </c>
      <c r="H5" s="104"/>
      <c r="I5" s="101"/>
      <c r="J5" s="103"/>
      <c r="K5" s="103"/>
      <c r="L5" s="103"/>
      <c r="M5" s="103"/>
    </row>
    <row r="6" spans="1:13">
      <c r="A6" s="103"/>
      <c r="B6" s="103"/>
      <c r="C6" s="103"/>
      <c r="D6" s="101"/>
      <c r="E6" s="101"/>
      <c r="F6" s="101"/>
      <c r="G6" s="101"/>
      <c r="H6" s="101"/>
      <c r="I6" s="103"/>
      <c r="J6" s="103"/>
      <c r="K6" s="103"/>
      <c r="L6" s="103"/>
      <c r="M6" s="103"/>
    </row>
    <row r="7" spans="1:13" s="81" customFormat="1">
      <c r="A7" s="159" t="s">
        <v>259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</row>
    <row r="8" spans="1:13" s="81" customFormat="1">
      <c r="A8" s="106"/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</row>
    <row r="9" spans="1:13" s="75" customFormat="1" ht="26.25" customHeight="1">
      <c r="A9" s="155" t="s">
        <v>273</v>
      </c>
      <c r="B9" s="160" t="s">
        <v>274</v>
      </c>
      <c r="C9" s="160" t="s">
        <v>275</v>
      </c>
      <c r="D9" s="160" t="s">
        <v>276</v>
      </c>
      <c r="E9" s="155" t="s">
        <v>277</v>
      </c>
      <c r="F9" s="155"/>
      <c r="G9" s="160" t="s">
        <v>278</v>
      </c>
      <c r="H9" s="160"/>
      <c r="I9" s="160" t="s">
        <v>6</v>
      </c>
      <c r="J9" s="160"/>
      <c r="K9" s="155" t="s">
        <v>279</v>
      </c>
      <c r="L9" s="155"/>
      <c r="M9" s="155" t="s">
        <v>4</v>
      </c>
    </row>
    <row r="10" spans="1:13" s="75" customFormat="1" ht="12.75" customHeight="1">
      <c r="A10" s="155"/>
      <c r="B10" s="160"/>
      <c r="C10" s="160"/>
      <c r="D10" s="160"/>
      <c r="E10" s="98" t="s">
        <v>280</v>
      </c>
      <c r="F10" s="98" t="s">
        <v>256</v>
      </c>
      <c r="G10" s="98" t="s">
        <v>280</v>
      </c>
      <c r="H10" s="98" t="s">
        <v>256</v>
      </c>
      <c r="I10" s="98" t="s">
        <v>280</v>
      </c>
      <c r="J10" s="98" t="s">
        <v>256</v>
      </c>
      <c r="K10" s="98" t="s">
        <v>280</v>
      </c>
      <c r="L10" s="98" t="s">
        <v>256</v>
      </c>
      <c r="M10" s="155"/>
    </row>
    <row r="11" spans="1:13" s="75" customFormat="1">
      <c r="A11" s="98">
        <v>1</v>
      </c>
      <c r="B11" s="98">
        <v>2</v>
      </c>
      <c r="C11" s="97">
        <v>3</v>
      </c>
      <c r="D11" s="98">
        <v>4</v>
      </c>
      <c r="E11" s="98">
        <v>5</v>
      </c>
      <c r="F11" s="98">
        <v>6</v>
      </c>
      <c r="G11" s="98">
        <v>7</v>
      </c>
      <c r="H11" s="82">
        <v>8</v>
      </c>
      <c r="I11" s="98">
        <v>9</v>
      </c>
      <c r="J11" s="82">
        <v>10</v>
      </c>
      <c r="K11" s="98">
        <v>11</v>
      </c>
      <c r="L11" s="82">
        <v>12</v>
      </c>
      <c r="M11" s="82">
        <v>13</v>
      </c>
    </row>
    <row r="12" spans="1:13" s="75" customFormat="1">
      <c r="A12" s="98"/>
      <c r="B12" s="98"/>
      <c r="C12" s="98"/>
      <c r="D12" s="98"/>
      <c r="E12" s="108"/>
      <c r="F12" s="108"/>
      <c r="G12" s="108"/>
      <c r="H12" s="108"/>
      <c r="I12" s="108"/>
      <c r="J12" s="108"/>
      <c r="K12" s="108"/>
      <c r="L12" s="108"/>
      <c r="M12" s="108"/>
    </row>
    <row r="13" spans="1:13" s="75" customFormat="1">
      <c r="A13" s="98"/>
      <c r="B13" s="109"/>
      <c r="C13" s="97" t="s">
        <v>32</v>
      </c>
      <c r="D13" s="109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3" ht="12.75" customHeight="1">
      <c r="A14" s="98"/>
      <c r="B14" s="109"/>
      <c r="C14" s="97"/>
      <c r="D14" s="109"/>
      <c r="E14" s="110"/>
      <c r="F14" s="110"/>
      <c r="G14" s="110"/>
      <c r="H14" s="110"/>
      <c r="I14" s="110"/>
      <c r="J14" s="110"/>
      <c r="K14" s="110"/>
      <c r="L14" s="110"/>
      <c r="M14" s="110"/>
    </row>
    <row r="15" spans="1:13">
      <c r="A15" s="109">
        <v>1.1000000000000001</v>
      </c>
      <c r="B15" s="156" t="s">
        <v>281</v>
      </c>
      <c r="C15" s="111" t="s">
        <v>33</v>
      </c>
      <c r="D15" s="109" t="s">
        <v>34</v>
      </c>
      <c r="E15" s="110"/>
      <c r="F15" s="110">
        <v>0.28000000000000003</v>
      </c>
      <c r="G15" s="110"/>
      <c r="H15" s="110"/>
      <c r="I15" s="110"/>
      <c r="J15" s="110"/>
      <c r="K15" s="110"/>
      <c r="L15" s="110"/>
      <c r="M15" s="110"/>
    </row>
    <row r="16" spans="1:13" s="76" customFormat="1">
      <c r="A16" s="109"/>
      <c r="B16" s="157"/>
      <c r="C16" s="111"/>
      <c r="D16" s="109"/>
      <c r="E16" s="110"/>
      <c r="F16" s="110"/>
      <c r="G16" s="110"/>
      <c r="H16" s="110"/>
      <c r="I16" s="110"/>
      <c r="J16" s="110"/>
      <c r="K16" s="110"/>
      <c r="L16" s="110"/>
      <c r="M16" s="110"/>
    </row>
    <row r="17" spans="1:13" s="76" customFormat="1">
      <c r="A17" s="109" t="s">
        <v>0</v>
      </c>
      <c r="B17" s="157"/>
      <c r="C17" s="112" t="s">
        <v>15</v>
      </c>
      <c r="D17" s="109" t="s">
        <v>1</v>
      </c>
      <c r="E17" s="110">
        <f>1.1*1.13*(127+67)</f>
        <v>241.14199999999997</v>
      </c>
      <c r="F17" s="110">
        <f>E17*F15</f>
        <v>67.519759999999991</v>
      </c>
      <c r="G17" s="110"/>
      <c r="H17" s="110"/>
      <c r="I17" s="110"/>
      <c r="J17" s="110"/>
      <c r="K17" s="110"/>
      <c r="L17" s="110"/>
      <c r="M17" s="110"/>
    </row>
    <row r="18" spans="1:13" s="76" customFormat="1">
      <c r="A18" s="109"/>
      <c r="B18" s="158"/>
      <c r="C18" s="111"/>
      <c r="D18" s="109"/>
      <c r="E18" s="110"/>
      <c r="F18" s="110"/>
      <c r="G18" s="110"/>
      <c r="H18" s="110"/>
      <c r="I18" s="110"/>
      <c r="J18" s="110"/>
      <c r="K18" s="110"/>
      <c r="L18" s="110"/>
      <c r="M18" s="110"/>
    </row>
    <row r="19" spans="1:13" s="76" customFormat="1">
      <c r="A19" s="98"/>
      <c r="B19" s="113"/>
      <c r="C19" s="98" t="s">
        <v>4</v>
      </c>
      <c r="D19" s="98"/>
      <c r="E19" s="108"/>
      <c r="F19" s="108"/>
      <c r="G19" s="108"/>
      <c r="H19" s="108"/>
      <c r="I19" s="108"/>
      <c r="J19" s="108"/>
      <c r="K19" s="108"/>
      <c r="L19" s="108"/>
      <c r="M19" s="108"/>
    </row>
    <row r="20" spans="1:13" s="76" customFormat="1">
      <c r="A20" s="109"/>
      <c r="B20" s="114"/>
      <c r="C20" s="109"/>
      <c r="D20" s="109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A21" s="109"/>
      <c r="B21" s="114"/>
      <c r="C21" s="109" t="s">
        <v>10</v>
      </c>
      <c r="D21" s="115">
        <v>0.1</v>
      </c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>
      <c r="A22" s="109"/>
      <c r="B22" s="114"/>
      <c r="C22" s="109" t="s">
        <v>4</v>
      </c>
      <c r="D22" s="115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>
      <c r="A23" s="109"/>
      <c r="B23" s="114"/>
      <c r="C23" s="109" t="s">
        <v>11</v>
      </c>
      <c r="D23" s="115">
        <v>0.08</v>
      </c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>
      <c r="A24" s="109"/>
      <c r="B24" s="114"/>
      <c r="C24" s="109"/>
      <c r="D24" s="115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>
      <c r="A25" s="98"/>
      <c r="B25" s="113"/>
      <c r="C25" s="98" t="s">
        <v>4</v>
      </c>
      <c r="D25" s="98"/>
      <c r="E25" s="108"/>
      <c r="F25" s="108"/>
      <c r="G25" s="108"/>
      <c r="H25" s="108"/>
      <c r="I25" s="108"/>
      <c r="J25" s="108"/>
      <c r="K25" s="108"/>
      <c r="L25" s="108"/>
      <c r="M25" s="108"/>
    </row>
    <row r="26" spans="1:13">
      <c r="B26" s="117"/>
      <c r="C26" s="118"/>
      <c r="D26" s="117"/>
      <c r="E26" s="117"/>
      <c r="F26" s="117"/>
      <c r="G26" s="117"/>
      <c r="H26" s="117"/>
      <c r="I26" s="117"/>
      <c r="J26" s="117"/>
      <c r="K26" s="117"/>
      <c r="L26" s="117"/>
      <c r="M26" s="119"/>
    </row>
    <row r="27" spans="1:13">
      <c r="B27" s="117"/>
      <c r="C27" s="118"/>
      <c r="D27" s="117"/>
      <c r="E27" s="117"/>
      <c r="F27" s="117"/>
      <c r="G27" s="117"/>
      <c r="H27" s="117"/>
      <c r="I27" s="117"/>
      <c r="J27" s="117"/>
      <c r="K27" s="117"/>
      <c r="L27" s="117"/>
      <c r="M27" s="119"/>
    </row>
    <row r="28" spans="1:13">
      <c r="B28" s="117"/>
      <c r="C28" s="118"/>
      <c r="D28" s="117"/>
      <c r="E28" s="117"/>
      <c r="F28" s="117"/>
      <c r="G28" s="117"/>
      <c r="H28" s="117"/>
      <c r="I28" s="117"/>
      <c r="J28" s="117"/>
      <c r="K28" s="117"/>
      <c r="L28" s="117"/>
      <c r="M28" s="119"/>
    </row>
    <row r="29" spans="1:13">
      <c r="B29" s="117"/>
      <c r="C29" s="118"/>
      <c r="D29" s="117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1:13">
      <c r="B30" s="117"/>
      <c r="C30" s="118"/>
      <c r="D30" s="117"/>
      <c r="E30" s="117"/>
      <c r="F30" s="117"/>
      <c r="G30" s="117"/>
      <c r="H30" s="117"/>
      <c r="I30" s="117"/>
      <c r="J30" s="117"/>
      <c r="K30" s="117"/>
      <c r="L30" s="117"/>
      <c r="M30" s="119"/>
    </row>
    <row r="31" spans="1:13">
      <c r="B31" s="117"/>
      <c r="C31" s="118"/>
      <c r="D31" s="117"/>
      <c r="E31" s="117"/>
      <c r="F31" s="117"/>
      <c r="G31" s="117"/>
      <c r="H31" s="117"/>
      <c r="I31" s="117"/>
      <c r="J31" s="117"/>
      <c r="K31" s="117"/>
      <c r="L31" s="117"/>
      <c r="M31" s="119"/>
    </row>
    <row r="32" spans="1:13">
      <c r="B32" s="117"/>
      <c r="C32" s="118"/>
      <c r="D32" s="117"/>
      <c r="E32" s="117"/>
      <c r="F32" s="117"/>
      <c r="G32" s="117"/>
      <c r="H32" s="117"/>
      <c r="I32" s="117"/>
      <c r="J32" s="117"/>
      <c r="K32" s="117"/>
      <c r="L32" s="117"/>
      <c r="M32" s="119"/>
    </row>
    <row r="33" spans="2:13">
      <c r="B33" s="117"/>
      <c r="C33" s="118"/>
      <c r="D33" s="117"/>
      <c r="E33" s="117"/>
      <c r="F33" s="117"/>
      <c r="G33" s="117"/>
      <c r="H33" s="117"/>
      <c r="I33" s="117"/>
      <c r="J33" s="117"/>
      <c r="K33" s="117"/>
      <c r="L33" s="117"/>
      <c r="M33" s="119"/>
    </row>
    <row r="34" spans="2:13">
      <c r="B34" s="117"/>
      <c r="C34" s="118"/>
      <c r="D34" s="117"/>
      <c r="E34" s="117"/>
      <c r="F34" s="117"/>
      <c r="G34" s="117"/>
      <c r="H34" s="117"/>
      <c r="I34" s="117"/>
      <c r="J34" s="117"/>
      <c r="K34" s="117"/>
      <c r="L34" s="117"/>
      <c r="M34" s="119"/>
    </row>
    <row r="35" spans="2:13">
      <c r="B35" s="117"/>
      <c r="C35" s="118"/>
      <c r="D35" s="117"/>
      <c r="E35" s="117"/>
      <c r="F35" s="117"/>
      <c r="G35" s="117"/>
      <c r="H35" s="117"/>
      <c r="I35" s="117"/>
      <c r="J35" s="117"/>
      <c r="K35" s="117"/>
      <c r="L35" s="117"/>
      <c r="M35" s="119"/>
    </row>
    <row r="36" spans="2:13">
      <c r="B36" s="117"/>
      <c r="C36" s="118"/>
      <c r="D36" s="117"/>
      <c r="E36" s="117"/>
      <c r="F36" s="117"/>
      <c r="G36" s="117"/>
      <c r="H36" s="117"/>
      <c r="I36" s="117"/>
      <c r="J36" s="117"/>
      <c r="K36" s="117"/>
      <c r="L36" s="117"/>
      <c r="M36" s="119"/>
    </row>
    <row r="37" spans="2:13">
      <c r="B37" s="117"/>
      <c r="C37" s="118"/>
      <c r="D37" s="117"/>
      <c r="E37" s="117"/>
      <c r="F37" s="117"/>
      <c r="G37" s="117"/>
      <c r="H37" s="117"/>
      <c r="I37" s="117"/>
      <c r="J37" s="117"/>
      <c r="K37" s="117"/>
      <c r="L37" s="117"/>
      <c r="M37" s="119"/>
    </row>
    <row r="38" spans="2:13">
      <c r="B38" s="117"/>
      <c r="C38" s="118"/>
      <c r="D38" s="117"/>
      <c r="E38" s="117"/>
      <c r="F38" s="117"/>
      <c r="G38" s="117"/>
      <c r="H38" s="117"/>
      <c r="I38" s="117"/>
      <c r="J38" s="117"/>
      <c r="K38" s="117"/>
      <c r="L38" s="117"/>
      <c r="M38" s="119"/>
    </row>
    <row r="39" spans="2:13">
      <c r="B39" s="117"/>
      <c r="C39" s="118"/>
      <c r="D39" s="117"/>
      <c r="E39" s="117"/>
      <c r="F39" s="117"/>
      <c r="G39" s="117"/>
      <c r="H39" s="117"/>
      <c r="I39" s="117"/>
      <c r="J39" s="117"/>
      <c r="K39" s="117"/>
      <c r="L39" s="117"/>
      <c r="M39" s="119"/>
    </row>
    <row r="40" spans="2:13">
      <c r="B40" s="117"/>
      <c r="C40" s="118"/>
      <c r="D40" s="117"/>
      <c r="E40" s="117"/>
      <c r="F40" s="117"/>
      <c r="G40" s="117"/>
      <c r="H40" s="117"/>
      <c r="I40" s="117"/>
      <c r="J40" s="117"/>
      <c r="K40" s="117"/>
      <c r="L40" s="117"/>
      <c r="M40" s="119"/>
    </row>
    <row r="41" spans="2:13">
      <c r="B41" s="117"/>
      <c r="C41" s="118"/>
      <c r="D41" s="117"/>
      <c r="E41" s="117"/>
      <c r="F41" s="117"/>
      <c r="G41" s="117"/>
      <c r="H41" s="117"/>
      <c r="I41" s="117"/>
      <c r="J41" s="117"/>
      <c r="K41" s="117"/>
      <c r="L41" s="117"/>
      <c r="M41" s="119"/>
    </row>
    <row r="42" spans="2:13">
      <c r="B42" s="117"/>
      <c r="C42" s="118"/>
      <c r="D42" s="117"/>
      <c r="E42" s="117"/>
      <c r="F42" s="117"/>
      <c r="G42" s="117"/>
      <c r="H42" s="117"/>
      <c r="I42" s="117"/>
      <c r="J42" s="117"/>
      <c r="K42" s="117"/>
      <c r="L42" s="117"/>
      <c r="M42" s="119"/>
    </row>
    <row r="43" spans="2:13">
      <c r="B43" s="117"/>
      <c r="C43" s="118"/>
      <c r="D43" s="117"/>
      <c r="E43" s="117"/>
      <c r="F43" s="117"/>
      <c r="G43" s="117"/>
      <c r="H43" s="117"/>
      <c r="I43" s="117"/>
      <c r="J43" s="117"/>
      <c r="K43" s="117"/>
      <c r="L43" s="117"/>
      <c r="M43" s="119"/>
    </row>
    <row r="44" spans="2:13">
      <c r="B44" s="117"/>
      <c r="C44" s="118"/>
      <c r="D44" s="117"/>
      <c r="E44" s="117"/>
      <c r="F44" s="117"/>
      <c r="G44" s="117"/>
      <c r="H44" s="117"/>
      <c r="I44" s="117"/>
      <c r="J44" s="117"/>
      <c r="K44" s="117"/>
      <c r="L44" s="117"/>
      <c r="M44" s="119"/>
    </row>
    <row r="45" spans="2:13">
      <c r="B45" s="117"/>
      <c r="C45" s="118"/>
      <c r="D45" s="117"/>
      <c r="E45" s="117"/>
      <c r="F45" s="117"/>
      <c r="G45" s="117"/>
      <c r="H45" s="117"/>
      <c r="I45" s="117"/>
      <c r="J45" s="117"/>
      <c r="K45" s="117"/>
      <c r="L45" s="117"/>
      <c r="M45" s="119"/>
    </row>
    <row r="46" spans="2:13">
      <c r="B46" s="117"/>
      <c r="C46" s="118"/>
      <c r="D46" s="117"/>
      <c r="E46" s="117"/>
      <c r="F46" s="117"/>
      <c r="G46" s="117"/>
      <c r="H46" s="117"/>
      <c r="I46" s="117"/>
      <c r="J46" s="117"/>
      <c r="K46" s="117"/>
      <c r="L46" s="117"/>
      <c r="M46" s="119"/>
    </row>
    <row r="47" spans="2:13">
      <c r="B47" s="117"/>
      <c r="C47" s="118"/>
      <c r="D47" s="117"/>
      <c r="E47" s="117"/>
      <c r="F47" s="117"/>
      <c r="G47" s="117"/>
      <c r="H47" s="117"/>
      <c r="I47" s="117"/>
      <c r="J47" s="117"/>
      <c r="K47" s="117"/>
      <c r="L47" s="117"/>
      <c r="M47" s="119"/>
    </row>
    <row r="48" spans="2:13">
      <c r="B48" s="117"/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9"/>
    </row>
    <row r="49" spans="2:13">
      <c r="B49" s="117"/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9"/>
    </row>
    <row r="50" spans="2:13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9"/>
    </row>
    <row r="51" spans="2:13">
      <c r="B51" s="117"/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9"/>
    </row>
    <row r="52" spans="2:13">
      <c r="B52" s="117"/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9"/>
    </row>
    <row r="53" spans="2:13"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9"/>
    </row>
    <row r="54" spans="2:13">
      <c r="B54" s="117"/>
      <c r="C54" s="118"/>
      <c r="D54" s="117"/>
      <c r="E54" s="117"/>
      <c r="F54" s="117"/>
      <c r="G54" s="117"/>
      <c r="H54" s="117"/>
      <c r="I54" s="117"/>
      <c r="J54" s="117"/>
      <c r="K54" s="117"/>
      <c r="L54" s="117"/>
      <c r="M54" s="119"/>
    </row>
    <row r="55" spans="2:13">
      <c r="B55" s="117"/>
      <c r="C55" s="118"/>
      <c r="D55" s="117"/>
      <c r="E55" s="117"/>
      <c r="F55" s="117"/>
      <c r="G55" s="117"/>
      <c r="H55" s="117"/>
      <c r="I55" s="117"/>
      <c r="J55" s="117"/>
      <c r="K55" s="117"/>
      <c r="L55" s="117"/>
      <c r="M55" s="119"/>
    </row>
    <row r="56" spans="2:13">
      <c r="B56" s="117"/>
      <c r="C56" s="118"/>
      <c r="D56" s="117"/>
      <c r="E56" s="117"/>
      <c r="F56" s="117"/>
      <c r="G56" s="117"/>
      <c r="H56" s="117"/>
      <c r="I56" s="117"/>
      <c r="J56" s="117"/>
      <c r="K56" s="117"/>
      <c r="L56" s="117"/>
      <c r="M56" s="119"/>
    </row>
    <row r="57" spans="2:13">
      <c r="B57" s="117"/>
      <c r="C57" s="118"/>
      <c r="D57" s="117"/>
      <c r="E57" s="117"/>
      <c r="F57" s="117"/>
      <c r="G57" s="117"/>
      <c r="H57" s="117"/>
      <c r="I57" s="117"/>
      <c r="J57" s="117"/>
      <c r="K57" s="117"/>
      <c r="L57" s="117"/>
      <c r="M57" s="119"/>
    </row>
    <row r="58" spans="2:13">
      <c r="B58" s="117"/>
      <c r="C58" s="118"/>
      <c r="D58" s="117"/>
      <c r="E58" s="117"/>
      <c r="F58" s="117"/>
      <c r="G58" s="117"/>
      <c r="H58" s="117"/>
      <c r="I58" s="117"/>
      <c r="J58" s="117"/>
      <c r="K58" s="117"/>
      <c r="L58" s="117"/>
      <c r="M58" s="119"/>
    </row>
    <row r="59" spans="2:13">
      <c r="B59" s="117"/>
      <c r="C59" s="118"/>
      <c r="D59" s="117"/>
      <c r="E59" s="117"/>
      <c r="F59" s="117"/>
      <c r="G59" s="117"/>
      <c r="H59" s="117"/>
      <c r="I59" s="117"/>
      <c r="J59" s="117"/>
      <c r="K59" s="117"/>
      <c r="L59" s="117"/>
      <c r="M59" s="119"/>
    </row>
    <row r="60" spans="2:13">
      <c r="B60" s="117"/>
      <c r="C60" s="118"/>
      <c r="D60" s="117"/>
      <c r="E60" s="117"/>
      <c r="F60" s="117"/>
      <c r="G60" s="117"/>
      <c r="H60" s="117"/>
      <c r="I60" s="117"/>
      <c r="J60" s="117"/>
      <c r="K60" s="117"/>
      <c r="L60" s="117"/>
      <c r="M60" s="119"/>
    </row>
    <row r="61" spans="2:13">
      <c r="B61" s="117"/>
      <c r="C61" s="118"/>
      <c r="D61" s="117"/>
      <c r="E61" s="117"/>
      <c r="F61" s="117"/>
      <c r="G61" s="117"/>
      <c r="H61" s="117"/>
      <c r="I61" s="117"/>
      <c r="J61" s="117"/>
      <c r="K61" s="117"/>
      <c r="L61" s="117"/>
      <c r="M61" s="119"/>
    </row>
    <row r="62" spans="2:13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20"/>
    </row>
    <row r="63" spans="2:13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20"/>
    </row>
    <row r="64" spans="2:13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20"/>
    </row>
    <row r="65" spans="2:13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20"/>
    </row>
    <row r="66" spans="2:13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20"/>
    </row>
    <row r="67" spans="2:13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20"/>
    </row>
    <row r="68" spans="2:13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20"/>
    </row>
    <row r="69" spans="2:13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20"/>
    </row>
    <row r="70" spans="2:13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20"/>
    </row>
    <row r="71" spans="2:13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20"/>
    </row>
    <row r="72" spans="2:13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20"/>
    </row>
    <row r="73" spans="2:13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20"/>
    </row>
    <row r="74" spans="2:13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20"/>
    </row>
  </sheetData>
  <mergeCells count="11">
    <mergeCell ref="M9:M10"/>
    <mergeCell ref="B15:B18"/>
    <mergeCell ref="A7:M7"/>
    <mergeCell ref="K9:L9"/>
    <mergeCell ref="A9:A10"/>
    <mergeCell ref="B9:B10"/>
    <mergeCell ref="C9:C10"/>
    <mergeCell ref="D9:D10"/>
    <mergeCell ref="E9:F9"/>
    <mergeCell ref="G9:H9"/>
    <mergeCell ref="I9:J9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88"/>
  <sheetViews>
    <sheetView view="pageBreakPreview" zoomScaleNormal="60" zoomScaleSheetLayoutView="100" workbookViewId="0">
      <selection activeCell="J9" sqref="J9"/>
    </sheetView>
  </sheetViews>
  <sheetFormatPr defaultRowHeight="15"/>
  <cols>
    <col min="1" max="1" width="6.85546875" style="80" customWidth="1"/>
    <col min="2" max="2" width="12.85546875" style="52" customWidth="1"/>
    <col min="3" max="3" width="54.42578125" style="52" customWidth="1"/>
    <col min="4" max="4" width="9.5703125" style="52" customWidth="1"/>
    <col min="5" max="12" width="11.42578125" style="52" customWidth="1"/>
    <col min="13" max="13" width="11.42578125" style="79" customWidth="1"/>
  </cols>
  <sheetData>
    <row r="1" spans="1:13" s="84" customFormat="1">
      <c r="A1" s="161" t="s">
        <v>259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</row>
    <row r="2" spans="1:13" s="84" customForma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3" spans="1:13" s="7" customFormat="1" ht="27" customHeigh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55" t="s">
        <v>279</v>
      </c>
      <c r="L3" s="155"/>
      <c r="M3" s="155" t="s">
        <v>4</v>
      </c>
    </row>
    <row r="4" spans="1:13" s="7" customForma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</row>
    <row r="5" spans="1:13" s="7" customFormat="1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</row>
    <row r="6" spans="1:13" s="7" customForma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25"/>
    </row>
    <row r="7" spans="1:13" s="7" customFormat="1">
      <c r="A7" s="98"/>
      <c r="B7" s="109"/>
      <c r="C7" s="97" t="s">
        <v>58</v>
      </c>
      <c r="D7" s="109"/>
      <c r="E7" s="109"/>
      <c r="F7" s="109"/>
      <c r="G7" s="109"/>
      <c r="H7" s="109"/>
      <c r="I7" s="109"/>
      <c r="J7" s="109"/>
      <c r="K7" s="109"/>
      <c r="L7" s="109"/>
      <c r="M7" s="126"/>
    </row>
    <row r="8" spans="1:13">
      <c r="A8" s="98"/>
      <c r="B8" s="109"/>
      <c r="C8" s="97"/>
      <c r="D8" s="109"/>
      <c r="E8" s="109"/>
      <c r="F8" s="109"/>
      <c r="G8" s="110"/>
      <c r="H8" s="110"/>
      <c r="I8" s="110"/>
      <c r="J8" s="110"/>
      <c r="K8" s="110"/>
      <c r="L8" s="110"/>
      <c r="M8" s="110"/>
    </row>
    <row r="9" spans="1:13" ht="25.5">
      <c r="A9" s="109">
        <v>1.1000000000000001</v>
      </c>
      <c r="B9" s="114" t="s">
        <v>72</v>
      </c>
      <c r="C9" s="127" t="s">
        <v>71</v>
      </c>
      <c r="D9" s="109" t="s">
        <v>283</v>
      </c>
      <c r="E9" s="110"/>
      <c r="F9" s="110">
        <v>266</v>
      </c>
      <c r="G9" s="110"/>
      <c r="H9" s="110"/>
      <c r="I9" s="110"/>
      <c r="J9" s="110"/>
      <c r="K9" s="110"/>
      <c r="L9" s="110"/>
      <c r="M9" s="110"/>
    </row>
    <row r="10" spans="1:13">
      <c r="A10" s="109"/>
      <c r="B10" s="114"/>
      <c r="C10" s="128"/>
      <c r="D10" s="109" t="s">
        <v>284</v>
      </c>
      <c r="E10" s="110"/>
      <c r="F10" s="129">
        <f>F9/1000</f>
        <v>0.26600000000000001</v>
      </c>
      <c r="G10" s="110"/>
      <c r="H10" s="110"/>
      <c r="I10" s="110"/>
      <c r="J10" s="110"/>
      <c r="K10" s="110"/>
      <c r="L10" s="110"/>
      <c r="M10" s="123"/>
    </row>
    <row r="11" spans="1:13">
      <c r="A11" s="109" t="s">
        <v>0</v>
      </c>
      <c r="B11" s="114"/>
      <c r="C11" s="124" t="s">
        <v>15</v>
      </c>
      <c r="D11" s="109" t="s">
        <v>1</v>
      </c>
      <c r="E11" s="110">
        <v>20</v>
      </c>
      <c r="F11" s="110">
        <f>E11*F10</f>
        <v>5.32</v>
      </c>
      <c r="G11" s="110"/>
      <c r="H11" s="110"/>
      <c r="I11" s="110"/>
      <c r="J11" s="110"/>
      <c r="K11" s="110"/>
      <c r="L11" s="110"/>
      <c r="M11" s="123"/>
    </row>
    <row r="12" spans="1:13">
      <c r="A12" s="109" t="s">
        <v>196</v>
      </c>
      <c r="B12" s="114" t="s">
        <v>285</v>
      </c>
      <c r="C12" s="130" t="s">
        <v>286</v>
      </c>
      <c r="D12" s="109" t="s">
        <v>24</v>
      </c>
      <c r="E12" s="110">
        <v>44.8</v>
      </c>
      <c r="F12" s="110">
        <f>E12*F10</f>
        <v>11.9168</v>
      </c>
      <c r="G12" s="110"/>
      <c r="H12" s="110"/>
      <c r="I12" s="110"/>
      <c r="J12" s="110"/>
      <c r="K12" s="110"/>
      <c r="L12" s="110"/>
      <c r="M12" s="123"/>
    </row>
    <row r="13" spans="1:13">
      <c r="A13" s="109" t="s">
        <v>197</v>
      </c>
      <c r="B13" s="114"/>
      <c r="C13" s="130" t="s">
        <v>13</v>
      </c>
      <c r="D13" s="109" t="s">
        <v>25</v>
      </c>
      <c r="E13" s="110">
        <v>2.1</v>
      </c>
      <c r="F13" s="110">
        <f>E13*F10</f>
        <v>0.5586000000000001</v>
      </c>
      <c r="G13" s="110"/>
      <c r="H13" s="110"/>
      <c r="I13" s="110"/>
      <c r="J13" s="110"/>
      <c r="K13" s="110"/>
      <c r="L13" s="110"/>
      <c r="M13" s="123"/>
    </row>
    <row r="14" spans="1:13">
      <c r="A14" s="109" t="s">
        <v>198</v>
      </c>
      <c r="B14" s="114" t="s">
        <v>287</v>
      </c>
      <c r="C14" s="130" t="s">
        <v>288</v>
      </c>
      <c r="D14" s="109" t="s">
        <v>283</v>
      </c>
      <c r="E14" s="110">
        <v>0.05</v>
      </c>
      <c r="F14" s="110">
        <f>E14*F10</f>
        <v>1.3300000000000001E-2</v>
      </c>
      <c r="G14" s="110"/>
      <c r="H14" s="110"/>
      <c r="I14" s="110"/>
      <c r="J14" s="110"/>
      <c r="K14" s="110"/>
      <c r="L14" s="110"/>
      <c r="M14" s="123"/>
    </row>
    <row r="15" spans="1:13">
      <c r="A15" s="109"/>
      <c r="B15" s="114"/>
      <c r="C15" s="131"/>
      <c r="D15" s="109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>
      <c r="A16" s="109">
        <v>1.2</v>
      </c>
      <c r="B16" s="114" t="s">
        <v>289</v>
      </c>
      <c r="C16" s="127" t="s">
        <v>31</v>
      </c>
      <c r="D16" s="109" t="s">
        <v>23</v>
      </c>
      <c r="E16" s="110">
        <v>1.95</v>
      </c>
      <c r="F16" s="110">
        <f>F9*E16</f>
        <v>518.69999999999993</v>
      </c>
      <c r="G16" s="110"/>
      <c r="H16" s="110"/>
      <c r="I16" s="110"/>
      <c r="J16" s="110"/>
      <c r="K16" s="110"/>
      <c r="L16" s="110"/>
      <c r="M16" s="110"/>
    </row>
    <row r="17" spans="1:13">
      <c r="A17" s="109"/>
      <c r="B17" s="114"/>
      <c r="C17" s="127"/>
      <c r="D17" s="109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>
      <c r="A18" s="109">
        <v>1.3</v>
      </c>
      <c r="B18" s="114" t="s">
        <v>74</v>
      </c>
      <c r="C18" s="127" t="s">
        <v>73</v>
      </c>
      <c r="D18" s="109" t="s">
        <v>283</v>
      </c>
      <c r="E18" s="110"/>
      <c r="F18" s="110">
        <f>F9</f>
        <v>266</v>
      </c>
      <c r="G18" s="110"/>
      <c r="H18" s="110"/>
      <c r="I18" s="110"/>
      <c r="J18" s="110"/>
      <c r="K18" s="110"/>
      <c r="L18" s="110"/>
      <c r="M18" s="110"/>
    </row>
    <row r="19" spans="1:13">
      <c r="A19" s="109"/>
      <c r="B19" s="114"/>
      <c r="C19" s="127"/>
      <c r="D19" s="109" t="s">
        <v>284</v>
      </c>
      <c r="E19" s="110"/>
      <c r="F19" s="129">
        <f>F18/1000</f>
        <v>0.26600000000000001</v>
      </c>
      <c r="G19" s="110"/>
      <c r="H19" s="110"/>
      <c r="I19" s="110"/>
      <c r="J19" s="110"/>
      <c r="K19" s="110"/>
      <c r="L19" s="110"/>
      <c r="M19" s="110"/>
    </row>
    <row r="20" spans="1:13">
      <c r="A20" s="109" t="s">
        <v>30</v>
      </c>
      <c r="B20" s="114"/>
      <c r="C20" s="127" t="s">
        <v>15</v>
      </c>
      <c r="D20" s="109" t="s">
        <v>1</v>
      </c>
      <c r="E20" s="110">
        <v>3.23</v>
      </c>
      <c r="F20" s="110">
        <f>E20*F19</f>
        <v>0.85918000000000005</v>
      </c>
      <c r="G20" s="110"/>
      <c r="H20" s="110"/>
      <c r="I20" s="110"/>
      <c r="J20" s="110"/>
      <c r="K20" s="110"/>
      <c r="L20" s="110"/>
      <c r="M20" s="110"/>
    </row>
    <row r="21" spans="1:13">
      <c r="A21" s="109" t="s">
        <v>45</v>
      </c>
      <c r="B21" s="114" t="s">
        <v>290</v>
      </c>
      <c r="C21" s="127" t="s">
        <v>75</v>
      </c>
      <c r="D21" s="109" t="s">
        <v>24</v>
      </c>
      <c r="E21" s="110">
        <v>3.62</v>
      </c>
      <c r="F21" s="110">
        <f>E21*F19</f>
        <v>0.96292000000000011</v>
      </c>
      <c r="G21" s="110"/>
      <c r="H21" s="110"/>
      <c r="I21" s="110"/>
      <c r="J21" s="110"/>
      <c r="K21" s="110"/>
      <c r="L21" s="110"/>
      <c r="M21" s="110"/>
    </row>
    <row r="22" spans="1:13">
      <c r="A22" s="109" t="s">
        <v>46</v>
      </c>
      <c r="B22" s="114"/>
      <c r="C22" s="127" t="s">
        <v>13</v>
      </c>
      <c r="D22" s="109" t="s">
        <v>25</v>
      </c>
      <c r="E22" s="110">
        <v>0.18</v>
      </c>
      <c r="F22" s="110">
        <f>E22*F19</f>
        <v>4.7879999999999999E-2</v>
      </c>
      <c r="G22" s="110"/>
      <c r="H22" s="110"/>
      <c r="I22" s="110"/>
      <c r="J22" s="110"/>
      <c r="K22" s="110"/>
      <c r="L22" s="110"/>
      <c r="M22" s="110"/>
    </row>
    <row r="23" spans="1:13">
      <c r="A23" s="109" t="s">
        <v>47</v>
      </c>
      <c r="B23" s="114" t="s">
        <v>287</v>
      </c>
      <c r="C23" s="130" t="s">
        <v>288</v>
      </c>
      <c r="D23" s="109" t="s">
        <v>283</v>
      </c>
      <c r="E23" s="110">
        <v>0.04</v>
      </c>
      <c r="F23" s="110">
        <f>E23*F19</f>
        <v>1.064E-2</v>
      </c>
      <c r="G23" s="110"/>
      <c r="H23" s="110"/>
      <c r="I23" s="110"/>
      <c r="J23" s="110"/>
      <c r="K23" s="110"/>
      <c r="L23" s="110"/>
      <c r="M23" s="110"/>
    </row>
    <row r="24" spans="1:13">
      <c r="A24" s="109"/>
      <c r="B24" s="114"/>
      <c r="C24" s="131"/>
      <c r="D24" s="109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3" ht="25.5">
      <c r="A25" s="132">
        <v>1.4</v>
      </c>
      <c r="B25" s="114" t="s">
        <v>72</v>
      </c>
      <c r="C25" s="127" t="s">
        <v>190</v>
      </c>
      <c r="D25" s="109" t="s">
        <v>283</v>
      </c>
      <c r="E25" s="110"/>
      <c r="F25" s="110">
        <v>79</v>
      </c>
      <c r="G25" s="110"/>
      <c r="H25" s="110"/>
      <c r="I25" s="110"/>
      <c r="J25" s="110"/>
      <c r="K25" s="110"/>
      <c r="L25" s="110"/>
      <c r="M25" s="110"/>
    </row>
    <row r="26" spans="1:13">
      <c r="A26" s="132"/>
      <c r="B26" s="114"/>
      <c r="C26" s="128"/>
      <c r="D26" s="109" t="s">
        <v>284</v>
      </c>
      <c r="E26" s="110"/>
      <c r="F26" s="129">
        <f>F25/1000</f>
        <v>7.9000000000000001E-2</v>
      </c>
      <c r="G26" s="110"/>
      <c r="H26" s="110"/>
      <c r="I26" s="110"/>
      <c r="J26" s="110"/>
      <c r="K26" s="110"/>
      <c r="L26" s="110"/>
      <c r="M26" s="123"/>
    </row>
    <row r="27" spans="1:13">
      <c r="A27" s="109" t="s">
        <v>22</v>
      </c>
      <c r="B27" s="114"/>
      <c r="C27" s="124" t="s">
        <v>15</v>
      </c>
      <c r="D27" s="109" t="s">
        <v>1</v>
      </c>
      <c r="E27" s="110">
        <v>20</v>
      </c>
      <c r="F27" s="110">
        <f>E27*F26</f>
        <v>1.58</v>
      </c>
      <c r="G27" s="110"/>
      <c r="H27" s="110"/>
      <c r="I27" s="110"/>
      <c r="J27" s="110"/>
      <c r="K27" s="110"/>
      <c r="L27" s="110"/>
      <c r="M27" s="123"/>
    </row>
    <row r="28" spans="1:13">
      <c r="A28" s="109" t="s">
        <v>222</v>
      </c>
      <c r="B28" s="114" t="s">
        <v>285</v>
      </c>
      <c r="C28" s="130" t="s">
        <v>286</v>
      </c>
      <c r="D28" s="109" t="s">
        <v>24</v>
      </c>
      <c r="E28" s="110">
        <v>44.8</v>
      </c>
      <c r="F28" s="110">
        <f>E28*F26</f>
        <v>3.5391999999999997</v>
      </c>
      <c r="G28" s="110"/>
      <c r="H28" s="110"/>
      <c r="I28" s="110"/>
      <c r="J28" s="110"/>
      <c r="K28" s="110"/>
      <c r="L28" s="110"/>
      <c r="M28" s="123"/>
    </row>
    <row r="29" spans="1:13">
      <c r="A29" s="109" t="s">
        <v>223</v>
      </c>
      <c r="B29" s="114"/>
      <c r="C29" s="130" t="s">
        <v>13</v>
      </c>
      <c r="D29" s="109" t="s">
        <v>25</v>
      </c>
      <c r="E29" s="110">
        <v>2.1</v>
      </c>
      <c r="F29" s="110">
        <f>E29*F26</f>
        <v>0.16590000000000002</v>
      </c>
      <c r="G29" s="110"/>
      <c r="H29" s="110"/>
      <c r="I29" s="110"/>
      <c r="J29" s="110"/>
      <c r="K29" s="110"/>
      <c r="L29" s="110"/>
      <c r="M29" s="123"/>
    </row>
    <row r="30" spans="1:13" s="6" customFormat="1">
      <c r="A30" s="109" t="s">
        <v>224</v>
      </c>
      <c r="B30" s="114" t="s">
        <v>287</v>
      </c>
      <c r="C30" s="130" t="s">
        <v>288</v>
      </c>
      <c r="D30" s="109" t="s">
        <v>283</v>
      </c>
      <c r="E30" s="110">
        <v>0.05</v>
      </c>
      <c r="F30" s="110">
        <f>E30*F26</f>
        <v>3.9500000000000004E-3</v>
      </c>
      <c r="G30" s="110"/>
      <c r="H30" s="110"/>
      <c r="I30" s="110"/>
      <c r="J30" s="110"/>
      <c r="K30" s="110"/>
      <c r="L30" s="110"/>
      <c r="M30" s="123"/>
    </row>
    <row r="31" spans="1:13" s="6" customFormat="1">
      <c r="A31" s="109"/>
      <c r="B31" s="114"/>
      <c r="C31" s="127"/>
      <c r="D31" s="109"/>
      <c r="E31" s="110"/>
      <c r="F31" s="110"/>
      <c r="G31" s="110"/>
      <c r="H31" s="110"/>
      <c r="I31" s="110"/>
      <c r="J31" s="110"/>
      <c r="K31" s="110"/>
      <c r="L31" s="110"/>
      <c r="M31" s="110"/>
    </row>
    <row r="32" spans="1:13" s="6" customFormat="1">
      <c r="A32" s="132">
        <v>1.5</v>
      </c>
      <c r="B32" s="114" t="s">
        <v>291</v>
      </c>
      <c r="C32" s="127" t="s">
        <v>189</v>
      </c>
      <c r="D32" s="109" t="s">
        <v>23</v>
      </c>
      <c r="E32" s="110"/>
      <c r="F32" s="110">
        <f>F25*1.95</f>
        <v>154.04999999999998</v>
      </c>
      <c r="G32" s="110"/>
      <c r="H32" s="110"/>
      <c r="I32" s="110"/>
      <c r="J32" s="110"/>
      <c r="K32" s="110"/>
      <c r="L32" s="110"/>
      <c r="M32" s="110"/>
    </row>
    <row r="33" spans="1:13" s="6" customFormat="1">
      <c r="A33" s="132"/>
      <c r="B33" s="114"/>
      <c r="C33" s="127"/>
      <c r="D33" s="109"/>
      <c r="E33" s="110"/>
      <c r="F33" s="110"/>
      <c r="G33" s="110"/>
      <c r="H33" s="110"/>
      <c r="I33" s="110"/>
      <c r="J33" s="110"/>
      <c r="K33" s="110"/>
      <c r="L33" s="110"/>
      <c r="M33" s="110"/>
    </row>
    <row r="34" spans="1:13" s="6" customFormat="1">
      <c r="A34" s="109">
        <v>1.6</v>
      </c>
      <c r="B34" s="114" t="s">
        <v>376</v>
      </c>
      <c r="C34" s="131" t="s">
        <v>191</v>
      </c>
      <c r="D34" s="109" t="s">
        <v>283</v>
      </c>
      <c r="E34" s="110"/>
      <c r="F34" s="110">
        <f>F25</f>
        <v>79</v>
      </c>
      <c r="G34" s="110"/>
      <c r="H34" s="110"/>
      <c r="I34" s="110"/>
      <c r="J34" s="110"/>
      <c r="K34" s="110"/>
      <c r="L34" s="110"/>
      <c r="M34" s="110"/>
    </row>
    <row r="35" spans="1:13">
      <c r="A35" s="109"/>
      <c r="B35" s="114"/>
      <c r="C35" s="131"/>
      <c r="D35" s="109" t="s">
        <v>284</v>
      </c>
      <c r="E35" s="110"/>
      <c r="F35" s="129">
        <f>F34/1000</f>
        <v>7.9000000000000001E-2</v>
      </c>
      <c r="G35" s="110"/>
      <c r="H35" s="110"/>
      <c r="I35" s="110"/>
      <c r="J35" s="110"/>
      <c r="K35" s="110"/>
      <c r="L35" s="110"/>
      <c r="M35" s="110"/>
    </row>
    <row r="36" spans="1:13">
      <c r="A36" s="109" t="s">
        <v>62</v>
      </c>
      <c r="B36" s="114" t="s">
        <v>292</v>
      </c>
      <c r="C36" s="128" t="s">
        <v>293</v>
      </c>
      <c r="D36" s="109" t="s">
        <v>24</v>
      </c>
      <c r="E36" s="110">
        <v>8.9</v>
      </c>
      <c r="F36" s="110">
        <f>E36*F35</f>
        <v>0.70310000000000006</v>
      </c>
      <c r="G36" s="110"/>
      <c r="H36" s="110"/>
      <c r="I36" s="110"/>
      <c r="J36" s="110"/>
      <c r="K36" s="110"/>
      <c r="L36" s="110"/>
      <c r="M36" s="123"/>
    </row>
    <row r="37" spans="1:13">
      <c r="A37" s="109"/>
      <c r="B37" s="114"/>
      <c r="C37" s="127"/>
      <c r="D37" s="109"/>
      <c r="E37" s="110"/>
      <c r="F37" s="110"/>
      <c r="G37" s="110"/>
      <c r="H37" s="110"/>
      <c r="I37" s="110"/>
      <c r="J37" s="110"/>
      <c r="K37" s="110"/>
      <c r="L37" s="110"/>
      <c r="M37" s="110"/>
    </row>
    <row r="38" spans="1:13">
      <c r="A38" s="132">
        <v>1.7</v>
      </c>
      <c r="B38" s="114" t="s">
        <v>117</v>
      </c>
      <c r="C38" s="127" t="s">
        <v>118</v>
      </c>
      <c r="D38" s="109" t="s">
        <v>294</v>
      </c>
      <c r="E38" s="110"/>
      <c r="F38" s="110">
        <v>2560</v>
      </c>
      <c r="G38" s="110"/>
      <c r="H38" s="110"/>
      <c r="I38" s="110"/>
      <c r="J38" s="110"/>
      <c r="K38" s="110"/>
      <c r="L38" s="110"/>
      <c r="M38" s="110"/>
    </row>
    <row r="39" spans="1:13">
      <c r="A39" s="132"/>
      <c r="B39" s="114"/>
      <c r="C39" s="128"/>
      <c r="D39" s="109" t="s">
        <v>295</v>
      </c>
      <c r="E39" s="110"/>
      <c r="F39" s="129">
        <f>F38/10000</f>
        <v>0.25600000000000001</v>
      </c>
      <c r="G39" s="110"/>
      <c r="H39" s="110"/>
      <c r="I39" s="110"/>
      <c r="J39" s="110"/>
      <c r="K39" s="110"/>
      <c r="L39" s="110"/>
      <c r="M39" s="110"/>
    </row>
    <row r="40" spans="1:13">
      <c r="A40" s="109" t="s">
        <v>64</v>
      </c>
      <c r="B40" s="114"/>
      <c r="C40" s="128" t="s">
        <v>15</v>
      </c>
      <c r="D40" s="109" t="s">
        <v>1</v>
      </c>
      <c r="E40" s="110">
        <v>0.31</v>
      </c>
      <c r="F40" s="110">
        <f>E40*F39</f>
        <v>7.936E-2</v>
      </c>
      <c r="G40" s="110"/>
      <c r="H40" s="110"/>
      <c r="I40" s="110"/>
      <c r="J40" s="110"/>
      <c r="K40" s="110"/>
      <c r="L40" s="110"/>
      <c r="M40" s="110"/>
    </row>
    <row r="41" spans="1:13">
      <c r="A41" s="109" t="s">
        <v>65</v>
      </c>
      <c r="B41" s="114" t="s">
        <v>296</v>
      </c>
      <c r="C41" s="130" t="s">
        <v>68</v>
      </c>
      <c r="D41" s="109" t="s">
        <v>24</v>
      </c>
      <c r="E41" s="110">
        <v>1.1200000000000001</v>
      </c>
      <c r="F41" s="110">
        <f>E41*F39</f>
        <v>0.28672000000000003</v>
      </c>
      <c r="G41" s="110"/>
      <c r="H41" s="110"/>
      <c r="I41" s="110"/>
      <c r="J41" s="110"/>
      <c r="K41" s="110"/>
      <c r="L41" s="110"/>
      <c r="M41" s="110"/>
    </row>
    <row r="42" spans="1:13">
      <c r="A42" s="109"/>
      <c r="B42" s="114"/>
      <c r="C42" s="130"/>
      <c r="D42" s="109"/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>
      <c r="A43" s="98"/>
      <c r="B43" s="114"/>
      <c r="C43" s="98" t="s">
        <v>4</v>
      </c>
      <c r="D43" s="109"/>
      <c r="E43" s="110"/>
      <c r="F43" s="110"/>
      <c r="G43" s="110"/>
      <c r="H43" s="108"/>
      <c r="I43" s="108"/>
      <c r="J43" s="108"/>
      <c r="K43" s="108"/>
      <c r="L43" s="108"/>
      <c r="M43" s="108"/>
    </row>
    <row r="44" spans="1:13">
      <c r="A44" s="109"/>
      <c r="B44" s="114"/>
      <c r="C44" s="109"/>
      <c r="D44" s="109"/>
      <c r="E44" s="110"/>
      <c r="F44" s="110"/>
      <c r="G44" s="110"/>
      <c r="H44" s="110"/>
      <c r="I44" s="110"/>
      <c r="J44" s="110"/>
      <c r="K44" s="110"/>
      <c r="L44" s="110"/>
      <c r="M44" s="110"/>
    </row>
    <row r="45" spans="1:13">
      <c r="A45" s="109"/>
      <c r="B45" s="114"/>
      <c r="C45" s="109" t="s">
        <v>10</v>
      </c>
      <c r="D45" s="115">
        <v>0.1</v>
      </c>
      <c r="E45" s="110"/>
      <c r="F45" s="110"/>
      <c r="G45" s="110"/>
      <c r="H45" s="110"/>
      <c r="I45" s="110"/>
      <c r="J45" s="110"/>
      <c r="K45" s="110"/>
      <c r="L45" s="110"/>
      <c r="M45" s="110"/>
    </row>
    <row r="46" spans="1:13">
      <c r="A46" s="109"/>
      <c r="B46" s="114"/>
      <c r="C46" s="109" t="s">
        <v>4</v>
      </c>
      <c r="D46" s="115"/>
      <c r="E46" s="110"/>
      <c r="F46" s="110"/>
      <c r="G46" s="110"/>
      <c r="H46" s="110"/>
      <c r="I46" s="110"/>
      <c r="J46" s="110"/>
      <c r="K46" s="110"/>
      <c r="L46" s="110"/>
      <c r="M46" s="110"/>
    </row>
    <row r="47" spans="1:13">
      <c r="A47" s="109"/>
      <c r="B47" s="114"/>
      <c r="C47" s="109" t="s">
        <v>11</v>
      </c>
      <c r="D47" s="115">
        <v>0.08</v>
      </c>
      <c r="E47" s="110"/>
      <c r="F47" s="110"/>
      <c r="G47" s="110"/>
      <c r="H47" s="110"/>
      <c r="I47" s="110"/>
      <c r="J47" s="110"/>
      <c r="K47" s="110"/>
      <c r="L47" s="110"/>
      <c r="M47" s="110"/>
    </row>
    <row r="48" spans="1:13">
      <c r="A48" s="109"/>
      <c r="B48" s="114"/>
      <c r="C48" s="109"/>
      <c r="D48" s="115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>
      <c r="A49" s="98"/>
      <c r="B49" s="113"/>
      <c r="C49" s="98" t="s">
        <v>4</v>
      </c>
      <c r="D49" s="98"/>
      <c r="E49" s="108"/>
      <c r="F49" s="108"/>
      <c r="G49" s="108"/>
      <c r="H49" s="108"/>
      <c r="I49" s="108"/>
      <c r="J49" s="108"/>
      <c r="K49" s="108"/>
      <c r="L49" s="108"/>
      <c r="M49" s="108"/>
    </row>
    <row r="50" spans="1:13">
      <c r="A50" s="85"/>
      <c r="B50" s="86"/>
      <c r="C50" s="87"/>
      <c r="D50" s="86"/>
      <c r="E50" s="86"/>
      <c r="F50" s="86"/>
      <c r="G50" s="86"/>
      <c r="H50" s="86"/>
      <c r="I50" s="86"/>
      <c r="J50" s="86"/>
      <c r="K50" s="86"/>
      <c r="L50" s="86"/>
      <c r="M50" s="88"/>
    </row>
    <row r="51" spans="1:13">
      <c r="B51" s="54"/>
      <c r="C51" s="53"/>
      <c r="D51" s="54"/>
      <c r="E51" s="54"/>
      <c r="F51" s="54"/>
      <c r="G51" s="54"/>
      <c r="H51" s="54"/>
      <c r="I51" s="54"/>
      <c r="J51" s="54"/>
      <c r="K51" s="54"/>
      <c r="L51" s="54"/>
      <c r="M51" s="77"/>
    </row>
    <row r="52" spans="1:13">
      <c r="B52" s="54"/>
      <c r="C52" s="53"/>
      <c r="D52" s="54"/>
      <c r="E52" s="54"/>
      <c r="F52" s="54"/>
      <c r="G52" s="54"/>
      <c r="H52" s="54"/>
      <c r="I52" s="54"/>
      <c r="J52" s="54"/>
      <c r="K52" s="54"/>
      <c r="L52" s="54"/>
      <c r="M52" s="77"/>
    </row>
    <row r="53" spans="1:13">
      <c r="B53" s="54"/>
      <c r="C53" s="53"/>
      <c r="D53" s="54"/>
      <c r="E53" s="54"/>
      <c r="F53" s="54"/>
      <c r="G53" s="54"/>
      <c r="H53" s="54"/>
      <c r="I53" s="54"/>
      <c r="J53" s="54"/>
      <c r="K53" s="54"/>
      <c r="L53" s="54"/>
      <c r="M53" s="77"/>
    </row>
    <row r="54" spans="1:13">
      <c r="B54" s="54"/>
      <c r="C54" s="53"/>
      <c r="D54" s="54"/>
      <c r="E54" s="54"/>
      <c r="F54" s="54"/>
      <c r="G54" s="54"/>
      <c r="H54" s="54"/>
      <c r="I54" s="54"/>
      <c r="J54" s="54"/>
      <c r="K54" s="54"/>
      <c r="L54" s="54"/>
      <c r="M54" s="77"/>
    </row>
    <row r="55" spans="1:13">
      <c r="B55" s="54"/>
      <c r="C55" s="53"/>
      <c r="D55" s="54"/>
      <c r="E55" s="54"/>
      <c r="F55" s="54"/>
      <c r="G55" s="54"/>
      <c r="H55" s="54"/>
      <c r="I55" s="54"/>
      <c r="J55" s="54"/>
      <c r="K55" s="54"/>
      <c r="L55" s="54"/>
      <c r="M55" s="77"/>
    </row>
    <row r="56" spans="1:13">
      <c r="B56" s="54"/>
      <c r="C56" s="53"/>
      <c r="D56" s="54"/>
      <c r="E56" s="54"/>
      <c r="F56" s="54"/>
      <c r="G56" s="54"/>
      <c r="H56" s="54"/>
      <c r="I56" s="54"/>
      <c r="J56" s="54"/>
      <c r="K56" s="54"/>
      <c r="L56" s="54"/>
      <c r="M56" s="77"/>
    </row>
    <row r="57" spans="1:13">
      <c r="B57" s="54"/>
      <c r="C57" s="53"/>
      <c r="D57" s="54"/>
      <c r="E57" s="54"/>
      <c r="F57" s="54"/>
      <c r="G57" s="54"/>
      <c r="H57" s="54"/>
      <c r="I57" s="54"/>
      <c r="J57" s="54"/>
      <c r="K57" s="54"/>
      <c r="L57" s="54"/>
      <c r="M57" s="77"/>
    </row>
    <row r="58" spans="1:13">
      <c r="B58" s="54"/>
      <c r="C58" s="53"/>
      <c r="D58" s="54"/>
      <c r="E58" s="54"/>
      <c r="F58" s="54"/>
      <c r="G58" s="54"/>
      <c r="H58" s="54"/>
      <c r="I58" s="54"/>
      <c r="J58" s="54"/>
      <c r="K58" s="54"/>
      <c r="L58" s="54"/>
      <c r="M58" s="77"/>
    </row>
    <row r="59" spans="1:13">
      <c r="B59" s="54"/>
      <c r="C59" s="53"/>
      <c r="D59" s="54"/>
      <c r="E59" s="54"/>
      <c r="F59" s="54"/>
      <c r="G59" s="54"/>
      <c r="H59" s="54"/>
      <c r="I59" s="54"/>
      <c r="J59" s="54"/>
      <c r="K59" s="54"/>
      <c r="L59" s="54"/>
      <c r="M59" s="77"/>
    </row>
    <row r="60" spans="1:13">
      <c r="B60" s="54"/>
      <c r="C60" s="53"/>
      <c r="D60" s="54"/>
      <c r="E60" s="54"/>
      <c r="F60" s="54"/>
      <c r="G60" s="54"/>
      <c r="H60" s="54"/>
      <c r="I60" s="54"/>
      <c r="J60" s="54"/>
      <c r="K60" s="54"/>
      <c r="L60" s="54"/>
      <c r="M60" s="77"/>
    </row>
    <row r="61" spans="1:13">
      <c r="B61" s="54"/>
      <c r="C61" s="53"/>
      <c r="D61" s="54"/>
      <c r="E61" s="54"/>
      <c r="F61" s="54"/>
      <c r="G61" s="54"/>
      <c r="H61" s="54"/>
      <c r="I61" s="54"/>
      <c r="J61" s="54"/>
      <c r="K61" s="54"/>
      <c r="L61" s="54"/>
      <c r="M61" s="77"/>
    </row>
    <row r="62" spans="1:13">
      <c r="B62" s="54"/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77"/>
    </row>
    <row r="63" spans="1:13">
      <c r="B63" s="54"/>
      <c r="C63" s="53"/>
      <c r="D63" s="54"/>
      <c r="E63" s="54"/>
      <c r="F63" s="54"/>
      <c r="G63" s="54"/>
      <c r="H63" s="54"/>
      <c r="I63" s="54"/>
      <c r="J63" s="54"/>
      <c r="K63" s="54"/>
      <c r="L63" s="54"/>
      <c r="M63" s="77"/>
    </row>
    <row r="64" spans="1:13">
      <c r="B64" s="54"/>
      <c r="C64" s="53"/>
      <c r="D64" s="54"/>
      <c r="E64" s="54"/>
      <c r="F64" s="54"/>
      <c r="G64" s="54"/>
      <c r="H64" s="54"/>
      <c r="I64" s="54"/>
      <c r="J64" s="54"/>
      <c r="K64" s="54"/>
      <c r="L64" s="54"/>
      <c r="M64" s="77"/>
    </row>
    <row r="65" spans="2:13">
      <c r="B65" s="54"/>
      <c r="C65" s="53"/>
      <c r="D65" s="54"/>
      <c r="E65" s="54"/>
      <c r="F65" s="54"/>
      <c r="G65" s="54"/>
      <c r="H65" s="54"/>
      <c r="I65" s="54"/>
      <c r="J65" s="54"/>
      <c r="K65" s="54"/>
      <c r="L65" s="54"/>
      <c r="M65" s="77"/>
    </row>
    <row r="66" spans="2:13">
      <c r="B66" s="54"/>
      <c r="C66" s="53"/>
      <c r="D66" s="54"/>
      <c r="E66" s="54"/>
      <c r="F66" s="54"/>
      <c r="G66" s="54"/>
      <c r="H66" s="54"/>
      <c r="I66" s="54"/>
      <c r="J66" s="54"/>
      <c r="K66" s="54"/>
      <c r="L66" s="54"/>
      <c r="M66" s="77"/>
    </row>
    <row r="67" spans="2:13">
      <c r="B67" s="54"/>
      <c r="C67" s="53"/>
      <c r="D67" s="54"/>
      <c r="E67" s="54"/>
      <c r="F67" s="54"/>
      <c r="G67" s="54"/>
      <c r="H67" s="54"/>
      <c r="I67" s="54"/>
      <c r="J67" s="54"/>
      <c r="K67" s="54"/>
      <c r="L67" s="54"/>
      <c r="M67" s="77"/>
    </row>
    <row r="68" spans="2:13">
      <c r="B68" s="54"/>
      <c r="C68" s="53"/>
      <c r="D68" s="54"/>
      <c r="E68" s="54"/>
      <c r="F68" s="54"/>
      <c r="G68" s="54"/>
      <c r="H68" s="54"/>
      <c r="I68" s="54"/>
      <c r="J68" s="54"/>
      <c r="K68" s="54"/>
      <c r="L68" s="54"/>
      <c r="M68" s="77"/>
    </row>
    <row r="69" spans="2:13">
      <c r="B69" s="54"/>
      <c r="C69" s="53"/>
      <c r="D69" s="54"/>
      <c r="E69" s="54"/>
      <c r="F69" s="54"/>
      <c r="G69" s="54"/>
      <c r="H69" s="54"/>
      <c r="I69" s="54"/>
      <c r="J69" s="54"/>
      <c r="K69" s="54"/>
      <c r="L69" s="54"/>
      <c r="M69" s="77"/>
    </row>
    <row r="70" spans="2:13">
      <c r="B70" s="54"/>
      <c r="C70" s="53"/>
      <c r="D70" s="54"/>
      <c r="E70" s="54"/>
      <c r="F70" s="54"/>
      <c r="G70" s="54"/>
      <c r="H70" s="54"/>
      <c r="I70" s="54"/>
      <c r="J70" s="54"/>
      <c r="K70" s="54"/>
      <c r="L70" s="54"/>
      <c r="M70" s="77"/>
    </row>
    <row r="71" spans="2:13">
      <c r="B71" s="54"/>
      <c r="C71" s="53"/>
      <c r="D71" s="54"/>
      <c r="E71" s="54"/>
      <c r="F71" s="54"/>
      <c r="G71" s="54"/>
      <c r="H71" s="54"/>
      <c r="I71" s="54"/>
      <c r="J71" s="54"/>
      <c r="K71" s="54"/>
      <c r="L71" s="54"/>
      <c r="M71" s="77"/>
    </row>
    <row r="72" spans="2:13">
      <c r="B72" s="54"/>
      <c r="C72" s="53"/>
      <c r="D72" s="54"/>
      <c r="E72" s="54"/>
      <c r="F72" s="54"/>
      <c r="G72" s="54"/>
      <c r="H72" s="54"/>
      <c r="I72" s="54"/>
      <c r="J72" s="54"/>
      <c r="K72" s="54"/>
      <c r="L72" s="54"/>
      <c r="M72" s="77"/>
    </row>
    <row r="73" spans="2:13">
      <c r="B73" s="54"/>
      <c r="C73" s="53"/>
      <c r="D73" s="54"/>
      <c r="E73" s="54"/>
      <c r="F73" s="54"/>
      <c r="G73" s="54"/>
      <c r="H73" s="54"/>
      <c r="I73" s="54"/>
      <c r="J73" s="54"/>
      <c r="K73" s="54"/>
      <c r="L73" s="54"/>
      <c r="M73" s="77"/>
    </row>
    <row r="74" spans="2:13">
      <c r="B74" s="54"/>
      <c r="C74" s="53"/>
      <c r="D74" s="54"/>
      <c r="E74" s="54"/>
      <c r="F74" s="54"/>
      <c r="G74" s="54"/>
      <c r="H74" s="54"/>
      <c r="I74" s="54"/>
      <c r="J74" s="54"/>
      <c r="K74" s="54"/>
      <c r="L74" s="54"/>
      <c r="M74" s="77"/>
    </row>
    <row r="75" spans="2:13">
      <c r="B75" s="54"/>
      <c r="C75" s="53"/>
      <c r="D75" s="54"/>
      <c r="E75" s="54"/>
      <c r="F75" s="54"/>
      <c r="G75" s="54"/>
      <c r="H75" s="54"/>
      <c r="I75" s="54"/>
      <c r="J75" s="54"/>
      <c r="K75" s="54"/>
      <c r="L75" s="54"/>
      <c r="M75" s="77"/>
    </row>
    <row r="76" spans="2:13"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78"/>
    </row>
    <row r="77" spans="2:13"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78"/>
    </row>
    <row r="78" spans="2:13"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78"/>
    </row>
    <row r="79" spans="2:13"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78"/>
    </row>
    <row r="80" spans="2:13"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78"/>
    </row>
    <row r="81" spans="2:13"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78"/>
    </row>
    <row r="82" spans="2:13">
      <c r="B82" s="53"/>
      <c r="C82" s="53"/>
      <c r="D82" s="53"/>
      <c r="E82" s="53"/>
      <c r="F82" s="53"/>
      <c r="G82" s="53"/>
      <c r="H82" s="53"/>
      <c r="I82" s="53"/>
      <c r="J82" s="53"/>
      <c r="K82" s="53"/>
      <c r="L82" s="53"/>
      <c r="M82" s="78"/>
    </row>
    <row r="83" spans="2:13"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78"/>
    </row>
    <row r="84" spans="2:13"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78"/>
    </row>
    <row r="85" spans="2:13"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78"/>
    </row>
    <row r="86" spans="2:13"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78"/>
    </row>
    <row r="87" spans="2:13">
      <c r="B87" s="53"/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78"/>
    </row>
    <row r="88" spans="2:13">
      <c r="B88" s="53"/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78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rintOptions horizontalCentered="1"/>
  <pageMargins left="0.19685039370078741" right="0.19685039370078741" top="0.59055118110236227" bottom="0.39370078740157483" header="0.19685039370078741" footer="0.19685039370078741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97"/>
  <sheetViews>
    <sheetView view="pageBreakPreview" zoomScaleNormal="60" zoomScaleSheetLayoutView="100" workbookViewId="0">
      <selection activeCell="H16" sqref="H16"/>
    </sheetView>
  </sheetViews>
  <sheetFormatPr defaultRowHeight="12.75"/>
  <cols>
    <col min="1" max="1" width="7.5703125" style="116" customWidth="1"/>
    <col min="2" max="2" width="12.28515625" style="121" customWidth="1"/>
    <col min="3" max="3" width="57" style="121" customWidth="1"/>
    <col min="4" max="4" width="8.5703125" style="121" customWidth="1"/>
    <col min="5" max="12" width="10.85546875" style="121" customWidth="1"/>
    <col min="13" max="13" width="11.5703125" style="122" customWidth="1"/>
    <col min="14" max="16" width="20.7109375" style="47" customWidth="1"/>
    <col min="17" max="16384" width="9.140625" style="47"/>
  </cols>
  <sheetData>
    <row r="1" spans="1:14" s="81" customFormat="1">
      <c r="A1" s="162" t="s">
        <v>259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4" s="81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4" s="75" customFormat="1" ht="27" customHeigh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55" t="s">
        <v>279</v>
      </c>
      <c r="L3" s="155"/>
      <c r="M3" s="155" t="s">
        <v>4</v>
      </c>
    </row>
    <row r="4" spans="1:14" s="75" customFormat="1" ht="12.75" customHeigh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</row>
    <row r="5" spans="1:14" s="75" customFormat="1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</row>
    <row r="6" spans="1:14" s="75" customFormat="1">
      <c r="A6" s="98"/>
      <c r="B6" s="98"/>
      <c r="C6" s="98"/>
      <c r="D6" s="98"/>
      <c r="E6" s="108"/>
      <c r="F6" s="108"/>
      <c r="G6" s="108"/>
      <c r="H6" s="108"/>
      <c r="I6" s="108"/>
      <c r="J6" s="108"/>
      <c r="K6" s="108"/>
      <c r="L6" s="108"/>
      <c r="M6" s="108"/>
    </row>
    <row r="7" spans="1:14" s="75" customFormat="1">
      <c r="A7" s="98"/>
      <c r="B7" s="109"/>
      <c r="C7" s="97" t="s">
        <v>310</v>
      </c>
      <c r="D7" s="109"/>
      <c r="E7" s="110"/>
      <c r="F7" s="110"/>
      <c r="G7" s="110"/>
      <c r="H7" s="110"/>
      <c r="I7" s="110"/>
      <c r="J7" s="110"/>
      <c r="K7" s="110"/>
      <c r="L7" s="110"/>
      <c r="M7" s="110"/>
    </row>
    <row r="8" spans="1:14" s="75" customFormat="1">
      <c r="A8" s="98"/>
      <c r="B8" s="109"/>
      <c r="C8" s="97"/>
      <c r="D8" s="109"/>
      <c r="E8" s="110"/>
      <c r="F8" s="110"/>
      <c r="G8" s="110"/>
      <c r="H8" s="110"/>
      <c r="I8" s="110"/>
      <c r="J8" s="110"/>
      <c r="K8" s="110"/>
      <c r="L8" s="110"/>
      <c r="M8" s="110"/>
    </row>
    <row r="9" spans="1:14" s="48" customFormat="1">
      <c r="A9" s="109">
        <v>1.1000000000000001</v>
      </c>
      <c r="B9" s="114" t="s">
        <v>309</v>
      </c>
      <c r="C9" s="127" t="s">
        <v>301</v>
      </c>
      <c r="D9" s="109" t="s">
        <v>294</v>
      </c>
      <c r="E9" s="110"/>
      <c r="F9" s="110">
        <v>210</v>
      </c>
      <c r="G9" s="110"/>
      <c r="H9" s="110"/>
      <c r="I9" s="110"/>
      <c r="J9" s="110"/>
      <c r="K9" s="110"/>
      <c r="L9" s="110"/>
      <c r="M9" s="110"/>
    </row>
    <row r="10" spans="1:14" s="48" customFormat="1">
      <c r="A10" s="109"/>
      <c r="B10" s="114"/>
      <c r="C10" s="128"/>
      <c r="D10" s="109" t="s">
        <v>297</v>
      </c>
      <c r="E10" s="110"/>
      <c r="F10" s="129">
        <f>F9/100</f>
        <v>2.1</v>
      </c>
      <c r="G10" s="110"/>
      <c r="H10" s="110"/>
      <c r="I10" s="110"/>
      <c r="J10" s="110"/>
      <c r="K10" s="110"/>
      <c r="L10" s="110"/>
      <c r="M10" s="123"/>
    </row>
    <row r="11" spans="1:14" s="48" customFormat="1">
      <c r="A11" s="109" t="s">
        <v>0</v>
      </c>
      <c r="B11" s="114"/>
      <c r="C11" s="124" t="s">
        <v>15</v>
      </c>
      <c r="D11" s="109" t="s">
        <v>1</v>
      </c>
      <c r="E11" s="110">
        <v>22.3</v>
      </c>
      <c r="F11" s="110">
        <f>E11*F10</f>
        <v>46.830000000000005</v>
      </c>
      <c r="G11" s="110"/>
      <c r="H11" s="110"/>
      <c r="I11" s="110"/>
      <c r="J11" s="110"/>
      <c r="K11" s="110"/>
      <c r="L11" s="110"/>
      <c r="M11" s="123"/>
    </row>
    <row r="12" spans="1:14" s="48" customFormat="1">
      <c r="A12" s="109" t="s">
        <v>196</v>
      </c>
      <c r="B12" s="114"/>
      <c r="C12" s="130" t="s">
        <v>13</v>
      </c>
      <c r="D12" s="109" t="s">
        <v>25</v>
      </c>
      <c r="E12" s="110">
        <v>0.5</v>
      </c>
      <c r="F12" s="110">
        <f>E12*F10</f>
        <v>1.05</v>
      </c>
      <c r="G12" s="110"/>
      <c r="H12" s="110"/>
      <c r="I12" s="110"/>
      <c r="J12" s="110"/>
      <c r="K12" s="110"/>
      <c r="L12" s="110"/>
      <c r="M12" s="123"/>
    </row>
    <row r="13" spans="1:14" s="48" customFormat="1">
      <c r="A13" s="109" t="s">
        <v>197</v>
      </c>
      <c r="B13" s="114" t="s">
        <v>303</v>
      </c>
      <c r="C13" s="128" t="s">
        <v>304</v>
      </c>
      <c r="D13" s="109" t="s">
        <v>23</v>
      </c>
      <c r="E13" s="110" t="s">
        <v>305</v>
      </c>
      <c r="F13" s="110">
        <v>2.72</v>
      </c>
      <c r="G13" s="110"/>
      <c r="H13" s="110"/>
      <c r="I13" s="110"/>
      <c r="J13" s="110"/>
      <c r="K13" s="110"/>
      <c r="L13" s="110"/>
      <c r="M13" s="123"/>
    </row>
    <row r="14" spans="1:14" s="48" customFormat="1">
      <c r="A14" s="109" t="s">
        <v>198</v>
      </c>
      <c r="B14" s="114"/>
      <c r="C14" s="130" t="s">
        <v>14</v>
      </c>
      <c r="D14" s="109" t="s">
        <v>25</v>
      </c>
      <c r="E14" s="110">
        <v>0.4</v>
      </c>
      <c r="F14" s="110">
        <f>E14*F10</f>
        <v>0.84000000000000008</v>
      </c>
      <c r="G14" s="110"/>
      <c r="H14" s="110"/>
      <c r="I14" s="110"/>
      <c r="J14" s="123"/>
      <c r="K14" s="110"/>
      <c r="L14" s="110"/>
      <c r="M14" s="123"/>
    </row>
    <row r="15" spans="1:14" s="48" customFormat="1">
      <c r="A15" s="109"/>
      <c r="B15" s="114"/>
      <c r="C15" s="127"/>
      <c r="D15" s="109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4">
      <c r="A16" s="109">
        <v>1.2</v>
      </c>
      <c r="B16" s="114" t="s">
        <v>311</v>
      </c>
      <c r="C16" s="127" t="s">
        <v>262</v>
      </c>
      <c r="D16" s="109" t="s">
        <v>294</v>
      </c>
      <c r="E16" s="110"/>
      <c r="F16" s="110">
        <v>210</v>
      </c>
      <c r="G16" s="110"/>
      <c r="H16" s="110"/>
      <c r="I16" s="110"/>
      <c r="J16" s="110"/>
      <c r="K16" s="110"/>
      <c r="L16" s="110"/>
      <c r="M16" s="110"/>
      <c r="N16" s="89" t="s">
        <v>61</v>
      </c>
    </row>
    <row r="17" spans="1:14">
      <c r="A17" s="109"/>
      <c r="B17" s="114"/>
      <c r="C17" s="127"/>
      <c r="D17" s="109" t="s">
        <v>297</v>
      </c>
      <c r="E17" s="110"/>
      <c r="F17" s="129">
        <f>F16/100</f>
        <v>2.1</v>
      </c>
      <c r="G17" s="110"/>
      <c r="H17" s="110"/>
      <c r="I17" s="110"/>
      <c r="J17" s="110"/>
      <c r="K17" s="110"/>
      <c r="L17" s="110"/>
      <c r="M17" s="110"/>
      <c r="N17" s="89" t="s">
        <v>61</v>
      </c>
    </row>
    <row r="18" spans="1:14">
      <c r="A18" s="109" t="s">
        <v>21</v>
      </c>
      <c r="B18" s="114"/>
      <c r="C18" s="127" t="s">
        <v>15</v>
      </c>
      <c r="D18" s="109" t="s">
        <v>1</v>
      </c>
      <c r="E18" s="110">
        <f>120+(8.3*16)</f>
        <v>252.8</v>
      </c>
      <c r="F18" s="110">
        <f>E18*F17</f>
        <v>530.88</v>
      </c>
      <c r="G18" s="110"/>
      <c r="H18" s="110"/>
      <c r="I18" s="110"/>
      <c r="J18" s="110"/>
      <c r="K18" s="110"/>
      <c r="L18" s="110"/>
      <c r="M18" s="110"/>
    </row>
    <row r="19" spans="1:14">
      <c r="A19" s="109" t="s">
        <v>35</v>
      </c>
      <c r="B19" s="114" t="s">
        <v>314</v>
      </c>
      <c r="C19" s="127" t="s">
        <v>315</v>
      </c>
      <c r="D19" s="109" t="s">
        <v>24</v>
      </c>
      <c r="E19" s="110">
        <f>10+(1.67*16)</f>
        <v>36.72</v>
      </c>
      <c r="F19" s="110">
        <f>E19*F17</f>
        <v>77.111999999999995</v>
      </c>
      <c r="G19" s="110"/>
      <c r="H19" s="110"/>
      <c r="I19" s="110"/>
      <c r="J19" s="110"/>
      <c r="K19" s="110"/>
      <c r="L19" s="110"/>
      <c r="M19" s="110"/>
    </row>
    <row r="20" spans="1:14">
      <c r="A20" s="109" t="s">
        <v>36</v>
      </c>
      <c r="B20" s="114" t="s">
        <v>313</v>
      </c>
      <c r="C20" s="127" t="s">
        <v>312</v>
      </c>
      <c r="D20" s="109" t="s">
        <v>24</v>
      </c>
      <c r="E20" s="110">
        <f>10+(1.67*16)</f>
        <v>36.72</v>
      </c>
      <c r="F20" s="110">
        <f>E20*F17</f>
        <v>77.111999999999995</v>
      </c>
      <c r="G20" s="110"/>
      <c r="H20" s="110"/>
      <c r="I20" s="110"/>
      <c r="J20" s="110"/>
      <c r="K20" s="110"/>
      <c r="L20" s="110"/>
      <c r="M20" s="110"/>
    </row>
    <row r="21" spans="1:14">
      <c r="A21" s="109" t="s">
        <v>37</v>
      </c>
      <c r="B21" s="114" t="s">
        <v>320</v>
      </c>
      <c r="C21" s="127" t="s">
        <v>321</v>
      </c>
      <c r="D21" s="109" t="s">
        <v>24</v>
      </c>
      <c r="E21" s="110">
        <v>16</v>
      </c>
      <c r="F21" s="110">
        <f>E21*F17</f>
        <v>33.6</v>
      </c>
      <c r="G21" s="110"/>
      <c r="H21" s="110"/>
      <c r="I21" s="110"/>
      <c r="J21" s="110"/>
      <c r="K21" s="110"/>
      <c r="L21" s="110"/>
      <c r="M21" s="110"/>
    </row>
    <row r="22" spans="1:14">
      <c r="A22" s="109" t="s">
        <v>38</v>
      </c>
      <c r="B22" s="114" t="s">
        <v>318</v>
      </c>
      <c r="C22" s="127" t="s">
        <v>319</v>
      </c>
      <c r="D22" s="109" t="s">
        <v>24</v>
      </c>
      <c r="E22" s="110">
        <v>4.9000000000000004</v>
      </c>
      <c r="F22" s="110">
        <f>E22*F17</f>
        <v>10.290000000000001</v>
      </c>
      <c r="G22" s="110"/>
      <c r="H22" s="110"/>
      <c r="I22" s="110"/>
      <c r="J22" s="110"/>
      <c r="K22" s="110"/>
      <c r="L22" s="110"/>
      <c r="M22" s="110"/>
    </row>
    <row r="23" spans="1:14">
      <c r="A23" s="109" t="s">
        <v>39</v>
      </c>
      <c r="B23" s="114"/>
      <c r="C23" s="127" t="s">
        <v>13</v>
      </c>
      <c r="D23" s="109" t="s">
        <v>25</v>
      </c>
      <c r="E23" s="110">
        <f>25.3+(2.53*16)</f>
        <v>65.78</v>
      </c>
      <c r="F23" s="110">
        <f>E23*F17</f>
        <v>138.13800000000001</v>
      </c>
      <c r="G23" s="110"/>
      <c r="H23" s="110"/>
      <c r="I23" s="110"/>
      <c r="J23" s="110"/>
      <c r="K23" s="110"/>
      <c r="L23" s="110"/>
      <c r="M23" s="110"/>
    </row>
    <row r="24" spans="1:14">
      <c r="A24" s="109" t="s">
        <v>306</v>
      </c>
      <c r="B24" s="114" t="s">
        <v>322</v>
      </c>
      <c r="C24" s="127" t="s">
        <v>323</v>
      </c>
      <c r="D24" s="109" t="s">
        <v>283</v>
      </c>
      <c r="E24" s="110">
        <v>0.6</v>
      </c>
      <c r="F24" s="110">
        <f>E24*F17</f>
        <v>1.26</v>
      </c>
      <c r="G24" s="110"/>
      <c r="H24" s="110"/>
      <c r="I24" s="110"/>
      <c r="J24" s="110"/>
      <c r="K24" s="110"/>
      <c r="L24" s="110"/>
      <c r="M24" s="110"/>
    </row>
    <row r="25" spans="1:14">
      <c r="A25" s="109" t="s">
        <v>307</v>
      </c>
      <c r="B25" s="114" t="s">
        <v>324</v>
      </c>
      <c r="C25" s="127" t="s">
        <v>377</v>
      </c>
      <c r="D25" s="109" t="s">
        <v>283</v>
      </c>
      <c r="E25" s="110">
        <f>5.85+(0.95*16)</f>
        <v>21.049999999999997</v>
      </c>
      <c r="F25" s="110">
        <f>E25*F17</f>
        <v>44.204999999999998</v>
      </c>
      <c r="G25" s="110"/>
      <c r="H25" s="110"/>
      <c r="I25" s="110"/>
      <c r="J25" s="110"/>
      <c r="K25" s="110"/>
      <c r="L25" s="110"/>
      <c r="M25" s="110"/>
    </row>
    <row r="26" spans="1:14">
      <c r="A26" s="109" t="s">
        <v>308</v>
      </c>
      <c r="B26" s="114" t="s">
        <v>325</v>
      </c>
      <c r="C26" s="127" t="s">
        <v>378</v>
      </c>
      <c r="D26" s="109" t="s">
        <v>23</v>
      </c>
      <c r="E26" s="110">
        <f xml:space="preserve"> 1.1+(0.37*16)</f>
        <v>7.02</v>
      </c>
      <c r="F26" s="110">
        <f>E26*F17</f>
        <v>14.741999999999999</v>
      </c>
      <c r="G26" s="110"/>
      <c r="H26" s="110"/>
      <c r="I26" s="110"/>
      <c r="J26" s="110"/>
      <c r="K26" s="110"/>
      <c r="L26" s="110"/>
      <c r="M26" s="110"/>
    </row>
    <row r="27" spans="1:14">
      <c r="A27" s="109" t="s">
        <v>316</v>
      </c>
      <c r="B27" s="114"/>
      <c r="C27" s="137" t="s">
        <v>261</v>
      </c>
      <c r="D27" s="138" t="s">
        <v>23</v>
      </c>
      <c r="E27" s="139" t="s">
        <v>90</v>
      </c>
      <c r="F27" s="139">
        <v>0</v>
      </c>
      <c r="G27" s="139"/>
      <c r="H27" s="139"/>
      <c r="I27" s="139"/>
      <c r="J27" s="139"/>
      <c r="K27" s="139"/>
      <c r="L27" s="139"/>
      <c r="M27" s="139"/>
    </row>
    <row r="28" spans="1:14">
      <c r="A28" s="109" t="s">
        <v>317</v>
      </c>
      <c r="B28" s="114"/>
      <c r="C28" s="127" t="s">
        <v>14</v>
      </c>
      <c r="D28" s="109" t="s">
        <v>25</v>
      </c>
      <c r="E28" s="110">
        <f>2.7+(0.36*16)</f>
        <v>8.4600000000000009</v>
      </c>
      <c r="F28" s="110">
        <f>E28*F17</f>
        <v>17.766000000000002</v>
      </c>
      <c r="G28" s="110"/>
      <c r="H28" s="110"/>
      <c r="I28" s="110"/>
      <c r="J28" s="110"/>
      <c r="K28" s="110"/>
      <c r="L28" s="110"/>
      <c r="M28" s="110"/>
    </row>
    <row r="29" spans="1:14">
      <c r="A29" s="109"/>
      <c r="B29" s="114"/>
      <c r="C29" s="127"/>
      <c r="D29" s="109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1:14">
      <c r="A30" s="109">
        <v>1.3</v>
      </c>
      <c r="B30" s="114" t="s">
        <v>298</v>
      </c>
      <c r="C30" s="91" t="s">
        <v>263</v>
      </c>
      <c r="D30" s="109" t="s">
        <v>294</v>
      </c>
      <c r="E30" s="133"/>
      <c r="F30" s="133">
        <v>210</v>
      </c>
      <c r="G30" s="110"/>
      <c r="H30" s="110"/>
      <c r="I30" s="110"/>
      <c r="J30" s="110"/>
      <c r="K30" s="110"/>
      <c r="L30" s="110"/>
      <c r="M30" s="110"/>
    </row>
    <row r="31" spans="1:14">
      <c r="A31" s="109"/>
      <c r="B31" s="114"/>
      <c r="C31" s="91"/>
      <c r="D31" s="109" t="s">
        <v>297</v>
      </c>
      <c r="E31" s="133"/>
      <c r="F31" s="134">
        <f>F30/100</f>
        <v>2.1</v>
      </c>
      <c r="G31" s="110"/>
      <c r="H31" s="110"/>
      <c r="I31" s="110"/>
      <c r="J31" s="110"/>
      <c r="K31" s="110"/>
      <c r="L31" s="110"/>
      <c r="M31" s="110"/>
    </row>
    <row r="32" spans="1:14">
      <c r="A32" s="109" t="s">
        <v>30</v>
      </c>
      <c r="B32" s="114"/>
      <c r="C32" s="91" t="s">
        <v>92</v>
      </c>
      <c r="D32" s="109" t="s">
        <v>1</v>
      </c>
      <c r="E32" s="110">
        <v>880</v>
      </c>
      <c r="F32" s="133">
        <f>F31*E32</f>
        <v>1848</v>
      </c>
      <c r="G32" s="110"/>
      <c r="H32" s="110"/>
      <c r="I32" s="110"/>
      <c r="J32" s="110"/>
      <c r="K32" s="110"/>
      <c r="L32" s="110"/>
      <c r="M32" s="110"/>
    </row>
    <row r="33" spans="1:13">
      <c r="A33" s="109" t="s">
        <v>45</v>
      </c>
      <c r="B33" s="140"/>
      <c r="C33" s="128" t="s">
        <v>13</v>
      </c>
      <c r="D33" s="109" t="s">
        <v>25</v>
      </c>
      <c r="E33" s="110">
        <v>5</v>
      </c>
      <c r="F33" s="110">
        <f>E33*F31</f>
        <v>10.5</v>
      </c>
      <c r="G33" s="110"/>
      <c r="H33" s="110"/>
      <c r="I33" s="110"/>
      <c r="J33" s="110"/>
      <c r="K33" s="110"/>
      <c r="L33" s="110"/>
      <c r="M33" s="110"/>
    </row>
    <row r="34" spans="1:13">
      <c r="A34" s="109" t="s">
        <v>46</v>
      </c>
      <c r="B34" s="114" t="s">
        <v>299</v>
      </c>
      <c r="C34" s="91" t="s">
        <v>264</v>
      </c>
      <c r="D34" s="109" t="s">
        <v>294</v>
      </c>
      <c r="E34" s="110">
        <v>100</v>
      </c>
      <c r="F34" s="133">
        <f>F31*E34</f>
        <v>210</v>
      </c>
      <c r="G34" s="110"/>
      <c r="H34" s="110"/>
      <c r="I34" s="110"/>
      <c r="J34" s="110"/>
      <c r="K34" s="110"/>
      <c r="L34" s="110"/>
      <c r="M34" s="110"/>
    </row>
    <row r="35" spans="1:13">
      <c r="A35" s="109" t="s">
        <v>47</v>
      </c>
      <c r="B35" s="114" t="s">
        <v>300</v>
      </c>
      <c r="C35" s="128" t="s">
        <v>104</v>
      </c>
      <c r="D35" s="109" t="s">
        <v>283</v>
      </c>
      <c r="E35" s="110">
        <v>52.5</v>
      </c>
      <c r="F35" s="110">
        <f>E35*F31</f>
        <v>110.25</v>
      </c>
      <c r="G35" s="110"/>
      <c r="H35" s="110"/>
      <c r="I35" s="110"/>
      <c r="J35" s="110"/>
      <c r="K35" s="110"/>
      <c r="L35" s="110"/>
      <c r="M35" s="110"/>
    </row>
    <row r="36" spans="1:13">
      <c r="A36" s="109" t="s">
        <v>210</v>
      </c>
      <c r="B36" s="114"/>
      <c r="C36" s="128" t="s">
        <v>100</v>
      </c>
      <c r="D36" s="109" t="s">
        <v>25</v>
      </c>
      <c r="E36" s="110">
        <v>11</v>
      </c>
      <c r="F36" s="110">
        <f>E36*F31</f>
        <v>23.1</v>
      </c>
      <c r="G36" s="110"/>
      <c r="H36" s="110"/>
      <c r="I36" s="110"/>
      <c r="J36" s="110"/>
      <c r="K36" s="110"/>
      <c r="L36" s="110"/>
      <c r="M36" s="110"/>
    </row>
    <row r="37" spans="1:13">
      <c r="A37" s="109"/>
      <c r="B37" s="114"/>
      <c r="C37" s="135"/>
      <c r="D37" s="109"/>
      <c r="E37" s="110"/>
      <c r="F37" s="133"/>
      <c r="G37" s="110"/>
      <c r="H37" s="110"/>
      <c r="I37" s="110"/>
      <c r="J37" s="110"/>
      <c r="K37" s="110"/>
      <c r="L37" s="110"/>
      <c r="M37" s="110"/>
    </row>
    <row r="38" spans="1:13" s="90" customFormat="1">
      <c r="A38" s="98"/>
      <c r="B38" s="113"/>
      <c r="C38" s="98" t="s">
        <v>4</v>
      </c>
      <c r="D38" s="98"/>
      <c r="E38" s="108"/>
      <c r="F38" s="108"/>
      <c r="G38" s="108"/>
      <c r="H38" s="108"/>
      <c r="I38" s="108"/>
      <c r="J38" s="108"/>
      <c r="K38" s="108"/>
      <c r="L38" s="108"/>
      <c r="M38" s="108"/>
    </row>
    <row r="39" spans="1:13" s="76" customFormat="1">
      <c r="A39" s="109"/>
      <c r="B39" s="114"/>
      <c r="C39" s="109"/>
      <c r="D39" s="109"/>
      <c r="E39" s="110"/>
      <c r="F39" s="110"/>
      <c r="G39" s="110"/>
      <c r="H39" s="110"/>
      <c r="I39" s="110"/>
      <c r="J39" s="110"/>
      <c r="K39" s="110"/>
      <c r="L39" s="110"/>
      <c r="M39" s="110"/>
    </row>
    <row r="40" spans="1:13" s="76" customFormat="1">
      <c r="A40" s="109"/>
      <c r="B40" s="114"/>
      <c r="C40" s="109" t="s">
        <v>10</v>
      </c>
      <c r="D40" s="115">
        <v>0.1</v>
      </c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s="76" customFormat="1">
      <c r="A41" s="109"/>
      <c r="B41" s="114"/>
      <c r="C41" s="109" t="s">
        <v>4</v>
      </c>
      <c r="D41" s="115"/>
      <c r="E41" s="110"/>
      <c r="F41" s="110"/>
      <c r="G41" s="110"/>
      <c r="H41" s="110"/>
      <c r="I41" s="110"/>
      <c r="J41" s="110"/>
      <c r="K41" s="110"/>
      <c r="L41" s="110"/>
      <c r="M41" s="110"/>
    </row>
    <row r="42" spans="1:13" s="76" customFormat="1">
      <c r="A42" s="109"/>
      <c r="B42" s="114"/>
      <c r="C42" s="109" t="s">
        <v>11</v>
      </c>
      <c r="D42" s="115">
        <v>0.08</v>
      </c>
      <c r="E42" s="110"/>
      <c r="F42" s="110"/>
      <c r="G42" s="110"/>
      <c r="H42" s="110"/>
      <c r="I42" s="110"/>
      <c r="J42" s="110"/>
      <c r="K42" s="110"/>
      <c r="L42" s="110"/>
      <c r="M42" s="110"/>
    </row>
    <row r="43" spans="1:13" s="76" customFormat="1">
      <c r="A43" s="109"/>
      <c r="B43" s="114"/>
      <c r="C43" s="109"/>
      <c r="D43" s="115"/>
      <c r="E43" s="110"/>
      <c r="F43" s="110"/>
      <c r="G43" s="110"/>
      <c r="H43" s="110"/>
      <c r="I43" s="110"/>
      <c r="J43" s="110"/>
      <c r="K43" s="110"/>
      <c r="L43" s="110"/>
      <c r="M43" s="110"/>
    </row>
    <row r="44" spans="1:13">
      <c r="A44" s="98"/>
      <c r="B44" s="113"/>
      <c r="C44" s="98" t="s">
        <v>4</v>
      </c>
      <c r="D44" s="98"/>
      <c r="E44" s="108"/>
      <c r="F44" s="108"/>
      <c r="G44" s="108"/>
      <c r="H44" s="108"/>
      <c r="I44" s="108"/>
      <c r="J44" s="108"/>
      <c r="K44" s="108"/>
      <c r="L44" s="108"/>
      <c r="M44" s="108"/>
    </row>
    <row r="45" spans="1:13">
      <c r="B45" s="117"/>
      <c r="C45" s="118"/>
      <c r="D45" s="117"/>
      <c r="E45" s="117"/>
      <c r="F45" s="117"/>
      <c r="G45" s="117"/>
      <c r="H45" s="117"/>
      <c r="I45" s="117"/>
      <c r="J45" s="117"/>
      <c r="K45" s="117"/>
      <c r="L45" s="117"/>
      <c r="M45" s="119"/>
    </row>
    <row r="46" spans="1:13">
      <c r="B46" s="117"/>
      <c r="C46" s="118"/>
      <c r="D46" s="117"/>
      <c r="E46" s="117"/>
      <c r="F46" s="117"/>
      <c r="G46" s="117"/>
      <c r="H46" s="117"/>
      <c r="I46" s="117"/>
      <c r="J46" s="117"/>
      <c r="K46" s="117"/>
      <c r="L46" s="117"/>
      <c r="M46" s="119"/>
    </row>
    <row r="47" spans="1:13">
      <c r="B47" s="117"/>
      <c r="C47" s="118"/>
      <c r="D47" s="117"/>
      <c r="E47" s="117"/>
      <c r="F47" s="117"/>
      <c r="G47" s="117"/>
      <c r="H47" s="117"/>
      <c r="I47" s="117"/>
      <c r="J47" s="117"/>
      <c r="K47" s="117"/>
      <c r="L47" s="117"/>
      <c r="M47" s="119"/>
    </row>
    <row r="48" spans="1:13">
      <c r="B48" s="117"/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9"/>
    </row>
    <row r="49" spans="2:13">
      <c r="B49" s="117"/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9"/>
    </row>
    <row r="50" spans="2:13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9"/>
    </row>
    <row r="51" spans="2:13">
      <c r="B51" s="117"/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9"/>
    </row>
    <row r="52" spans="2:13">
      <c r="B52" s="117"/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9"/>
    </row>
    <row r="53" spans="2:13"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9"/>
    </row>
    <row r="54" spans="2:13">
      <c r="B54" s="117"/>
      <c r="C54" s="118"/>
      <c r="D54" s="117"/>
      <c r="E54" s="117"/>
      <c r="F54" s="117"/>
      <c r="G54" s="117"/>
      <c r="H54" s="117"/>
      <c r="I54" s="117"/>
      <c r="J54" s="117"/>
      <c r="K54" s="117"/>
      <c r="L54" s="117"/>
      <c r="M54" s="119"/>
    </row>
    <row r="55" spans="2:13">
      <c r="B55" s="117"/>
      <c r="C55" s="118"/>
      <c r="D55" s="117"/>
      <c r="E55" s="117"/>
      <c r="F55" s="117"/>
      <c r="G55" s="117"/>
      <c r="H55" s="117"/>
      <c r="I55" s="117"/>
      <c r="J55" s="117"/>
      <c r="K55" s="117"/>
      <c r="L55" s="117"/>
      <c r="M55" s="119"/>
    </row>
    <row r="56" spans="2:13">
      <c r="B56" s="117"/>
      <c r="C56" s="118"/>
      <c r="D56" s="117"/>
      <c r="E56" s="117"/>
      <c r="F56" s="117"/>
      <c r="G56" s="117"/>
      <c r="H56" s="117"/>
      <c r="I56" s="117"/>
      <c r="J56" s="117"/>
      <c r="K56" s="117"/>
      <c r="L56" s="117"/>
      <c r="M56" s="119"/>
    </row>
    <row r="57" spans="2:13">
      <c r="B57" s="117"/>
      <c r="C57" s="118"/>
      <c r="D57" s="117"/>
      <c r="E57" s="117"/>
      <c r="F57" s="117"/>
      <c r="G57" s="117"/>
      <c r="H57" s="117"/>
      <c r="I57" s="117"/>
      <c r="J57" s="117"/>
      <c r="K57" s="117"/>
      <c r="L57" s="117"/>
      <c r="M57" s="119"/>
    </row>
    <row r="58" spans="2:13">
      <c r="B58" s="117"/>
      <c r="C58" s="118"/>
      <c r="D58" s="117"/>
      <c r="E58" s="117"/>
      <c r="F58" s="117"/>
      <c r="G58" s="117"/>
      <c r="H58" s="117"/>
      <c r="I58" s="117"/>
      <c r="J58" s="117"/>
      <c r="K58" s="117"/>
      <c r="L58" s="117"/>
      <c r="M58" s="119"/>
    </row>
    <row r="59" spans="2:13">
      <c r="B59" s="117"/>
      <c r="C59" s="118"/>
      <c r="D59" s="117"/>
      <c r="E59" s="117"/>
      <c r="F59" s="117"/>
      <c r="G59" s="117"/>
      <c r="H59" s="117"/>
      <c r="I59" s="117"/>
      <c r="J59" s="117"/>
      <c r="K59" s="117"/>
      <c r="L59" s="117"/>
      <c r="M59" s="119"/>
    </row>
    <row r="60" spans="2:13">
      <c r="B60" s="117"/>
      <c r="C60" s="118"/>
      <c r="D60" s="117"/>
      <c r="E60" s="117"/>
      <c r="F60" s="117"/>
      <c r="G60" s="117"/>
      <c r="H60" s="117"/>
      <c r="I60" s="117"/>
      <c r="J60" s="117"/>
      <c r="K60" s="117"/>
      <c r="L60" s="117"/>
      <c r="M60" s="119"/>
    </row>
    <row r="61" spans="2:13">
      <c r="B61" s="117"/>
      <c r="C61" s="118"/>
      <c r="D61" s="117"/>
      <c r="E61" s="117"/>
      <c r="F61" s="117"/>
      <c r="G61" s="117"/>
      <c r="H61" s="117"/>
      <c r="I61" s="117"/>
      <c r="J61" s="117"/>
      <c r="K61" s="117"/>
      <c r="L61" s="117"/>
      <c r="M61" s="119"/>
    </row>
    <row r="62" spans="2:13">
      <c r="B62" s="117"/>
      <c r="C62" s="118"/>
      <c r="D62" s="117"/>
      <c r="E62" s="117"/>
      <c r="F62" s="117"/>
      <c r="G62" s="117"/>
      <c r="H62" s="117"/>
      <c r="I62" s="117"/>
      <c r="J62" s="117"/>
      <c r="K62" s="117"/>
      <c r="L62" s="117"/>
      <c r="M62" s="119"/>
    </row>
    <row r="63" spans="2:13">
      <c r="B63" s="117"/>
      <c r="C63" s="118"/>
      <c r="D63" s="117"/>
      <c r="E63" s="117"/>
      <c r="F63" s="117"/>
      <c r="G63" s="117"/>
      <c r="H63" s="117"/>
      <c r="I63" s="117"/>
      <c r="J63" s="117"/>
      <c r="K63" s="117"/>
      <c r="L63" s="117"/>
      <c r="M63" s="119"/>
    </row>
    <row r="64" spans="2:13">
      <c r="B64" s="117"/>
      <c r="C64" s="118"/>
      <c r="D64" s="117"/>
      <c r="E64" s="117"/>
      <c r="F64" s="117"/>
      <c r="G64" s="117"/>
      <c r="H64" s="117"/>
      <c r="I64" s="117"/>
      <c r="J64" s="117"/>
      <c r="K64" s="117"/>
      <c r="L64" s="117"/>
      <c r="M64" s="119"/>
    </row>
    <row r="65" spans="2:13">
      <c r="B65" s="117"/>
      <c r="C65" s="118"/>
      <c r="D65" s="117"/>
      <c r="E65" s="117"/>
      <c r="F65" s="117"/>
      <c r="G65" s="117"/>
      <c r="H65" s="117"/>
      <c r="I65" s="117"/>
      <c r="J65" s="117"/>
      <c r="K65" s="117"/>
      <c r="L65" s="117"/>
      <c r="M65" s="119"/>
    </row>
    <row r="66" spans="2:13">
      <c r="B66" s="117"/>
      <c r="C66" s="118"/>
      <c r="D66" s="117"/>
      <c r="E66" s="117"/>
      <c r="F66" s="117"/>
      <c r="G66" s="117"/>
      <c r="H66" s="117"/>
      <c r="I66" s="117"/>
      <c r="J66" s="117"/>
      <c r="K66" s="117"/>
      <c r="L66" s="117"/>
      <c r="M66" s="119"/>
    </row>
    <row r="67" spans="2:13"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L67" s="117"/>
      <c r="M67" s="119"/>
    </row>
    <row r="68" spans="2:13">
      <c r="B68" s="117"/>
      <c r="C68" s="118"/>
      <c r="D68" s="117"/>
      <c r="E68" s="117"/>
      <c r="F68" s="117"/>
      <c r="G68" s="117"/>
      <c r="H68" s="117"/>
      <c r="I68" s="117"/>
      <c r="J68" s="117"/>
      <c r="K68" s="117"/>
      <c r="L68" s="117"/>
      <c r="M68" s="119"/>
    </row>
    <row r="69" spans="2:13">
      <c r="B69" s="117"/>
      <c r="C69" s="118"/>
      <c r="D69" s="117"/>
      <c r="E69" s="117"/>
      <c r="F69" s="117"/>
      <c r="G69" s="117"/>
      <c r="H69" s="117"/>
      <c r="I69" s="117"/>
      <c r="J69" s="117"/>
      <c r="K69" s="117"/>
      <c r="L69" s="117"/>
      <c r="M69" s="119"/>
    </row>
    <row r="70" spans="2:13">
      <c r="B70" s="117"/>
      <c r="C70" s="118"/>
      <c r="D70" s="117"/>
      <c r="E70" s="117"/>
      <c r="F70" s="117"/>
      <c r="G70" s="117"/>
      <c r="H70" s="117"/>
      <c r="I70" s="117"/>
      <c r="J70" s="117"/>
      <c r="K70" s="117"/>
      <c r="L70" s="117"/>
      <c r="M70" s="119"/>
    </row>
    <row r="71" spans="2:13">
      <c r="B71" s="117"/>
      <c r="C71" s="118"/>
      <c r="D71" s="117"/>
      <c r="E71" s="117"/>
      <c r="F71" s="117"/>
      <c r="G71" s="117"/>
      <c r="H71" s="117"/>
      <c r="I71" s="117"/>
      <c r="J71" s="117"/>
      <c r="K71" s="117"/>
      <c r="L71" s="117"/>
      <c r="M71" s="119"/>
    </row>
    <row r="72" spans="2:13">
      <c r="B72" s="117"/>
      <c r="C72" s="118"/>
      <c r="D72" s="117"/>
      <c r="E72" s="117"/>
      <c r="F72" s="117"/>
      <c r="G72" s="117"/>
      <c r="H72" s="117"/>
      <c r="I72" s="117"/>
      <c r="J72" s="117"/>
      <c r="K72" s="117"/>
      <c r="L72" s="117"/>
      <c r="M72" s="119"/>
    </row>
    <row r="73" spans="2:13"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9"/>
    </row>
    <row r="74" spans="2:13"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9"/>
    </row>
    <row r="75" spans="2:13">
      <c r="B75" s="117"/>
      <c r="C75" s="118"/>
      <c r="D75" s="117"/>
      <c r="E75" s="117"/>
      <c r="F75" s="117"/>
      <c r="G75" s="117"/>
      <c r="H75" s="117"/>
      <c r="I75" s="117"/>
      <c r="J75" s="117"/>
      <c r="K75" s="117"/>
      <c r="L75" s="117"/>
      <c r="M75" s="119"/>
    </row>
    <row r="76" spans="2:13">
      <c r="B76" s="117"/>
      <c r="C76" s="118"/>
      <c r="D76" s="117"/>
      <c r="E76" s="117"/>
      <c r="F76" s="117"/>
      <c r="G76" s="117"/>
      <c r="H76" s="117"/>
      <c r="I76" s="117"/>
      <c r="J76" s="117"/>
      <c r="K76" s="117"/>
      <c r="L76" s="117"/>
      <c r="M76" s="119"/>
    </row>
    <row r="77" spans="2:13">
      <c r="B77" s="117"/>
      <c r="C77" s="118"/>
      <c r="D77" s="117"/>
      <c r="E77" s="117"/>
      <c r="F77" s="117"/>
      <c r="G77" s="117"/>
      <c r="H77" s="117"/>
      <c r="I77" s="117"/>
      <c r="J77" s="117"/>
      <c r="K77" s="117"/>
      <c r="L77" s="117"/>
      <c r="M77" s="119"/>
    </row>
    <row r="78" spans="2:13">
      <c r="B78" s="117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9"/>
    </row>
    <row r="79" spans="2:13">
      <c r="B79" s="117"/>
      <c r="C79" s="118"/>
      <c r="D79" s="117"/>
      <c r="E79" s="117"/>
      <c r="F79" s="117"/>
      <c r="G79" s="117"/>
      <c r="H79" s="117"/>
      <c r="I79" s="117"/>
      <c r="J79" s="117"/>
      <c r="K79" s="117"/>
      <c r="L79" s="117"/>
      <c r="M79" s="119"/>
    </row>
    <row r="80" spans="2:13">
      <c r="B80" s="117"/>
      <c r="C80" s="118"/>
      <c r="D80" s="117"/>
      <c r="E80" s="117"/>
      <c r="F80" s="117"/>
      <c r="G80" s="117"/>
      <c r="H80" s="117"/>
      <c r="I80" s="117"/>
      <c r="J80" s="117"/>
      <c r="K80" s="117"/>
      <c r="L80" s="117"/>
      <c r="M80" s="119"/>
    </row>
    <row r="81" spans="2:13">
      <c r="B81" s="117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9"/>
    </row>
    <row r="82" spans="2:13">
      <c r="B82" s="117"/>
      <c r="C82" s="118"/>
      <c r="D82" s="117"/>
      <c r="E82" s="117"/>
      <c r="F82" s="117"/>
      <c r="G82" s="117"/>
      <c r="H82" s="117"/>
      <c r="I82" s="117"/>
      <c r="J82" s="117"/>
      <c r="K82" s="117"/>
      <c r="L82" s="117"/>
      <c r="M82" s="119"/>
    </row>
    <row r="83" spans="2:13"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9"/>
    </row>
    <row r="84" spans="2:13"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9"/>
    </row>
    <row r="85" spans="2:13">
      <c r="B85" s="118"/>
      <c r="C85" s="118"/>
      <c r="D85" s="118"/>
      <c r="E85" s="118"/>
      <c r="F85" s="118"/>
      <c r="G85" s="118"/>
      <c r="H85" s="118"/>
      <c r="I85" s="118"/>
      <c r="J85" s="118"/>
      <c r="K85" s="118"/>
      <c r="L85" s="118"/>
      <c r="M85" s="120"/>
    </row>
    <row r="86" spans="2:13">
      <c r="B86" s="118"/>
      <c r="C86" s="118"/>
      <c r="D86" s="118"/>
      <c r="E86" s="118"/>
      <c r="F86" s="118"/>
      <c r="G86" s="118"/>
      <c r="H86" s="118"/>
      <c r="I86" s="118"/>
      <c r="J86" s="118"/>
      <c r="K86" s="118"/>
      <c r="L86" s="118"/>
      <c r="M86" s="120"/>
    </row>
    <row r="87" spans="2:13">
      <c r="B87" s="118"/>
      <c r="C87" s="118"/>
      <c r="D87" s="118"/>
      <c r="E87" s="118"/>
      <c r="F87" s="118"/>
      <c r="G87" s="118"/>
      <c r="H87" s="118"/>
      <c r="I87" s="118"/>
      <c r="J87" s="118"/>
      <c r="K87" s="118"/>
      <c r="L87" s="118"/>
      <c r="M87" s="120"/>
    </row>
    <row r="88" spans="2:13"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20"/>
    </row>
    <row r="89" spans="2:13"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20"/>
    </row>
    <row r="90" spans="2:13"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20"/>
    </row>
    <row r="91" spans="2:13"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20"/>
    </row>
    <row r="92" spans="2:13"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20"/>
    </row>
    <row r="93" spans="2:13">
      <c r="B93" s="118"/>
      <c r="C93" s="118"/>
      <c r="D93" s="118"/>
      <c r="E93" s="118"/>
      <c r="F93" s="118"/>
      <c r="G93" s="118"/>
      <c r="H93" s="118"/>
      <c r="I93" s="118"/>
      <c r="J93" s="118"/>
      <c r="K93" s="118"/>
      <c r="L93" s="118"/>
      <c r="M93" s="120"/>
    </row>
    <row r="94" spans="2:13">
      <c r="B94" s="118"/>
      <c r="C94" s="118"/>
      <c r="D94" s="118"/>
      <c r="E94" s="118"/>
      <c r="F94" s="118"/>
      <c r="G94" s="118"/>
      <c r="H94" s="118"/>
      <c r="I94" s="118"/>
      <c r="J94" s="118"/>
      <c r="K94" s="118"/>
      <c r="L94" s="118"/>
      <c r="M94" s="120"/>
    </row>
    <row r="95" spans="2:13">
      <c r="B95" s="118"/>
      <c r="C95" s="118"/>
      <c r="D95" s="118"/>
      <c r="E95" s="118"/>
      <c r="F95" s="118"/>
      <c r="G95" s="118"/>
      <c r="H95" s="118"/>
      <c r="I95" s="118"/>
      <c r="J95" s="118"/>
      <c r="K95" s="118"/>
      <c r="L95" s="118"/>
      <c r="M95" s="120"/>
    </row>
    <row r="96" spans="2:13">
      <c r="B96" s="118"/>
      <c r="C96" s="118"/>
      <c r="D96" s="118"/>
      <c r="E96" s="118"/>
      <c r="F96" s="118"/>
      <c r="G96" s="118"/>
      <c r="H96" s="118"/>
      <c r="I96" s="118"/>
      <c r="J96" s="118"/>
      <c r="K96" s="118"/>
      <c r="L96" s="118"/>
      <c r="M96" s="120"/>
    </row>
    <row r="97" spans="2:13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2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conditionalFormatting sqref="L30">
    <cfRule type="cellIs" dxfId="1" priority="1" stopIfTrue="1" operator="equal">
      <formula>8223.307275</formula>
    </cfRule>
  </conditionalFormatting>
  <conditionalFormatting sqref="L31:L32">
    <cfRule type="cellIs" dxfId="0" priority="2" stopIfTrue="1" operator="equal">
      <formula>8223.307275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O109"/>
  <sheetViews>
    <sheetView view="pageBreakPreview" zoomScaleNormal="60" zoomScaleSheetLayoutView="100" workbookViewId="0">
      <selection activeCell="G16" sqref="G16"/>
    </sheetView>
  </sheetViews>
  <sheetFormatPr defaultRowHeight="12.75"/>
  <cols>
    <col min="1" max="1" width="6.85546875" style="116" customWidth="1"/>
    <col min="2" max="2" width="12.140625" style="121" customWidth="1"/>
    <col min="3" max="3" width="61.5703125" style="121" customWidth="1"/>
    <col min="4" max="4" width="7.7109375" style="121" customWidth="1"/>
    <col min="5" max="12" width="10.5703125" style="121" customWidth="1"/>
    <col min="13" max="13" width="10.5703125" style="122" customWidth="1"/>
    <col min="14" max="16" width="20.7109375" style="48" customWidth="1"/>
    <col min="17" max="16384" width="9.140625" style="48"/>
  </cols>
  <sheetData>
    <row r="1" spans="1:13" s="72" customFormat="1">
      <c r="A1" s="162" t="s">
        <v>259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72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7" customHeigh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55" t="s">
        <v>279</v>
      </c>
      <c r="L3" s="155"/>
      <c r="M3" s="155" t="s">
        <v>4</v>
      </c>
    </row>
    <row r="4" spans="1:13" ht="12.75" customHeigh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</row>
    <row r="5" spans="1:13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</row>
    <row r="6" spans="1:13">
      <c r="A6" s="98"/>
      <c r="B6" s="98"/>
      <c r="C6" s="98"/>
      <c r="D6" s="98"/>
      <c r="E6" s="108"/>
      <c r="F6" s="108"/>
      <c r="G6" s="108"/>
      <c r="H6" s="108"/>
      <c r="I6" s="108"/>
      <c r="J6" s="108"/>
      <c r="K6" s="108"/>
      <c r="L6" s="108"/>
      <c r="M6" s="108"/>
    </row>
    <row r="7" spans="1:13">
      <c r="A7" s="98"/>
      <c r="B7" s="109"/>
      <c r="C7" s="97" t="s">
        <v>243</v>
      </c>
      <c r="D7" s="109"/>
      <c r="E7" s="109"/>
      <c r="F7" s="109"/>
      <c r="G7" s="109"/>
      <c r="H7" s="109"/>
      <c r="I7" s="109"/>
      <c r="J7" s="109"/>
      <c r="K7" s="109"/>
      <c r="L7" s="109"/>
      <c r="M7" s="126"/>
    </row>
    <row r="8" spans="1:13">
      <c r="A8" s="109"/>
      <c r="B8" s="109"/>
      <c r="C8" s="111"/>
      <c r="D8" s="109"/>
      <c r="E8" s="109"/>
      <c r="F8" s="109"/>
      <c r="G8" s="109"/>
      <c r="H8" s="109"/>
      <c r="I8" s="109"/>
      <c r="J8" s="109"/>
      <c r="K8" s="109"/>
      <c r="L8" s="109"/>
      <c r="M8" s="126"/>
    </row>
    <row r="9" spans="1:13" ht="25.5">
      <c r="A9" s="109">
        <v>1.1000000000000001</v>
      </c>
      <c r="B9" s="140" t="s">
        <v>72</v>
      </c>
      <c r="C9" s="128" t="s">
        <v>71</v>
      </c>
      <c r="D9" s="109" t="s">
        <v>283</v>
      </c>
      <c r="E9" s="110"/>
      <c r="F9" s="110">
        <v>235.6</v>
      </c>
      <c r="G9" s="110"/>
      <c r="H9" s="110"/>
      <c r="I9" s="110"/>
      <c r="J9" s="110"/>
      <c r="K9" s="110"/>
      <c r="L9" s="110"/>
      <c r="M9" s="110"/>
    </row>
    <row r="10" spans="1:13">
      <c r="A10" s="109"/>
      <c r="B10" s="114"/>
      <c r="C10" s="128"/>
      <c r="D10" s="109" t="s">
        <v>284</v>
      </c>
      <c r="E10" s="110"/>
      <c r="F10" s="129">
        <f>F9/1000</f>
        <v>0.2356</v>
      </c>
      <c r="G10" s="110"/>
      <c r="H10" s="110"/>
      <c r="I10" s="110"/>
      <c r="J10" s="110"/>
      <c r="K10" s="110"/>
      <c r="L10" s="110"/>
      <c r="M10" s="123"/>
    </row>
    <row r="11" spans="1:13">
      <c r="A11" s="109" t="s">
        <v>0</v>
      </c>
      <c r="B11" s="114"/>
      <c r="C11" s="124" t="s">
        <v>15</v>
      </c>
      <c r="D11" s="109" t="s">
        <v>1</v>
      </c>
      <c r="E11" s="110">
        <v>20</v>
      </c>
      <c r="F11" s="110">
        <f>E11*F10</f>
        <v>4.7119999999999997</v>
      </c>
      <c r="G11" s="110"/>
      <c r="H11" s="110"/>
      <c r="I11" s="110"/>
      <c r="J11" s="110"/>
      <c r="K11" s="110"/>
      <c r="L11" s="110"/>
      <c r="M11" s="123"/>
    </row>
    <row r="12" spans="1:13">
      <c r="A12" s="109" t="s">
        <v>196</v>
      </c>
      <c r="B12" s="114" t="s">
        <v>285</v>
      </c>
      <c r="C12" s="130" t="s">
        <v>286</v>
      </c>
      <c r="D12" s="109" t="s">
        <v>24</v>
      </c>
      <c r="E12" s="110">
        <v>44.8</v>
      </c>
      <c r="F12" s="110">
        <f>E12*F10</f>
        <v>10.554879999999999</v>
      </c>
      <c r="G12" s="110"/>
      <c r="H12" s="110"/>
      <c r="I12" s="110"/>
      <c r="J12" s="110"/>
      <c r="K12" s="110"/>
      <c r="L12" s="110"/>
      <c r="M12" s="123"/>
    </row>
    <row r="13" spans="1:13" ht="12.75" customHeight="1">
      <c r="A13" s="109" t="s">
        <v>197</v>
      </c>
      <c r="B13" s="114"/>
      <c r="C13" s="130" t="s">
        <v>13</v>
      </c>
      <c r="D13" s="109" t="s">
        <v>25</v>
      </c>
      <c r="E13" s="110">
        <v>2.1</v>
      </c>
      <c r="F13" s="110">
        <f>E13*F10</f>
        <v>0.49476000000000003</v>
      </c>
      <c r="G13" s="110"/>
      <c r="H13" s="110"/>
      <c r="I13" s="110"/>
      <c r="J13" s="110"/>
      <c r="K13" s="110"/>
      <c r="L13" s="110"/>
      <c r="M13" s="123"/>
    </row>
    <row r="14" spans="1:13">
      <c r="A14" s="109" t="s">
        <v>198</v>
      </c>
      <c r="B14" s="114" t="s">
        <v>287</v>
      </c>
      <c r="C14" s="130" t="s">
        <v>288</v>
      </c>
      <c r="D14" s="109" t="s">
        <v>283</v>
      </c>
      <c r="E14" s="110">
        <v>0.05</v>
      </c>
      <c r="F14" s="110">
        <f>E14*F10</f>
        <v>1.1780000000000001E-2</v>
      </c>
      <c r="G14" s="110"/>
      <c r="H14" s="110"/>
      <c r="I14" s="110"/>
      <c r="J14" s="110"/>
      <c r="K14" s="110"/>
      <c r="L14" s="110"/>
      <c r="M14" s="110"/>
    </row>
    <row r="15" spans="1:13">
      <c r="A15" s="109"/>
      <c r="B15" s="140"/>
      <c r="C15" s="128"/>
      <c r="D15" s="109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13">
      <c r="A16" s="109">
        <v>1.2</v>
      </c>
      <c r="B16" s="140" t="s">
        <v>326</v>
      </c>
      <c r="C16" s="130" t="s">
        <v>327</v>
      </c>
      <c r="D16" s="109" t="s">
        <v>283</v>
      </c>
      <c r="E16" s="110"/>
      <c r="F16" s="110">
        <v>35.299999999999997</v>
      </c>
      <c r="G16" s="110"/>
      <c r="H16" s="110"/>
      <c r="I16" s="110"/>
      <c r="J16" s="110"/>
      <c r="K16" s="110"/>
      <c r="L16" s="110"/>
      <c r="M16" s="110"/>
    </row>
    <row r="17" spans="1:15">
      <c r="A17" s="109"/>
      <c r="B17" s="114" t="s">
        <v>379</v>
      </c>
      <c r="C17" s="128"/>
      <c r="D17" s="109" t="s">
        <v>302</v>
      </c>
      <c r="E17" s="110"/>
      <c r="F17" s="129">
        <f>F16/100</f>
        <v>0.35299999999999998</v>
      </c>
      <c r="G17" s="110"/>
      <c r="H17" s="110"/>
      <c r="I17" s="110"/>
      <c r="J17" s="110"/>
      <c r="K17" s="110"/>
      <c r="L17" s="110"/>
      <c r="M17" s="110"/>
    </row>
    <row r="18" spans="1:15">
      <c r="A18" s="109" t="s">
        <v>21</v>
      </c>
      <c r="B18" s="140"/>
      <c r="C18" s="128" t="s">
        <v>15</v>
      </c>
      <c r="D18" s="109" t="s">
        <v>1</v>
      </c>
      <c r="E18" s="110">
        <f>206*1.2</f>
        <v>247.2</v>
      </c>
      <c r="F18" s="110">
        <f>E18*F17</f>
        <v>87.261599999999987</v>
      </c>
      <c r="G18" s="110"/>
      <c r="H18" s="110"/>
      <c r="I18" s="110"/>
      <c r="J18" s="110"/>
      <c r="K18" s="110"/>
      <c r="L18" s="110"/>
      <c r="M18" s="110"/>
    </row>
    <row r="19" spans="1:15">
      <c r="A19" s="109"/>
      <c r="B19" s="140"/>
      <c r="C19" s="128"/>
      <c r="D19" s="109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5">
      <c r="A20" s="109">
        <v>1.3</v>
      </c>
      <c r="B20" s="92" t="s">
        <v>328</v>
      </c>
      <c r="C20" s="128" t="s">
        <v>329</v>
      </c>
      <c r="D20" s="109" t="s">
        <v>23</v>
      </c>
      <c r="E20" s="110">
        <v>1.95</v>
      </c>
      <c r="F20" s="110">
        <f>E20*F16</f>
        <v>68.834999999999994</v>
      </c>
      <c r="G20" s="110"/>
      <c r="H20" s="110"/>
      <c r="I20" s="110"/>
      <c r="J20" s="110"/>
      <c r="K20" s="110"/>
      <c r="L20" s="110"/>
      <c r="M20" s="110"/>
      <c r="O20" s="85"/>
    </row>
    <row r="21" spans="1:15">
      <c r="A21" s="109" t="s">
        <v>30</v>
      </c>
      <c r="B21" s="93" t="s">
        <v>330</v>
      </c>
      <c r="C21" s="128" t="s">
        <v>15</v>
      </c>
      <c r="D21" s="109" t="s">
        <v>1</v>
      </c>
      <c r="E21" s="110">
        <v>0.53</v>
      </c>
      <c r="F21" s="110">
        <f>E21*F20</f>
        <v>36.482549999999996</v>
      </c>
      <c r="G21" s="110"/>
      <c r="H21" s="110"/>
      <c r="I21" s="110"/>
      <c r="J21" s="110"/>
      <c r="K21" s="110"/>
      <c r="L21" s="110"/>
      <c r="M21" s="110"/>
    </row>
    <row r="22" spans="1:15">
      <c r="A22" s="109"/>
      <c r="B22" s="140"/>
      <c r="C22" s="128"/>
      <c r="D22" s="109"/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5">
      <c r="A23" s="109">
        <v>1.4</v>
      </c>
      <c r="B23" s="140" t="s">
        <v>289</v>
      </c>
      <c r="C23" s="128" t="s">
        <v>31</v>
      </c>
      <c r="D23" s="109" t="s">
        <v>23</v>
      </c>
      <c r="E23" s="110">
        <v>1.95</v>
      </c>
      <c r="F23" s="110">
        <f>E23*(F9+F16)</f>
        <v>528.255</v>
      </c>
      <c r="G23" s="110"/>
      <c r="H23" s="110"/>
      <c r="I23" s="110"/>
      <c r="J23" s="110"/>
      <c r="K23" s="110"/>
      <c r="L23" s="110"/>
      <c r="M23" s="110"/>
    </row>
    <row r="24" spans="1:15">
      <c r="A24" s="109"/>
      <c r="B24" s="140"/>
      <c r="C24" s="128"/>
      <c r="D24" s="109"/>
      <c r="E24" s="110"/>
      <c r="F24" s="110"/>
      <c r="G24" s="110"/>
      <c r="H24" s="110"/>
      <c r="I24" s="110"/>
      <c r="J24" s="110"/>
      <c r="K24" s="110"/>
      <c r="L24" s="110"/>
      <c r="M24" s="110"/>
    </row>
    <row r="25" spans="1:15">
      <c r="A25" s="109">
        <v>1.5</v>
      </c>
      <c r="B25" s="140" t="s">
        <v>74</v>
      </c>
      <c r="C25" s="128" t="s">
        <v>73</v>
      </c>
      <c r="D25" s="109" t="s">
        <v>283</v>
      </c>
      <c r="E25" s="110"/>
      <c r="F25" s="110">
        <f>F9+F16</f>
        <v>270.89999999999998</v>
      </c>
      <c r="G25" s="110"/>
      <c r="H25" s="110"/>
      <c r="I25" s="110"/>
      <c r="J25" s="110"/>
      <c r="K25" s="110"/>
      <c r="L25" s="110"/>
      <c r="M25" s="110"/>
    </row>
    <row r="26" spans="1:15">
      <c r="A26" s="109"/>
      <c r="B26" s="140"/>
      <c r="C26" s="128"/>
      <c r="D26" s="109" t="s">
        <v>284</v>
      </c>
      <c r="E26" s="110"/>
      <c r="F26" s="129">
        <f>F25/1000</f>
        <v>0.27089999999999997</v>
      </c>
      <c r="G26" s="110"/>
      <c r="H26" s="110"/>
      <c r="I26" s="110"/>
      <c r="J26" s="110"/>
      <c r="K26" s="110"/>
      <c r="L26" s="110"/>
      <c r="M26" s="110"/>
    </row>
    <row r="27" spans="1:15">
      <c r="A27" s="109" t="s">
        <v>199</v>
      </c>
      <c r="B27" s="114"/>
      <c r="C27" s="127" t="s">
        <v>15</v>
      </c>
      <c r="D27" s="109" t="s">
        <v>1</v>
      </c>
      <c r="E27" s="110">
        <v>3.23</v>
      </c>
      <c r="F27" s="110">
        <f>E27*F26</f>
        <v>0.87500699999999987</v>
      </c>
      <c r="G27" s="110"/>
      <c r="H27" s="110"/>
      <c r="I27" s="110"/>
      <c r="J27" s="110"/>
      <c r="K27" s="110"/>
      <c r="L27" s="110"/>
      <c r="M27" s="110"/>
    </row>
    <row r="28" spans="1:15">
      <c r="A28" s="109" t="s">
        <v>200</v>
      </c>
      <c r="B28" s="114" t="s">
        <v>290</v>
      </c>
      <c r="C28" s="127" t="s">
        <v>75</v>
      </c>
      <c r="D28" s="109" t="s">
        <v>24</v>
      </c>
      <c r="E28" s="110">
        <v>3.62</v>
      </c>
      <c r="F28" s="110">
        <f>E28*F26</f>
        <v>0.98065799999999992</v>
      </c>
      <c r="G28" s="110"/>
      <c r="H28" s="110"/>
      <c r="I28" s="110"/>
      <c r="J28" s="110"/>
      <c r="K28" s="110"/>
      <c r="L28" s="110"/>
      <c r="M28" s="110"/>
    </row>
    <row r="29" spans="1:15">
      <c r="A29" s="109" t="s">
        <v>201</v>
      </c>
      <c r="B29" s="114"/>
      <c r="C29" s="127" t="s">
        <v>13</v>
      </c>
      <c r="D29" s="109" t="s">
        <v>25</v>
      </c>
      <c r="E29" s="110">
        <v>0.18</v>
      </c>
      <c r="F29" s="110">
        <f>E29*F26</f>
        <v>4.8761999999999993E-2</v>
      </c>
      <c r="G29" s="110"/>
      <c r="H29" s="110"/>
      <c r="I29" s="110"/>
      <c r="J29" s="110"/>
      <c r="K29" s="110"/>
      <c r="L29" s="110"/>
      <c r="M29" s="110"/>
    </row>
    <row r="30" spans="1:15">
      <c r="A30" s="109" t="s">
        <v>202</v>
      </c>
      <c r="B30" s="114" t="s">
        <v>287</v>
      </c>
      <c r="C30" s="130" t="s">
        <v>288</v>
      </c>
      <c r="D30" s="109" t="s">
        <v>283</v>
      </c>
      <c r="E30" s="110">
        <v>0.04</v>
      </c>
      <c r="F30" s="110">
        <f>E30*F26</f>
        <v>1.0835999999999998E-2</v>
      </c>
      <c r="G30" s="110"/>
      <c r="H30" s="110"/>
      <c r="I30" s="110"/>
      <c r="J30" s="110"/>
      <c r="K30" s="110"/>
      <c r="L30" s="110"/>
      <c r="M30" s="110"/>
    </row>
    <row r="31" spans="1:15">
      <c r="A31" s="109"/>
      <c r="B31" s="114"/>
      <c r="C31" s="127"/>
      <c r="D31" s="109"/>
      <c r="E31" s="109"/>
      <c r="F31" s="126"/>
      <c r="G31" s="132"/>
      <c r="H31" s="126"/>
      <c r="I31" s="132"/>
      <c r="J31" s="132"/>
      <c r="K31" s="126"/>
      <c r="L31" s="126"/>
      <c r="M31" s="126"/>
    </row>
    <row r="32" spans="1:15" ht="12.75" customHeight="1">
      <c r="A32" s="138">
        <v>1.6</v>
      </c>
      <c r="B32" s="141" t="s">
        <v>245</v>
      </c>
      <c r="C32" s="137" t="s">
        <v>244</v>
      </c>
      <c r="D32" s="138" t="s">
        <v>282</v>
      </c>
      <c r="E32" s="138"/>
      <c r="F32" s="138">
        <v>0</v>
      </c>
      <c r="G32" s="142"/>
      <c r="H32" s="142"/>
      <c r="I32" s="142"/>
      <c r="J32" s="142"/>
      <c r="K32" s="142"/>
      <c r="L32" s="142"/>
      <c r="M32" s="143"/>
    </row>
    <row r="33" spans="1:13">
      <c r="A33" s="138" t="s">
        <v>62</v>
      </c>
      <c r="B33" s="141"/>
      <c r="C33" s="137" t="s">
        <v>15</v>
      </c>
      <c r="D33" s="138" t="s">
        <v>1</v>
      </c>
      <c r="E33" s="138">
        <v>2.8839999999999999</v>
      </c>
      <c r="F33" s="143">
        <f>ROUND(E33*F32,2)</f>
        <v>0</v>
      </c>
      <c r="G33" s="142"/>
      <c r="H33" s="142"/>
      <c r="I33" s="142"/>
      <c r="J33" s="142"/>
      <c r="K33" s="138"/>
      <c r="L33" s="138"/>
      <c r="M33" s="142"/>
    </row>
    <row r="34" spans="1:13" ht="25.5">
      <c r="A34" s="138" t="s">
        <v>63</v>
      </c>
      <c r="B34" s="141"/>
      <c r="C34" s="137" t="s">
        <v>236</v>
      </c>
      <c r="D34" s="138" t="s">
        <v>89</v>
      </c>
      <c r="E34" s="138" t="s">
        <v>90</v>
      </c>
      <c r="F34" s="142">
        <v>0</v>
      </c>
      <c r="G34" s="142"/>
      <c r="H34" s="142"/>
      <c r="I34" s="138"/>
      <c r="J34" s="138"/>
      <c r="K34" s="138"/>
      <c r="L34" s="143"/>
      <c r="M34" s="142"/>
    </row>
    <row r="35" spans="1:13" ht="25.5">
      <c r="A35" s="138" t="s">
        <v>63</v>
      </c>
      <c r="B35" s="141"/>
      <c r="C35" s="137" t="s">
        <v>238</v>
      </c>
      <c r="D35" s="138" t="s">
        <v>89</v>
      </c>
      <c r="E35" s="138" t="s">
        <v>90</v>
      </c>
      <c r="F35" s="142">
        <v>0</v>
      </c>
      <c r="G35" s="142"/>
      <c r="H35" s="142"/>
      <c r="I35" s="138"/>
      <c r="J35" s="138"/>
      <c r="K35" s="138"/>
      <c r="L35" s="143"/>
      <c r="M35" s="142"/>
    </row>
    <row r="36" spans="1:13">
      <c r="A36" s="138"/>
      <c r="B36" s="141"/>
      <c r="C36" s="137"/>
      <c r="D36" s="138"/>
      <c r="E36" s="138"/>
      <c r="F36" s="142"/>
      <c r="G36" s="142"/>
      <c r="H36" s="142"/>
      <c r="I36" s="138"/>
      <c r="J36" s="138"/>
      <c r="K36" s="138"/>
      <c r="L36" s="143"/>
      <c r="M36" s="142"/>
    </row>
    <row r="37" spans="1:13">
      <c r="A37" s="138" t="s">
        <v>215</v>
      </c>
      <c r="B37" s="141"/>
      <c r="C37" s="137" t="s">
        <v>246</v>
      </c>
      <c r="D37" s="138" t="s">
        <v>91</v>
      </c>
      <c r="E37" s="138" t="s">
        <v>90</v>
      </c>
      <c r="F37" s="142">
        <v>0</v>
      </c>
      <c r="G37" s="142"/>
      <c r="H37" s="142"/>
      <c r="I37" s="138"/>
      <c r="J37" s="138"/>
      <c r="K37" s="138"/>
      <c r="L37" s="138"/>
      <c r="M37" s="142"/>
    </row>
    <row r="38" spans="1:13" ht="12.75" customHeight="1">
      <c r="A38" s="142">
        <v>1.7</v>
      </c>
      <c r="B38" s="141" t="s">
        <v>245</v>
      </c>
      <c r="C38" s="137" t="s">
        <v>247</v>
      </c>
      <c r="D38" s="138" t="s">
        <v>282</v>
      </c>
      <c r="E38" s="138"/>
      <c r="F38" s="138">
        <f>F32</f>
        <v>0</v>
      </c>
      <c r="G38" s="142"/>
      <c r="H38" s="142"/>
      <c r="I38" s="142"/>
      <c r="J38" s="142"/>
      <c r="K38" s="142"/>
      <c r="L38" s="142"/>
      <c r="M38" s="143"/>
    </row>
    <row r="39" spans="1:13">
      <c r="A39" s="138" t="s">
        <v>64</v>
      </c>
      <c r="B39" s="141"/>
      <c r="C39" s="137" t="s">
        <v>15</v>
      </c>
      <c r="D39" s="138" t="s">
        <v>1</v>
      </c>
      <c r="E39" s="138">
        <v>3.1930000000000001</v>
      </c>
      <c r="F39" s="143">
        <f>ROUND(E39*F38,2)</f>
        <v>0</v>
      </c>
      <c r="G39" s="142"/>
      <c r="H39" s="142"/>
      <c r="I39" s="142"/>
      <c r="J39" s="142"/>
      <c r="K39" s="138"/>
      <c r="L39" s="138"/>
      <c r="M39" s="142"/>
    </row>
    <row r="40" spans="1:13">
      <c r="A40" s="138" t="s">
        <v>65</v>
      </c>
      <c r="B40" s="141"/>
      <c r="C40" s="137" t="s">
        <v>229</v>
      </c>
      <c r="D40" s="138" t="s">
        <v>282</v>
      </c>
      <c r="E40" s="138">
        <v>1.04</v>
      </c>
      <c r="F40" s="142">
        <f>ROUND(E40*F38,1)</f>
        <v>0</v>
      </c>
      <c r="G40" s="142"/>
      <c r="H40" s="142"/>
      <c r="I40" s="138"/>
      <c r="J40" s="138"/>
      <c r="K40" s="138"/>
      <c r="L40" s="143"/>
      <c r="M40" s="142"/>
    </row>
    <row r="41" spans="1:13">
      <c r="A41" s="109"/>
      <c r="B41" s="140"/>
      <c r="C41" s="127"/>
      <c r="D41" s="109"/>
      <c r="E41" s="109"/>
      <c r="F41" s="132"/>
      <c r="G41" s="132"/>
      <c r="H41" s="132"/>
      <c r="I41" s="109"/>
      <c r="J41" s="109"/>
      <c r="K41" s="109"/>
      <c r="L41" s="126"/>
      <c r="M41" s="132"/>
    </row>
    <row r="42" spans="1:13">
      <c r="A42" s="109">
        <v>1.6</v>
      </c>
      <c r="B42" s="114" t="s">
        <v>340</v>
      </c>
      <c r="C42" s="130" t="s">
        <v>341</v>
      </c>
      <c r="D42" s="109" t="s">
        <v>89</v>
      </c>
      <c r="E42" s="110"/>
      <c r="F42" s="110">
        <v>88</v>
      </c>
      <c r="G42" s="110"/>
      <c r="H42" s="110"/>
      <c r="I42" s="110"/>
      <c r="J42" s="110"/>
      <c r="K42" s="110"/>
      <c r="L42" s="110"/>
      <c r="M42" s="110"/>
    </row>
    <row r="43" spans="1:13">
      <c r="A43" s="109"/>
      <c r="B43" s="114" t="s">
        <v>333</v>
      </c>
      <c r="C43" s="130"/>
      <c r="D43" s="109" t="s">
        <v>283</v>
      </c>
      <c r="E43" s="110">
        <v>1.5</v>
      </c>
      <c r="F43" s="110">
        <f>F42*E43</f>
        <v>132</v>
      </c>
      <c r="G43" s="110"/>
      <c r="H43" s="110"/>
      <c r="I43" s="110"/>
      <c r="J43" s="110"/>
      <c r="K43" s="110"/>
      <c r="L43" s="110"/>
      <c r="M43" s="110"/>
    </row>
    <row r="44" spans="1:13">
      <c r="A44" s="109" t="s">
        <v>62</v>
      </c>
      <c r="B44" s="114"/>
      <c r="C44" s="128" t="s">
        <v>15</v>
      </c>
      <c r="D44" s="109" t="s">
        <v>1</v>
      </c>
      <c r="E44" s="110">
        <v>3.1</v>
      </c>
      <c r="F44" s="110">
        <f>ROUND(E44*F43,2)</f>
        <v>409.2</v>
      </c>
      <c r="G44" s="110"/>
      <c r="H44" s="110"/>
      <c r="I44" s="110"/>
      <c r="J44" s="110"/>
      <c r="K44" s="110"/>
      <c r="L44" s="110"/>
      <c r="M44" s="110"/>
    </row>
    <row r="45" spans="1:13" ht="25.5">
      <c r="A45" s="109" t="s">
        <v>63</v>
      </c>
      <c r="B45" s="114" t="s">
        <v>342</v>
      </c>
      <c r="C45" s="128" t="s">
        <v>343</v>
      </c>
      <c r="D45" s="109" t="s">
        <v>89</v>
      </c>
      <c r="E45" s="110" t="s">
        <v>305</v>
      </c>
      <c r="F45" s="110">
        <f>F42</f>
        <v>88</v>
      </c>
      <c r="G45" s="110"/>
      <c r="H45" s="110"/>
      <c r="I45" s="110"/>
      <c r="J45" s="110"/>
      <c r="K45" s="110"/>
      <c r="L45" s="110"/>
      <c r="M45" s="110"/>
    </row>
    <row r="46" spans="1:13">
      <c r="A46" s="109" t="s">
        <v>215</v>
      </c>
      <c r="B46" s="114" t="s">
        <v>336</v>
      </c>
      <c r="C46" s="130" t="s">
        <v>337</v>
      </c>
      <c r="D46" s="109" t="s">
        <v>91</v>
      </c>
      <c r="E46" s="110">
        <v>1.1499999999999999</v>
      </c>
      <c r="F46" s="110">
        <f>E46*F43</f>
        <v>151.79999999999998</v>
      </c>
      <c r="G46" s="110"/>
      <c r="H46" s="110"/>
      <c r="I46" s="110"/>
      <c r="J46" s="110"/>
      <c r="K46" s="110"/>
      <c r="L46" s="110"/>
      <c r="M46" s="110"/>
    </row>
    <row r="47" spans="1:13">
      <c r="A47" s="109" t="s">
        <v>216</v>
      </c>
      <c r="B47" s="114" t="s">
        <v>338</v>
      </c>
      <c r="C47" s="130" t="s">
        <v>339</v>
      </c>
      <c r="D47" s="109" t="s">
        <v>283</v>
      </c>
      <c r="E47" s="110">
        <v>1.05</v>
      </c>
      <c r="F47" s="110">
        <f>E47*F43</f>
        <v>138.6</v>
      </c>
      <c r="G47" s="110"/>
      <c r="H47" s="110"/>
      <c r="I47" s="110"/>
      <c r="J47" s="110"/>
      <c r="K47" s="110"/>
      <c r="L47" s="110"/>
      <c r="M47" s="110"/>
    </row>
    <row r="48" spans="1:13">
      <c r="A48" s="109"/>
      <c r="B48" s="114"/>
      <c r="C48" s="130"/>
      <c r="D48" s="109"/>
      <c r="E48" s="110"/>
      <c r="F48" s="110"/>
      <c r="G48" s="110"/>
      <c r="H48" s="110"/>
      <c r="I48" s="110"/>
      <c r="J48" s="110"/>
      <c r="K48" s="110"/>
      <c r="L48" s="110"/>
      <c r="M48" s="110"/>
    </row>
    <row r="49" spans="1:13">
      <c r="A49" s="109">
        <v>1.7</v>
      </c>
      <c r="B49" s="114" t="s">
        <v>331</v>
      </c>
      <c r="C49" s="130" t="s">
        <v>332</v>
      </c>
      <c r="D49" s="109" t="s">
        <v>89</v>
      </c>
      <c r="E49" s="110"/>
      <c r="F49" s="110">
        <v>132</v>
      </c>
      <c r="G49" s="110"/>
      <c r="H49" s="110"/>
      <c r="I49" s="110"/>
      <c r="J49" s="110"/>
      <c r="K49" s="110"/>
      <c r="L49" s="110"/>
      <c r="M49" s="110"/>
    </row>
    <row r="50" spans="1:13">
      <c r="A50" s="109"/>
      <c r="B50" s="114" t="s">
        <v>333</v>
      </c>
      <c r="C50" s="130"/>
      <c r="D50" s="109" t="s">
        <v>283</v>
      </c>
      <c r="E50" s="110">
        <v>2</v>
      </c>
      <c r="F50" s="110">
        <f>F49*E50</f>
        <v>264</v>
      </c>
      <c r="G50" s="110"/>
      <c r="H50" s="110"/>
      <c r="I50" s="110"/>
      <c r="J50" s="110"/>
      <c r="K50" s="110"/>
      <c r="L50" s="110"/>
      <c r="M50" s="110"/>
    </row>
    <row r="51" spans="1:13">
      <c r="A51" s="109" t="s">
        <v>64</v>
      </c>
      <c r="B51" s="114"/>
      <c r="C51" s="128" t="s">
        <v>15</v>
      </c>
      <c r="D51" s="109" t="s">
        <v>1</v>
      </c>
      <c r="E51" s="110">
        <v>2.8</v>
      </c>
      <c r="F51" s="110">
        <f>ROUND(E51*F50,2)</f>
        <v>739.2</v>
      </c>
      <c r="G51" s="110"/>
      <c r="H51" s="110"/>
      <c r="I51" s="110"/>
      <c r="J51" s="110"/>
      <c r="K51" s="110"/>
      <c r="L51" s="110"/>
      <c r="M51" s="110"/>
    </row>
    <row r="52" spans="1:13" ht="25.5">
      <c r="A52" s="109" t="s">
        <v>65</v>
      </c>
      <c r="B52" s="114" t="s">
        <v>334</v>
      </c>
      <c r="C52" s="128" t="s">
        <v>335</v>
      </c>
      <c r="D52" s="109" t="s">
        <v>89</v>
      </c>
      <c r="E52" s="110" t="s">
        <v>305</v>
      </c>
      <c r="F52" s="110">
        <f>F49</f>
        <v>132</v>
      </c>
      <c r="G52" s="110"/>
      <c r="H52" s="110"/>
      <c r="I52" s="110"/>
      <c r="J52" s="110"/>
      <c r="K52" s="110"/>
      <c r="L52" s="110"/>
      <c r="M52" s="110"/>
    </row>
    <row r="53" spans="1:13">
      <c r="A53" s="109" t="s">
        <v>205</v>
      </c>
      <c r="B53" s="114" t="s">
        <v>336</v>
      </c>
      <c r="C53" s="130" t="s">
        <v>337</v>
      </c>
      <c r="D53" s="109" t="s">
        <v>91</v>
      </c>
      <c r="E53" s="110">
        <v>1.1499999999999999</v>
      </c>
      <c r="F53" s="110">
        <f>E53*F50</f>
        <v>303.59999999999997</v>
      </c>
      <c r="G53" s="110"/>
      <c r="H53" s="110"/>
      <c r="I53" s="110"/>
      <c r="J53" s="110"/>
      <c r="K53" s="110"/>
      <c r="L53" s="110"/>
      <c r="M53" s="110"/>
    </row>
    <row r="54" spans="1:13">
      <c r="A54" s="109" t="s">
        <v>206</v>
      </c>
      <c r="B54" s="114" t="s">
        <v>338</v>
      </c>
      <c r="C54" s="130" t="s">
        <v>339</v>
      </c>
      <c r="D54" s="109" t="s">
        <v>283</v>
      </c>
      <c r="E54" s="110">
        <v>1.05</v>
      </c>
      <c r="F54" s="110">
        <f>E54*F50</f>
        <v>277.2</v>
      </c>
      <c r="G54" s="110"/>
      <c r="H54" s="110"/>
      <c r="I54" s="110"/>
      <c r="J54" s="110"/>
      <c r="K54" s="110"/>
      <c r="L54" s="110"/>
      <c r="M54" s="110"/>
    </row>
    <row r="55" spans="1:13">
      <c r="A55" s="109"/>
      <c r="B55" s="114"/>
      <c r="C55" s="130"/>
      <c r="D55" s="109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3" ht="25.5">
      <c r="A56" s="109">
        <v>1.8</v>
      </c>
      <c r="B56" s="140" t="s">
        <v>380</v>
      </c>
      <c r="C56" s="128" t="s">
        <v>248</v>
      </c>
      <c r="D56" s="109" t="s">
        <v>283</v>
      </c>
      <c r="E56" s="110"/>
      <c r="F56" s="110">
        <v>134</v>
      </c>
      <c r="G56" s="110"/>
      <c r="H56" s="110"/>
      <c r="I56" s="110"/>
      <c r="J56" s="110"/>
      <c r="K56" s="110"/>
      <c r="L56" s="110"/>
      <c r="M56" s="110"/>
    </row>
    <row r="57" spans="1:13">
      <c r="A57" s="109"/>
      <c r="B57" s="140"/>
      <c r="C57" s="128"/>
      <c r="D57" s="109" t="s">
        <v>302</v>
      </c>
      <c r="E57" s="110"/>
      <c r="F57" s="129">
        <f>F56/100</f>
        <v>1.34</v>
      </c>
      <c r="G57" s="110"/>
      <c r="H57" s="110"/>
      <c r="I57" s="110"/>
      <c r="J57" s="110"/>
      <c r="K57" s="110"/>
      <c r="L57" s="110"/>
      <c r="M57" s="110"/>
    </row>
    <row r="58" spans="1:13">
      <c r="A58" s="109" t="s">
        <v>66</v>
      </c>
      <c r="B58" s="140"/>
      <c r="C58" s="128" t="s">
        <v>15</v>
      </c>
      <c r="D58" s="109" t="s">
        <v>1</v>
      </c>
      <c r="E58" s="110">
        <v>99.3</v>
      </c>
      <c r="F58" s="110">
        <f>ROUND(E58*F57,2)</f>
        <v>133.06</v>
      </c>
      <c r="G58" s="110"/>
      <c r="H58" s="110"/>
      <c r="I58" s="110"/>
      <c r="J58" s="110"/>
      <c r="K58" s="110"/>
      <c r="L58" s="110"/>
      <c r="M58" s="110"/>
    </row>
    <row r="59" spans="1:13">
      <c r="A59" s="109"/>
      <c r="B59" s="140"/>
      <c r="C59" s="128"/>
      <c r="D59" s="109"/>
      <c r="E59" s="110"/>
      <c r="F59" s="110"/>
      <c r="G59" s="110"/>
      <c r="H59" s="110"/>
      <c r="I59" s="110"/>
      <c r="J59" s="110"/>
      <c r="K59" s="110"/>
      <c r="L59" s="110"/>
      <c r="M59" s="110"/>
    </row>
    <row r="60" spans="1:13">
      <c r="A60" s="98"/>
      <c r="B60" s="114"/>
      <c r="C60" s="98" t="s">
        <v>4</v>
      </c>
      <c r="D60" s="9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3">
      <c r="A61" s="98"/>
      <c r="B61" s="114"/>
      <c r="C61" s="109"/>
      <c r="D61" s="109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3">
      <c r="A62" s="98"/>
      <c r="B62" s="114"/>
      <c r="C62" s="109" t="s">
        <v>10</v>
      </c>
      <c r="D62" s="115">
        <v>0.1</v>
      </c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3">
      <c r="A63" s="98"/>
      <c r="B63" s="114"/>
      <c r="C63" s="109" t="s">
        <v>4</v>
      </c>
      <c r="D63" s="115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3">
      <c r="A64" s="98"/>
      <c r="B64" s="114"/>
      <c r="C64" s="109" t="s">
        <v>11</v>
      </c>
      <c r="D64" s="115">
        <v>0.08</v>
      </c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>
      <c r="A65" s="144"/>
      <c r="B65" s="109"/>
      <c r="C65" s="109"/>
      <c r="D65" s="115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>
      <c r="A66" s="144"/>
      <c r="B66" s="109"/>
      <c r="C66" s="98" t="s">
        <v>4</v>
      </c>
      <c r="D66" s="9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L67" s="117"/>
      <c r="M67" s="119"/>
    </row>
    <row r="68" spans="1:13">
      <c r="B68" s="117"/>
      <c r="C68" s="118"/>
      <c r="D68" s="117"/>
      <c r="E68" s="117"/>
      <c r="F68" s="117"/>
      <c r="G68" s="117"/>
      <c r="H68" s="117"/>
      <c r="I68" s="117"/>
      <c r="J68" s="117"/>
      <c r="K68" s="117"/>
      <c r="L68" s="117"/>
      <c r="M68" s="119"/>
    </row>
    <row r="69" spans="1:13">
      <c r="B69" s="117"/>
      <c r="C69" s="118"/>
      <c r="D69" s="117"/>
      <c r="E69" s="117"/>
      <c r="F69" s="117"/>
      <c r="G69" s="117"/>
      <c r="H69" s="117"/>
      <c r="I69" s="117"/>
      <c r="J69" s="117"/>
      <c r="K69" s="117"/>
      <c r="L69" s="117"/>
      <c r="M69" s="119"/>
    </row>
    <row r="70" spans="1:13">
      <c r="B70" s="117"/>
      <c r="C70" s="118"/>
      <c r="D70" s="117"/>
      <c r="E70" s="117"/>
      <c r="F70" s="117"/>
      <c r="G70" s="117"/>
      <c r="H70" s="117"/>
      <c r="I70" s="117"/>
      <c r="J70" s="117"/>
      <c r="K70" s="117"/>
      <c r="L70" s="117"/>
      <c r="M70" s="119"/>
    </row>
    <row r="71" spans="1:13">
      <c r="B71" s="117"/>
      <c r="C71" s="118"/>
      <c r="D71" s="117"/>
      <c r="E71" s="117"/>
      <c r="F71" s="117"/>
      <c r="G71" s="117"/>
      <c r="H71" s="117"/>
      <c r="I71" s="117"/>
      <c r="J71" s="117"/>
      <c r="K71" s="117"/>
      <c r="L71" s="117"/>
      <c r="M71" s="119"/>
    </row>
    <row r="72" spans="1:13">
      <c r="B72" s="117"/>
      <c r="C72" s="118"/>
      <c r="D72" s="117"/>
      <c r="E72" s="117"/>
      <c r="F72" s="117"/>
      <c r="G72" s="117"/>
      <c r="H72" s="117"/>
      <c r="I72" s="117"/>
      <c r="J72" s="117"/>
      <c r="K72" s="117"/>
      <c r="L72" s="117"/>
      <c r="M72" s="119"/>
    </row>
    <row r="73" spans="1:13"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9"/>
    </row>
    <row r="74" spans="1:13"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9"/>
    </row>
    <row r="75" spans="1:13">
      <c r="B75" s="117"/>
      <c r="C75" s="118"/>
      <c r="D75" s="117"/>
      <c r="E75" s="117"/>
      <c r="F75" s="117"/>
      <c r="G75" s="117"/>
      <c r="H75" s="117"/>
      <c r="I75" s="117"/>
      <c r="J75" s="117"/>
      <c r="K75" s="117"/>
      <c r="L75" s="117"/>
      <c r="M75" s="119"/>
    </row>
    <row r="76" spans="1:13">
      <c r="B76" s="117"/>
      <c r="C76" s="118"/>
      <c r="D76" s="117"/>
      <c r="E76" s="117"/>
      <c r="F76" s="117"/>
      <c r="G76" s="117"/>
      <c r="H76" s="117"/>
      <c r="I76" s="117"/>
      <c r="J76" s="117"/>
      <c r="K76" s="117"/>
      <c r="L76" s="117"/>
      <c r="M76" s="119"/>
    </row>
    <row r="77" spans="1:13">
      <c r="B77" s="117"/>
      <c r="C77" s="118"/>
      <c r="D77" s="117"/>
      <c r="E77" s="117"/>
      <c r="F77" s="117"/>
      <c r="G77" s="117"/>
      <c r="H77" s="117"/>
      <c r="I77" s="117"/>
      <c r="J77" s="117"/>
      <c r="K77" s="117"/>
      <c r="L77" s="117"/>
      <c r="M77" s="119"/>
    </row>
    <row r="78" spans="1:13">
      <c r="B78" s="117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9"/>
    </row>
    <row r="79" spans="1:13">
      <c r="B79" s="117"/>
      <c r="C79" s="118"/>
      <c r="D79" s="117"/>
      <c r="E79" s="117"/>
      <c r="F79" s="117"/>
      <c r="G79" s="117"/>
      <c r="H79" s="117"/>
      <c r="I79" s="117"/>
      <c r="J79" s="117"/>
      <c r="K79" s="117"/>
      <c r="L79" s="117"/>
      <c r="M79" s="119"/>
    </row>
    <row r="80" spans="1:13">
      <c r="B80" s="117"/>
      <c r="C80" s="118"/>
      <c r="D80" s="117"/>
      <c r="E80" s="117"/>
      <c r="F80" s="117"/>
      <c r="G80" s="117"/>
      <c r="H80" s="117"/>
      <c r="I80" s="117"/>
      <c r="J80" s="117"/>
      <c r="K80" s="117"/>
      <c r="L80" s="117"/>
      <c r="M80" s="119"/>
    </row>
    <row r="81" spans="2:13">
      <c r="B81" s="117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9"/>
    </row>
    <row r="82" spans="2:13">
      <c r="B82" s="117"/>
      <c r="C82" s="118"/>
      <c r="D82" s="117"/>
      <c r="E82" s="117"/>
      <c r="F82" s="117"/>
      <c r="G82" s="117"/>
      <c r="H82" s="117"/>
      <c r="I82" s="117"/>
      <c r="J82" s="117"/>
      <c r="K82" s="117"/>
      <c r="L82" s="117"/>
      <c r="M82" s="119"/>
    </row>
    <row r="83" spans="2:13"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9"/>
    </row>
    <row r="84" spans="2:13"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9"/>
    </row>
    <row r="85" spans="2:13"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9"/>
    </row>
    <row r="86" spans="2:13"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9"/>
    </row>
    <row r="87" spans="2:13"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9"/>
    </row>
    <row r="88" spans="2:13"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9"/>
    </row>
    <row r="89" spans="2:13"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9"/>
    </row>
    <row r="90" spans="2:13"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9"/>
    </row>
    <row r="91" spans="2:13"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9"/>
    </row>
    <row r="92" spans="2:13"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9"/>
    </row>
    <row r="93" spans="2:13"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9"/>
    </row>
    <row r="94" spans="2:13">
      <c r="B94" s="117"/>
      <c r="C94" s="118"/>
      <c r="D94" s="117"/>
      <c r="E94" s="117"/>
      <c r="F94" s="117"/>
      <c r="G94" s="117"/>
      <c r="H94" s="117"/>
      <c r="I94" s="117"/>
      <c r="J94" s="117"/>
      <c r="K94" s="117"/>
      <c r="L94" s="117"/>
      <c r="M94" s="119"/>
    </row>
    <row r="95" spans="2:13">
      <c r="B95" s="117"/>
      <c r="C95" s="118"/>
      <c r="D95" s="117"/>
      <c r="E95" s="117"/>
      <c r="F95" s="117"/>
      <c r="G95" s="117"/>
      <c r="H95" s="117"/>
      <c r="I95" s="117"/>
      <c r="J95" s="117"/>
      <c r="K95" s="117"/>
      <c r="L95" s="117"/>
      <c r="M95" s="119"/>
    </row>
    <row r="96" spans="2:13">
      <c r="B96" s="117"/>
      <c r="C96" s="118"/>
      <c r="D96" s="117"/>
      <c r="E96" s="117"/>
      <c r="F96" s="117"/>
      <c r="G96" s="117"/>
      <c r="H96" s="117"/>
      <c r="I96" s="117"/>
      <c r="J96" s="117"/>
      <c r="K96" s="117"/>
      <c r="L96" s="117"/>
      <c r="M96" s="119"/>
    </row>
    <row r="97" spans="2:13">
      <c r="B97" s="118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20"/>
    </row>
    <row r="98" spans="2:13">
      <c r="B98" s="118"/>
      <c r="C98" s="118"/>
      <c r="D98" s="118"/>
      <c r="E98" s="118"/>
      <c r="F98" s="118"/>
      <c r="G98" s="118"/>
      <c r="H98" s="118"/>
      <c r="I98" s="118"/>
      <c r="J98" s="118"/>
      <c r="K98" s="118"/>
      <c r="L98" s="118"/>
      <c r="M98" s="120"/>
    </row>
    <row r="99" spans="2:13">
      <c r="B99" s="118"/>
      <c r="C99" s="118"/>
      <c r="D99" s="118"/>
      <c r="E99" s="118"/>
      <c r="F99" s="118"/>
      <c r="G99" s="118"/>
      <c r="H99" s="118"/>
      <c r="I99" s="118"/>
      <c r="J99" s="118"/>
      <c r="K99" s="118"/>
      <c r="L99" s="118"/>
      <c r="M99" s="120"/>
    </row>
    <row r="100" spans="2:13"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  <c r="L100" s="118"/>
      <c r="M100" s="120"/>
    </row>
    <row r="101" spans="2:13">
      <c r="B101" s="118"/>
      <c r="C101" s="118"/>
      <c r="D101" s="118"/>
      <c r="E101" s="118"/>
      <c r="F101" s="118"/>
      <c r="G101" s="118"/>
      <c r="H101" s="118"/>
      <c r="I101" s="118"/>
      <c r="J101" s="118"/>
      <c r="K101" s="118"/>
      <c r="L101" s="118"/>
      <c r="M101" s="120"/>
    </row>
    <row r="102" spans="2:13">
      <c r="B102" s="118"/>
      <c r="C102" s="118"/>
      <c r="D102" s="118"/>
      <c r="E102" s="118"/>
      <c r="F102" s="118"/>
      <c r="G102" s="118"/>
      <c r="H102" s="118"/>
      <c r="I102" s="118"/>
      <c r="J102" s="118"/>
      <c r="K102" s="118"/>
      <c r="L102" s="118"/>
      <c r="M102" s="120"/>
    </row>
    <row r="103" spans="2:13">
      <c r="B103" s="118"/>
      <c r="C103" s="118"/>
      <c r="D103" s="118"/>
      <c r="E103" s="118"/>
      <c r="F103" s="118"/>
      <c r="G103" s="118"/>
      <c r="H103" s="118"/>
      <c r="I103" s="118"/>
      <c r="J103" s="118"/>
      <c r="K103" s="118"/>
      <c r="L103" s="118"/>
      <c r="M103" s="120"/>
    </row>
    <row r="104" spans="2:13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20"/>
    </row>
    <row r="105" spans="2:13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20"/>
    </row>
    <row r="106" spans="2:13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20"/>
    </row>
    <row r="107" spans="2:13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20"/>
    </row>
    <row r="108" spans="2:13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20"/>
    </row>
    <row r="109" spans="2:13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2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0"/>
  <dimension ref="A1:N116"/>
  <sheetViews>
    <sheetView view="pageBreakPreview" zoomScaleNormal="60" zoomScaleSheetLayoutView="100" workbookViewId="0">
      <selection activeCell="K12" sqref="K12"/>
    </sheetView>
  </sheetViews>
  <sheetFormatPr defaultRowHeight="12.75"/>
  <cols>
    <col min="1" max="1" width="7.140625" style="116" customWidth="1"/>
    <col min="2" max="2" width="12.42578125" style="121" customWidth="1"/>
    <col min="3" max="3" width="64.5703125" style="121" customWidth="1"/>
    <col min="4" max="4" width="9.140625" style="121" customWidth="1"/>
    <col min="5" max="12" width="10.42578125" style="121" customWidth="1"/>
    <col min="13" max="13" width="10.42578125" style="122" customWidth="1"/>
    <col min="14" max="16" width="20.7109375" style="47" customWidth="1"/>
    <col min="17" max="16384" width="9.140625" style="47"/>
  </cols>
  <sheetData>
    <row r="1" spans="1:13" s="81" customFormat="1">
      <c r="A1" s="162" t="s">
        <v>259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81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75" customForma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55" t="s">
        <v>279</v>
      </c>
      <c r="L3" s="155"/>
      <c r="M3" s="155" t="s">
        <v>4</v>
      </c>
    </row>
    <row r="4" spans="1:13" s="75" customForma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</row>
    <row r="5" spans="1:13" s="75" customFormat="1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</row>
    <row r="6" spans="1:13" s="75" customForma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45"/>
    </row>
    <row r="7" spans="1:13" s="75" customFormat="1">
      <c r="A7" s="98"/>
      <c r="B7" s="109"/>
      <c r="C7" s="97" t="s">
        <v>60</v>
      </c>
      <c r="D7" s="109"/>
      <c r="E7" s="109"/>
      <c r="F7" s="109"/>
      <c r="G7" s="109"/>
      <c r="H7" s="109"/>
      <c r="I7" s="109"/>
      <c r="J7" s="109"/>
      <c r="K7" s="109"/>
      <c r="L7" s="109"/>
      <c r="M7" s="126"/>
    </row>
    <row r="8" spans="1:13" s="75" customFormat="1">
      <c r="A8" s="98"/>
      <c r="B8" s="109"/>
      <c r="C8" s="97"/>
      <c r="D8" s="109"/>
      <c r="E8" s="109"/>
      <c r="F8" s="109"/>
      <c r="G8" s="109"/>
      <c r="H8" s="109"/>
      <c r="I8" s="109"/>
      <c r="J8" s="109"/>
      <c r="K8" s="109"/>
      <c r="L8" s="109"/>
      <c r="M8" s="126"/>
    </row>
    <row r="9" spans="1:13" ht="25.5">
      <c r="A9" s="109">
        <v>1.1000000000000001</v>
      </c>
      <c r="B9" s="114" t="s">
        <v>344</v>
      </c>
      <c r="C9" s="128" t="s">
        <v>345</v>
      </c>
      <c r="D9" s="109" t="s">
        <v>283</v>
      </c>
      <c r="E9" s="110"/>
      <c r="F9" s="110">
        <v>282</v>
      </c>
      <c r="G9" s="110"/>
      <c r="H9" s="110"/>
      <c r="I9" s="110"/>
      <c r="J9" s="110"/>
      <c r="K9" s="110"/>
      <c r="L9" s="110"/>
      <c r="M9" s="110"/>
    </row>
    <row r="10" spans="1:13">
      <c r="A10" s="109"/>
      <c r="B10" s="114"/>
      <c r="C10" s="130"/>
      <c r="D10" s="109" t="s">
        <v>302</v>
      </c>
      <c r="E10" s="110"/>
      <c r="F10" s="110">
        <f>F9/100</f>
        <v>2.82</v>
      </c>
      <c r="G10" s="110"/>
      <c r="H10" s="110"/>
      <c r="I10" s="110"/>
      <c r="J10" s="110"/>
      <c r="K10" s="110"/>
      <c r="L10" s="110"/>
      <c r="M10" s="110"/>
    </row>
    <row r="11" spans="1:13">
      <c r="A11" s="109" t="s">
        <v>0</v>
      </c>
      <c r="B11" s="114"/>
      <c r="C11" s="130" t="s">
        <v>15</v>
      </c>
      <c r="D11" s="109" t="s">
        <v>1</v>
      </c>
      <c r="E11" s="110">
        <v>15</v>
      </c>
      <c r="F11" s="110">
        <f>E11*F10</f>
        <v>42.3</v>
      </c>
      <c r="G11" s="110"/>
      <c r="H11" s="110"/>
      <c r="I11" s="110"/>
      <c r="J11" s="110"/>
      <c r="K11" s="110"/>
      <c r="L11" s="110"/>
      <c r="M11" s="110"/>
    </row>
    <row r="12" spans="1:13">
      <c r="A12" s="109" t="s">
        <v>196</v>
      </c>
      <c r="B12" s="114" t="s">
        <v>296</v>
      </c>
      <c r="C12" s="130" t="s">
        <v>68</v>
      </c>
      <c r="D12" s="109" t="s">
        <v>24</v>
      </c>
      <c r="E12" s="110">
        <v>2.16</v>
      </c>
      <c r="F12" s="110">
        <f>E12*F10</f>
        <v>6.0911999999999997</v>
      </c>
      <c r="G12" s="110"/>
      <c r="H12" s="110"/>
      <c r="I12" s="110"/>
      <c r="J12" s="110"/>
      <c r="K12" s="110"/>
      <c r="L12" s="110"/>
      <c r="M12" s="110"/>
    </row>
    <row r="13" spans="1:13">
      <c r="A13" s="109" t="s">
        <v>197</v>
      </c>
      <c r="B13" s="114" t="s">
        <v>346</v>
      </c>
      <c r="C13" s="130" t="s">
        <v>79</v>
      </c>
      <c r="D13" s="109" t="s">
        <v>24</v>
      </c>
      <c r="E13" s="110">
        <v>2.73</v>
      </c>
      <c r="F13" s="110">
        <f>E13*F10</f>
        <v>7.6985999999999999</v>
      </c>
      <c r="G13" s="110"/>
      <c r="H13" s="110"/>
      <c r="I13" s="110"/>
      <c r="J13" s="110"/>
      <c r="K13" s="110"/>
      <c r="L13" s="110"/>
      <c r="M13" s="110"/>
    </row>
    <row r="14" spans="1:13">
      <c r="A14" s="109" t="s">
        <v>198</v>
      </c>
      <c r="B14" s="114" t="s">
        <v>347</v>
      </c>
      <c r="C14" s="130" t="s">
        <v>69</v>
      </c>
      <c r="D14" s="109" t="s">
        <v>24</v>
      </c>
      <c r="E14" s="110">
        <v>0.97</v>
      </c>
      <c r="F14" s="110">
        <f>E14*F10</f>
        <v>2.7353999999999998</v>
      </c>
      <c r="G14" s="110"/>
      <c r="H14" s="110"/>
      <c r="I14" s="110"/>
      <c r="J14" s="110"/>
      <c r="K14" s="110"/>
      <c r="L14" s="110"/>
      <c r="M14" s="110"/>
    </row>
    <row r="15" spans="1:13">
      <c r="A15" s="109" t="s">
        <v>203</v>
      </c>
      <c r="B15" s="114"/>
      <c r="C15" s="130" t="s">
        <v>70</v>
      </c>
      <c r="D15" s="109" t="s">
        <v>283</v>
      </c>
      <c r="E15" s="110">
        <v>7</v>
      </c>
      <c r="F15" s="110">
        <f>E15*F10</f>
        <v>19.739999999999998</v>
      </c>
      <c r="G15" s="110"/>
      <c r="H15" s="110"/>
      <c r="I15" s="110"/>
      <c r="J15" s="110"/>
      <c r="K15" s="110"/>
      <c r="L15" s="110"/>
      <c r="M15" s="110"/>
    </row>
    <row r="16" spans="1:13">
      <c r="A16" s="109" t="s">
        <v>204</v>
      </c>
      <c r="B16" s="114" t="s">
        <v>348</v>
      </c>
      <c r="C16" s="128" t="s">
        <v>349</v>
      </c>
      <c r="D16" s="109" t="s">
        <v>283</v>
      </c>
      <c r="E16" s="110">
        <v>122</v>
      </c>
      <c r="F16" s="110">
        <f>E16*F10</f>
        <v>344.03999999999996</v>
      </c>
      <c r="G16" s="110"/>
      <c r="H16" s="110"/>
      <c r="I16" s="110"/>
      <c r="J16" s="110"/>
      <c r="K16" s="110"/>
      <c r="L16" s="110"/>
      <c r="M16" s="110"/>
    </row>
    <row r="17" spans="1:13">
      <c r="A17" s="109" t="s">
        <v>265</v>
      </c>
      <c r="B17" s="146"/>
      <c r="C17" s="147" t="s">
        <v>69</v>
      </c>
      <c r="D17" s="138" t="s">
        <v>24</v>
      </c>
      <c r="E17" s="139">
        <v>0</v>
      </c>
      <c r="F17" s="139">
        <f>E17*F9</f>
        <v>0</v>
      </c>
      <c r="G17" s="139"/>
      <c r="H17" s="139"/>
      <c r="I17" s="139"/>
      <c r="J17" s="139"/>
      <c r="K17" s="139"/>
      <c r="L17" s="139"/>
      <c r="M17" s="139"/>
    </row>
    <row r="18" spans="1:13">
      <c r="A18" s="109" t="s">
        <v>266</v>
      </c>
      <c r="B18" s="146"/>
      <c r="C18" s="147" t="s">
        <v>70</v>
      </c>
      <c r="D18" s="138" t="s">
        <v>282</v>
      </c>
      <c r="E18" s="139">
        <v>0</v>
      </c>
      <c r="F18" s="139">
        <f>E18*F9</f>
        <v>0</v>
      </c>
      <c r="G18" s="139"/>
      <c r="H18" s="139"/>
      <c r="I18" s="139"/>
      <c r="J18" s="139"/>
      <c r="K18" s="139"/>
      <c r="L18" s="139"/>
      <c r="M18" s="139"/>
    </row>
    <row r="19" spans="1:13">
      <c r="A19" s="109" t="s">
        <v>267</v>
      </c>
      <c r="B19" s="146"/>
      <c r="C19" s="147" t="s">
        <v>137</v>
      </c>
      <c r="D19" s="138" t="s">
        <v>282</v>
      </c>
      <c r="E19" s="139">
        <v>0</v>
      </c>
      <c r="F19" s="139">
        <f>E19*F9</f>
        <v>0</v>
      </c>
      <c r="G19" s="139"/>
      <c r="H19" s="139"/>
      <c r="I19" s="139"/>
      <c r="J19" s="139"/>
      <c r="K19" s="139"/>
      <c r="L19" s="139"/>
      <c r="M19" s="139"/>
    </row>
    <row r="20" spans="1:13">
      <c r="A20" s="109"/>
      <c r="B20" s="114"/>
      <c r="C20" s="128"/>
      <c r="D20" s="109"/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A21" s="109">
        <v>1.2</v>
      </c>
      <c r="B21" s="114" t="s">
        <v>77</v>
      </c>
      <c r="C21" s="128" t="s">
        <v>76</v>
      </c>
      <c r="D21" s="109" t="s">
        <v>23</v>
      </c>
      <c r="E21" s="110"/>
      <c r="F21" s="110">
        <v>0.81</v>
      </c>
      <c r="G21" s="110"/>
      <c r="H21" s="110"/>
      <c r="I21" s="110"/>
      <c r="J21" s="110"/>
      <c r="K21" s="110"/>
      <c r="L21" s="110"/>
      <c r="M21" s="110"/>
    </row>
    <row r="22" spans="1:13">
      <c r="A22" s="109"/>
      <c r="B22" s="114"/>
      <c r="C22" s="128"/>
      <c r="D22" s="109" t="s">
        <v>101</v>
      </c>
      <c r="E22" s="110"/>
      <c r="F22" s="129">
        <f>F21</f>
        <v>0.81</v>
      </c>
      <c r="G22" s="110"/>
      <c r="H22" s="110"/>
      <c r="I22" s="110"/>
      <c r="J22" s="110"/>
      <c r="K22" s="110"/>
      <c r="L22" s="110"/>
      <c r="M22" s="110"/>
    </row>
    <row r="23" spans="1:13">
      <c r="A23" s="109" t="s">
        <v>21</v>
      </c>
      <c r="B23" s="114" t="s">
        <v>350</v>
      </c>
      <c r="C23" s="128" t="s">
        <v>78</v>
      </c>
      <c r="D23" s="109" t="s">
        <v>24</v>
      </c>
      <c r="E23" s="110">
        <v>0.3</v>
      </c>
      <c r="F23" s="110">
        <f>ROUND(E23*F22,1)</f>
        <v>0.2</v>
      </c>
      <c r="G23" s="110"/>
      <c r="H23" s="110"/>
      <c r="I23" s="110"/>
      <c r="J23" s="110"/>
      <c r="K23" s="110"/>
      <c r="L23" s="110"/>
      <c r="M23" s="110"/>
    </row>
    <row r="24" spans="1:13">
      <c r="A24" s="109" t="s">
        <v>35</v>
      </c>
      <c r="B24" s="114" t="s">
        <v>351</v>
      </c>
      <c r="C24" s="128" t="s">
        <v>83</v>
      </c>
      <c r="D24" s="109" t="s">
        <v>23</v>
      </c>
      <c r="E24" s="110">
        <v>1.03</v>
      </c>
      <c r="F24" s="110">
        <f>ROUND(E24*F22,2)</f>
        <v>0.83</v>
      </c>
      <c r="G24" s="110"/>
      <c r="H24" s="110"/>
      <c r="I24" s="110"/>
      <c r="J24" s="110"/>
      <c r="K24" s="110"/>
      <c r="L24" s="110"/>
      <c r="M24" s="110"/>
    </row>
    <row r="25" spans="1:13">
      <c r="A25" s="109"/>
      <c r="B25" s="114"/>
      <c r="C25" s="128"/>
      <c r="D25" s="109"/>
      <c r="E25" s="110"/>
      <c r="F25" s="110"/>
      <c r="G25" s="110"/>
      <c r="H25" s="110"/>
      <c r="I25" s="110"/>
      <c r="J25" s="110"/>
      <c r="K25" s="110"/>
      <c r="L25" s="110"/>
      <c r="M25" s="110"/>
    </row>
    <row r="26" spans="1:13" ht="25.5">
      <c r="A26" s="109">
        <v>1.3</v>
      </c>
      <c r="B26" s="140" t="s">
        <v>352</v>
      </c>
      <c r="C26" s="128" t="s">
        <v>353</v>
      </c>
      <c r="D26" s="109" t="s">
        <v>294</v>
      </c>
      <c r="E26" s="110"/>
      <c r="F26" s="110">
        <v>1344</v>
      </c>
      <c r="G26" s="110"/>
      <c r="H26" s="110"/>
      <c r="I26" s="110"/>
      <c r="J26" s="110"/>
      <c r="K26" s="110"/>
      <c r="L26" s="110"/>
      <c r="M26" s="110"/>
    </row>
    <row r="27" spans="1:13">
      <c r="A27" s="109"/>
      <c r="B27" s="140"/>
      <c r="C27" s="128"/>
      <c r="D27" s="109" t="s">
        <v>354</v>
      </c>
      <c r="E27" s="110"/>
      <c r="F27" s="129">
        <f>F26/1000</f>
        <v>1.3440000000000001</v>
      </c>
      <c r="G27" s="110"/>
      <c r="H27" s="110"/>
      <c r="I27" s="110"/>
      <c r="J27" s="110"/>
      <c r="K27" s="110"/>
      <c r="L27" s="110"/>
      <c r="M27" s="110"/>
    </row>
    <row r="28" spans="1:13">
      <c r="A28" s="109" t="s">
        <v>30</v>
      </c>
      <c r="B28" s="140"/>
      <c r="C28" s="128" t="s">
        <v>15</v>
      </c>
      <c r="D28" s="109" t="s">
        <v>1</v>
      </c>
      <c r="E28" s="110">
        <f>37.5+4*0.07</f>
        <v>37.78</v>
      </c>
      <c r="F28" s="110">
        <f>E28*F27</f>
        <v>50.776320000000005</v>
      </c>
      <c r="G28" s="110"/>
      <c r="H28" s="110"/>
      <c r="I28" s="110"/>
      <c r="J28" s="110"/>
      <c r="K28" s="110"/>
      <c r="L28" s="110"/>
      <c r="M28" s="110"/>
    </row>
    <row r="29" spans="1:13">
      <c r="A29" s="109" t="s">
        <v>45</v>
      </c>
      <c r="B29" s="140" t="s">
        <v>355</v>
      </c>
      <c r="C29" s="128" t="s">
        <v>80</v>
      </c>
      <c r="D29" s="109" t="s">
        <v>24</v>
      </c>
      <c r="E29" s="110">
        <v>3.7</v>
      </c>
      <c r="F29" s="110">
        <f>E29*F27</f>
        <v>4.9728000000000003</v>
      </c>
      <c r="G29" s="110"/>
      <c r="H29" s="110"/>
      <c r="I29" s="110"/>
      <c r="J29" s="110"/>
      <c r="K29" s="110"/>
      <c r="L29" s="110"/>
      <c r="M29" s="110"/>
    </row>
    <row r="30" spans="1:13">
      <c r="A30" s="109" t="s">
        <v>46</v>
      </c>
      <c r="B30" s="140" t="s">
        <v>356</v>
      </c>
      <c r="C30" s="128" t="s">
        <v>81</v>
      </c>
      <c r="D30" s="109" t="s">
        <v>24</v>
      </c>
      <c r="E30" s="110">
        <v>11.1</v>
      </c>
      <c r="F30" s="110">
        <f>E30*F27</f>
        <v>14.9184</v>
      </c>
      <c r="G30" s="110"/>
      <c r="H30" s="110"/>
      <c r="I30" s="110"/>
      <c r="J30" s="110"/>
      <c r="K30" s="110"/>
      <c r="L30" s="110"/>
      <c r="M30" s="110"/>
    </row>
    <row r="31" spans="1:13">
      <c r="A31" s="109" t="s">
        <v>47</v>
      </c>
      <c r="B31" s="140" t="s">
        <v>357</v>
      </c>
      <c r="C31" s="128" t="s">
        <v>84</v>
      </c>
      <c r="D31" s="109" t="s">
        <v>24</v>
      </c>
      <c r="E31" s="110">
        <v>3.02</v>
      </c>
      <c r="F31" s="110">
        <f>E31*F27</f>
        <v>4.0588800000000003</v>
      </c>
      <c r="G31" s="110"/>
      <c r="H31" s="110"/>
      <c r="I31" s="110"/>
      <c r="J31" s="110"/>
      <c r="K31" s="110"/>
      <c r="L31" s="110"/>
      <c r="M31" s="110"/>
    </row>
    <row r="32" spans="1:13">
      <c r="A32" s="109" t="s">
        <v>210</v>
      </c>
      <c r="B32" s="140"/>
      <c r="C32" s="128" t="s">
        <v>13</v>
      </c>
      <c r="D32" s="109" t="s">
        <v>25</v>
      </c>
      <c r="E32" s="110">
        <v>2.2999999999999998</v>
      </c>
      <c r="F32" s="110">
        <f>E32*F27</f>
        <v>3.0912000000000002</v>
      </c>
      <c r="G32" s="110"/>
      <c r="H32" s="110"/>
      <c r="I32" s="110"/>
      <c r="J32" s="110"/>
      <c r="K32" s="110"/>
      <c r="L32" s="110"/>
      <c r="M32" s="110"/>
    </row>
    <row r="33" spans="1:13">
      <c r="A33" s="109" t="s">
        <v>211</v>
      </c>
      <c r="B33" s="140" t="s">
        <v>358</v>
      </c>
      <c r="C33" s="128" t="s">
        <v>359</v>
      </c>
      <c r="D33" s="109" t="s">
        <v>23</v>
      </c>
      <c r="E33" s="110">
        <f>97.4+4*12.1</f>
        <v>145.80000000000001</v>
      </c>
      <c r="F33" s="110">
        <f>E33*F27</f>
        <v>195.95520000000002</v>
      </c>
      <c r="G33" s="110"/>
      <c r="H33" s="110"/>
      <c r="I33" s="110"/>
      <c r="J33" s="110"/>
      <c r="K33" s="110"/>
      <c r="L33" s="110"/>
      <c r="M33" s="110"/>
    </row>
    <row r="34" spans="1:13">
      <c r="A34" s="109" t="s">
        <v>212</v>
      </c>
      <c r="B34" s="140"/>
      <c r="C34" s="128" t="s">
        <v>14</v>
      </c>
      <c r="D34" s="109" t="s">
        <v>25</v>
      </c>
      <c r="E34" s="110">
        <f>14.5+4*0.2</f>
        <v>15.3</v>
      </c>
      <c r="F34" s="110">
        <f>E34*F27</f>
        <v>20.563200000000002</v>
      </c>
      <c r="G34" s="110"/>
      <c r="H34" s="110"/>
      <c r="I34" s="110"/>
      <c r="J34" s="110"/>
      <c r="K34" s="110"/>
      <c r="L34" s="110"/>
      <c r="M34" s="110"/>
    </row>
    <row r="35" spans="1:13">
      <c r="A35" s="109"/>
      <c r="B35" s="140"/>
      <c r="C35" s="128"/>
      <c r="D35" s="109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>
      <c r="A36" s="109">
        <v>1.4</v>
      </c>
      <c r="B36" s="114" t="s">
        <v>77</v>
      </c>
      <c r="C36" s="128" t="s">
        <v>76</v>
      </c>
      <c r="D36" s="109" t="s">
        <v>23</v>
      </c>
      <c r="E36" s="110"/>
      <c r="F36" s="110">
        <v>0.4</v>
      </c>
      <c r="G36" s="110"/>
      <c r="H36" s="110"/>
      <c r="I36" s="110"/>
      <c r="J36" s="110"/>
      <c r="K36" s="110"/>
      <c r="L36" s="110"/>
      <c r="M36" s="110"/>
    </row>
    <row r="37" spans="1:13">
      <c r="A37" s="109"/>
      <c r="B37" s="114"/>
      <c r="C37" s="128"/>
      <c r="D37" s="109" t="s">
        <v>101</v>
      </c>
      <c r="E37" s="110"/>
      <c r="F37" s="129">
        <f>F36</f>
        <v>0.4</v>
      </c>
      <c r="G37" s="110"/>
      <c r="H37" s="110"/>
      <c r="I37" s="110"/>
      <c r="J37" s="110"/>
      <c r="K37" s="110"/>
      <c r="L37" s="110"/>
      <c r="M37" s="110"/>
    </row>
    <row r="38" spans="1:13">
      <c r="A38" s="109" t="s">
        <v>22</v>
      </c>
      <c r="B38" s="114" t="s">
        <v>350</v>
      </c>
      <c r="C38" s="128" t="s">
        <v>78</v>
      </c>
      <c r="D38" s="109" t="s">
        <v>24</v>
      </c>
      <c r="E38" s="110">
        <v>0.3</v>
      </c>
      <c r="F38" s="110">
        <f>ROUND(E38*F37,1)</f>
        <v>0.1</v>
      </c>
      <c r="G38" s="110"/>
      <c r="H38" s="110"/>
      <c r="I38" s="110"/>
      <c r="J38" s="110"/>
      <c r="K38" s="110"/>
      <c r="L38" s="110"/>
      <c r="M38" s="110"/>
    </row>
    <row r="39" spans="1:13">
      <c r="A39" s="109" t="s">
        <v>222</v>
      </c>
      <c r="B39" s="114" t="s">
        <v>351</v>
      </c>
      <c r="C39" s="128" t="s">
        <v>83</v>
      </c>
      <c r="D39" s="109" t="s">
        <v>23</v>
      </c>
      <c r="E39" s="110">
        <v>1.03</v>
      </c>
      <c r="F39" s="110">
        <f>ROUND(E39*F37,2)</f>
        <v>0.41</v>
      </c>
      <c r="G39" s="110"/>
      <c r="H39" s="110"/>
      <c r="I39" s="110"/>
      <c r="J39" s="110"/>
      <c r="K39" s="110"/>
      <c r="L39" s="110"/>
      <c r="M39" s="110"/>
    </row>
    <row r="40" spans="1:13">
      <c r="A40" s="109"/>
      <c r="B40" s="114"/>
      <c r="C40" s="128"/>
      <c r="D40" s="109"/>
      <c r="E40" s="110"/>
      <c r="F40" s="110"/>
      <c r="G40" s="110"/>
      <c r="H40" s="110"/>
      <c r="I40" s="110"/>
      <c r="J40" s="110"/>
      <c r="K40" s="110"/>
      <c r="L40" s="110"/>
      <c r="M40" s="110"/>
    </row>
    <row r="41" spans="1:13" ht="25.5">
      <c r="A41" s="109">
        <v>1.5</v>
      </c>
      <c r="B41" s="140" t="s">
        <v>352</v>
      </c>
      <c r="C41" s="128" t="s">
        <v>364</v>
      </c>
      <c r="D41" s="109" t="s">
        <v>294</v>
      </c>
      <c r="E41" s="110"/>
      <c r="F41" s="110">
        <f>F26</f>
        <v>1344</v>
      </c>
      <c r="G41" s="110"/>
      <c r="H41" s="110"/>
      <c r="I41" s="110"/>
      <c r="J41" s="110"/>
      <c r="K41" s="110"/>
      <c r="L41" s="110"/>
      <c r="M41" s="110"/>
    </row>
    <row r="42" spans="1:13">
      <c r="A42" s="109"/>
      <c r="B42" s="140"/>
      <c r="C42" s="128"/>
      <c r="D42" s="109" t="s">
        <v>360</v>
      </c>
      <c r="E42" s="110"/>
      <c r="F42" s="129">
        <f>F41/1000</f>
        <v>1.3440000000000001</v>
      </c>
      <c r="G42" s="110"/>
      <c r="H42" s="110"/>
      <c r="I42" s="110"/>
      <c r="J42" s="110"/>
      <c r="K42" s="110"/>
      <c r="L42" s="110"/>
      <c r="M42" s="110"/>
    </row>
    <row r="43" spans="1:13">
      <c r="A43" s="109" t="s">
        <v>199</v>
      </c>
      <c r="B43" s="140"/>
      <c r="C43" s="128" t="s">
        <v>15</v>
      </c>
      <c r="D43" s="109" t="s">
        <v>1</v>
      </c>
      <c r="E43" s="110">
        <f>37.5-2*0.07</f>
        <v>37.36</v>
      </c>
      <c r="F43" s="110">
        <f>E43*F42</f>
        <v>50.211840000000002</v>
      </c>
      <c r="G43" s="110"/>
      <c r="H43" s="110"/>
      <c r="I43" s="110"/>
      <c r="J43" s="110"/>
      <c r="K43" s="110"/>
      <c r="L43" s="110"/>
      <c r="M43" s="110"/>
    </row>
    <row r="44" spans="1:13">
      <c r="A44" s="109" t="s">
        <v>200</v>
      </c>
      <c r="B44" s="140" t="s">
        <v>355</v>
      </c>
      <c r="C44" s="128" t="s">
        <v>80</v>
      </c>
      <c r="D44" s="109" t="s">
        <v>24</v>
      </c>
      <c r="E44" s="110">
        <v>3.02</v>
      </c>
      <c r="F44" s="110">
        <f>E44*F42</f>
        <v>4.0588800000000003</v>
      </c>
      <c r="G44" s="110"/>
      <c r="H44" s="110"/>
      <c r="I44" s="110"/>
      <c r="J44" s="110"/>
      <c r="K44" s="110"/>
      <c r="L44" s="110"/>
      <c r="M44" s="110"/>
    </row>
    <row r="45" spans="1:13">
      <c r="A45" s="109" t="s">
        <v>201</v>
      </c>
      <c r="B45" s="140" t="s">
        <v>356</v>
      </c>
      <c r="C45" s="128" t="s">
        <v>81</v>
      </c>
      <c r="D45" s="109" t="s">
        <v>24</v>
      </c>
      <c r="E45" s="110">
        <v>3.7</v>
      </c>
      <c r="F45" s="110">
        <f>E45*F42</f>
        <v>4.9728000000000003</v>
      </c>
      <c r="G45" s="110"/>
      <c r="H45" s="110"/>
      <c r="I45" s="110"/>
      <c r="J45" s="110"/>
      <c r="K45" s="110"/>
      <c r="L45" s="110"/>
      <c r="M45" s="110"/>
    </row>
    <row r="46" spans="1:13">
      <c r="A46" s="109" t="s">
        <v>202</v>
      </c>
      <c r="B46" s="140" t="s">
        <v>357</v>
      </c>
      <c r="C46" s="128" t="s">
        <v>84</v>
      </c>
      <c r="D46" s="109" t="s">
        <v>24</v>
      </c>
      <c r="E46" s="110">
        <v>11.1</v>
      </c>
      <c r="F46" s="110">
        <f>E46*F42</f>
        <v>14.9184</v>
      </c>
      <c r="G46" s="110"/>
      <c r="H46" s="110"/>
      <c r="I46" s="110"/>
      <c r="J46" s="110"/>
      <c r="K46" s="110"/>
      <c r="L46" s="110"/>
      <c r="M46" s="110"/>
    </row>
    <row r="47" spans="1:13">
      <c r="A47" s="109" t="s">
        <v>213</v>
      </c>
      <c r="B47" s="140"/>
      <c r="C47" s="128" t="s">
        <v>13</v>
      </c>
      <c r="D47" s="109" t="s">
        <v>25</v>
      </c>
      <c r="E47" s="110">
        <v>2.2999999999999998</v>
      </c>
      <c r="F47" s="110">
        <f>E47*F42</f>
        <v>3.0912000000000002</v>
      </c>
      <c r="G47" s="110"/>
      <c r="H47" s="110"/>
      <c r="I47" s="110"/>
      <c r="J47" s="110"/>
      <c r="K47" s="110"/>
      <c r="L47" s="110"/>
      <c r="M47" s="110"/>
    </row>
    <row r="48" spans="1:13">
      <c r="A48" s="109" t="s">
        <v>214</v>
      </c>
      <c r="B48" s="140" t="s">
        <v>361</v>
      </c>
      <c r="C48" s="128" t="s">
        <v>250</v>
      </c>
      <c r="D48" s="109" t="s">
        <v>23</v>
      </c>
      <c r="E48" s="110">
        <f>97.4-(12.1*2)</f>
        <v>73.2</v>
      </c>
      <c r="F48" s="110">
        <f>E48*F42</f>
        <v>98.380800000000008</v>
      </c>
      <c r="G48" s="110"/>
      <c r="H48" s="110"/>
      <c r="I48" s="110"/>
      <c r="J48" s="110"/>
      <c r="K48" s="110"/>
      <c r="L48" s="110"/>
      <c r="M48" s="110"/>
    </row>
    <row r="49" spans="1:14">
      <c r="A49" s="109" t="s">
        <v>225</v>
      </c>
      <c r="B49" s="140"/>
      <c r="C49" s="128" t="s">
        <v>14</v>
      </c>
      <c r="D49" s="109" t="s">
        <v>25</v>
      </c>
      <c r="E49" s="110">
        <f>14.5-2*0.2</f>
        <v>14.1</v>
      </c>
      <c r="F49" s="110">
        <f>E49*F42</f>
        <v>18.950400000000002</v>
      </c>
      <c r="G49" s="110"/>
      <c r="H49" s="110"/>
      <c r="I49" s="110"/>
      <c r="J49" s="110"/>
      <c r="K49" s="110"/>
      <c r="L49" s="110"/>
      <c r="M49" s="110"/>
    </row>
    <row r="50" spans="1:14">
      <c r="A50" s="109"/>
      <c r="B50" s="140"/>
      <c r="C50" s="128"/>
      <c r="D50" s="109"/>
      <c r="E50" s="110"/>
      <c r="F50" s="110"/>
      <c r="G50" s="110"/>
      <c r="H50" s="110"/>
      <c r="I50" s="110"/>
      <c r="J50" s="110"/>
      <c r="K50" s="110"/>
      <c r="L50" s="110"/>
      <c r="M50" s="110"/>
    </row>
    <row r="51" spans="1:14">
      <c r="A51" s="109">
        <v>1.6</v>
      </c>
      <c r="B51" s="114" t="s">
        <v>344</v>
      </c>
      <c r="C51" s="128" t="s">
        <v>362</v>
      </c>
      <c r="D51" s="109" t="s">
        <v>283</v>
      </c>
      <c r="E51" s="110"/>
      <c r="F51" s="110">
        <v>57</v>
      </c>
      <c r="G51" s="110"/>
      <c r="H51" s="110"/>
      <c r="I51" s="110"/>
      <c r="J51" s="110"/>
      <c r="K51" s="110"/>
      <c r="L51" s="110"/>
      <c r="M51" s="110"/>
      <c r="N51" s="89" t="s">
        <v>61</v>
      </c>
    </row>
    <row r="52" spans="1:14">
      <c r="A52" s="109"/>
      <c r="B52" s="114"/>
      <c r="C52" s="130"/>
      <c r="D52" s="109" t="s">
        <v>302</v>
      </c>
      <c r="E52" s="110"/>
      <c r="F52" s="110">
        <f>F51/100</f>
        <v>0.56999999999999995</v>
      </c>
      <c r="G52" s="110"/>
      <c r="H52" s="110"/>
      <c r="I52" s="110"/>
      <c r="J52" s="110"/>
      <c r="K52" s="110"/>
      <c r="L52" s="110"/>
      <c r="M52" s="110"/>
    </row>
    <row r="53" spans="1:14">
      <c r="A53" s="109" t="s">
        <v>62</v>
      </c>
      <c r="B53" s="114"/>
      <c r="C53" s="130" t="s">
        <v>15</v>
      </c>
      <c r="D53" s="109" t="s">
        <v>1</v>
      </c>
      <c r="E53" s="110">
        <v>15</v>
      </c>
      <c r="F53" s="110">
        <f>E53*F52</f>
        <v>8.5499999999999989</v>
      </c>
      <c r="G53" s="110"/>
      <c r="H53" s="110"/>
      <c r="I53" s="110"/>
      <c r="J53" s="110"/>
      <c r="K53" s="110"/>
      <c r="L53" s="110"/>
      <c r="M53" s="110"/>
    </row>
    <row r="54" spans="1:14">
      <c r="A54" s="109" t="s">
        <v>63</v>
      </c>
      <c r="B54" s="114" t="s">
        <v>296</v>
      </c>
      <c r="C54" s="130" t="s">
        <v>68</v>
      </c>
      <c r="D54" s="109" t="s">
        <v>24</v>
      </c>
      <c r="E54" s="110">
        <v>2.16</v>
      </c>
      <c r="F54" s="110">
        <f>E54*F52</f>
        <v>1.2312000000000001</v>
      </c>
      <c r="G54" s="110"/>
      <c r="H54" s="110"/>
      <c r="I54" s="110"/>
      <c r="J54" s="110"/>
      <c r="K54" s="110"/>
      <c r="L54" s="110"/>
      <c r="M54" s="110"/>
    </row>
    <row r="55" spans="1:14">
      <c r="A55" s="109" t="s">
        <v>215</v>
      </c>
      <c r="B55" s="114" t="s">
        <v>346</v>
      </c>
      <c r="C55" s="130" t="s">
        <v>79</v>
      </c>
      <c r="D55" s="109" t="s">
        <v>24</v>
      </c>
      <c r="E55" s="110">
        <v>2.73</v>
      </c>
      <c r="F55" s="110">
        <f>E55*F52</f>
        <v>1.5560999999999998</v>
      </c>
      <c r="G55" s="110"/>
      <c r="H55" s="110"/>
      <c r="I55" s="110"/>
      <c r="J55" s="110"/>
      <c r="K55" s="110"/>
      <c r="L55" s="110"/>
      <c r="M55" s="110"/>
    </row>
    <row r="56" spans="1:14">
      <c r="A56" s="109" t="s">
        <v>216</v>
      </c>
      <c r="B56" s="114" t="s">
        <v>347</v>
      </c>
      <c r="C56" s="130" t="s">
        <v>69</v>
      </c>
      <c r="D56" s="109" t="s">
        <v>24</v>
      </c>
      <c r="E56" s="110">
        <v>0.97</v>
      </c>
      <c r="F56" s="110">
        <f>E56*F52</f>
        <v>0.55289999999999995</v>
      </c>
      <c r="G56" s="110"/>
      <c r="H56" s="110"/>
      <c r="I56" s="110"/>
      <c r="J56" s="110"/>
      <c r="K56" s="110"/>
      <c r="L56" s="110"/>
      <c r="M56" s="110"/>
    </row>
    <row r="57" spans="1:14">
      <c r="A57" s="109" t="s">
        <v>217</v>
      </c>
      <c r="B57" s="114"/>
      <c r="C57" s="130" t="s">
        <v>70</v>
      </c>
      <c r="D57" s="109" t="s">
        <v>283</v>
      </c>
      <c r="E57" s="110">
        <v>7</v>
      </c>
      <c r="F57" s="110">
        <f>E57*F52</f>
        <v>3.9899999999999998</v>
      </c>
      <c r="G57" s="110"/>
      <c r="H57" s="110"/>
      <c r="I57" s="110"/>
      <c r="J57" s="110"/>
      <c r="K57" s="110"/>
      <c r="L57" s="110"/>
      <c r="M57" s="110"/>
    </row>
    <row r="58" spans="1:14" s="76" customFormat="1">
      <c r="A58" s="109" t="s">
        <v>218</v>
      </c>
      <c r="B58" s="114" t="s">
        <v>363</v>
      </c>
      <c r="C58" s="130" t="s">
        <v>161</v>
      </c>
      <c r="D58" s="109" t="s">
        <v>283</v>
      </c>
      <c r="E58" s="110">
        <v>122</v>
      </c>
      <c r="F58" s="110">
        <f>E58*F52</f>
        <v>69.539999999999992</v>
      </c>
      <c r="G58" s="110"/>
      <c r="H58" s="110"/>
      <c r="I58" s="110"/>
      <c r="J58" s="110"/>
      <c r="K58" s="110"/>
      <c r="L58" s="110"/>
      <c r="M58" s="110"/>
    </row>
    <row r="59" spans="1:14" s="76" customFormat="1">
      <c r="A59" s="98"/>
      <c r="B59" s="114"/>
      <c r="C59" s="127"/>
      <c r="D59" s="109"/>
      <c r="E59" s="109"/>
      <c r="F59" s="126"/>
      <c r="G59" s="132"/>
      <c r="H59" s="126"/>
      <c r="I59" s="132"/>
      <c r="J59" s="132"/>
      <c r="K59" s="126"/>
      <c r="L59" s="126"/>
      <c r="M59" s="126"/>
    </row>
    <row r="60" spans="1:14" s="76" customFormat="1">
      <c r="A60" s="98"/>
      <c r="B60" s="108"/>
      <c r="C60" s="108" t="s">
        <v>4</v>
      </c>
      <c r="D60" s="108"/>
      <c r="E60" s="108"/>
      <c r="F60" s="108"/>
      <c r="G60" s="108"/>
      <c r="H60" s="108"/>
      <c r="I60" s="108"/>
      <c r="J60" s="108"/>
      <c r="K60" s="108"/>
      <c r="L60" s="108"/>
      <c r="M60" s="108"/>
    </row>
    <row r="61" spans="1:14" s="76" customFormat="1">
      <c r="A61" s="98"/>
      <c r="B61" s="114"/>
      <c r="C61" s="109"/>
      <c r="D61" s="109"/>
      <c r="E61" s="110"/>
      <c r="F61" s="110"/>
      <c r="G61" s="110"/>
      <c r="H61" s="110"/>
      <c r="I61" s="110"/>
      <c r="J61" s="110"/>
      <c r="K61" s="110"/>
      <c r="L61" s="110"/>
      <c r="M61" s="110"/>
    </row>
    <row r="62" spans="1:14" s="76" customFormat="1">
      <c r="A62" s="98"/>
      <c r="B62" s="114"/>
      <c r="C62" s="109" t="s">
        <v>10</v>
      </c>
      <c r="D62" s="115">
        <v>0.1</v>
      </c>
      <c r="E62" s="110"/>
      <c r="F62" s="110"/>
      <c r="G62" s="110"/>
      <c r="H62" s="110"/>
      <c r="I62" s="110"/>
      <c r="J62" s="110"/>
      <c r="K62" s="110"/>
      <c r="L62" s="110"/>
      <c r="M62" s="110"/>
    </row>
    <row r="63" spans="1:14">
      <c r="A63" s="144"/>
      <c r="B63" s="114"/>
      <c r="C63" s="109" t="s">
        <v>4</v>
      </c>
      <c r="D63" s="115"/>
      <c r="E63" s="110"/>
      <c r="F63" s="110"/>
      <c r="G63" s="110"/>
      <c r="H63" s="110"/>
      <c r="I63" s="110"/>
      <c r="J63" s="110"/>
      <c r="K63" s="110"/>
      <c r="L63" s="110"/>
      <c r="M63" s="110"/>
    </row>
    <row r="64" spans="1:14">
      <c r="A64" s="144"/>
      <c r="B64" s="114"/>
      <c r="C64" s="109" t="s">
        <v>11</v>
      </c>
      <c r="D64" s="115">
        <v>0.08</v>
      </c>
      <c r="E64" s="110"/>
      <c r="F64" s="110"/>
      <c r="G64" s="110"/>
      <c r="H64" s="110"/>
      <c r="I64" s="110"/>
      <c r="J64" s="110"/>
      <c r="K64" s="110"/>
      <c r="L64" s="110"/>
      <c r="M64" s="110"/>
    </row>
    <row r="65" spans="1:13">
      <c r="A65" s="144"/>
      <c r="B65" s="109"/>
      <c r="C65" s="109"/>
      <c r="D65" s="115"/>
      <c r="E65" s="110"/>
      <c r="F65" s="110"/>
      <c r="G65" s="110"/>
      <c r="H65" s="110"/>
      <c r="I65" s="110"/>
      <c r="J65" s="110"/>
      <c r="K65" s="110"/>
      <c r="L65" s="110"/>
      <c r="M65" s="110"/>
    </row>
    <row r="66" spans="1:13">
      <c r="A66" s="144"/>
      <c r="B66" s="109"/>
      <c r="C66" s="98" t="s">
        <v>4</v>
      </c>
      <c r="D66" s="98"/>
      <c r="E66" s="108"/>
      <c r="F66" s="108"/>
      <c r="G66" s="108"/>
      <c r="H66" s="108"/>
      <c r="I66" s="108"/>
      <c r="J66" s="108"/>
      <c r="K66" s="108"/>
      <c r="L66" s="108"/>
      <c r="M66" s="108"/>
    </row>
    <row r="67" spans="1:13">
      <c r="B67" s="117"/>
      <c r="C67" s="118"/>
      <c r="D67" s="117"/>
      <c r="E67" s="117"/>
      <c r="F67" s="117"/>
      <c r="G67" s="117"/>
      <c r="H67" s="117"/>
      <c r="I67" s="117"/>
      <c r="J67" s="117"/>
      <c r="K67" s="117"/>
      <c r="L67" s="117"/>
      <c r="M67" s="119"/>
    </row>
    <row r="68" spans="1:13">
      <c r="B68" s="117"/>
      <c r="C68" s="118"/>
      <c r="D68" s="117"/>
      <c r="E68" s="117"/>
      <c r="F68" s="117"/>
      <c r="G68" s="117"/>
      <c r="H68" s="117"/>
      <c r="I68" s="117"/>
      <c r="J68" s="117"/>
      <c r="K68" s="117"/>
      <c r="L68" s="117"/>
      <c r="M68" s="119"/>
    </row>
    <row r="69" spans="1:13">
      <c r="B69" s="117"/>
      <c r="C69" s="118"/>
      <c r="D69" s="117"/>
      <c r="E69" s="117"/>
      <c r="F69" s="117"/>
      <c r="G69" s="117"/>
      <c r="H69" s="117"/>
      <c r="I69" s="117"/>
      <c r="J69" s="117"/>
      <c r="K69" s="117"/>
      <c r="L69" s="117"/>
      <c r="M69" s="119"/>
    </row>
    <row r="70" spans="1:13">
      <c r="B70" s="117"/>
      <c r="C70" s="118"/>
      <c r="D70" s="117"/>
      <c r="E70" s="117"/>
      <c r="F70" s="117"/>
      <c r="G70" s="117"/>
      <c r="H70" s="117"/>
      <c r="I70" s="117"/>
      <c r="J70" s="117"/>
      <c r="K70" s="117"/>
      <c r="L70" s="117"/>
      <c r="M70" s="119"/>
    </row>
    <row r="71" spans="1:13">
      <c r="B71" s="117"/>
      <c r="C71" s="118"/>
      <c r="D71" s="117"/>
      <c r="E71" s="117"/>
      <c r="F71" s="117"/>
      <c r="G71" s="117"/>
      <c r="H71" s="117"/>
      <c r="I71" s="117"/>
      <c r="J71" s="117"/>
      <c r="K71" s="117"/>
      <c r="L71" s="117"/>
      <c r="M71" s="119"/>
    </row>
    <row r="72" spans="1:13">
      <c r="B72" s="117"/>
      <c r="C72" s="118"/>
      <c r="D72" s="117"/>
      <c r="E72" s="117"/>
      <c r="F72" s="117"/>
      <c r="G72" s="117"/>
      <c r="H72" s="117"/>
      <c r="I72" s="117"/>
      <c r="J72" s="117"/>
      <c r="K72" s="117"/>
      <c r="L72" s="117"/>
      <c r="M72" s="119"/>
    </row>
    <row r="73" spans="1:13">
      <c r="B73" s="117"/>
      <c r="C73" s="118"/>
      <c r="D73" s="117"/>
      <c r="E73" s="117"/>
      <c r="F73" s="117"/>
      <c r="G73" s="117"/>
      <c r="H73" s="117"/>
      <c r="I73" s="117"/>
      <c r="J73" s="117"/>
      <c r="K73" s="117"/>
      <c r="L73" s="117"/>
      <c r="M73" s="119"/>
    </row>
    <row r="74" spans="1:13">
      <c r="B74" s="117"/>
      <c r="C74" s="118"/>
      <c r="D74" s="117"/>
      <c r="E74" s="117"/>
      <c r="F74" s="117"/>
      <c r="G74" s="117"/>
      <c r="H74" s="117"/>
      <c r="I74" s="117"/>
      <c r="J74" s="117"/>
      <c r="K74" s="117"/>
      <c r="L74" s="117"/>
      <c r="M74" s="119"/>
    </row>
    <row r="75" spans="1:13">
      <c r="B75" s="117"/>
      <c r="C75" s="118"/>
      <c r="D75" s="117"/>
      <c r="E75" s="117"/>
      <c r="F75" s="117"/>
      <c r="G75" s="117"/>
      <c r="H75" s="117"/>
      <c r="I75" s="117"/>
      <c r="J75" s="117"/>
      <c r="K75" s="117"/>
      <c r="L75" s="117"/>
      <c r="M75" s="119"/>
    </row>
    <row r="76" spans="1:13">
      <c r="B76" s="117"/>
      <c r="C76" s="118"/>
      <c r="D76" s="117"/>
      <c r="E76" s="117"/>
      <c r="F76" s="117"/>
      <c r="G76" s="117"/>
      <c r="H76" s="117"/>
      <c r="I76" s="117"/>
      <c r="J76" s="117"/>
      <c r="K76" s="117"/>
      <c r="L76" s="117"/>
      <c r="M76" s="119"/>
    </row>
    <row r="77" spans="1:13">
      <c r="B77" s="117"/>
      <c r="C77" s="118"/>
      <c r="D77" s="117"/>
      <c r="E77" s="117"/>
      <c r="F77" s="117"/>
      <c r="G77" s="117"/>
      <c r="H77" s="117"/>
      <c r="I77" s="117"/>
      <c r="J77" s="117"/>
      <c r="K77" s="117"/>
      <c r="L77" s="117"/>
      <c r="M77" s="119"/>
    </row>
    <row r="78" spans="1:13">
      <c r="B78" s="117"/>
      <c r="C78" s="118"/>
      <c r="D78" s="117"/>
      <c r="E78" s="117"/>
      <c r="F78" s="117"/>
      <c r="G78" s="117"/>
      <c r="H78" s="117"/>
      <c r="I78" s="117"/>
      <c r="J78" s="117"/>
      <c r="K78" s="117"/>
      <c r="L78" s="117"/>
      <c r="M78" s="119"/>
    </row>
    <row r="79" spans="1:13">
      <c r="B79" s="117"/>
      <c r="C79" s="118"/>
      <c r="D79" s="117"/>
      <c r="E79" s="117"/>
      <c r="F79" s="117"/>
      <c r="G79" s="117"/>
      <c r="H79" s="117"/>
      <c r="I79" s="117"/>
      <c r="J79" s="117"/>
      <c r="K79" s="117"/>
      <c r="L79" s="117"/>
      <c r="M79" s="119"/>
    </row>
    <row r="80" spans="1:13">
      <c r="B80" s="117"/>
      <c r="C80" s="118"/>
      <c r="D80" s="117"/>
      <c r="E80" s="117"/>
      <c r="F80" s="117"/>
      <c r="G80" s="117"/>
      <c r="H80" s="117"/>
      <c r="I80" s="117"/>
      <c r="J80" s="117"/>
      <c r="K80" s="117"/>
      <c r="L80" s="117"/>
      <c r="M80" s="119"/>
    </row>
    <row r="81" spans="2:13">
      <c r="B81" s="117"/>
      <c r="C81" s="118"/>
      <c r="D81" s="117"/>
      <c r="E81" s="117"/>
      <c r="F81" s="117"/>
      <c r="G81" s="117"/>
      <c r="H81" s="117"/>
      <c r="I81" s="117"/>
      <c r="J81" s="117"/>
      <c r="K81" s="117"/>
      <c r="L81" s="117"/>
      <c r="M81" s="119"/>
    </row>
    <row r="82" spans="2:13">
      <c r="B82" s="117"/>
      <c r="C82" s="118"/>
      <c r="D82" s="117"/>
      <c r="E82" s="117"/>
      <c r="F82" s="117"/>
      <c r="G82" s="117"/>
      <c r="H82" s="117"/>
      <c r="I82" s="117"/>
      <c r="J82" s="117"/>
      <c r="K82" s="117"/>
      <c r="L82" s="117"/>
      <c r="M82" s="119"/>
    </row>
    <row r="83" spans="2:13"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9"/>
    </row>
    <row r="84" spans="2:13"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9"/>
    </row>
    <row r="85" spans="2:13"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9"/>
    </row>
    <row r="86" spans="2:13"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9"/>
    </row>
    <row r="87" spans="2:13"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9"/>
    </row>
    <row r="88" spans="2:13"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9"/>
    </row>
    <row r="89" spans="2:13"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9"/>
    </row>
    <row r="90" spans="2:13"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9"/>
    </row>
    <row r="91" spans="2:13"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9"/>
    </row>
    <row r="92" spans="2:13"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9"/>
    </row>
    <row r="93" spans="2:13"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9"/>
    </row>
    <row r="94" spans="2:13">
      <c r="B94" s="117"/>
      <c r="C94" s="118"/>
      <c r="D94" s="117"/>
      <c r="E94" s="117"/>
      <c r="F94" s="117"/>
      <c r="G94" s="117"/>
      <c r="H94" s="117"/>
      <c r="I94" s="117"/>
      <c r="J94" s="117"/>
      <c r="K94" s="117"/>
      <c r="L94" s="117"/>
      <c r="M94" s="119"/>
    </row>
    <row r="95" spans="2:13">
      <c r="B95" s="117"/>
      <c r="C95" s="118"/>
      <c r="D95" s="117"/>
      <c r="E95" s="117"/>
      <c r="F95" s="117"/>
      <c r="G95" s="117"/>
      <c r="H95" s="117"/>
      <c r="I95" s="117"/>
      <c r="J95" s="117"/>
      <c r="K95" s="117"/>
      <c r="L95" s="117"/>
      <c r="M95" s="119"/>
    </row>
    <row r="96" spans="2:13">
      <c r="B96" s="117"/>
      <c r="C96" s="118"/>
      <c r="D96" s="117"/>
      <c r="E96" s="117"/>
      <c r="F96" s="117"/>
      <c r="G96" s="117"/>
      <c r="H96" s="117"/>
      <c r="I96" s="117"/>
      <c r="J96" s="117"/>
      <c r="K96" s="117"/>
      <c r="L96" s="117"/>
      <c r="M96" s="119"/>
    </row>
    <row r="97" spans="2:13">
      <c r="B97" s="117"/>
      <c r="C97" s="118"/>
      <c r="D97" s="117"/>
      <c r="E97" s="117"/>
      <c r="F97" s="117"/>
      <c r="G97" s="117"/>
      <c r="H97" s="117"/>
      <c r="I97" s="117"/>
      <c r="J97" s="117"/>
      <c r="K97" s="117"/>
      <c r="L97" s="117"/>
      <c r="M97" s="119"/>
    </row>
    <row r="98" spans="2:13">
      <c r="B98" s="117"/>
      <c r="C98" s="118"/>
      <c r="D98" s="117"/>
      <c r="E98" s="117"/>
      <c r="F98" s="117"/>
      <c r="G98" s="117"/>
      <c r="H98" s="117"/>
      <c r="I98" s="117"/>
      <c r="J98" s="117"/>
      <c r="K98" s="117"/>
      <c r="L98" s="117"/>
      <c r="M98" s="119"/>
    </row>
    <row r="99" spans="2:13">
      <c r="B99" s="117"/>
      <c r="C99" s="118"/>
      <c r="D99" s="117"/>
      <c r="E99" s="117"/>
      <c r="F99" s="117"/>
      <c r="G99" s="117"/>
      <c r="H99" s="117"/>
      <c r="I99" s="117"/>
      <c r="J99" s="117"/>
      <c r="K99" s="117"/>
      <c r="L99" s="117"/>
      <c r="M99" s="119"/>
    </row>
    <row r="100" spans="2:13">
      <c r="B100" s="117"/>
      <c r="C100" s="118"/>
      <c r="D100" s="117"/>
      <c r="E100" s="117"/>
      <c r="F100" s="117"/>
      <c r="G100" s="117"/>
      <c r="H100" s="117"/>
      <c r="I100" s="117"/>
      <c r="J100" s="117"/>
      <c r="K100" s="117"/>
      <c r="L100" s="117"/>
      <c r="M100" s="119"/>
    </row>
    <row r="101" spans="2:13">
      <c r="B101" s="117"/>
      <c r="C101" s="118"/>
      <c r="D101" s="117"/>
      <c r="E101" s="117"/>
      <c r="F101" s="117"/>
      <c r="G101" s="117"/>
      <c r="H101" s="117"/>
      <c r="I101" s="117"/>
      <c r="J101" s="117"/>
      <c r="K101" s="117"/>
      <c r="L101" s="117"/>
      <c r="M101" s="119"/>
    </row>
    <row r="102" spans="2:13">
      <c r="B102" s="117"/>
      <c r="C102" s="118"/>
      <c r="D102" s="117"/>
      <c r="E102" s="117"/>
      <c r="F102" s="117"/>
      <c r="G102" s="117"/>
      <c r="H102" s="117"/>
      <c r="I102" s="117"/>
      <c r="J102" s="117"/>
      <c r="K102" s="117"/>
      <c r="L102" s="117"/>
      <c r="M102" s="119"/>
    </row>
    <row r="103" spans="2:13">
      <c r="B103" s="117"/>
      <c r="C103" s="118"/>
      <c r="D103" s="117"/>
      <c r="E103" s="117"/>
      <c r="F103" s="117"/>
      <c r="G103" s="117"/>
      <c r="H103" s="117"/>
      <c r="I103" s="117"/>
      <c r="J103" s="117"/>
      <c r="K103" s="117"/>
      <c r="L103" s="117"/>
      <c r="M103" s="119"/>
    </row>
    <row r="104" spans="2:13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20"/>
    </row>
    <row r="105" spans="2:13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20"/>
    </row>
    <row r="106" spans="2:13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20"/>
    </row>
    <row r="107" spans="2:13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20"/>
    </row>
    <row r="108" spans="2:13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20"/>
    </row>
    <row r="109" spans="2:13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20"/>
    </row>
    <row r="110" spans="2:13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20"/>
    </row>
    <row r="111" spans="2:13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20"/>
    </row>
    <row r="112" spans="2:13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20"/>
    </row>
    <row r="113" spans="2:13"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20"/>
    </row>
    <row r="114" spans="2:13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20"/>
    </row>
    <row r="115" spans="2:13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20"/>
    </row>
    <row r="116" spans="2:13"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2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1"/>
  <dimension ref="A1:N116"/>
  <sheetViews>
    <sheetView view="pageBreakPreview" zoomScaleNormal="60" zoomScaleSheetLayoutView="100" workbookViewId="0">
      <selection activeCell="I15" sqref="I15"/>
    </sheetView>
  </sheetViews>
  <sheetFormatPr defaultRowHeight="12.75"/>
  <cols>
    <col min="1" max="1" width="6.5703125" style="116" customWidth="1"/>
    <col min="2" max="2" width="13" style="121" customWidth="1"/>
    <col min="3" max="3" width="65.140625" style="121" customWidth="1"/>
    <col min="4" max="12" width="10.140625" style="121" customWidth="1"/>
    <col min="13" max="13" width="10.140625" style="122" customWidth="1"/>
    <col min="14" max="14" width="9.140625" style="121"/>
    <col min="15" max="16384" width="9.140625" style="47"/>
  </cols>
  <sheetData>
    <row r="1" spans="1:14" s="81" customFormat="1">
      <c r="A1" s="162" t="s">
        <v>259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01"/>
    </row>
    <row r="2" spans="1:14" s="81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01"/>
    </row>
    <row r="3" spans="1:14" s="75" customFormat="1" ht="28.5" customHeigh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55" t="s">
        <v>279</v>
      </c>
      <c r="L3" s="155"/>
      <c r="M3" s="155" t="s">
        <v>4</v>
      </c>
      <c r="N3" s="121"/>
    </row>
    <row r="4" spans="1:14" s="75" customFormat="1" ht="12.75" customHeigh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  <c r="N4" s="121"/>
    </row>
    <row r="5" spans="1:14" s="75" customFormat="1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  <c r="N5" s="121"/>
    </row>
    <row r="6" spans="1:14" s="75" customForma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45"/>
      <c r="N6" s="121"/>
    </row>
    <row r="7" spans="1:14" s="75" customFormat="1" ht="25.5">
      <c r="A7" s="98"/>
      <c r="B7" s="109"/>
      <c r="C7" s="97" t="s">
        <v>97</v>
      </c>
      <c r="D7" s="109"/>
      <c r="E7" s="109"/>
      <c r="F7" s="109"/>
      <c r="G7" s="109"/>
      <c r="H7" s="109"/>
      <c r="I7" s="109"/>
      <c r="J7" s="109"/>
      <c r="K7" s="109"/>
      <c r="L7" s="109"/>
      <c r="M7" s="126"/>
      <c r="N7" s="121"/>
    </row>
    <row r="8" spans="1:14">
      <c r="A8" s="98"/>
      <c r="B8" s="148"/>
      <c r="C8" s="97"/>
      <c r="D8" s="109"/>
      <c r="E8" s="109"/>
      <c r="F8" s="109"/>
      <c r="G8" s="109"/>
      <c r="H8" s="109"/>
      <c r="I8" s="109"/>
      <c r="J8" s="109"/>
      <c r="K8" s="109"/>
      <c r="L8" s="109"/>
      <c r="M8" s="126"/>
    </row>
    <row r="9" spans="1:14">
      <c r="A9" s="109">
        <v>1.1000000000000001</v>
      </c>
      <c r="B9" s="114" t="s">
        <v>117</v>
      </c>
      <c r="C9" s="128" t="s">
        <v>118</v>
      </c>
      <c r="D9" s="109" t="s">
        <v>294</v>
      </c>
      <c r="E9" s="110"/>
      <c r="F9" s="110">
        <v>200</v>
      </c>
      <c r="G9" s="110"/>
      <c r="H9" s="110"/>
      <c r="I9" s="110"/>
      <c r="J9" s="110"/>
      <c r="K9" s="110"/>
      <c r="L9" s="110"/>
      <c r="M9" s="149"/>
    </row>
    <row r="10" spans="1:14">
      <c r="A10" s="109"/>
      <c r="B10" s="114"/>
      <c r="C10" s="128"/>
      <c r="D10" s="109" t="s">
        <v>295</v>
      </c>
      <c r="E10" s="110"/>
      <c r="F10" s="129">
        <f>F9/10000</f>
        <v>0.02</v>
      </c>
      <c r="G10" s="110"/>
      <c r="H10" s="110"/>
      <c r="I10" s="110"/>
      <c r="J10" s="110"/>
      <c r="K10" s="110"/>
      <c r="L10" s="110"/>
      <c r="M10" s="110"/>
    </row>
    <row r="11" spans="1:14">
      <c r="A11" s="109" t="s">
        <v>0</v>
      </c>
      <c r="B11" s="114"/>
      <c r="C11" s="128" t="s">
        <v>15</v>
      </c>
      <c r="D11" s="109" t="s">
        <v>1</v>
      </c>
      <c r="E11" s="110">
        <v>0.31</v>
      </c>
      <c r="F11" s="110">
        <f>E11*F10</f>
        <v>6.1999999999999998E-3</v>
      </c>
      <c r="G11" s="110"/>
      <c r="H11" s="110"/>
      <c r="I11" s="110"/>
      <c r="J11" s="110"/>
      <c r="K11" s="110"/>
      <c r="L11" s="110"/>
      <c r="M11" s="110"/>
    </row>
    <row r="12" spans="1:14">
      <c r="A12" s="109" t="s">
        <v>196</v>
      </c>
      <c r="B12" s="114" t="s">
        <v>296</v>
      </c>
      <c r="C12" s="130" t="s">
        <v>68</v>
      </c>
      <c r="D12" s="109" t="s">
        <v>24</v>
      </c>
      <c r="E12" s="110">
        <v>1.1200000000000001</v>
      </c>
      <c r="F12" s="110">
        <f>E12*F10</f>
        <v>2.2400000000000003E-2</v>
      </c>
      <c r="G12" s="110"/>
      <c r="H12" s="110"/>
      <c r="I12" s="110"/>
      <c r="J12" s="110"/>
      <c r="K12" s="110"/>
      <c r="L12" s="110"/>
      <c r="M12" s="110"/>
    </row>
    <row r="13" spans="1:14">
      <c r="A13" s="109"/>
      <c r="B13" s="114"/>
      <c r="C13" s="128"/>
      <c r="D13" s="109"/>
      <c r="E13" s="110"/>
      <c r="F13" s="110"/>
      <c r="G13" s="110"/>
      <c r="H13" s="110"/>
      <c r="I13" s="110"/>
      <c r="J13" s="110"/>
      <c r="K13" s="110"/>
      <c r="L13" s="110"/>
      <c r="M13" s="110"/>
    </row>
    <row r="14" spans="1:14">
      <c r="A14" s="109">
        <v>1.2</v>
      </c>
      <c r="B14" s="114" t="s">
        <v>344</v>
      </c>
      <c r="C14" s="128" t="s">
        <v>108</v>
      </c>
      <c r="D14" s="109" t="s">
        <v>283</v>
      </c>
      <c r="E14" s="110"/>
      <c r="F14" s="110">
        <v>57.8</v>
      </c>
      <c r="G14" s="110"/>
      <c r="H14" s="110"/>
      <c r="I14" s="110"/>
      <c r="J14" s="110"/>
      <c r="K14" s="110"/>
      <c r="L14" s="110"/>
      <c r="M14" s="149"/>
    </row>
    <row r="15" spans="1:14">
      <c r="A15" s="109"/>
      <c r="B15" s="114"/>
      <c r="C15" s="130"/>
      <c r="D15" s="109" t="s">
        <v>302</v>
      </c>
      <c r="E15" s="110"/>
      <c r="F15" s="129">
        <f>F14/100</f>
        <v>0.57799999999999996</v>
      </c>
      <c r="G15" s="110"/>
      <c r="H15" s="110"/>
      <c r="I15" s="110"/>
      <c r="J15" s="110"/>
      <c r="K15" s="110"/>
      <c r="L15" s="110"/>
      <c r="M15" s="110"/>
    </row>
    <row r="16" spans="1:14">
      <c r="A16" s="109" t="s">
        <v>21</v>
      </c>
      <c r="B16" s="114"/>
      <c r="C16" s="130" t="s">
        <v>15</v>
      </c>
      <c r="D16" s="109" t="s">
        <v>1</v>
      </c>
      <c r="E16" s="110">
        <v>15</v>
      </c>
      <c r="F16" s="110">
        <f>E16*F15</f>
        <v>8.67</v>
      </c>
      <c r="G16" s="110"/>
      <c r="H16" s="110"/>
      <c r="I16" s="110"/>
      <c r="J16" s="110"/>
      <c r="K16" s="110"/>
      <c r="L16" s="110"/>
      <c r="M16" s="110"/>
    </row>
    <row r="17" spans="1:13">
      <c r="A17" s="109" t="s">
        <v>35</v>
      </c>
      <c r="B17" s="114" t="s">
        <v>296</v>
      </c>
      <c r="C17" s="130" t="s">
        <v>68</v>
      </c>
      <c r="D17" s="109" t="s">
        <v>24</v>
      </c>
      <c r="E17" s="110">
        <v>2.16</v>
      </c>
      <c r="F17" s="110">
        <f>E17*F15</f>
        <v>1.24848</v>
      </c>
      <c r="G17" s="110"/>
      <c r="H17" s="110"/>
      <c r="I17" s="110"/>
      <c r="J17" s="110"/>
      <c r="K17" s="110"/>
      <c r="L17" s="110"/>
      <c r="M17" s="110"/>
    </row>
    <row r="18" spans="1:13">
      <c r="A18" s="109" t="s">
        <v>36</v>
      </c>
      <c r="B18" s="114" t="s">
        <v>346</v>
      </c>
      <c r="C18" s="130" t="s">
        <v>79</v>
      </c>
      <c r="D18" s="109" t="s">
        <v>24</v>
      </c>
      <c r="E18" s="110">
        <v>2.73</v>
      </c>
      <c r="F18" s="110">
        <f>E18*F15</f>
        <v>1.5779399999999999</v>
      </c>
      <c r="G18" s="110"/>
      <c r="H18" s="110"/>
      <c r="I18" s="110"/>
      <c r="J18" s="110"/>
      <c r="K18" s="110"/>
      <c r="L18" s="110"/>
      <c r="M18" s="110"/>
    </row>
    <row r="19" spans="1:13">
      <c r="A19" s="109" t="s">
        <v>37</v>
      </c>
      <c r="B19" s="114" t="s">
        <v>347</v>
      </c>
      <c r="C19" s="130" t="s">
        <v>69</v>
      </c>
      <c r="D19" s="109" t="s">
        <v>24</v>
      </c>
      <c r="E19" s="110">
        <v>0.97</v>
      </c>
      <c r="F19" s="110">
        <f>E19*F15</f>
        <v>0.56065999999999994</v>
      </c>
      <c r="G19" s="110"/>
      <c r="H19" s="110"/>
      <c r="I19" s="110"/>
      <c r="J19" s="110"/>
      <c r="K19" s="110"/>
      <c r="L19" s="110"/>
      <c r="M19" s="110"/>
    </row>
    <row r="20" spans="1:13">
      <c r="A20" s="109" t="s">
        <v>38</v>
      </c>
      <c r="B20" s="114"/>
      <c r="C20" s="130" t="s">
        <v>70</v>
      </c>
      <c r="D20" s="109" t="s">
        <v>283</v>
      </c>
      <c r="E20" s="110">
        <v>7</v>
      </c>
      <c r="F20" s="110">
        <f>E20*F15</f>
        <v>4.0459999999999994</v>
      </c>
      <c r="G20" s="110"/>
      <c r="H20" s="110"/>
      <c r="I20" s="110"/>
      <c r="J20" s="110"/>
      <c r="K20" s="110"/>
      <c r="L20" s="110"/>
      <c r="M20" s="110"/>
    </row>
    <row r="21" spans="1:13">
      <c r="A21" s="109" t="s">
        <v>39</v>
      </c>
      <c r="B21" s="114" t="s">
        <v>363</v>
      </c>
      <c r="C21" s="130" t="s">
        <v>161</v>
      </c>
      <c r="D21" s="109" t="s">
        <v>283</v>
      </c>
      <c r="E21" s="110">
        <v>122</v>
      </c>
      <c r="F21" s="110">
        <f>E21*F15</f>
        <v>70.515999999999991</v>
      </c>
      <c r="G21" s="110"/>
      <c r="H21" s="110"/>
      <c r="I21" s="110"/>
      <c r="J21" s="110"/>
      <c r="K21" s="110"/>
      <c r="L21" s="110"/>
      <c r="M21" s="110"/>
    </row>
    <row r="22" spans="1:13">
      <c r="A22" s="109"/>
      <c r="B22" s="114"/>
      <c r="C22" s="128"/>
      <c r="D22" s="109"/>
      <c r="E22" s="110"/>
      <c r="F22" s="110"/>
      <c r="G22" s="110"/>
      <c r="H22" s="110"/>
      <c r="I22" s="110"/>
      <c r="J22" s="110"/>
      <c r="K22" s="110"/>
      <c r="L22" s="110"/>
      <c r="M22" s="149"/>
    </row>
    <row r="23" spans="1:13">
      <c r="A23" s="109">
        <v>1.3</v>
      </c>
      <c r="B23" s="114" t="s">
        <v>365</v>
      </c>
      <c r="C23" s="128" t="s">
        <v>252</v>
      </c>
      <c r="D23" s="109" t="s">
        <v>294</v>
      </c>
      <c r="E23" s="110"/>
      <c r="F23" s="110">
        <v>723</v>
      </c>
      <c r="G23" s="110"/>
      <c r="H23" s="110"/>
      <c r="I23" s="110"/>
      <c r="J23" s="110"/>
      <c r="K23" s="110"/>
      <c r="L23" s="110"/>
      <c r="M23" s="149"/>
    </row>
    <row r="24" spans="1:13">
      <c r="A24" s="109"/>
      <c r="B24" s="114"/>
      <c r="C24" s="128"/>
      <c r="D24" s="109" t="s">
        <v>354</v>
      </c>
      <c r="E24" s="110"/>
      <c r="F24" s="129">
        <f>F23/1000</f>
        <v>0.72299999999999998</v>
      </c>
      <c r="G24" s="110"/>
      <c r="H24" s="110"/>
      <c r="I24" s="110"/>
      <c r="J24" s="110"/>
      <c r="K24" s="110"/>
      <c r="L24" s="110"/>
      <c r="M24" s="149"/>
    </row>
    <row r="25" spans="1:13">
      <c r="A25" s="109" t="s">
        <v>30</v>
      </c>
      <c r="B25" s="114"/>
      <c r="C25" s="128" t="s">
        <v>40</v>
      </c>
      <c r="D25" s="109" t="s">
        <v>1</v>
      </c>
      <c r="E25" s="110">
        <f>33</f>
        <v>33</v>
      </c>
      <c r="F25" s="110">
        <f>E25*F24</f>
        <v>23.858999999999998</v>
      </c>
      <c r="G25" s="110"/>
      <c r="H25" s="110"/>
      <c r="I25" s="110"/>
      <c r="J25" s="110"/>
      <c r="K25" s="110"/>
      <c r="L25" s="110"/>
      <c r="M25" s="149"/>
    </row>
    <row r="26" spans="1:13">
      <c r="A26" s="109" t="s">
        <v>45</v>
      </c>
      <c r="B26" s="114" t="s">
        <v>296</v>
      </c>
      <c r="C26" s="128" t="s">
        <v>113</v>
      </c>
      <c r="D26" s="109" t="s">
        <v>24</v>
      </c>
      <c r="E26" s="110">
        <f>1.91</f>
        <v>1.91</v>
      </c>
      <c r="F26" s="110">
        <f>E26*F24</f>
        <v>1.38093</v>
      </c>
      <c r="G26" s="110"/>
      <c r="H26" s="110"/>
      <c r="I26" s="110"/>
      <c r="J26" s="110"/>
      <c r="K26" s="110"/>
      <c r="L26" s="110"/>
      <c r="M26" s="149"/>
    </row>
    <row r="27" spans="1:13">
      <c r="A27" s="109" t="s">
        <v>46</v>
      </c>
      <c r="B27" s="114" t="s">
        <v>290</v>
      </c>
      <c r="C27" s="128" t="s">
        <v>75</v>
      </c>
      <c r="D27" s="109" t="s">
        <v>24</v>
      </c>
      <c r="E27" s="110">
        <v>2.58</v>
      </c>
      <c r="F27" s="110">
        <f>E27*F24</f>
        <v>1.86534</v>
      </c>
      <c r="G27" s="110"/>
      <c r="H27" s="110"/>
      <c r="I27" s="110"/>
      <c r="J27" s="110"/>
      <c r="K27" s="110"/>
      <c r="L27" s="110"/>
      <c r="M27" s="149"/>
    </row>
    <row r="28" spans="1:13">
      <c r="A28" s="109" t="s">
        <v>47</v>
      </c>
      <c r="B28" s="114" t="s">
        <v>355</v>
      </c>
      <c r="C28" s="128" t="s">
        <v>112</v>
      </c>
      <c r="D28" s="109" t="s">
        <v>24</v>
      </c>
      <c r="E28" s="110">
        <f>11.2</f>
        <v>11.2</v>
      </c>
      <c r="F28" s="110">
        <f>E28*F24</f>
        <v>8.0975999999999999</v>
      </c>
      <c r="G28" s="110"/>
      <c r="H28" s="110"/>
      <c r="I28" s="110"/>
      <c r="J28" s="110"/>
      <c r="K28" s="110"/>
      <c r="L28" s="110"/>
      <c r="M28" s="149"/>
    </row>
    <row r="29" spans="1:13">
      <c r="A29" s="109" t="s">
        <v>210</v>
      </c>
      <c r="B29" s="114" t="s">
        <v>356</v>
      </c>
      <c r="C29" s="128" t="s">
        <v>111</v>
      </c>
      <c r="D29" s="109" t="s">
        <v>24</v>
      </c>
      <c r="E29" s="110">
        <f>24.8</f>
        <v>24.8</v>
      </c>
      <c r="F29" s="110">
        <f>E29*F24</f>
        <v>17.930399999999999</v>
      </c>
      <c r="G29" s="110"/>
      <c r="H29" s="110"/>
      <c r="I29" s="110"/>
      <c r="J29" s="110"/>
      <c r="K29" s="110"/>
      <c r="L29" s="110"/>
      <c r="M29" s="149"/>
    </row>
    <row r="30" spans="1:13">
      <c r="A30" s="109" t="s">
        <v>211</v>
      </c>
      <c r="B30" s="114" t="s">
        <v>347</v>
      </c>
      <c r="C30" s="128" t="s">
        <v>110</v>
      </c>
      <c r="D30" s="109" t="s">
        <v>24</v>
      </c>
      <c r="E30" s="110">
        <f>4.14</f>
        <v>4.1399999999999997</v>
      </c>
      <c r="F30" s="110">
        <f>E30*F24</f>
        <v>2.9932199999999995</v>
      </c>
      <c r="G30" s="110"/>
      <c r="H30" s="110"/>
      <c r="I30" s="110"/>
      <c r="J30" s="110"/>
      <c r="K30" s="110"/>
      <c r="L30" s="110"/>
      <c r="M30" s="149"/>
    </row>
    <row r="31" spans="1:13">
      <c r="A31" s="109" t="s">
        <v>212</v>
      </c>
      <c r="B31" s="114" t="s">
        <v>366</v>
      </c>
      <c r="C31" s="128" t="s">
        <v>82</v>
      </c>
      <c r="D31" s="109" t="s">
        <v>24</v>
      </c>
      <c r="E31" s="110">
        <v>0.53</v>
      </c>
      <c r="F31" s="110">
        <f>E31*F24</f>
        <v>0.38319000000000003</v>
      </c>
      <c r="G31" s="110"/>
      <c r="H31" s="110"/>
      <c r="I31" s="110"/>
      <c r="J31" s="110"/>
      <c r="K31" s="110"/>
      <c r="L31" s="110"/>
      <c r="M31" s="149"/>
    </row>
    <row r="32" spans="1:13">
      <c r="A32" s="109" t="s">
        <v>226</v>
      </c>
      <c r="B32" s="114"/>
      <c r="C32" s="128" t="s">
        <v>109</v>
      </c>
      <c r="D32" s="109" t="s">
        <v>283</v>
      </c>
      <c r="E32" s="110">
        <f>30</f>
        <v>30</v>
      </c>
      <c r="F32" s="110">
        <f>E32*F24</f>
        <v>21.689999999999998</v>
      </c>
      <c r="G32" s="110"/>
      <c r="H32" s="110"/>
      <c r="I32" s="110"/>
      <c r="J32" s="110"/>
      <c r="K32" s="110"/>
      <c r="L32" s="110"/>
      <c r="M32" s="149"/>
    </row>
    <row r="33" spans="1:13">
      <c r="A33" s="109" t="s">
        <v>251</v>
      </c>
      <c r="B33" s="114" t="s">
        <v>367</v>
      </c>
      <c r="C33" s="128" t="s">
        <v>137</v>
      </c>
      <c r="D33" s="109" t="s">
        <v>283</v>
      </c>
      <c r="E33" s="110">
        <f>204-12.5*5</f>
        <v>141.5</v>
      </c>
      <c r="F33" s="110">
        <f>E33*F24</f>
        <v>102.30449999999999</v>
      </c>
      <c r="G33" s="110"/>
      <c r="H33" s="110"/>
      <c r="I33" s="110"/>
      <c r="J33" s="110"/>
      <c r="K33" s="110"/>
      <c r="L33" s="110"/>
      <c r="M33" s="149"/>
    </row>
    <row r="34" spans="1:13">
      <c r="A34" s="109"/>
      <c r="B34" s="114"/>
      <c r="C34" s="128"/>
      <c r="D34" s="109"/>
      <c r="E34" s="110"/>
      <c r="F34" s="110"/>
      <c r="G34" s="110"/>
      <c r="H34" s="110"/>
      <c r="I34" s="110"/>
      <c r="J34" s="110"/>
      <c r="K34" s="110"/>
      <c r="L34" s="110"/>
      <c r="M34" s="149"/>
    </row>
    <row r="35" spans="1:13">
      <c r="A35" s="109">
        <v>1.4</v>
      </c>
      <c r="B35" s="114" t="s">
        <v>77</v>
      </c>
      <c r="C35" s="128" t="s">
        <v>76</v>
      </c>
      <c r="D35" s="109" t="s">
        <v>23</v>
      </c>
      <c r="E35" s="110"/>
      <c r="F35" s="129">
        <f>F23*0.7/1000</f>
        <v>0.50609999999999999</v>
      </c>
      <c r="G35" s="110"/>
      <c r="H35" s="110"/>
      <c r="I35" s="110"/>
      <c r="J35" s="110"/>
      <c r="K35" s="110"/>
      <c r="L35" s="110"/>
      <c r="M35" s="149"/>
    </row>
    <row r="36" spans="1:13">
      <c r="A36" s="109"/>
      <c r="B36" s="114"/>
      <c r="C36" s="128"/>
      <c r="D36" s="109" t="s">
        <v>101</v>
      </c>
      <c r="E36" s="110"/>
      <c r="F36" s="129">
        <f>F35</f>
        <v>0.50609999999999999</v>
      </c>
      <c r="G36" s="110"/>
      <c r="H36" s="110"/>
      <c r="I36" s="110"/>
      <c r="J36" s="110"/>
      <c r="K36" s="110"/>
      <c r="L36" s="110"/>
      <c r="M36" s="110"/>
    </row>
    <row r="37" spans="1:13">
      <c r="A37" s="109" t="s">
        <v>22</v>
      </c>
      <c r="B37" s="114" t="s">
        <v>350</v>
      </c>
      <c r="C37" s="128" t="s">
        <v>78</v>
      </c>
      <c r="D37" s="109" t="s">
        <v>24</v>
      </c>
      <c r="E37" s="110">
        <v>0.3</v>
      </c>
      <c r="F37" s="110">
        <f>ROUND(E37*F36,1)</f>
        <v>0.2</v>
      </c>
      <c r="G37" s="110"/>
      <c r="H37" s="110"/>
      <c r="I37" s="110"/>
      <c r="J37" s="110"/>
      <c r="K37" s="110"/>
      <c r="L37" s="110"/>
      <c r="M37" s="110"/>
    </row>
    <row r="38" spans="1:13">
      <c r="A38" s="109" t="s">
        <v>222</v>
      </c>
      <c r="B38" s="114" t="s">
        <v>351</v>
      </c>
      <c r="C38" s="128" t="s">
        <v>83</v>
      </c>
      <c r="D38" s="109" t="s">
        <v>23</v>
      </c>
      <c r="E38" s="110">
        <v>1.03</v>
      </c>
      <c r="F38" s="110">
        <f>ROUND(E38*F36,2)</f>
        <v>0.52</v>
      </c>
      <c r="G38" s="110"/>
      <c r="H38" s="110"/>
      <c r="I38" s="110"/>
      <c r="J38" s="110"/>
      <c r="K38" s="110"/>
      <c r="L38" s="110"/>
      <c r="M38" s="110"/>
    </row>
    <row r="39" spans="1:13">
      <c r="A39" s="109"/>
      <c r="B39" s="114"/>
      <c r="C39" s="128"/>
      <c r="D39" s="109"/>
      <c r="E39" s="110"/>
      <c r="F39" s="110"/>
      <c r="G39" s="110"/>
      <c r="H39" s="110"/>
      <c r="I39" s="110"/>
      <c r="J39" s="110"/>
      <c r="K39" s="110"/>
      <c r="L39" s="110"/>
      <c r="M39" s="149"/>
    </row>
    <row r="40" spans="1:13" ht="25.5">
      <c r="A40" s="109">
        <v>1.5</v>
      </c>
      <c r="B40" s="140" t="s">
        <v>352</v>
      </c>
      <c r="C40" s="128" t="s">
        <v>249</v>
      </c>
      <c r="D40" s="109" t="s">
        <v>294</v>
      </c>
      <c r="E40" s="110"/>
      <c r="F40" s="110">
        <f>F23</f>
        <v>723</v>
      </c>
      <c r="G40" s="110"/>
      <c r="H40" s="110"/>
      <c r="I40" s="110"/>
      <c r="J40" s="110"/>
      <c r="K40" s="110"/>
      <c r="L40" s="110"/>
      <c r="M40" s="149"/>
    </row>
    <row r="41" spans="1:13">
      <c r="A41" s="109"/>
      <c r="B41" s="140"/>
      <c r="C41" s="128"/>
      <c r="D41" s="109" t="s">
        <v>354</v>
      </c>
      <c r="E41" s="110"/>
      <c r="F41" s="129">
        <f>F40/1000</f>
        <v>0.72299999999999998</v>
      </c>
      <c r="G41" s="110"/>
      <c r="H41" s="110"/>
      <c r="I41" s="110"/>
      <c r="J41" s="110"/>
      <c r="K41" s="110"/>
      <c r="L41" s="110"/>
      <c r="M41" s="110"/>
    </row>
    <row r="42" spans="1:13">
      <c r="A42" s="109" t="s">
        <v>199</v>
      </c>
      <c r="B42" s="140"/>
      <c r="C42" s="128" t="s">
        <v>15</v>
      </c>
      <c r="D42" s="109" t="s">
        <v>1</v>
      </c>
      <c r="E42" s="110">
        <f>37.5+4*0.07</f>
        <v>37.78</v>
      </c>
      <c r="F42" s="110">
        <f>E42*F41</f>
        <v>27.31494</v>
      </c>
      <c r="G42" s="110"/>
      <c r="H42" s="110"/>
      <c r="I42" s="110"/>
      <c r="J42" s="110"/>
      <c r="K42" s="110"/>
      <c r="L42" s="110"/>
      <c r="M42" s="110"/>
    </row>
    <row r="43" spans="1:13">
      <c r="A43" s="109" t="s">
        <v>200</v>
      </c>
      <c r="B43" s="140" t="s">
        <v>355</v>
      </c>
      <c r="C43" s="128" t="s">
        <v>80</v>
      </c>
      <c r="D43" s="109" t="s">
        <v>24</v>
      </c>
      <c r="E43" s="110">
        <v>3.7</v>
      </c>
      <c r="F43" s="110">
        <f>E43*F41</f>
        <v>2.6751</v>
      </c>
      <c r="G43" s="110"/>
      <c r="H43" s="110"/>
      <c r="I43" s="110"/>
      <c r="J43" s="110"/>
      <c r="K43" s="110"/>
      <c r="L43" s="110"/>
      <c r="M43" s="110"/>
    </row>
    <row r="44" spans="1:13">
      <c r="A44" s="109" t="s">
        <v>201</v>
      </c>
      <c r="B44" s="140" t="s">
        <v>356</v>
      </c>
      <c r="C44" s="128" t="s">
        <v>81</v>
      </c>
      <c r="D44" s="109" t="s">
        <v>24</v>
      </c>
      <c r="E44" s="110">
        <v>11.1</v>
      </c>
      <c r="F44" s="110">
        <f>E44*F41</f>
        <v>8.0252999999999997</v>
      </c>
      <c r="G44" s="110"/>
      <c r="H44" s="110"/>
      <c r="I44" s="110"/>
      <c r="J44" s="110"/>
      <c r="K44" s="110"/>
      <c r="L44" s="110"/>
      <c r="M44" s="110"/>
    </row>
    <row r="45" spans="1:13">
      <c r="A45" s="109" t="s">
        <v>202</v>
      </c>
      <c r="B45" s="140" t="s">
        <v>357</v>
      </c>
      <c r="C45" s="128" t="s">
        <v>84</v>
      </c>
      <c r="D45" s="109" t="s">
        <v>24</v>
      </c>
      <c r="E45" s="110">
        <v>3.02</v>
      </c>
      <c r="F45" s="110">
        <f>E45*F41</f>
        <v>2.1834599999999997</v>
      </c>
      <c r="G45" s="110"/>
      <c r="H45" s="110"/>
      <c r="I45" s="110"/>
      <c r="J45" s="110"/>
      <c r="K45" s="110"/>
      <c r="L45" s="110"/>
      <c r="M45" s="110"/>
    </row>
    <row r="46" spans="1:13">
      <c r="A46" s="109" t="s">
        <v>213</v>
      </c>
      <c r="B46" s="140"/>
      <c r="C46" s="128" t="s">
        <v>13</v>
      </c>
      <c r="D46" s="109" t="s">
        <v>25</v>
      </c>
      <c r="E46" s="110">
        <v>2.2999999999999998</v>
      </c>
      <c r="F46" s="110">
        <f>E46*F41</f>
        <v>1.6628999999999998</v>
      </c>
      <c r="G46" s="110"/>
      <c r="H46" s="110"/>
      <c r="I46" s="110"/>
      <c r="J46" s="110"/>
      <c r="K46" s="110"/>
      <c r="L46" s="110"/>
      <c r="M46" s="110"/>
    </row>
    <row r="47" spans="1:13">
      <c r="A47" s="109" t="s">
        <v>214</v>
      </c>
      <c r="B47" s="140" t="s">
        <v>358</v>
      </c>
      <c r="C47" s="128" t="s">
        <v>359</v>
      </c>
      <c r="D47" s="109" t="s">
        <v>23</v>
      </c>
      <c r="E47" s="110">
        <f>97.4+4*12.1</f>
        <v>145.80000000000001</v>
      </c>
      <c r="F47" s="110">
        <f>E47*F41</f>
        <v>105.41340000000001</v>
      </c>
      <c r="G47" s="110"/>
      <c r="H47" s="110"/>
      <c r="I47" s="110"/>
      <c r="J47" s="110"/>
      <c r="K47" s="110"/>
      <c r="L47" s="110"/>
      <c r="M47" s="110"/>
    </row>
    <row r="48" spans="1:13">
      <c r="A48" s="109" t="s">
        <v>225</v>
      </c>
      <c r="B48" s="140"/>
      <c r="C48" s="128" t="s">
        <v>14</v>
      </c>
      <c r="D48" s="109" t="s">
        <v>25</v>
      </c>
      <c r="E48" s="110">
        <f>14.5+4*0.2</f>
        <v>15.3</v>
      </c>
      <c r="F48" s="110">
        <f>E48*F41</f>
        <v>11.0619</v>
      </c>
      <c r="G48" s="110"/>
      <c r="H48" s="110"/>
      <c r="I48" s="110"/>
      <c r="J48" s="110"/>
      <c r="K48" s="110"/>
      <c r="L48" s="110"/>
      <c r="M48" s="110"/>
    </row>
    <row r="49" spans="1:14">
      <c r="A49" s="109"/>
      <c r="B49" s="140"/>
      <c r="C49" s="128"/>
      <c r="D49" s="109"/>
      <c r="E49" s="110"/>
      <c r="F49" s="110"/>
      <c r="G49" s="110"/>
      <c r="H49" s="110"/>
      <c r="I49" s="110"/>
      <c r="J49" s="110"/>
      <c r="K49" s="110"/>
      <c r="L49" s="110"/>
      <c r="M49" s="149"/>
    </row>
    <row r="50" spans="1:14">
      <c r="A50" s="109">
        <v>1.6</v>
      </c>
      <c r="B50" s="114" t="s">
        <v>77</v>
      </c>
      <c r="C50" s="128" t="s">
        <v>76</v>
      </c>
      <c r="D50" s="109" t="s">
        <v>23</v>
      </c>
      <c r="E50" s="110"/>
      <c r="F50" s="129">
        <f>F40*0.7/1000*0.5</f>
        <v>0.25305</v>
      </c>
      <c r="G50" s="110"/>
      <c r="H50" s="110"/>
      <c r="I50" s="110"/>
      <c r="J50" s="110"/>
      <c r="K50" s="110"/>
      <c r="L50" s="110"/>
      <c r="M50" s="149"/>
    </row>
    <row r="51" spans="1:14">
      <c r="A51" s="109"/>
      <c r="B51" s="114"/>
      <c r="C51" s="128"/>
      <c r="D51" s="109" t="s">
        <v>101</v>
      </c>
      <c r="E51" s="110"/>
      <c r="F51" s="129">
        <f>F50</f>
        <v>0.25305</v>
      </c>
      <c r="G51" s="110"/>
      <c r="H51" s="110"/>
      <c r="I51" s="110"/>
      <c r="J51" s="110"/>
      <c r="K51" s="110"/>
      <c r="L51" s="110"/>
      <c r="M51" s="110"/>
    </row>
    <row r="52" spans="1:14">
      <c r="A52" s="109" t="s">
        <v>62</v>
      </c>
      <c r="B52" s="114" t="s">
        <v>350</v>
      </c>
      <c r="C52" s="128" t="s">
        <v>78</v>
      </c>
      <c r="D52" s="109" t="s">
        <v>24</v>
      </c>
      <c r="E52" s="110">
        <v>0.3</v>
      </c>
      <c r="F52" s="129">
        <f>E52*F51</f>
        <v>7.5914999999999996E-2</v>
      </c>
      <c r="G52" s="110"/>
      <c r="H52" s="110"/>
      <c r="I52" s="110"/>
      <c r="J52" s="110"/>
      <c r="K52" s="110"/>
      <c r="L52" s="110"/>
      <c r="M52" s="110"/>
    </row>
    <row r="53" spans="1:14">
      <c r="A53" s="109" t="s">
        <v>63</v>
      </c>
      <c r="B53" s="114" t="s">
        <v>351</v>
      </c>
      <c r="C53" s="128" t="s">
        <v>83</v>
      </c>
      <c r="D53" s="109" t="s">
        <v>23</v>
      </c>
      <c r="E53" s="110">
        <v>1.03</v>
      </c>
      <c r="F53" s="110">
        <f>ROUND(E53*F51,2)</f>
        <v>0.26</v>
      </c>
      <c r="G53" s="110"/>
      <c r="H53" s="110"/>
      <c r="I53" s="110"/>
      <c r="J53" s="110"/>
      <c r="K53" s="110"/>
      <c r="L53" s="110"/>
      <c r="M53" s="110"/>
    </row>
    <row r="54" spans="1:14">
      <c r="A54" s="109"/>
      <c r="B54" s="114"/>
      <c r="C54" s="128"/>
      <c r="D54" s="109"/>
      <c r="E54" s="110"/>
      <c r="F54" s="110"/>
      <c r="G54" s="110"/>
      <c r="H54" s="110"/>
      <c r="I54" s="110"/>
      <c r="J54" s="110"/>
      <c r="K54" s="110"/>
      <c r="L54" s="110"/>
      <c r="M54" s="149"/>
    </row>
    <row r="55" spans="1:14" ht="25.5">
      <c r="A55" s="109">
        <v>1.7</v>
      </c>
      <c r="B55" s="140" t="s">
        <v>352</v>
      </c>
      <c r="C55" s="128" t="s">
        <v>253</v>
      </c>
      <c r="D55" s="109" t="s">
        <v>294</v>
      </c>
      <c r="E55" s="110"/>
      <c r="F55" s="110">
        <f>F40</f>
        <v>723</v>
      </c>
      <c r="G55" s="110"/>
      <c r="H55" s="110"/>
      <c r="I55" s="110"/>
      <c r="J55" s="110"/>
      <c r="K55" s="110"/>
      <c r="L55" s="110"/>
      <c r="M55" s="149"/>
    </row>
    <row r="56" spans="1:14">
      <c r="A56" s="109"/>
      <c r="B56" s="140"/>
      <c r="C56" s="128"/>
      <c r="D56" s="109" t="s">
        <v>360</v>
      </c>
      <c r="E56" s="110"/>
      <c r="F56" s="129">
        <f>F41</f>
        <v>0.72299999999999998</v>
      </c>
      <c r="G56" s="110"/>
      <c r="H56" s="110"/>
      <c r="I56" s="110"/>
      <c r="J56" s="110"/>
      <c r="K56" s="110"/>
      <c r="L56" s="110"/>
      <c r="M56" s="110"/>
    </row>
    <row r="57" spans="1:14">
      <c r="A57" s="109" t="s">
        <v>64</v>
      </c>
      <c r="B57" s="140"/>
      <c r="C57" s="128" t="s">
        <v>15</v>
      </c>
      <c r="D57" s="109" t="s">
        <v>1</v>
      </c>
      <c r="E57" s="110">
        <f>37.5-2*0.07</f>
        <v>37.36</v>
      </c>
      <c r="F57" s="110">
        <f>E57*F56</f>
        <v>27.011279999999999</v>
      </c>
      <c r="G57" s="110"/>
      <c r="H57" s="110"/>
      <c r="I57" s="110"/>
      <c r="J57" s="110"/>
      <c r="K57" s="110"/>
      <c r="L57" s="110"/>
      <c r="M57" s="110"/>
    </row>
    <row r="58" spans="1:14" s="76" customFormat="1">
      <c r="A58" s="109" t="s">
        <v>65</v>
      </c>
      <c r="B58" s="140" t="s">
        <v>355</v>
      </c>
      <c r="C58" s="128" t="s">
        <v>80</v>
      </c>
      <c r="D58" s="109" t="s">
        <v>24</v>
      </c>
      <c r="E58" s="110">
        <v>3.7</v>
      </c>
      <c r="F58" s="110">
        <f>E58*F56</f>
        <v>2.6751</v>
      </c>
      <c r="G58" s="110"/>
      <c r="H58" s="110"/>
      <c r="I58" s="110"/>
      <c r="J58" s="110"/>
      <c r="K58" s="110"/>
      <c r="L58" s="110"/>
      <c r="M58" s="110"/>
      <c r="N58" s="121"/>
    </row>
    <row r="59" spans="1:14" s="76" customFormat="1">
      <c r="A59" s="109" t="s">
        <v>205</v>
      </c>
      <c r="B59" s="140" t="s">
        <v>356</v>
      </c>
      <c r="C59" s="128" t="s">
        <v>81</v>
      </c>
      <c r="D59" s="109" t="s">
        <v>24</v>
      </c>
      <c r="E59" s="110">
        <v>11.1</v>
      </c>
      <c r="F59" s="110">
        <f>E59*F56</f>
        <v>8.0252999999999997</v>
      </c>
      <c r="G59" s="110"/>
      <c r="H59" s="110"/>
      <c r="I59" s="110"/>
      <c r="J59" s="110"/>
      <c r="K59" s="110"/>
      <c r="L59" s="110"/>
      <c r="M59" s="110"/>
      <c r="N59" s="121"/>
    </row>
    <row r="60" spans="1:14" s="76" customFormat="1">
      <c r="A60" s="109" t="s">
        <v>206</v>
      </c>
      <c r="B60" s="140" t="s">
        <v>357</v>
      </c>
      <c r="C60" s="128" t="s">
        <v>84</v>
      </c>
      <c r="D60" s="109" t="s">
        <v>24</v>
      </c>
      <c r="E60" s="110">
        <v>3.02</v>
      </c>
      <c r="F60" s="110">
        <f>E60*F56</f>
        <v>2.1834599999999997</v>
      </c>
      <c r="G60" s="110"/>
      <c r="H60" s="110"/>
      <c r="I60" s="110"/>
      <c r="J60" s="110"/>
      <c r="K60" s="110"/>
      <c r="L60" s="110"/>
      <c r="M60" s="110"/>
      <c r="N60" s="121"/>
    </row>
    <row r="61" spans="1:14" s="76" customFormat="1">
      <c r="A61" s="109" t="s">
        <v>207</v>
      </c>
      <c r="B61" s="140"/>
      <c r="C61" s="128" t="s">
        <v>13</v>
      </c>
      <c r="D61" s="109" t="s">
        <v>25</v>
      </c>
      <c r="E61" s="110">
        <v>2.2999999999999998</v>
      </c>
      <c r="F61" s="110">
        <f>E61*F56</f>
        <v>1.6628999999999998</v>
      </c>
      <c r="G61" s="110"/>
      <c r="H61" s="110"/>
      <c r="I61" s="110"/>
      <c r="J61" s="110"/>
      <c r="K61" s="110"/>
      <c r="L61" s="110"/>
      <c r="M61" s="110"/>
      <c r="N61" s="121"/>
    </row>
    <row r="62" spans="1:14" s="76" customFormat="1">
      <c r="A62" s="109" t="s">
        <v>208</v>
      </c>
      <c r="B62" s="140" t="s">
        <v>361</v>
      </c>
      <c r="C62" s="128" t="s">
        <v>250</v>
      </c>
      <c r="D62" s="109" t="s">
        <v>23</v>
      </c>
      <c r="E62" s="110">
        <f>97.4-2*12.1</f>
        <v>73.2</v>
      </c>
      <c r="F62" s="110">
        <f>E62*F56</f>
        <v>52.9236</v>
      </c>
      <c r="G62" s="110"/>
      <c r="H62" s="110"/>
      <c r="I62" s="110"/>
      <c r="J62" s="110"/>
      <c r="K62" s="110"/>
      <c r="L62" s="110"/>
      <c r="M62" s="110"/>
      <c r="N62" s="121"/>
    </row>
    <row r="63" spans="1:14">
      <c r="A63" s="109" t="s">
        <v>209</v>
      </c>
      <c r="B63" s="140"/>
      <c r="C63" s="128" t="s">
        <v>14</v>
      </c>
      <c r="D63" s="109" t="s">
        <v>25</v>
      </c>
      <c r="E63" s="110">
        <f>14.5-2*0.2</f>
        <v>14.1</v>
      </c>
      <c r="F63" s="110">
        <f>E63*F56</f>
        <v>10.1943</v>
      </c>
      <c r="G63" s="110"/>
      <c r="H63" s="110"/>
      <c r="I63" s="110"/>
      <c r="J63" s="110"/>
      <c r="K63" s="110"/>
      <c r="L63" s="110"/>
      <c r="M63" s="110"/>
    </row>
    <row r="64" spans="1:14">
      <c r="A64" s="109"/>
      <c r="B64" s="140"/>
      <c r="C64" s="128"/>
      <c r="D64" s="109"/>
      <c r="E64" s="110"/>
      <c r="F64" s="110"/>
      <c r="G64" s="110"/>
      <c r="H64" s="110"/>
      <c r="I64" s="110"/>
      <c r="J64" s="110"/>
      <c r="K64" s="110"/>
      <c r="L64" s="110"/>
      <c r="M64" s="149"/>
    </row>
    <row r="65" spans="1:13">
      <c r="A65" s="109">
        <v>1.8</v>
      </c>
      <c r="B65" s="114" t="s">
        <v>344</v>
      </c>
      <c r="C65" s="128" t="s">
        <v>227</v>
      </c>
      <c r="D65" s="109" t="s">
        <v>283</v>
      </c>
      <c r="E65" s="110"/>
      <c r="F65" s="110">
        <v>21.7</v>
      </c>
      <c r="G65" s="110"/>
      <c r="H65" s="110"/>
      <c r="I65" s="110"/>
      <c r="J65" s="110"/>
      <c r="K65" s="110"/>
      <c r="L65" s="110"/>
      <c r="M65" s="149"/>
    </row>
    <row r="66" spans="1:13">
      <c r="A66" s="109"/>
      <c r="B66" s="114"/>
      <c r="C66" s="130"/>
      <c r="D66" s="109" t="s">
        <v>302</v>
      </c>
      <c r="E66" s="110"/>
      <c r="F66" s="129">
        <f>F65/100</f>
        <v>0.217</v>
      </c>
      <c r="G66" s="110"/>
      <c r="H66" s="110"/>
      <c r="I66" s="110"/>
      <c r="J66" s="110"/>
      <c r="K66" s="110"/>
      <c r="L66" s="110"/>
      <c r="M66" s="110"/>
    </row>
    <row r="67" spans="1:13">
      <c r="A67" s="109" t="s">
        <v>66</v>
      </c>
      <c r="B67" s="114"/>
      <c r="C67" s="130" t="s">
        <v>15</v>
      </c>
      <c r="D67" s="109" t="s">
        <v>1</v>
      </c>
      <c r="E67" s="110">
        <v>15</v>
      </c>
      <c r="F67" s="110">
        <f>E67*F66</f>
        <v>3.2549999999999999</v>
      </c>
      <c r="G67" s="110"/>
      <c r="H67" s="110"/>
      <c r="I67" s="110"/>
      <c r="J67" s="110"/>
      <c r="K67" s="110"/>
      <c r="L67" s="110"/>
      <c r="M67" s="110"/>
    </row>
    <row r="68" spans="1:13">
      <c r="A68" s="109" t="s">
        <v>67</v>
      </c>
      <c r="B68" s="114" t="s">
        <v>296</v>
      </c>
      <c r="C68" s="130" t="s">
        <v>68</v>
      </c>
      <c r="D68" s="109" t="s">
        <v>24</v>
      </c>
      <c r="E68" s="110">
        <v>2.16</v>
      </c>
      <c r="F68" s="110">
        <f>E68*F66</f>
        <v>0.46872000000000003</v>
      </c>
      <c r="G68" s="110"/>
      <c r="H68" s="110"/>
      <c r="I68" s="110"/>
      <c r="J68" s="110"/>
      <c r="K68" s="110"/>
      <c r="L68" s="110"/>
      <c r="M68" s="110"/>
    </row>
    <row r="69" spans="1:13">
      <c r="A69" s="109" t="s">
        <v>219</v>
      </c>
      <c r="B69" s="114" t="s">
        <v>346</v>
      </c>
      <c r="C69" s="130" t="s">
        <v>79</v>
      </c>
      <c r="D69" s="109" t="s">
        <v>24</v>
      </c>
      <c r="E69" s="110">
        <v>2.73</v>
      </c>
      <c r="F69" s="110">
        <f>E69*F66</f>
        <v>0.59240999999999999</v>
      </c>
      <c r="G69" s="110"/>
      <c r="H69" s="110"/>
      <c r="I69" s="110"/>
      <c r="J69" s="110"/>
      <c r="K69" s="110"/>
      <c r="L69" s="110"/>
      <c r="M69" s="110"/>
    </row>
    <row r="70" spans="1:13">
      <c r="A70" s="109" t="s">
        <v>220</v>
      </c>
      <c r="B70" s="114" t="s">
        <v>347</v>
      </c>
      <c r="C70" s="130" t="s">
        <v>69</v>
      </c>
      <c r="D70" s="109" t="s">
        <v>24</v>
      </c>
      <c r="E70" s="110">
        <v>0.97</v>
      </c>
      <c r="F70" s="110">
        <f>E70*F66</f>
        <v>0.21048999999999998</v>
      </c>
      <c r="G70" s="110"/>
      <c r="H70" s="110"/>
      <c r="I70" s="110"/>
      <c r="J70" s="110"/>
      <c r="K70" s="110"/>
      <c r="L70" s="110"/>
      <c r="M70" s="110"/>
    </row>
    <row r="71" spans="1:13">
      <c r="A71" s="109" t="s">
        <v>221</v>
      </c>
      <c r="B71" s="114"/>
      <c r="C71" s="130" t="s">
        <v>70</v>
      </c>
      <c r="D71" s="109" t="s">
        <v>283</v>
      </c>
      <c r="E71" s="110">
        <v>7</v>
      </c>
      <c r="F71" s="110">
        <f>E71*F66</f>
        <v>1.5189999999999999</v>
      </c>
      <c r="G71" s="110"/>
      <c r="H71" s="110"/>
      <c r="I71" s="110"/>
      <c r="J71" s="110"/>
      <c r="K71" s="110"/>
      <c r="L71" s="110"/>
      <c r="M71" s="110"/>
    </row>
    <row r="72" spans="1:13">
      <c r="A72" s="109" t="s">
        <v>254</v>
      </c>
      <c r="B72" s="114" t="s">
        <v>363</v>
      </c>
      <c r="C72" s="130" t="s">
        <v>161</v>
      </c>
      <c r="D72" s="109" t="s">
        <v>283</v>
      </c>
      <c r="E72" s="110">
        <v>122</v>
      </c>
      <c r="F72" s="110">
        <f>E72*F66</f>
        <v>26.474</v>
      </c>
      <c r="G72" s="110"/>
      <c r="H72" s="110"/>
      <c r="I72" s="110"/>
      <c r="J72" s="110"/>
      <c r="K72" s="110"/>
      <c r="L72" s="110"/>
      <c r="M72" s="110"/>
    </row>
    <row r="73" spans="1:13">
      <c r="A73" s="109"/>
      <c r="B73" s="150"/>
      <c r="C73" s="128"/>
      <c r="D73" s="109"/>
      <c r="E73" s="110"/>
      <c r="F73" s="110"/>
      <c r="G73" s="110"/>
      <c r="H73" s="110"/>
      <c r="I73" s="110"/>
      <c r="J73" s="110"/>
      <c r="K73" s="110"/>
      <c r="L73" s="110"/>
      <c r="M73" s="149"/>
    </row>
    <row r="74" spans="1:13">
      <c r="A74" s="109"/>
      <c r="B74" s="150"/>
      <c r="C74" s="128"/>
      <c r="D74" s="109"/>
      <c r="E74" s="110"/>
      <c r="F74" s="110"/>
      <c r="G74" s="110"/>
      <c r="H74" s="110"/>
      <c r="I74" s="110"/>
      <c r="J74" s="110"/>
      <c r="K74" s="110"/>
      <c r="L74" s="110"/>
      <c r="M74" s="149"/>
    </row>
    <row r="75" spans="1:13">
      <c r="A75" s="98"/>
      <c r="B75" s="151"/>
      <c r="C75" s="98" t="s">
        <v>4</v>
      </c>
      <c r="D75" s="98"/>
      <c r="E75" s="108"/>
      <c r="F75" s="108"/>
      <c r="G75" s="108"/>
      <c r="H75" s="108"/>
      <c r="I75" s="108"/>
      <c r="J75" s="108"/>
      <c r="K75" s="108"/>
      <c r="L75" s="108"/>
      <c r="M75" s="108"/>
    </row>
    <row r="76" spans="1:13">
      <c r="A76" s="98"/>
      <c r="B76" s="114"/>
      <c r="C76" s="109"/>
      <c r="D76" s="109"/>
      <c r="E76" s="110"/>
      <c r="F76" s="110"/>
      <c r="G76" s="110"/>
      <c r="H76" s="110"/>
      <c r="I76" s="110"/>
      <c r="J76" s="110"/>
      <c r="K76" s="110"/>
      <c r="L76" s="110"/>
      <c r="M76" s="110"/>
    </row>
    <row r="77" spans="1:13">
      <c r="A77" s="98"/>
      <c r="B77" s="114"/>
      <c r="C77" s="109" t="s">
        <v>10</v>
      </c>
      <c r="D77" s="115">
        <v>0.1</v>
      </c>
      <c r="E77" s="110"/>
      <c r="F77" s="110"/>
      <c r="G77" s="110"/>
      <c r="H77" s="110"/>
      <c r="I77" s="110"/>
      <c r="J77" s="110"/>
      <c r="K77" s="110"/>
      <c r="L77" s="110"/>
      <c r="M77" s="110"/>
    </row>
    <row r="78" spans="1:13">
      <c r="A78" s="98"/>
      <c r="B78" s="114"/>
      <c r="C78" s="109" t="s">
        <v>4</v>
      </c>
      <c r="D78" s="115"/>
      <c r="E78" s="110"/>
      <c r="F78" s="110"/>
      <c r="G78" s="110"/>
      <c r="H78" s="110"/>
      <c r="I78" s="110"/>
      <c r="J78" s="110"/>
      <c r="K78" s="110"/>
      <c r="L78" s="110"/>
      <c r="M78" s="110"/>
    </row>
    <row r="79" spans="1:13">
      <c r="A79" s="98"/>
      <c r="B79" s="114"/>
      <c r="C79" s="109" t="s">
        <v>11</v>
      </c>
      <c r="D79" s="115">
        <v>0.08</v>
      </c>
      <c r="E79" s="110"/>
      <c r="F79" s="110"/>
      <c r="G79" s="110"/>
      <c r="H79" s="110"/>
      <c r="I79" s="110"/>
      <c r="J79" s="110"/>
      <c r="K79" s="110"/>
      <c r="L79" s="110"/>
      <c r="M79" s="110"/>
    </row>
    <row r="80" spans="1:13">
      <c r="A80" s="98"/>
      <c r="B80" s="114"/>
      <c r="C80" s="109"/>
      <c r="D80" s="115"/>
      <c r="E80" s="110"/>
      <c r="F80" s="110"/>
      <c r="G80" s="110"/>
      <c r="H80" s="110"/>
      <c r="I80" s="110"/>
      <c r="J80" s="110"/>
      <c r="K80" s="110"/>
      <c r="L80" s="110"/>
      <c r="M80" s="110"/>
    </row>
    <row r="81" spans="1:13">
      <c r="A81" s="144"/>
      <c r="B81" s="109"/>
      <c r="C81" s="98" t="s">
        <v>4</v>
      </c>
      <c r="D81" s="98"/>
      <c r="E81" s="108"/>
      <c r="F81" s="108"/>
      <c r="G81" s="108"/>
      <c r="H81" s="108"/>
      <c r="I81" s="108"/>
      <c r="J81" s="108"/>
      <c r="K81" s="108"/>
      <c r="L81" s="108"/>
      <c r="M81" s="108"/>
    </row>
    <row r="82" spans="1:13">
      <c r="B82" s="117"/>
      <c r="C82" s="118"/>
      <c r="D82" s="117"/>
      <c r="E82" s="117"/>
      <c r="F82" s="117"/>
      <c r="G82" s="117"/>
      <c r="H82" s="117"/>
      <c r="I82" s="117"/>
      <c r="J82" s="117"/>
      <c r="K82" s="117"/>
      <c r="L82" s="117"/>
      <c r="M82" s="119"/>
    </row>
    <row r="83" spans="1:13">
      <c r="B83" s="117"/>
      <c r="C83" s="118"/>
      <c r="D83" s="117"/>
      <c r="E83" s="117"/>
      <c r="F83" s="117"/>
      <c r="G83" s="117"/>
      <c r="H83" s="117"/>
      <c r="I83" s="117"/>
      <c r="J83" s="117"/>
      <c r="K83" s="117"/>
      <c r="L83" s="117"/>
      <c r="M83" s="119"/>
    </row>
    <row r="84" spans="1:13">
      <c r="B84" s="117"/>
      <c r="C84" s="118"/>
      <c r="D84" s="117"/>
      <c r="E84" s="117"/>
      <c r="F84" s="117"/>
      <c r="G84" s="117"/>
      <c r="H84" s="117"/>
      <c r="I84" s="117"/>
      <c r="J84" s="117"/>
      <c r="K84" s="117"/>
      <c r="L84" s="117"/>
      <c r="M84" s="119"/>
    </row>
    <row r="85" spans="1:13">
      <c r="B85" s="117"/>
      <c r="C85" s="118"/>
      <c r="D85" s="117"/>
      <c r="E85" s="117"/>
      <c r="F85" s="117"/>
      <c r="G85" s="117"/>
      <c r="H85" s="117"/>
      <c r="I85" s="117"/>
      <c r="J85" s="117"/>
      <c r="K85" s="117"/>
      <c r="L85" s="117"/>
      <c r="M85" s="119"/>
    </row>
    <row r="86" spans="1:13">
      <c r="B86" s="117"/>
      <c r="C86" s="118"/>
      <c r="D86" s="117"/>
      <c r="E86" s="117"/>
      <c r="F86" s="117"/>
      <c r="G86" s="117"/>
      <c r="H86" s="117"/>
      <c r="I86" s="117"/>
      <c r="J86" s="117"/>
      <c r="K86" s="117"/>
      <c r="L86" s="117"/>
      <c r="M86" s="119"/>
    </row>
    <row r="87" spans="1:13">
      <c r="B87" s="117"/>
      <c r="C87" s="118"/>
      <c r="D87" s="117"/>
      <c r="E87" s="117"/>
      <c r="F87" s="117"/>
      <c r="G87" s="117"/>
      <c r="H87" s="117"/>
      <c r="I87" s="117"/>
      <c r="J87" s="117"/>
      <c r="K87" s="117"/>
      <c r="L87" s="117"/>
      <c r="M87" s="119"/>
    </row>
    <row r="88" spans="1:13">
      <c r="B88" s="117"/>
      <c r="C88" s="118"/>
      <c r="D88" s="117"/>
      <c r="E88" s="117"/>
      <c r="F88" s="117"/>
      <c r="G88" s="117"/>
      <c r="H88" s="117"/>
      <c r="I88" s="117"/>
      <c r="J88" s="117"/>
      <c r="K88" s="117"/>
      <c r="L88" s="117"/>
      <c r="M88" s="119"/>
    </row>
    <row r="89" spans="1:13">
      <c r="B89" s="117"/>
      <c r="C89" s="118"/>
      <c r="D89" s="117"/>
      <c r="E89" s="117"/>
      <c r="F89" s="117"/>
      <c r="G89" s="117"/>
      <c r="H89" s="117"/>
      <c r="I89" s="117"/>
      <c r="J89" s="117"/>
      <c r="K89" s="117"/>
      <c r="L89" s="117"/>
      <c r="M89" s="119"/>
    </row>
    <row r="90" spans="1:13">
      <c r="B90" s="117"/>
      <c r="C90" s="118"/>
      <c r="D90" s="117"/>
      <c r="E90" s="117"/>
      <c r="F90" s="117"/>
      <c r="G90" s="117"/>
      <c r="H90" s="117"/>
      <c r="I90" s="117"/>
      <c r="J90" s="117"/>
      <c r="K90" s="117"/>
      <c r="L90" s="117"/>
      <c r="M90" s="119"/>
    </row>
    <row r="91" spans="1:13">
      <c r="B91" s="117"/>
      <c r="C91" s="118"/>
      <c r="D91" s="117"/>
      <c r="E91" s="117"/>
      <c r="F91" s="117"/>
      <c r="G91" s="117"/>
      <c r="H91" s="117"/>
      <c r="I91" s="117"/>
      <c r="J91" s="117"/>
      <c r="K91" s="117"/>
      <c r="L91" s="117"/>
      <c r="M91" s="119"/>
    </row>
    <row r="92" spans="1:13">
      <c r="B92" s="117"/>
      <c r="C92" s="118"/>
      <c r="D92" s="117"/>
      <c r="E92" s="117"/>
      <c r="F92" s="117"/>
      <c r="G92" s="117"/>
      <c r="H92" s="117"/>
      <c r="I92" s="117"/>
      <c r="J92" s="117"/>
      <c r="K92" s="117"/>
      <c r="L92" s="117"/>
      <c r="M92" s="119"/>
    </row>
    <row r="93" spans="1:13">
      <c r="B93" s="117"/>
      <c r="C93" s="118"/>
      <c r="D93" s="117"/>
      <c r="E93" s="117"/>
      <c r="F93" s="117"/>
      <c r="G93" s="117"/>
      <c r="H93" s="117"/>
      <c r="I93" s="117"/>
      <c r="J93" s="117"/>
      <c r="K93" s="117"/>
      <c r="L93" s="117"/>
      <c r="M93" s="119"/>
    </row>
    <row r="94" spans="1:13">
      <c r="B94" s="117"/>
      <c r="C94" s="118"/>
      <c r="D94" s="117"/>
      <c r="E94" s="117"/>
      <c r="F94" s="117"/>
      <c r="G94" s="117"/>
      <c r="H94" s="117"/>
      <c r="I94" s="117"/>
      <c r="J94" s="117"/>
      <c r="K94" s="117"/>
      <c r="L94" s="117"/>
      <c r="M94" s="119"/>
    </row>
    <row r="95" spans="1:13">
      <c r="B95" s="117"/>
      <c r="C95" s="118"/>
      <c r="D95" s="117"/>
      <c r="E95" s="117"/>
      <c r="F95" s="117"/>
      <c r="G95" s="117"/>
      <c r="H95" s="117"/>
      <c r="I95" s="117"/>
      <c r="J95" s="117"/>
      <c r="K95" s="117"/>
      <c r="L95" s="117"/>
      <c r="M95" s="119"/>
    </row>
    <row r="96" spans="1:13">
      <c r="B96" s="117"/>
      <c r="C96" s="118"/>
      <c r="D96" s="117"/>
      <c r="E96" s="117"/>
      <c r="F96" s="117"/>
      <c r="G96" s="117"/>
      <c r="H96" s="117"/>
      <c r="I96" s="117"/>
      <c r="J96" s="117"/>
      <c r="K96" s="117"/>
      <c r="L96" s="117"/>
      <c r="M96" s="119"/>
    </row>
    <row r="97" spans="2:13">
      <c r="B97" s="117"/>
      <c r="C97" s="118"/>
      <c r="D97" s="117"/>
      <c r="E97" s="117"/>
      <c r="F97" s="117"/>
      <c r="G97" s="117"/>
      <c r="H97" s="117"/>
      <c r="I97" s="117"/>
      <c r="J97" s="117"/>
      <c r="K97" s="117"/>
      <c r="L97" s="117"/>
      <c r="M97" s="119"/>
    </row>
    <row r="98" spans="2:13">
      <c r="B98" s="117"/>
      <c r="C98" s="118"/>
      <c r="D98" s="117"/>
      <c r="E98" s="117"/>
      <c r="F98" s="117"/>
      <c r="G98" s="117"/>
      <c r="H98" s="117"/>
      <c r="I98" s="117"/>
      <c r="J98" s="117"/>
      <c r="K98" s="117"/>
      <c r="L98" s="117"/>
      <c r="M98" s="119"/>
    </row>
    <row r="99" spans="2:13">
      <c r="B99" s="117"/>
      <c r="C99" s="118"/>
      <c r="D99" s="117"/>
      <c r="E99" s="117"/>
      <c r="F99" s="117"/>
      <c r="G99" s="117"/>
      <c r="H99" s="117"/>
      <c r="I99" s="117"/>
      <c r="J99" s="117"/>
      <c r="K99" s="117"/>
      <c r="L99" s="117"/>
      <c r="M99" s="119"/>
    </row>
    <row r="100" spans="2:13">
      <c r="B100" s="117"/>
      <c r="C100" s="118"/>
      <c r="D100" s="117"/>
      <c r="E100" s="117"/>
      <c r="F100" s="117"/>
      <c r="G100" s="117"/>
      <c r="H100" s="117"/>
      <c r="I100" s="117"/>
      <c r="J100" s="117"/>
      <c r="K100" s="117"/>
      <c r="L100" s="117"/>
      <c r="M100" s="119"/>
    </row>
    <row r="101" spans="2:13">
      <c r="B101" s="117"/>
      <c r="C101" s="118"/>
      <c r="D101" s="117"/>
      <c r="E101" s="117"/>
      <c r="F101" s="117"/>
      <c r="G101" s="117"/>
      <c r="H101" s="117"/>
      <c r="I101" s="117"/>
      <c r="J101" s="117"/>
      <c r="K101" s="117"/>
      <c r="L101" s="117"/>
      <c r="M101" s="119"/>
    </row>
    <row r="102" spans="2:13">
      <c r="B102" s="117"/>
      <c r="C102" s="118"/>
      <c r="D102" s="117"/>
      <c r="E102" s="117"/>
      <c r="F102" s="117"/>
      <c r="G102" s="117"/>
      <c r="H102" s="117"/>
      <c r="I102" s="117"/>
      <c r="J102" s="117"/>
      <c r="K102" s="117"/>
      <c r="L102" s="117"/>
      <c r="M102" s="119"/>
    </row>
    <row r="103" spans="2:13">
      <c r="B103" s="117"/>
      <c r="C103" s="118"/>
      <c r="D103" s="117"/>
      <c r="E103" s="117"/>
      <c r="F103" s="117"/>
      <c r="G103" s="117"/>
      <c r="H103" s="117"/>
      <c r="I103" s="117"/>
      <c r="J103" s="117"/>
      <c r="K103" s="117"/>
      <c r="L103" s="117"/>
      <c r="M103" s="119"/>
    </row>
    <row r="104" spans="2:13">
      <c r="B104" s="118"/>
      <c r="C104" s="118"/>
      <c r="D104" s="118"/>
      <c r="E104" s="118"/>
      <c r="F104" s="118"/>
      <c r="G104" s="118"/>
      <c r="H104" s="118"/>
      <c r="I104" s="118"/>
      <c r="J104" s="118"/>
      <c r="K104" s="118"/>
      <c r="L104" s="118"/>
      <c r="M104" s="120"/>
    </row>
    <row r="105" spans="2:13">
      <c r="B105" s="118"/>
      <c r="C105" s="118"/>
      <c r="D105" s="118"/>
      <c r="E105" s="118"/>
      <c r="F105" s="118"/>
      <c r="G105" s="118"/>
      <c r="H105" s="118"/>
      <c r="I105" s="118"/>
      <c r="J105" s="118"/>
      <c r="K105" s="118"/>
      <c r="L105" s="118"/>
      <c r="M105" s="120"/>
    </row>
    <row r="106" spans="2:13">
      <c r="B106" s="118"/>
      <c r="C106" s="118"/>
      <c r="D106" s="118"/>
      <c r="E106" s="118"/>
      <c r="F106" s="118"/>
      <c r="G106" s="118"/>
      <c r="H106" s="118"/>
      <c r="I106" s="118"/>
      <c r="J106" s="118"/>
      <c r="K106" s="118"/>
      <c r="L106" s="118"/>
      <c r="M106" s="120"/>
    </row>
    <row r="107" spans="2:13">
      <c r="B107" s="118"/>
      <c r="C107" s="118"/>
      <c r="D107" s="118"/>
      <c r="E107" s="118"/>
      <c r="F107" s="118"/>
      <c r="G107" s="118"/>
      <c r="H107" s="118"/>
      <c r="I107" s="118"/>
      <c r="J107" s="118"/>
      <c r="K107" s="118"/>
      <c r="L107" s="118"/>
      <c r="M107" s="120"/>
    </row>
    <row r="108" spans="2:13">
      <c r="B108" s="118"/>
      <c r="C108" s="118"/>
      <c r="D108" s="118"/>
      <c r="E108" s="118"/>
      <c r="F108" s="118"/>
      <c r="G108" s="118"/>
      <c r="H108" s="118"/>
      <c r="I108" s="118"/>
      <c r="J108" s="118"/>
      <c r="K108" s="118"/>
      <c r="L108" s="118"/>
      <c r="M108" s="120"/>
    </row>
    <row r="109" spans="2:13">
      <c r="B109" s="118"/>
      <c r="C109" s="118"/>
      <c r="D109" s="118"/>
      <c r="E109" s="118"/>
      <c r="F109" s="118"/>
      <c r="G109" s="118"/>
      <c r="H109" s="118"/>
      <c r="I109" s="118"/>
      <c r="J109" s="118"/>
      <c r="K109" s="118"/>
      <c r="L109" s="118"/>
      <c r="M109" s="120"/>
    </row>
    <row r="110" spans="2:13">
      <c r="B110" s="118"/>
      <c r="C110" s="118"/>
      <c r="D110" s="118"/>
      <c r="E110" s="118"/>
      <c r="F110" s="118"/>
      <c r="G110" s="118"/>
      <c r="H110" s="118"/>
      <c r="I110" s="118"/>
      <c r="J110" s="118"/>
      <c r="K110" s="118"/>
      <c r="L110" s="118"/>
      <c r="M110" s="120"/>
    </row>
    <row r="111" spans="2:13">
      <c r="B111" s="118"/>
      <c r="C111" s="118"/>
      <c r="D111" s="118"/>
      <c r="E111" s="118"/>
      <c r="F111" s="118"/>
      <c r="G111" s="118"/>
      <c r="H111" s="118"/>
      <c r="I111" s="118"/>
      <c r="J111" s="118"/>
      <c r="K111" s="118"/>
      <c r="L111" s="118"/>
      <c r="M111" s="120"/>
    </row>
    <row r="112" spans="2:13">
      <c r="B112" s="118"/>
      <c r="C112" s="118"/>
      <c r="D112" s="118"/>
      <c r="E112" s="118"/>
      <c r="F112" s="118"/>
      <c r="G112" s="118"/>
      <c r="H112" s="118"/>
      <c r="I112" s="118"/>
      <c r="J112" s="118"/>
      <c r="K112" s="118"/>
      <c r="L112" s="118"/>
      <c r="M112" s="120"/>
    </row>
    <row r="113" spans="2:13">
      <c r="B113" s="118"/>
      <c r="C113" s="118"/>
      <c r="D113" s="118"/>
      <c r="E113" s="118"/>
      <c r="F113" s="118"/>
      <c r="G113" s="118"/>
      <c r="H113" s="118"/>
      <c r="I113" s="118"/>
      <c r="J113" s="118"/>
      <c r="K113" s="118"/>
      <c r="L113" s="118"/>
      <c r="M113" s="120"/>
    </row>
    <row r="114" spans="2:13">
      <c r="B114" s="118"/>
      <c r="C114" s="118"/>
      <c r="D114" s="118"/>
      <c r="E114" s="118"/>
      <c r="F114" s="118"/>
      <c r="G114" s="118"/>
      <c r="H114" s="118"/>
      <c r="I114" s="118"/>
      <c r="J114" s="118"/>
      <c r="K114" s="118"/>
      <c r="L114" s="118"/>
      <c r="M114" s="120"/>
    </row>
    <row r="115" spans="2:13">
      <c r="B115" s="118"/>
      <c r="C115" s="118"/>
      <c r="D115" s="118"/>
      <c r="E115" s="118"/>
      <c r="F115" s="118"/>
      <c r="G115" s="118"/>
      <c r="H115" s="118"/>
      <c r="I115" s="118"/>
      <c r="J115" s="118"/>
      <c r="K115" s="118"/>
      <c r="L115" s="118"/>
      <c r="M115" s="120"/>
    </row>
    <row r="116" spans="2:13"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2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4"/>
  <dimension ref="A1:M74"/>
  <sheetViews>
    <sheetView tabSelected="1" view="pageBreakPreview" zoomScaleNormal="60" zoomScaleSheetLayoutView="100" workbookViewId="0">
      <selection activeCell="J16" sqref="J16"/>
    </sheetView>
  </sheetViews>
  <sheetFormatPr defaultRowHeight="12.75"/>
  <cols>
    <col min="1" max="1" width="5.85546875" style="116" customWidth="1"/>
    <col min="2" max="2" width="13.28515625" style="121" customWidth="1"/>
    <col min="3" max="3" width="57.42578125" style="121" customWidth="1"/>
    <col min="4" max="4" width="8" style="121" customWidth="1"/>
    <col min="5" max="12" width="10.7109375" style="121" customWidth="1"/>
    <col min="13" max="13" width="10.7109375" style="122" customWidth="1"/>
    <col min="14" max="16384" width="9.140625" style="47"/>
  </cols>
  <sheetData>
    <row r="1" spans="1:13" s="81" customFormat="1">
      <c r="A1" s="162" t="s">
        <v>259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</row>
    <row r="2" spans="1:13" s="81" customForma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s="75" customFormat="1" ht="27" customHeight="1">
      <c r="A3" s="155" t="s">
        <v>273</v>
      </c>
      <c r="B3" s="160" t="s">
        <v>274</v>
      </c>
      <c r="C3" s="160" t="s">
        <v>275</v>
      </c>
      <c r="D3" s="160" t="s">
        <v>276</v>
      </c>
      <c r="E3" s="155" t="s">
        <v>277</v>
      </c>
      <c r="F3" s="155"/>
      <c r="G3" s="160" t="s">
        <v>278</v>
      </c>
      <c r="H3" s="160"/>
      <c r="I3" s="160" t="s">
        <v>6</v>
      </c>
      <c r="J3" s="160"/>
      <c r="K3" s="163" t="s">
        <v>279</v>
      </c>
      <c r="L3" s="164"/>
      <c r="M3" s="155" t="s">
        <v>4</v>
      </c>
    </row>
    <row r="4" spans="1:13" s="75" customFormat="1">
      <c r="A4" s="155"/>
      <c r="B4" s="160"/>
      <c r="C4" s="160"/>
      <c r="D4" s="160"/>
      <c r="E4" s="98" t="s">
        <v>280</v>
      </c>
      <c r="F4" s="98" t="s">
        <v>256</v>
      </c>
      <c r="G4" s="98" t="s">
        <v>280</v>
      </c>
      <c r="H4" s="98" t="s">
        <v>256</v>
      </c>
      <c r="I4" s="98" t="s">
        <v>280</v>
      </c>
      <c r="J4" s="98" t="s">
        <v>256</v>
      </c>
      <c r="K4" s="98" t="s">
        <v>280</v>
      </c>
      <c r="L4" s="98" t="s">
        <v>256</v>
      </c>
      <c r="M4" s="155"/>
    </row>
    <row r="5" spans="1:13" s="75" customFormat="1">
      <c r="A5" s="98">
        <v>1</v>
      </c>
      <c r="B5" s="98">
        <v>2</v>
      </c>
      <c r="C5" s="97">
        <v>3</v>
      </c>
      <c r="D5" s="98">
        <v>4</v>
      </c>
      <c r="E5" s="98">
        <v>5</v>
      </c>
      <c r="F5" s="98">
        <v>6</v>
      </c>
      <c r="G5" s="98">
        <v>7</v>
      </c>
      <c r="H5" s="82">
        <v>8</v>
      </c>
      <c r="I5" s="98">
        <v>9</v>
      </c>
      <c r="J5" s="82">
        <v>10</v>
      </c>
      <c r="K5" s="98">
        <v>11</v>
      </c>
      <c r="L5" s="82">
        <v>12</v>
      </c>
      <c r="M5" s="82">
        <v>13</v>
      </c>
    </row>
    <row r="6" spans="1:13" s="75" customFormat="1">
      <c r="A6" s="98"/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145"/>
    </row>
    <row r="7" spans="1:13" s="94" customFormat="1">
      <c r="A7" s="98"/>
      <c r="B7" s="109"/>
      <c r="C7" s="97" t="s">
        <v>268</v>
      </c>
      <c r="D7" s="109"/>
      <c r="E7" s="109"/>
      <c r="F7" s="109"/>
      <c r="G7" s="109"/>
      <c r="H7" s="109"/>
      <c r="I7" s="109"/>
      <c r="J7" s="109"/>
      <c r="K7" s="109"/>
      <c r="L7" s="109"/>
      <c r="M7" s="126"/>
    </row>
    <row r="8" spans="1:13" s="94" customFormat="1">
      <c r="A8" s="98"/>
      <c r="B8" s="109"/>
      <c r="C8" s="97"/>
      <c r="D8" s="109"/>
      <c r="E8" s="109"/>
      <c r="F8" s="109"/>
      <c r="G8" s="109"/>
      <c r="H8" s="109"/>
      <c r="I8" s="109"/>
      <c r="J8" s="109"/>
      <c r="K8" s="109"/>
      <c r="L8" s="109"/>
      <c r="M8" s="126"/>
    </row>
    <row r="9" spans="1:13">
      <c r="A9" s="109">
        <v>1.1000000000000001</v>
      </c>
      <c r="B9" s="114" t="s">
        <v>116</v>
      </c>
      <c r="C9" s="128" t="s">
        <v>115</v>
      </c>
      <c r="D9" s="109" t="s">
        <v>96</v>
      </c>
      <c r="E9" s="110"/>
      <c r="F9" s="110">
        <v>100.64</v>
      </c>
      <c r="G9" s="110"/>
      <c r="H9" s="110"/>
      <c r="I9" s="110"/>
      <c r="J9" s="110"/>
      <c r="K9" s="110"/>
      <c r="L9" s="110"/>
      <c r="M9" s="110"/>
    </row>
    <row r="10" spans="1:13">
      <c r="A10" s="109"/>
      <c r="B10" s="114"/>
      <c r="C10" s="128"/>
      <c r="D10" s="109" t="s">
        <v>93</v>
      </c>
      <c r="E10" s="110"/>
      <c r="F10" s="129">
        <f>F9/100</f>
        <v>1.0064</v>
      </c>
      <c r="G10" s="110"/>
      <c r="H10" s="110"/>
      <c r="I10" s="110"/>
      <c r="J10" s="110"/>
      <c r="K10" s="110"/>
      <c r="L10" s="110"/>
      <c r="M10" s="110"/>
    </row>
    <row r="11" spans="1:13">
      <c r="A11" s="109" t="s">
        <v>0</v>
      </c>
      <c r="B11" s="114"/>
      <c r="C11" s="128" t="s">
        <v>40</v>
      </c>
      <c r="D11" s="109" t="s">
        <v>1</v>
      </c>
      <c r="E11" s="110">
        <v>133</v>
      </c>
      <c r="F11" s="110">
        <f>E11*F10</f>
        <v>133.85120000000001</v>
      </c>
      <c r="G11" s="110"/>
      <c r="H11" s="110"/>
      <c r="I11" s="110"/>
      <c r="J11" s="110"/>
      <c r="K11" s="110"/>
      <c r="L11" s="110"/>
      <c r="M11" s="110"/>
    </row>
    <row r="12" spans="1:13">
      <c r="A12" s="109" t="s">
        <v>196</v>
      </c>
      <c r="B12" s="114" t="s">
        <v>369</v>
      </c>
      <c r="C12" s="128" t="s">
        <v>370</v>
      </c>
      <c r="D12" s="109" t="s">
        <v>24</v>
      </c>
      <c r="E12" s="110">
        <v>2.64</v>
      </c>
      <c r="F12" s="110">
        <f>E12*F10</f>
        <v>2.6568960000000001</v>
      </c>
      <c r="G12" s="110"/>
      <c r="H12" s="110"/>
      <c r="I12" s="110"/>
      <c r="J12" s="110"/>
      <c r="K12" s="110"/>
      <c r="L12" s="110"/>
      <c r="M12" s="110"/>
    </row>
    <row r="13" spans="1:13">
      <c r="A13" s="109" t="s">
        <v>197</v>
      </c>
      <c r="B13" s="114" t="s">
        <v>371</v>
      </c>
      <c r="C13" s="128" t="s">
        <v>372</v>
      </c>
      <c r="D13" s="109" t="s">
        <v>24</v>
      </c>
      <c r="E13" s="110">
        <v>3.69</v>
      </c>
      <c r="F13" s="110">
        <f>E13*F10</f>
        <v>3.7136159999999996</v>
      </c>
      <c r="G13" s="110"/>
      <c r="H13" s="110"/>
      <c r="I13" s="110"/>
      <c r="J13" s="110"/>
      <c r="K13" s="110"/>
      <c r="L13" s="110"/>
      <c r="M13" s="110"/>
    </row>
    <row r="14" spans="1:13">
      <c r="A14" s="109" t="s">
        <v>198</v>
      </c>
      <c r="B14" s="114" t="s">
        <v>373</v>
      </c>
      <c r="C14" s="128" t="s">
        <v>375</v>
      </c>
      <c r="D14" s="109" t="s">
        <v>283</v>
      </c>
      <c r="E14" s="110">
        <v>3.72</v>
      </c>
      <c r="F14" s="110">
        <f>E14*F10</f>
        <v>3.743808</v>
      </c>
      <c r="G14" s="110"/>
      <c r="H14" s="110"/>
      <c r="I14" s="110"/>
      <c r="J14" s="110"/>
      <c r="K14" s="110"/>
      <c r="L14" s="110"/>
      <c r="M14" s="110"/>
    </row>
    <row r="15" spans="1:13">
      <c r="A15" s="109" t="s">
        <v>203</v>
      </c>
      <c r="B15" s="114" t="s">
        <v>374</v>
      </c>
      <c r="C15" s="128" t="s">
        <v>368</v>
      </c>
      <c r="D15" s="109" t="s">
        <v>96</v>
      </c>
      <c r="E15" s="110">
        <v>100</v>
      </c>
      <c r="F15" s="110">
        <f>E15*F10</f>
        <v>100.64</v>
      </c>
      <c r="G15" s="110"/>
      <c r="H15" s="110"/>
      <c r="I15" s="110"/>
      <c r="J15" s="110"/>
      <c r="K15" s="110"/>
      <c r="L15" s="110"/>
      <c r="M15" s="110"/>
    </row>
    <row r="16" spans="1:13" s="76" customFormat="1">
      <c r="A16" s="98"/>
      <c r="B16" s="114"/>
      <c r="C16" s="128" t="s">
        <v>100</v>
      </c>
      <c r="D16" s="109" t="s">
        <v>25</v>
      </c>
      <c r="E16" s="110">
        <v>41.9</v>
      </c>
      <c r="F16" s="110">
        <f>E16*F10</f>
        <v>42.16816</v>
      </c>
      <c r="G16" s="110"/>
      <c r="H16" s="110"/>
      <c r="I16" s="110"/>
      <c r="J16" s="110"/>
      <c r="K16" s="110"/>
      <c r="L16" s="110"/>
      <c r="M16" s="110"/>
    </row>
    <row r="17" spans="1:13" s="76" customFormat="1">
      <c r="A17" s="98"/>
      <c r="B17" s="114"/>
      <c r="C17" s="128"/>
      <c r="D17" s="109"/>
      <c r="E17" s="110"/>
      <c r="F17" s="110"/>
      <c r="G17" s="110"/>
      <c r="H17" s="110"/>
      <c r="I17" s="110"/>
      <c r="J17" s="110"/>
      <c r="K17" s="110"/>
      <c r="L17" s="110"/>
      <c r="M17" s="110"/>
    </row>
    <row r="18" spans="1:13" s="76" customFormat="1">
      <c r="A18" s="98"/>
      <c r="B18" s="113"/>
      <c r="C18" s="98" t="s">
        <v>4</v>
      </c>
      <c r="D18" s="98"/>
      <c r="E18" s="108"/>
      <c r="F18" s="108"/>
      <c r="G18" s="108"/>
      <c r="H18" s="108"/>
      <c r="I18" s="108"/>
      <c r="J18" s="108"/>
      <c r="K18" s="108"/>
      <c r="L18" s="108"/>
      <c r="M18" s="108"/>
    </row>
    <row r="19" spans="1:13" s="76" customFormat="1">
      <c r="A19" s="98"/>
      <c r="B19" s="114"/>
      <c r="C19" s="109"/>
      <c r="D19" s="109"/>
      <c r="E19" s="110"/>
      <c r="F19" s="110"/>
      <c r="G19" s="110"/>
      <c r="H19" s="110"/>
      <c r="I19" s="110"/>
      <c r="J19" s="110"/>
      <c r="K19" s="110"/>
      <c r="L19" s="110"/>
      <c r="M19" s="110"/>
    </row>
    <row r="20" spans="1:13" s="76" customFormat="1">
      <c r="A20" s="98"/>
      <c r="B20" s="114"/>
      <c r="C20" s="109" t="s">
        <v>10</v>
      </c>
      <c r="D20" s="115">
        <v>0.1</v>
      </c>
      <c r="E20" s="110"/>
      <c r="F20" s="110"/>
      <c r="G20" s="110"/>
      <c r="H20" s="110"/>
      <c r="I20" s="110"/>
      <c r="J20" s="110"/>
      <c r="K20" s="110"/>
      <c r="L20" s="110"/>
      <c r="M20" s="110"/>
    </row>
    <row r="21" spans="1:13">
      <c r="A21" s="98"/>
      <c r="B21" s="114"/>
      <c r="C21" s="109" t="s">
        <v>4</v>
      </c>
      <c r="D21" s="115"/>
      <c r="E21" s="110"/>
      <c r="F21" s="110"/>
      <c r="G21" s="110"/>
      <c r="H21" s="110"/>
      <c r="I21" s="110"/>
      <c r="J21" s="110"/>
      <c r="K21" s="110"/>
      <c r="L21" s="110"/>
      <c r="M21" s="110"/>
    </row>
    <row r="22" spans="1:13">
      <c r="A22" s="98"/>
      <c r="B22" s="114"/>
      <c r="C22" s="109" t="s">
        <v>11</v>
      </c>
      <c r="D22" s="115">
        <v>0.08</v>
      </c>
      <c r="E22" s="110"/>
      <c r="F22" s="110"/>
      <c r="G22" s="110"/>
      <c r="H22" s="110"/>
      <c r="I22" s="110"/>
      <c r="J22" s="110"/>
      <c r="K22" s="110"/>
      <c r="L22" s="110"/>
      <c r="M22" s="110"/>
    </row>
    <row r="23" spans="1:13">
      <c r="A23" s="98"/>
      <c r="B23" s="114"/>
      <c r="C23" s="109"/>
      <c r="D23" s="115"/>
      <c r="E23" s="110"/>
      <c r="F23" s="110"/>
      <c r="G23" s="110"/>
      <c r="H23" s="110"/>
      <c r="I23" s="110"/>
      <c r="J23" s="110"/>
      <c r="K23" s="110"/>
      <c r="L23" s="110"/>
      <c r="M23" s="110"/>
    </row>
    <row r="24" spans="1:13">
      <c r="A24" s="98"/>
      <c r="B24" s="109"/>
      <c r="C24" s="98" t="s">
        <v>4</v>
      </c>
      <c r="D24" s="98"/>
      <c r="E24" s="108"/>
      <c r="F24" s="108"/>
      <c r="G24" s="108"/>
      <c r="H24" s="108"/>
      <c r="I24" s="108"/>
      <c r="J24" s="108"/>
      <c r="K24" s="108"/>
      <c r="L24" s="108"/>
      <c r="M24" s="108"/>
    </row>
    <row r="25" spans="1:13">
      <c r="B25" s="117"/>
      <c r="C25" s="118"/>
      <c r="D25" s="117"/>
      <c r="E25" s="117"/>
      <c r="F25" s="117"/>
      <c r="G25" s="117"/>
      <c r="H25" s="117"/>
      <c r="I25" s="117"/>
      <c r="J25" s="117"/>
      <c r="K25" s="117"/>
      <c r="L25" s="117"/>
      <c r="M25" s="119"/>
    </row>
    <row r="26" spans="1:13">
      <c r="B26" s="117"/>
      <c r="C26" s="118"/>
      <c r="D26" s="117"/>
      <c r="E26" s="117"/>
      <c r="F26" s="117"/>
      <c r="G26" s="117"/>
      <c r="H26" s="117"/>
      <c r="I26" s="117"/>
      <c r="J26" s="117"/>
      <c r="K26" s="117"/>
      <c r="L26" s="117"/>
      <c r="M26" s="119"/>
    </row>
    <row r="27" spans="1:13">
      <c r="B27" s="117"/>
      <c r="C27" s="118"/>
      <c r="D27" s="117"/>
      <c r="E27" s="117"/>
      <c r="F27" s="117"/>
      <c r="G27" s="117"/>
      <c r="H27" s="117"/>
      <c r="I27" s="117"/>
      <c r="J27" s="117"/>
      <c r="K27" s="117"/>
      <c r="L27" s="117"/>
      <c r="M27" s="119"/>
    </row>
    <row r="28" spans="1:13">
      <c r="B28" s="117"/>
      <c r="C28" s="118"/>
      <c r="D28" s="117"/>
      <c r="E28" s="117"/>
      <c r="F28" s="117"/>
      <c r="G28" s="117"/>
      <c r="H28" s="117"/>
      <c r="I28" s="117"/>
      <c r="J28" s="117"/>
      <c r="K28" s="117"/>
      <c r="L28" s="117"/>
      <c r="M28" s="119"/>
    </row>
    <row r="29" spans="1:13">
      <c r="B29" s="117"/>
      <c r="C29" s="118"/>
      <c r="D29" s="117"/>
      <c r="E29" s="117"/>
      <c r="F29" s="117"/>
      <c r="G29" s="117"/>
      <c r="H29" s="117"/>
      <c r="I29" s="117"/>
      <c r="J29" s="117"/>
      <c r="K29" s="117"/>
      <c r="L29" s="117"/>
      <c r="M29" s="119"/>
    </row>
    <row r="30" spans="1:13">
      <c r="B30" s="117"/>
      <c r="C30" s="118"/>
      <c r="D30" s="117"/>
      <c r="E30" s="117"/>
      <c r="F30" s="117"/>
      <c r="G30" s="117"/>
      <c r="H30" s="117"/>
      <c r="I30" s="117"/>
      <c r="J30" s="117"/>
      <c r="K30" s="117"/>
      <c r="L30" s="117"/>
      <c r="M30" s="119"/>
    </row>
    <row r="31" spans="1:13">
      <c r="B31" s="117"/>
      <c r="C31" s="118"/>
      <c r="D31" s="117"/>
      <c r="E31" s="117"/>
      <c r="F31" s="117"/>
      <c r="G31" s="117"/>
      <c r="H31" s="117"/>
      <c r="I31" s="117"/>
      <c r="J31" s="117"/>
      <c r="K31" s="117"/>
      <c r="L31" s="117"/>
      <c r="M31" s="119"/>
    </row>
    <row r="32" spans="1:13">
      <c r="B32" s="117"/>
      <c r="C32" s="118"/>
      <c r="D32" s="117"/>
      <c r="E32" s="117"/>
      <c r="F32" s="117"/>
      <c r="G32" s="117"/>
      <c r="H32" s="117"/>
      <c r="I32" s="117"/>
      <c r="J32" s="117"/>
      <c r="K32" s="117"/>
      <c r="L32" s="117"/>
      <c r="M32" s="119"/>
    </row>
    <row r="33" spans="2:13">
      <c r="B33" s="117"/>
      <c r="C33" s="118"/>
      <c r="D33" s="117"/>
      <c r="E33" s="117"/>
      <c r="F33" s="117"/>
      <c r="G33" s="117"/>
      <c r="H33" s="117"/>
      <c r="I33" s="117"/>
      <c r="J33" s="117"/>
      <c r="K33" s="117"/>
      <c r="L33" s="117"/>
      <c r="M33" s="119"/>
    </row>
    <row r="34" spans="2:13">
      <c r="B34" s="117"/>
      <c r="C34" s="118"/>
      <c r="D34" s="117"/>
      <c r="E34" s="117"/>
      <c r="F34" s="117"/>
      <c r="G34" s="117"/>
      <c r="H34" s="117"/>
      <c r="I34" s="117"/>
      <c r="J34" s="117"/>
      <c r="K34" s="117"/>
      <c r="L34" s="117"/>
      <c r="M34" s="119"/>
    </row>
    <row r="35" spans="2:13">
      <c r="B35" s="117"/>
      <c r="C35" s="118"/>
      <c r="D35" s="117"/>
      <c r="E35" s="117"/>
      <c r="F35" s="117"/>
      <c r="G35" s="117"/>
      <c r="H35" s="117"/>
      <c r="I35" s="117"/>
      <c r="J35" s="117"/>
      <c r="K35" s="117"/>
      <c r="L35" s="117"/>
      <c r="M35" s="119"/>
    </row>
    <row r="36" spans="2:13">
      <c r="B36" s="117"/>
      <c r="C36" s="118"/>
      <c r="D36" s="117"/>
      <c r="E36" s="117"/>
      <c r="F36" s="117"/>
      <c r="G36" s="117"/>
      <c r="H36" s="117"/>
      <c r="I36" s="117"/>
      <c r="J36" s="117"/>
      <c r="K36" s="117"/>
      <c r="L36" s="117"/>
      <c r="M36" s="119"/>
    </row>
    <row r="37" spans="2:13">
      <c r="B37" s="117"/>
      <c r="C37" s="118"/>
      <c r="D37" s="117"/>
      <c r="E37" s="117"/>
      <c r="F37" s="117"/>
      <c r="G37" s="117"/>
      <c r="H37" s="117"/>
      <c r="I37" s="117"/>
      <c r="J37" s="117"/>
      <c r="K37" s="117"/>
      <c r="L37" s="117"/>
      <c r="M37" s="119"/>
    </row>
    <row r="38" spans="2:13">
      <c r="B38" s="117"/>
      <c r="C38" s="118"/>
      <c r="D38" s="117"/>
      <c r="E38" s="117"/>
      <c r="F38" s="117"/>
      <c r="G38" s="117"/>
      <c r="H38" s="117"/>
      <c r="I38" s="117"/>
      <c r="J38" s="117"/>
      <c r="K38" s="117"/>
      <c r="L38" s="117"/>
      <c r="M38" s="119"/>
    </row>
    <row r="39" spans="2:13">
      <c r="B39" s="117"/>
      <c r="C39" s="118"/>
      <c r="D39" s="117"/>
      <c r="E39" s="117"/>
      <c r="F39" s="117"/>
      <c r="G39" s="117"/>
      <c r="H39" s="117"/>
      <c r="I39" s="117"/>
      <c r="J39" s="117"/>
      <c r="K39" s="117"/>
      <c r="L39" s="117"/>
      <c r="M39" s="119"/>
    </row>
    <row r="40" spans="2:13">
      <c r="B40" s="117"/>
      <c r="C40" s="118"/>
      <c r="D40" s="117"/>
      <c r="E40" s="117"/>
      <c r="F40" s="117"/>
      <c r="G40" s="117"/>
      <c r="H40" s="117"/>
      <c r="I40" s="117"/>
      <c r="J40" s="117"/>
      <c r="K40" s="117"/>
      <c r="L40" s="117"/>
      <c r="M40" s="119"/>
    </row>
    <row r="41" spans="2:13">
      <c r="B41" s="117"/>
      <c r="C41" s="118"/>
      <c r="D41" s="117"/>
      <c r="E41" s="117"/>
      <c r="F41" s="117"/>
      <c r="G41" s="117"/>
      <c r="H41" s="117"/>
      <c r="I41" s="117"/>
      <c r="J41" s="117"/>
      <c r="K41" s="117"/>
      <c r="L41" s="117"/>
      <c r="M41" s="119"/>
    </row>
    <row r="42" spans="2:13">
      <c r="B42" s="117"/>
      <c r="C42" s="118"/>
      <c r="D42" s="117"/>
      <c r="E42" s="117"/>
      <c r="F42" s="117"/>
      <c r="G42" s="117"/>
      <c r="H42" s="117"/>
      <c r="I42" s="117"/>
      <c r="J42" s="117"/>
      <c r="K42" s="117"/>
      <c r="L42" s="117"/>
      <c r="M42" s="119"/>
    </row>
    <row r="43" spans="2:13">
      <c r="B43" s="117"/>
      <c r="C43" s="118"/>
      <c r="D43" s="117"/>
      <c r="E43" s="117"/>
      <c r="F43" s="117"/>
      <c r="G43" s="117"/>
      <c r="H43" s="117"/>
      <c r="I43" s="117"/>
      <c r="J43" s="117"/>
      <c r="K43" s="117"/>
      <c r="L43" s="117"/>
      <c r="M43" s="119"/>
    </row>
    <row r="44" spans="2:13">
      <c r="B44" s="117"/>
      <c r="C44" s="118"/>
      <c r="D44" s="117"/>
      <c r="E44" s="117"/>
      <c r="F44" s="117"/>
      <c r="G44" s="117"/>
      <c r="H44" s="117"/>
      <c r="I44" s="117"/>
      <c r="J44" s="117"/>
      <c r="K44" s="117"/>
      <c r="L44" s="117"/>
      <c r="M44" s="119"/>
    </row>
    <row r="45" spans="2:13">
      <c r="B45" s="117"/>
      <c r="C45" s="118"/>
      <c r="D45" s="117"/>
      <c r="E45" s="117"/>
      <c r="F45" s="117"/>
      <c r="G45" s="117"/>
      <c r="H45" s="117"/>
      <c r="I45" s="117"/>
      <c r="J45" s="117"/>
      <c r="K45" s="117"/>
      <c r="L45" s="117"/>
      <c r="M45" s="119"/>
    </row>
    <row r="46" spans="2:13">
      <c r="B46" s="117"/>
      <c r="C46" s="118"/>
      <c r="D46" s="117"/>
      <c r="E46" s="117"/>
      <c r="F46" s="117"/>
      <c r="G46" s="117"/>
      <c r="H46" s="117"/>
      <c r="I46" s="117"/>
      <c r="J46" s="117"/>
      <c r="K46" s="117"/>
      <c r="L46" s="117"/>
      <c r="M46" s="119"/>
    </row>
    <row r="47" spans="2:13">
      <c r="B47" s="117"/>
      <c r="C47" s="118"/>
      <c r="D47" s="117"/>
      <c r="E47" s="117"/>
      <c r="F47" s="117"/>
      <c r="G47" s="117"/>
      <c r="H47" s="117"/>
      <c r="I47" s="117"/>
      <c r="J47" s="117"/>
      <c r="K47" s="117"/>
      <c r="L47" s="117"/>
      <c r="M47" s="119"/>
    </row>
    <row r="48" spans="2:13">
      <c r="B48" s="117"/>
      <c r="C48" s="118"/>
      <c r="D48" s="117"/>
      <c r="E48" s="117"/>
      <c r="F48" s="117"/>
      <c r="G48" s="117"/>
      <c r="H48" s="117"/>
      <c r="I48" s="117"/>
      <c r="J48" s="117"/>
      <c r="K48" s="117"/>
      <c r="L48" s="117"/>
      <c r="M48" s="119"/>
    </row>
    <row r="49" spans="2:13">
      <c r="B49" s="117"/>
      <c r="C49" s="118"/>
      <c r="D49" s="117"/>
      <c r="E49" s="117"/>
      <c r="F49" s="117"/>
      <c r="G49" s="117"/>
      <c r="H49" s="117"/>
      <c r="I49" s="117"/>
      <c r="J49" s="117"/>
      <c r="K49" s="117"/>
      <c r="L49" s="117"/>
      <c r="M49" s="119"/>
    </row>
    <row r="50" spans="2:13">
      <c r="B50" s="117"/>
      <c r="C50" s="118"/>
      <c r="D50" s="117"/>
      <c r="E50" s="117"/>
      <c r="F50" s="117"/>
      <c r="G50" s="117"/>
      <c r="H50" s="117"/>
      <c r="I50" s="117"/>
      <c r="J50" s="117"/>
      <c r="K50" s="117"/>
      <c r="L50" s="117"/>
      <c r="M50" s="119"/>
    </row>
    <row r="51" spans="2:13">
      <c r="B51" s="117"/>
      <c r="C51" s="118"/>
      <c r="D51" s="117"/>
      <c r="E51" s="117"/>
      <c r="F51" s="117"/>
      <c r="G51" s="117"/>
      <c r="H51" s="117"/>
      <c r="I51" s="117"/>
      <c r="J51" s="117"/>
      <c r="K51" s="117"/>
      <c r="L51" s="117"/>
      <c r="M51" s="119"/>
    </row>
    <row r="52" spans="2:13">
      <c r="B52" s="117"/>
      <c r="C52" s="118"/>
      <c r="D52" s="117"/>
      <c r="E52" s="117"/>
      <c r="F52" s="117"/>
      <c r="G52" s="117"/>
      <c r="H52" s="117"/>
      <c r="I52" s="117"/>
      <c r="J52" s="117"/>
      <c r="K52" s="117"/>
      <c r="L52" s="117"/>
      <c r="M52" s="119"/>
    </row>
    <row r="53" spans="2:13">
      <c r="B53" s="117"/>
      <c r="C53" s="118"/>
      <c r="D53" s="117"/>
      <c r="E53" s="117"/>
      <c r="F53" s="117"/>
      <c r="G53" s="117"/>
      <c r="H53" s="117"/>
      <c r="I53" s="117"/>
      <c r="J53" s="117"/>
      <c r="K53" s="117"/>
      <c r="L53" s="117"/>
      <c r="M53" s="119"/>
    </row>
    <row r="54" spans="2:13">
      <c r="B54" s="117"/>
      <c r="C54" s="118"/>
      <c r="D54" s="117"/>
      <c r="E54" s="117"/>
      <c r="F54" s="117"/>
      <c r="G54" s="117"/>
      <c r="H54" s="117"/>
      <c r="I54" s="117"/>
      <c r="J54" s="117"/>
      <c r="K54" s="117"/>
      <c r="L54" s="117"/>
      <c r="M54" s="119"/>
    </row>
    <row r="55" spans="2:13">
      <c r="B55" s="117"/>
      <c r="C55" s="118"/>
      <c r="D55" s="117"/>
      <c r="E55" s="117"/>
      <c r="F55" s="117"/>
      <c r="G55" s="117"/>
      <c r="H55" s="117"/>
      <c r="I55" s="117"/>
      <c r="J55" s="117"/>
      <c r="K55" s="117"/>
      <c r="L55" s="117"/>
      <c r="M55" s="119"/>
    </row>
    <row r="56" spans="2:13">
      <c r="B56" s="117"/>
      <c r="C56" s="118"/>
      <c r="D56" s="117"/>
      <c r="E56" s="117"/>
      <c r="F56" s="117"/>
      <c r="G56" s="117"/>
      <c r="H56" s="117"/>
      <c r="I56" s="117"/>
      <c r="J56" s="117"/>
      <c r="K56" s="117"/>
      <c r="L56" s="117"/>
      <c r="M56" s="119"/>
    </row>
    <row r="57" spans="2:13">
      <c r="B57" s="117"/>
      <c r="C57" s="118"/>
      <c r="D57" s="117"/>
      <c r="E57" s="117"/>
      <c r="F57" s="117"/>
      <c r="G57" s="117"/>
      <c r="H57" s="117"/>
      <c r="I57" s="117"/>
      <c r="J57" s="117"/>
      <c r="K57" s="117"/>
      <c r="L57" s="117"/>
      <c r="M57" s="119"/>
    </row>
    <row r="58" spans="2:13">
      <c r="B58" s="117"/>
      <c r="C58" s="118"/>
      <c r="D58" s="117"/>
      <c r="E58" s="117"/>
      <c r="F58" s="117"/>
      <c r="G58" s="117"/>
      <c r="H58" s="117"/>
      <c r="I58" s="117"/>
      <c r="J58" s="117"/>
      <c r="K58" s="117"/>
      <c r="L58" s="117"/>
      <c r="M58" s="119"/>
    </row>
    <row r="59" spans="2:13">
      <c r="B59" s="117"/>
      <c r="C59" s="118"/>
      <c r="D59" s="117"/>
      <c r="E59" s="117"/>
      <c r="F59" s="117"/>
      <c r="G59" s="117"/>
      <c r="H59" s="117"/>
      <c r="I59" s="117"/>
      <c r="J59" s="117"/>
      <c r="K59" s="117"/>
      <c r="L59" s="117"/>
      <c r="M59" s="119"/>
    </row>
    <row r="60" spans="2:13">
      <c r="B60" s="117"/>
      <c r="C60" s="118"/>
      <c r="D60" s="117"/>
      <c r="E60" s="117"/>
      <c r="F60" s="117"/>
      <c r="G60" s="117"/>
      <c r="H60" s="117"/>
      <c r="I60" s="117"/>
      <c r="J60" s="117"/>
      <c r="K60" s="117"/>
      <c r="L60" s="117"/>
      <c r="M60" s="119"/>
    </row>
    <row r="61" spans="2:13">
      <c r="B61" s="117"/>
      <c r="C61" s="118"/>
      <c r="D61" s="117"/>
      <c r="E61" s="117"/>
      <c r="F61" s="117"/>
      <c r="G61" s="117"/>
      <c r="H61" s="117"/>
      <c r="I61" s="117"/>
      <c r="J61" s="117"/>
      <c r="K61" s="117"/>
      <c r="L61" s="117"/>
      <c r="M61" s="119"/>
    </row>
    <row r="62" spans="2:13">
      <c r="B62" s="118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20"/>
    </row>
    <row r="63" spans="2:13">
      <c r="B63" s="118"/>
      <c r="C63" s="118"/>
      <c r="D63" s="118"/>
      <c r="E63" s="118"/>
      <c r="F63" s="118"/>
      <c r="G63" s="118"/>
      <c r="H63" s="118"/>
      <c r="I63" s="118"/>
      <c r="J63" s="118"/>
      <c r="K63" s="118"/>
      <c r="L63" s="118"/>
      <c r="M63" s="120"/>
    </row>
    <row r="64" spans="2:13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20"/>
    </row>
    <row r="65" spans="2:13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20"/>
    </row>
    <row r="66" spans="2:13">
      <c r="B66" s="118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20"/>
    </row>
    <row r="67" spans="2:13"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20"/>
    </row>
    <row r="68" spans="2:13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20"/>
    </row>
    <row r="69" spans="2:13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20"/>
    </row>
    <row r="70" spans="2:13"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20"/>
    </row>
    <row r="71" spans="2:13"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20"/>
    </row>
    <row r="72" spans="2:13"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20"/>
    </row>
    <row r="73" spans="2:13"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20"/>
    </row>
    <row r="74" spans="2:13"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20"/>
    </row>
  </sheetData>
  <mergeCells count="10">
    <mergeCell ref="A1:M1"/>
    <mergeCell ref="A3:A4"/>
    <mergeCell ref="B3:B4"/>
    <mergeCell ref="C3:C4"/>
    <mergeCell ref="D3:D4"/>
    <mergeCell ref="M3:M4"/>
    <mergeCell ref="E3:F3"/>
    <mergeCell ref="G3:H3"/>
    <mergeCell ref="I3:J3"/>
    <mergeCell ref="K3:L3"/>
  </mergeCells>
  <pageMargins left="0.39370078740157483" right="0.39370078740157483" top="0.78740157480314965" bottom="0.39370078740157483" header="0.31496062992125984" footer="0.31496062992125984"/>
  <pageSetup paperSize="9" scale="4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7"/>
  <sheetViews>
    <sheetView view="pageBreakPreview" topLeftCell="A31" zoomScale="60" zoomScaleNormal="55" workbookViewId="0">
      <selection activeCell="A24" sqref="A1:L1048576"/>
    </sheetView>
  </sheetViews>
  <sheetFormatPr defaultRowHeight="15"/>
  <cols>
    <col min="1" max="1" width="15.7109375" style="27" customWidth="1"/>
    <col min="2" max="2" width="200.7109375" style="27" customWidth="1"/>
    <col min="3" max="3" width="9.7109375" style="27" customWidth="1"/>
    <col min="4" max="4" width="34.7109375" style="27" customWidth="1"/>
    <col min="5" max="7" width="20.7109375" customWidth="1"/>
  </cols>
  <sheetData>
    <row r="1" spans="1:4">
      <c r="A1" s="10"/>
      <c r="B1" s="10"/>
      <c r="C1" s="1"/>
      <c r="D1" s="1"/>
    </row>
    <row r="2" spans="1:4">
      <c r="A2" s="10"/>
      <c r="B2" s="10"/>
      <c r="C2" s="1"/>
      <c r="D2" s="1"/>
    </row>
    <row r="3" spans="1:4" ht="15" customHeight="1">
      <c r="A3" s="11">
        <f>სატენდერო!A3</f>
        <v>0</v>
      </c>
      <c r="B3" s="11"/>
      <c r="C3" s="1"/>
      <c r="D3" s="165"/>
    </row>
    <row r="4" spans="1:4" ht="15" customHeight="1">
      <c r="A4" s="11"/>
      <c r="B4" s="11"/>
      <c r="C4" s="1"/>
      <c r="D4" s="165"/>
    </row>
    <row r="5" spans="1:4" ht="15" customHeight="1">
      <c r="A5" s="11" t="s">
        <v>28</v>
      </c>
      <c r="B5" s="11"/>
      <c r="C5" s="1"/>
      <c r="D5" s="165"/>
    </row>
    <row r="6" spans="1:4" ht="15" customHeight="1">
      <c r="A6" s="11"/>
      <c r="B6" s="11"/>
      <c r="C6" s="1"/>
      <c r="D6" s="165"/>
    </row>
    <row r="7" spans="1:4" ht="15" customHeight="1">
      <c r="A7" s="11">
        <f>სატენდერო!A7</f>
        <v>0</v>
      </c>
      <c r="B7" s="11"/>
      <c r="C7" s="1"/>
      <c r="D7" s="165"/>
    </row>
    <row r="8" spans="1:4" ht="15" customHeight="1">
      <c r="A8" s="11"/>
      <c r="B8" s="11"/>
      <c r="C8" s="1"/>
      <c r="D8" s="165"/>
    </row>
    <row r="9" spans="1:4" ht="15" customHeight="1">
      <c r="A9" s="11" t="s">
        <v>29</v>
      </c>
      <c r="B9" s="11"/>
      <c r="C9" s="1"/>
      <c r="D9" s="165"/>
    </row>
    <row r="10" spans="1:4" ht="15" customHeight="1">
      <c r="A10" s="11"/>
      <c r="B10" s="11"/>
      <c r="C10" s="2"/>
      <c r="D10" s="165"/>
    </row>
    <row r="11" spans="1:4" ht="15" customHeight="1">
      <c r="A11" s="165"/>
      <c r="B11" s="165"/>
      <c r="C11" s="1"/>
      <c r="D11" s="165"/>
    </row>
    <row r="12" spans="1:4" ht="15" customHeight="1">
      <c r="A12" s="165"/>
      <c r="B12" s="165"/>
      <c r="C12" s="1"/>
      <c r="D12" s="165"/>
    </row>
    <row r="13" spans="1:4" s="7" customFormat="1" ht="80.099999999999994" customHeight="1">
      <c r="A13" s="168" t="s">
        <v>48</v>
      </c>
      <c r="B13" s="169"/>
      <c r="C13" s="169"/>
      <c r="D13" s="169"/>
    </row>
    <row r="14" spans="1:4" s="7" customFormat="1" ht="39.950000000000003" customHeight="1">
      <c r="A14" s="170" t="s">
        <v>2</v>
      </c>
      <c r="B14" s="170" t="s">
        <v>3</v>
      </c>
      <c r="C14" s="170" t="s">
        <v>12</v>
      </c>
      <c r="D14" s="171" t="s">
        <v>52</v>
      </c>
    </row>
    <row r="15" spans="1:4" s="7" customFormat="1" ht="39.950000000000003" customHeight="1">
      <c r="A15" s="170"/>
      <c r="B15" s="170"/>
      <c r="C15" s="170"/>
      <c r="D15" s="171"/>
    </row>
    <row r="16" spans="1:4" s="7" customFormat="1" ht="39.950000000000003" customHeight="1">
      <c r="A16" s="170"/>
      <c r="B16" s="170"/>
      <c r="C16" s="170"/>
      <c r="D16" s="171"/>
    </row>
    <row r="17" spans="1:4" s="7" customFormat="1" ht="39.950000000000003" customHeight="1">
      <c r="A17" s="15">
        <v>1</v>
      </c>
      <c r="B17" s="15">
        <v>2</v>
      </c>
      <c r="C17" s="15">
        <v>3</v>
      </c>
      <c r="D17" s="15">
        <v>4</v>
      </c>
    </row>
    <row r="18" spans="1:4" s="6" customFormat="1" ht="39.950000000000003" customHeight="1">
      <c r="A18" s="166" t="s">
        <v>53</v>
      </c>
      <c r="B18" s="167"/>
      <c r="C18" s="167"/>
      <c r="D18" s="167"/>
    </row>
    <row r="19" spans="1:4" s="6" customFormat="1" ht="39.950000000000003" customHeight="1">
      <c r="A19" s="16" t="s">
        <v>153</v>
      </c>
      <c r="B19" s="17" t="str">
        <f>სატენდერო!B20</f>
        <v>მოსამზადებელი სამუშაოები</v>
      </c>
      <c r="C19" s="17"/>
      <c r="D19" s="18">
        <f>სატენდერო!H26</f>
        <v>0</v>
      </c>
    </row>
    <row r="20" spans="1:4" s="6" customFormat="1" ht="39.950000000000003" customHeight="1">
      <c r="A20" s="166" t="s">
        <v>54</v>
      </c>
      <c r="B20" s="167"/>
      <c r="C20" s="167"/>
      <c r="D20" s="167"/>
    </row>
    <row r="21" spans="1:4" s="6" customFormat="1" ht="39.950000000000003" customHeight="1">
      <c r="A21" s="16" t="s">
        <v>166</v>
      </c>
      <c r="B21" s="17" t="str">
        <f>სატენდერო!B27</f>
        <v>მიწის ვაკისი</v>
      </c>
      <c r="C21" s="17"/>
      <c r="D21" s="18">
        <f>სატენდერო!H39</f>
        <v>0</v>
      </c>
    </row>
    <row r="22" spans="1:4" s="6" customFormat="1" ht="39.950000000000003" customHeight="1">
      <c r="A22" s="166" t="s">
        <v>55</v>
      </c>
      <c r="B22" s="167"/>
      <c r="C22" s="167"/>
      <c r="D22" s="167"/>
    </row>
    <row r="23" spans="1:4" s="6" customFormat="1" ht="39.950000000000003" customHeight="1">
      <c r="A23" s="16" t="s">
        <v>192</v>
      </c>
      <c r="B23" s="17" t="str">
        <f>სატენდერო!B40</f>
        <v>რკ/ბ კედლის აღდგენა</v>
      </c>
      <c r="C23" s="17"/>
      <c r="D23" s="18">
        <f>სატენდერო!H47</f>
        <v>0</v>
      </c>
    </row>
    <row r="24" spans="1:4" s="6" customFormat="1" ht="39.950000000000003" customHeight="1">
      <c r="A24" s="16" t="s">
        <v>193</v>
      </c>
      <c r="B24" s="17" t="str">
        <f>სატენდერო!B48</f>
        <v>გაბიონის ყუთების მოწყობის სამუშაოები</v>
      </c>
      <c r="C24" s="17"/>
      <c r="D24" s="18">
        <f>სატენდერო!H61</f>
        <v>0</v>
      </c>
    </row>
    <row r="25" spans="1:4" s="6" customFormat="1" ht="39.950000000000003" customHeight="1">
      <c r="A25" s="166" t="s">
        <v>56</v>
      </c>
      <c r="B25" s="167"/>
      <c r="C25" s="167"/>
      <c r="D25" s="167"/>
    </row>
    <row r="26" spans="1:4" s="6" customFormat="1" ht="39.950000000000003" customHeight="1">
      <c r="A26" s="16" t="s">
        <v>180</v>
      </c>
      <c r="B26" s="17" t="str">
        <f>სატენდერო!B62</f>
        <v>საგზაო სამოსი</v>
      </c>
      <c r="C26" s="17"/>
      <c r="D26" s="18">
        <f>სატენდერო!H73</f>
        <v>0</v>
      </c>
    </row>
    <row r="27" spans="1:4" s="6" customFormat="1" ht="39.950000000000003" customHeight="1">
      <c r="A27" s="166" t="s">
        <v>57</v>
      </c>
      <c r="B27" s="167"/>
      <c r="C27" s="167"/>
      <c r="D27" s="167"/>
    </row>
    <row r="28" spans="1:4" s="6" customFormat="1" ht="39.950000000000003" customHeight="1">
      <c r="A28" s="16" t="s">
        <v>194</v>
      </c>
      <c r="B28" s="17" t="str">
        <f>სატენდერო!B74</f>
        <v>მიერთებებისა და ადგილობრივი შესასვლელების მოწყობის სამუშაოები</v>
      </c>
      <c r="C28" s="17"/>
      <c r="D28" s="18">
        <f>სატენდერო!H87</f>
        <v>0</v>
      </c>
    </row>
    <row r="29" spans="1:4" s="6" customFormat="1" ht="39.950000000000003" customHeight="1">
      <c r="A29" s="16" t="s">
        <v>195</v>
      </c>
      <c r="B29" s="17" t="str">
        <f>სატენდერო!B88</f>
        <v>ზღუდარის მონტაჟი</v>
      </c>
      <c r="C29" s="17"/>
      <c r="D29" s="18">
        <f>სატენდერო!H94</f>
        <v>0</v>
      </c>
    </row>
    <row r="30" spans="1:4" s="7" customFormat="1" ht="39.950000000000003" customHeight="1">
      <c r="A30" s="15"/>
      <c r="B30" s="17" t="s">
        <v>4</v>
      </c>
      <c r="C30" s="19"/>
      <c r="D30" s="20">
        <f>ROUND(D19+D23+D21+D24+D26+D29+D28,2)</f>
        <v>0</v>
      </c>
    </row>
    <row r="31" spans="1:4" s="7" customFormat="1" ht="39.950000000000003" customHeight="1">
      <c r="A31" s="21"/>
      <c r="B31" s="15" t="s">
        <v>26</v>
      </c>
      <c r="C31" s="22">
        <v>0.05</v>
      </c>
      <c r="D31" s="19">
        <f>ROUND(D30*C31,2)</f>
        <v>0</v>
      </c>
    </row>
    <row r="32" spans="1:4" s="7" customFormat="1" ht="39.950000000000003" customHeight="1">
      <c r="A32" s="21"/>
      <c r="B32" s="15" t="s">
        <v>4</v>
      </c>
      <c r="C32" s="15"/>
      <c r="D32" s="20">
        <f>ROUND(SUM(D30:D31),2)</f>
        <v>0</v>
      </c>
    </row>
    <row r="33" spans="1:4" s="7" customFormat="1" ht="39.950000000000003" customHeight="1">
      <c r="A33" s="21"/>
      <c r="B33" s="15" t="s">
        <v>27</v>
      </c>
      <c r="C33" s="22">
        <v>0.18</v>
      </c>
      <c r="D33" s="20">
        <f>ROUND(D32*C33,2)</f>
        <v>0</v>
      </c>
    </row>
    <row r="34" spans="1:4" s="7" customFormat="1" ht="39.950000000000003" customHeight="1">
      <c r="A34" s="21"/>
      <c r="B34" s="15" t="s">
        <v>4</v>
      </c>
      <c r="C34" s="15"/>
      <c r="D34" s="23">
        <f>ROUND(SUM(D32:D33),2)</f>
        <v>0</v>
      </c>
    </row>
    <row r="35" spans="1:4" ht="39.950000000000003" customHeight="1">
      <c r="A35" s="24"/>
      <c r="B35" s="25"/>
      <c r="C35" s="26"/>
      <c r="D35" s="26"/>
    </row>
    <row r="36" spans="1:4" ht="39.950000000000003" customHeight="1">
      <c r="A36" s="24"/>
      <c r="B36" s="25"/>
      <c r="C36" s="26"/>
      <c r="D36" s="33"/>
    </row>
    <row r="37" spans="1:4" ht="39.950000000000003" customHeight="1">
      <c r="A37" s="24"/>
      <c r="B37" s="25"/>
      <c r="C37" s="26"/>
      <c r="D37" s="26"/>
    </row>
    <row r="38" spans="1:4" ht="39.950000000000003" customHeight="1">
      <c r="A38" s="24"/>
      <c r="B38" s="25"/>
      <c r="C38" s="26"/>
      <c r="D38" s="26"/>
    </row>
    <row r="39" spans="1:4" ht="39.950000000000003" customHeight="1">
      <c r="A39" s="24"/>
      <c r="B39" s="25"/>
      <c r="C39" s="26"/>
      <c r="D39" s="26"/>
    </row>
    <row r="40" spans="1:4" ht="39.950000000000003" customHeight="1">
      <c r="A40" s="24"/>
      <c r="B40" s="25"/>
      <c r="C40" s="26"/>
      <c r="D40" s="26"/>
    </row>
    <row r="41" spans="1:4" ht="39.950000000000003" customHeight="1">
      <c r="A41" s="24"/>
      <c r="B41" s="25"/>
      <c r="C41" s="26"/>
      <c r="D41" s="26"/>
    </row>
    <row r="42" spans="1:4" ht="39.950000000000003" customHeight="1">
      <c r="A42" s="24"/>
      <c r="B42" s="25"/>
      <c r="C42" s="26"/>
      <c r="D42" s="26"/>
    </row>
    <row r="43" spans="1:4" ht="39.950000000000003" customHeight="1">
      <c r="A43" s="24"/>
      <c r="B43" s="25"/>
      <c r="C43" s="26"/>
      <c r="D43" s="26"/>
    </row>
    <row r="44" spans="1:4" ht="39.950000000000003" customHeight="1">
      <c r="A44" s="24"/>
      <c r="B44" s="25"/>
      <c r="C44" s="26"/>
      <c r="D44" s="26"/>
    </row>
    <row r="45" spans="1:4" ht="39.950000000000003" customHeight="1">
      <c r="A45" s="24"/>
      <c r="B45" s="25"/>
      <c r="C45" s="26"/>
      <c r="D45" s="26"/>
    </row>
    <row r="46" spans="1:4" ht="39.950000000000003" customHeight="1">
      <c r="A46" s="24"/>
      <c r="B46" s="25"/>
      <c r="C46" s="26"/>
      <c r="D46" s="26"/>
    </row>
    <row r="47" spans="1:4" ht="39.950000000000003" customHeight="1">
      <c r="A47" s="24"/>
      <c r="B47" s="25"/>
      <c r="C47" s="26"/>
      <c r="D47" s="26"/>
    </row>
    <row r="48" spans="1:4" ht="39.950000000000003" customHeight="1">
      <c r="A48" s="24"/>
      <c r="B48" s="25"/>
      <c r="C48" s="26"/>
      <c r="D48" s="26"/>
    </row>
    <row r="49" spans="1:4" ht="39.950000000000003" customHeight="1">
      <c r="A49" s="24"/>
      <c r="B49" s="25"/>
      <c r="C49" s="26"/>
      <c r="D49" s="26"/>
    </row>
    <row r="50" spans="1:4" ht="39.950000000000003" customHeight="1">
      <c r="A50" s="24"/>
      <c r="B50" s="25"/>
      <c r="C50" s="26"/>
      <c r="D50" s="26"/>
    </row>
    <row r="51" spans="1:4" ht="39.950000000000003" customHeight="1">
      <c r="A51" s="24"/>
      <c r="B51" s="25"/>
      <c r="C51" s="26"/>
      <c r="D51" s="26"/>
    </row>
    <row r="52" spans="1:4" ht="39.950000000000003" customHeight="1">
      <c r="A52" s="24"/>
      <c r="B52" s="25"/>
      <c r="C52" s="26"/>
      <c r="D52" s="26"/>
    </row>
    <row r="53" spans="1:4" ht="39.950000000000003" customHeight="1">
      <c r="A53" s="24"/>
      <c r="B53" s="25"/>
      <c r="C53" s="26"/>
      <c r="D53" s="26"/>
    </row>
    <row r="54" spans="1:4" ht="39.950000000000003" customHeight="1">
      <c r="A54" s="24"/>
      <c r="B54" s="25"/>
      <c r="C54" s="26"/>
      <c r="D54" s="26"/>
    </row>
    <row r="55" spans="1:4" ht="39.950000000000003" customHeight="1">
      <c r="A55" s="24"/>
      <c r="B55" s="25"/>
      <c r="C55" s="26"/>
      <c r="D55" s="26"/>
    </row>
    <row r="56" spans="1:4" ht="39.950000000000003" customHeight="1">
      <c r="A56" s="24"/>
      <c r="B56" s="25"/>
      <c r="C56" s="26"/>
      <c r="D56" s="26"/>
    </row>
    <row r="57" spans="1:4" ht="39.950000000000003" customHeight="1">
      <c r="A57" s="24"/>
      <c r="B57" s="25"/>
      <c r="C57" s="26"/>
      <c r="D57" s="26"/>
    </row>
    <row r="58" spans="1:4" ht="39.950000000000003" customHeight="1">
      <c r="A58" s="24"/>
      <c r="B58" s="25"/>
      <c r="C58" s="26"/>
      <c r="D58" s="26"/>
    </row>
    <row r="59" spans="1:4" ht="39.950000000000003" customHeight="1">
      <c r="A59" s="24"/>
      <c r="B59" s="25"/>
      <c r="C59" s="26"/>
      <c r="D59" s="26"/>
    </row>
    <row r="60" spans="1:4" ht="39.950000000000003" customHeight="1">
      <c r="A60" s="24"/>
      <c r="B60" s="25"/>
      <c r="C60" s="26"/>
      <c r="D60" s="26"/>
    </row>
    <row r="61" spans="1:4" ht="39.950000000000003" customHeight="1">
      <c r="A61" s="24"/>
      <c r="B61" s="25"/>
      <c r="C61" s="26"/>
      <c r="D61" s="26"/>
    </row>
    <row r="62" spans="1:4" ht="39.950000000000003" customHeight="1">
      <c r="A62" s="24"/>
      <c r="B62" s="25"/>
      <c r="C62" s="26"/>
      <c r="D62" s="26"/>
    </row>
    <row r="63" spans="1:4" ht="39.950000000000003" customHeight="1">
      <c r="A63" s="24"/>
      <c r="B63" s="25"/>
      <c r="C63" s="26"/>
      <c r="D63" s="26"/>
    </row>
    <row r="64" spans="1:4" ht="39.950000000000003" customHeight="1">
      <c r="A64" s="24"/>
      <c r="B64" s="25"/>
      <c r="C64" s="26"/>
      <c r="D64" s="26"/>
    </row>
    <row r="65" spans="1:4" ht="39.950000000000003" customHeight="1">
      <c r="A65" s="24"/>
      <c r="B65" s="25"/>
      <c r="C65" s="26"/>
      <c r="D65" s="26"/>
    </row>
    <row r="66" spans="1:4" ht="39.950000000000003" customHeight="1">
      <c r="A66" s="24"/>
      <c r="B66" s="25"/>
      <c r="C66" s="26"/>
      <c r="D66" s="26"/>
    </row>
    <row r="67" spans="1:4" ht="39.950000000000003" customHeight="1">
      <c r="A67" s="24"/>
      <c r="B67" s="25"/>
      <c r="C67" s="26"/>
      <c r="D67" s="26"/>
    </row>
    <row r="68" spans="1:4" ht="39.950000000000003" customHeight="1">
      <c r="A68" s="24"/>
      <c r="B68" s="25"/>
      <c r="C68" s="26"/>
      <c r="D68" s="26"/>
    </row>
    <row r="69" spans="1:4" ht="39.950000000000003" customHeight="1">
      <c r="A69" s="24"/>
      <c r="B69" s="25"/>
      <c r="C69" s="26"/>
      <c r="D69" s="26"/>
    </row>
    <row r="70" spans="1:4" ht="39.950000000000003" customHeight="1">
      <c r="A70" s="24"/>
      <c r="B70" s="25"/>
      <c r="C70" s="26"/>
      <c r="D70" s="26"/>
    </row>
    <row r="71" spans="1:4">
      <c r="B71" s="28"/>
      <c r="C71" s="29"/>
      <c r="D71" s="29"/>
    </row>
    <row r="72" spans="1:4">
      <c r="B72" s="28"/>
      <c r="C72" s="29"/>
      <c r="D72" s="29"/>
    </row>
    <row r="73" spans="1:4">
      <c r="B73" s="28"/>
      <c r="C73" s="29"/>
      <c r="D73" s="29"/>
    </row>
    <row r="74" spans="1:4">
      <c r="B74" s="28"/>
      <c r="C74" s="29"/>
      <c r="D74" s="29"/>
    </row>
    <row r="75" spans="1:4">
      <c r="B75" s="28"/>
      <c r="C75" s="28"/>
      <c r="D75" s="28"/>
    </row>
    <row r="76" spans="1:4">
      <c r="B76" s="28"/>
      <c r="C76" s="28"/>
      <c r="D76" s="28"/>
    </row>
    <row r="77" spans="1:4">
      <c r="B77" s="28"/>
      <c r="C77" s="28"/>
      <c r="D77" s="28"/>
    </row>
    <row r="78" spans="1:4">
      <c r="B78" s="28"/>
      <c r="C78" s="28"/>
      <c r="D78" s="28"/>
    </row>
    <row r="79" spans="1:4">
      <c r="B79" s="28"/>
      <c r="C79" s="28"/>
      <c r="D79" s="28"/>
    </row>
    <row r="80" spans="1:4">
      <c r="B80" s="28"/>
      <c r="C80" s="28"/>
      <c r="D80" s="28"/>
    </row>
    <row r="81" spans="2:4">
      <c r="B81" s="28"/>
      <c r="C81" s="28"/>
      <c r="D81" s="28"/>
    </row>
    <row r="82" spans="2:4">
      <c r="B82" s="28"/>
      <c r="C82" s="28"/>
      <c r="D82" s="28"/>
    </row>
    <row r="83" spans="2:4">
      <c r="B83" s="28"/>
      <c r="C83" s="28"/>
      <c r="D83" s="28"/>
    </row>
    <row r="84" spans="2:4">
      <c r="B84" s="28"/>
      <c r="C84" s="28"/>
      <c r="D84" s="28"/>
    </row>
    <row r="85" spans="2:4">
      <c r="B85" s="28"/>
      <c r="C85" s="28"/>
      <c r="D85" s="28"/>
    </row>
    <row r="86" spans="2:4">
      <c r="B86" s="28"/>
      <c r="C86" s="28"/>
      <c r="D86" s="28"/>
    </row>
    <row r="87" spans="2:4">
      <c r="B87" s="28"/>
      <c r="C87" s="28"/>
      <c r="D87" s="28"/>
    </row>
  </sheetData>
  <mergeCells count="16">
    <mergeCell ref="A20:D20"/>
    <mergeCell ref="A22:D22"/>
    <mergeCell ref="A25:D25"/>
    <mergeCell ref="A27:D27"/>
    <mergeCell ref="A13:D13"/>
    <mergeCell ref="A14:A16"/>
    <mergeCell ref="B14:B16"/>
    <mergeCell ref="C14:C16"/>
    <mergeCell ref="D14:D16"/>
    <mergeCell ref="A18:D18"/>
    <mergeCell ref="D3:D4"/>
    <mergeCell ref="D5:D6"/>
    <mergeCell ref="D7:D8"/>
    <mergeCell ref="D9:D10"/>
    <mergeCell ref="A11:B12"/>
    <mergeCell ref="D11:D12"/>
  </mergeCells>
  <pageMargins left="0.7" right="0.7" top="0.75" bottom="0.75" header="0.3" footer="0.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112</vt:i4>
      </vt:variant>
    </vt:vector>
  </HeadingPairs>
  <TitlesOfParts>
    <vt:vector size="123" baseType="lpstr">
      <vt:lpstr>კრებსითი</vt:lpstr>
      <vt:lpstr>1-1</vt:lpstr>
      <vt:lpstr>2-1</vt:lpstr>
      <vt:lpstr>3-1</vt:lpstr>
      <vt:lpstr>3-2</vt:lpstr>
      <vt:lpstr>4-1</vt:lpstr>
      <vt:lpstr>5-1</vt:lpstr>
      <vt:lpstr>5-2</vt:lpstr>
      <vt:lpstr>სატენდერო კრებსითი</vt:lpstr>
      <vt:lpstr>სატენდერო</vt:lpstr>
      <vt:lpstr>ტრანსპორტირება</vt:lpstr>
      <vt:lpstr>'1-1'!Область_печати</vt:lpstr>
      <vt:lpstr>'2-1'!Область_печати</vt:lpstr>
      <vt:lpstr>'3-1'!Область_печати</vt:lpstr>
      <vt:lpstr>'3-2'!Область_печати</vt:lpstr>
      <vt:lpstr>'4-1'!Область_печати</vt:lpstr>
      <vt:lpstr>'5-1'!Область_печати</vt:lpstr>
      <vt:lpstr>'5-2'!Область_печати</vt:lpstr>
      <vt:lpstr>კრებსითი!Область_печати</vt:lpstr>
      <vt:lpstr>სატენდერო!Область_печати</vt:lpstr>
      <vt:lpstr>'სატენდერო კრებსითი'!Область_печати</vt:lpstr>
      <vt:lpstr>ტრანსპორტირება!Область_печати</vt:lpstr>
      <vt:lpstr>აგური251210</vt:lpstr>
      <vt:lpstr>აგური251211</vt:lpstr>
      <vt:lpstr>ანაკრებიკიუვეტი10</vt:lpstr>
      <vt:lpstr>ანაკრებიკიუვეტი11</vt:lpstr>
      <vt:lpstr>არმატურაა110</vt:lpstr>
      <vt:lpstr>არმატურაა111</vt:lpstr>
      <vt:lpstr>არმატურაა310</vt:lpstr>
      <vt:lpstr>არმატურაა311</vt:lpstr>
      <vt:lpstr>ბაგირიფოლადის10</vt:lpstr>
      <vt:lpstr>ბაგირიფოლადის11</vt:lpstr>
      <vt:lpstr>ბარიერიბეტონის10</vt:lpstr>
      <vt:lpstr>ბარიერიბეტონის11</vt:lpstr>
      <vt:lpstr>ბეტონიბ1510</vt:lpstr>
      <vt:lpstr>ბეტონიბ1511</vt:lpstr>
      <vt:lpstr>ბეტონიბ22510</vt:lpstr>
      <vt:lpstr>ბეტონიბ22511</vt:lpstr>
      <vt:lpstr>ბეტონიბ2510</vt:lpstr>
      <vt:lpstr>ბეტონიბ2510უ</vt:lpstr>
      <vt:lpstr>ბეტონიბ2511</vt:lpstr>
      <vt:lpstr>ბეტონიბ2511უ</vt:lpstr>
      <vt:lpstr>ბეტონიბ3010</vt:lpstr>
      <vt:lpstr>ბეტონიბ3010უ</vt:lpstr>
      <vt:lpstr>ბეტონიბ3011</vt:lpstr>
      <vt:lpstr>ბეტონიბ3011უ</vt:lpstr>
      <vt:lpstr>ბეტონიბ710</vt:lpstr>
      <vt:lpstr>ბეტონიბ711</vt:lpstr>
      <vt:lpstr>ბიტუმინავთობის10</vt:lpstr>
      <vt:lpstr>ბიტუმინავთობის11</vt:lpstr>
      <vt:lpstr>ბიტუმისემულსია10</vt:lpstr>
      <vt:lpstr>ბიტუმისემულსია11</vt:lpstr>
      <vt:lpstr>ბლოკიბეტონის10</vt:lpstr>
      <vt:lpstr>ბლოკიბეტონის11</vt:lpstr>
      <vt:lpstr>გაბიონი1.51110</vt:lpstr>
      <vt:lpstr>გაბიონი1.51111</vt:lpstr>
      <vt:lpstr>გაბიონი21110</vt:lpstr>
      <vt:lpstr>გაბიონი21111</vt:lpstr>
      <vt:lpstr>დგარიცდ10</vt:lpstr>
      <vt:lpstr>დგარიცდ11</vt:lpstr>
      <vt:lpstr>დეკორატიულიქვა</vt:lpstr>
      <vt:lpstr>დეკორატიულიქვა10</vt:lpstr>
      <vt:lpstr>დეკორატიულიქვა11</vt:lpstr>
      <vt:lpstr>კუთხოვანა608010</vt:lpstr>
      <vt:lpstr>კუთხოვანა608011</vt:lpstr>
      <vt:lpstr>ლითონისდგარი10210</vt:lpstr>
      <vt:lpstr>ლითონისდგარი10211</vt:lpstr>
      <vt:lpstr>ლითონისდგარი11410</vt:lpstr>
      <vt:lpstr>ლითონისდგარი11411</vt:lpstr>
      <vt:lpstr>ლითონისდგარი7610</vt:lpstr>
      <vt:lpstr>ლითონისდგარი7611</vt:lpstr>
      <vt:lpstr>ლითონისმილი10</vt:lpstr>
      <vt:lpstr>ლითონისმილი11</vt:lpstr>
      <vt:lpstr>ლითონისმილიდ150010</vt:lpstr>
      <vt:lpstr>ლითონისმილიდ150011</vt:lpstr>
      <vt:lpstr>ლითონისმოაჯირი10</vt:lpstr>
      <vt:lpstr>ლითონისმოაჯირი11</vt:lpstr>
      <vt:lpstr>მილი1მრბ100010</vt:lpstr>
      <vt:lpstr>მილი1მრბ100011</vt:lpstr>
      <vt:lpstr>მილი1მრბ150010</vt:lpstr>
      <vt:lpstr>მილი1მრბ150011</vt:lpstr>
      <vt:lpstr>მილირბ100010</vt:lpstr>
      <vt:lpstr>მილირბ100011</vt:lpstr>
      <vt:lpstr>მსხვილმარცვლოვანიასფალტობეტონი10</vt:lpstr>
      <vt:lpstr>მსხვილმარცვლოვანიასფალტობეტონი11</vt:lpstr>
      <vt:lpstr>რესორიფოლადის10</vt:lpstr>
      <vt:lpstr>რესორიფოლადის11</vt:lpstr>
      <vt:lpstr>ფიცარიჩამოგანილი10</vt:lpstr>
      <vt:lpstr>ფიცარიჩამოგანილი11</vt:lpstr>
      <vt:lpstr>ფიცარიჩამოგანილი2510</vt:lpstr>
      <vt:lpstr>ფიცარიჩამოგანილი2511</vt:lpstr>
      <vt:lpstr>ფიცარიჩამოგანილი7010</vt:lpstr>
      <vt:lpstr>ფიცარიჩამოგანილი7011</vt:lpstr>
      <vt:lpstr>ფლეთილიქვა10</vt:lpstr>
      <vt:lpstr>ფლეთილიქვა11</vt:lpstr>
      <vt:lpstr>ფოლადისზოლოვანა6010</vt:lpstr>
      <vt:lpstr>ფოლადისზოლოვანა6011</vt:lpstr>
      <vt:lpstr>ფოლადისკვადრატი10</vt:lpstr>
      <vt:lpstr>ფოლადისკვადრატი11</vt:lpstr>
      <vt:lpstr>ქვიშაყვითელი10</vt:lpstr>
      <vt:lpstr>ქვიშაყვითელი11</vt:lpstr>
      <vt:lpstr>ქვიშაშავი10</vt:lpstr>
      <vt:lpstr>ქვიშაშავი11</vt:lpstr>
      <vt:lpstr>ქვიშახრეშოვანინარევი10</vt:lpstr>
      <vt:lpstr>ქვიშახრეშოვანინარევი11</vt:lpstr>
      <vt:lpstr>ღორღი10</vt:lpstr>
      <vt:lpstr>ღორღი11</vt:lpstr>
      <vt:lpstr>ყალიბისფიცარი4010</vt:lpstr>
      <vt:lpstr>ყალიბისფიცარი4011</vt:lpstr>
      <vt:lpstr>ყორექვა10</vt:lpstr>
      <vt:lpstr>ყორექვა11</vt:lpstr>
      <vt:lpstr>ცემენტიმ40010</vt:lpstr>
      <vt:lpstr>ცემენტიმ40011</vt:lpstr>
      <vt:lpstr>ცემენტისსხნარიმ20010</vt:lpstr>
      <vt:lpstr>ცემენტისხნსარი1210</vt:lpstr>
      <vt:lpstr>ცემენტისხსნარი1211</vt:lpstr>
      <vt:lpstr>ცემენტისხსნარი1310</vt:lpstr>
      <vt:lpstr>ცემენტისხსნარი1311</vt:lpstr>
      <vt:lpstr>ცემენტისხსნარიმ20011</vt:lpstr>
      <vt:lpstr>წვრილმარცვლოვანიასფალტობეტონი10</vt:lpstr>
      <vt:lpstr>წვრილმარცვლოვანიასფალტობეტონი11</vt:lpstr>
      <vt:lpstr>ხისმორი10</vt:lpstr>
      <vt:lpstr>ხისმორი11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2019-01-11T10:14:31Z</dcterms:modified>
</cp:coreProperties>
</file>