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5"/>
  </bookViews>
  <sheets>
    <sheet name="კრებსითი" sheetId="4" r:id="rId1"/>
    <sheet name="1-1" sheetId="5" r:id="rId2"/>
    <sheet name="2-1" sheetId="9" r:id="rId3"/>
    <sheet name="3-1" sheetId="13" r:id="rId4"/>
    <sheet name="4-1" sheetId="24" r:id="rId5"/>
    <sheet name="5-1" sheetId="25" r:id="rId6"/>
    <sheet name="სატენდერო კრებსითი" sheetId="31" r:id="rId7"/>
    <sheet name="სატენდერო" sheetId="30" r:id="rId8"/>
    <sheet name="ტრანსპორტირება" sheetId="29" r:id="rId9"/>
  </sheets>
  <externalReferences>
    <externalReference r:id="rId10"/>
  </externalReferences>
  <definedNames>
    <definedName name="_xlnm.Print_Area" localSheetId="1">'1-1'!$A$1:$M$31</definedName>
    <definedName name="_xlnm.Print_Area" localSheetId="2">'2-1'!$A$1:$M$55</definedName>
    <definedName name="_xlnm.Print_Area" localSheetId="3">'3-1'!$A$1:$M$137</definedName>
    <definedName name="_xlnm.Print_Area" localSheetId="4">'4-1'!$A$1:$M$78</definedName>
    <definedName name="_xlnm.Print_Area" localSheetId="5">'5-1'!$A$1:$M$90</definedName>
    <definedName name="_xlnm.Print_Area" localSheetId="0">კრებსითი!$A$1:$G$45</definedName>
    <definedName name="_xlnm.Print_Area" localSheetId="7">სატენდერო!$A$1:$I$96</definedName>
    <definedName name="_xlnm.Print_Area" localSheetId="6">'სატენდერო კრებსითი'!$A$1:$D$35</definedName>
    <definedName name="_xlnm.Print_Area" localSheetId="8">ტრანსპორტირება!$A$1:$L$74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10">[1]ტრანსპორტირება!$J$71</definedName>
    <definedName name="დეკორატიულიქვა11">[1]ტრანსპორტირება!$K$71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9"/>
  <c r="F27" i="4" l="1"/>
  <c r="E27"/>
  <c r="D27"/>
  <c r="F24"/>
  <c r="E24"/>
  <c r="F21"/>
  <c r="E21"/>
  <c r="D21"/>
  <c r="E18"/>
  <c r="D18"/>
  <c r="F15"/>
  <c r="E15"/>
  <c r="D15"/>
  <c r="E110" i="13"/>
  <c r="F105"/>
  <c r="F109" s="1"/>
  <c r="F97"/>
  <c r="F101" s="1"/>
  <c r="F90"/>
  <c r="F92" s="1"/>
  <c r="F87"/>
  <c r="F86"/>
  <c r="F85"/>
  <c r="F84"/>
  <c r="E79"/>
  <c r="F78"/>
  <c r="F80" s="1"/>
  <c r="F70"/>
  <c r="F74" s="1"/>
  <c r="E65"/>
  <c r="F55"/>
  <c r="F66" s="1"/>
  <c r="F48"/>
  <c r="F51" s="1"/>
  <c r="G15" i="4" l="1"/>
  <c r="G21"/>
  <c r="G27"/>
  <c r="E29"/>
  <c r="F79" i="13"/>
  <c r="F110"/>
  <c r="F108"/>
  <c r="F117"/>
  <c r="F118" s="1"/>
  <c r="F123" s="1"/>
  <c r="F98"/>
  <c r="F100"/>
  <c r="F102"/>
  <c r="F91"/>
  <c r="F122"/>
  <c r="F107"/>
  <c r="F115"/>
  <c r="F106"/>
  <c r="F114"/>
  <c r="F99"/>
  <c r="F94"/>
  <c r="F93"/>
  <c r="F65"/>
  <c r="F71"/>
  <c r="F75" s="1"/>
  <c r="F73"/>
  <c r="F56"/>
  <c r="F63"/>
  <c r="F68"/>
  <c r="F67"/>
  <c r="F57"/>
  <c r="F59"/>
  <c r="F58"/>
  <c r="F62"/>
  <c r="F64"/>
  <c r="F50"/>
  <c r="F49"/>
  <c r="F52"/>
  <c r="F41"/>
  <c r="F44" s="1"/>
  <c r="F33"/>
  <c r="F34" s="1"/>
  <c r="F28"/>
  <c r="F29" s="1"/>
  <c r="F25"/>
  <c r="E26"/>
  <c r="F18"/>
  <c r="F21" s="1"/>
  <c r="E15"/>
  <c r="E14"/>
  <c r="E13"/>
  <c r="E11"/>
  <c r="F10"/>
  <c r="F120" l="1"/>
  <c r="F121"/>
  <c r="F119"/>
  <c r="F72"/>
  <c r="F38"/>
  <c r="F37"/>
  <c r="F45"/>
  <c r="F43"/>
  <c r="F42"/>
  <c r="F36"/>
  <c r="F35"/>
  <c r="F11"/>
  <c r="F15"/>
  <c r="F26"/>
  <c r="F20"/>
  <c r="F19"/>
  <c r="F22"/>
  <c r="F12"/>
  <c r="F13"/>
  <c r="F14"/>
  <c r="F40" i="9" l="1"/>
  <c r="F41" s="1"/>
  <c r="F35"/>
  <c r="F36" s="1"/>
  <c r="F37" s="1"/>
  <c r="F27"/>
  <c r="F31" s="1"/>
  <c r="F24"/>
  <c r="F23"/>
  <c r="F21"/>
  <c r="F20"/>
  <c r="F22" s="1"/>
  <c r="F15"/>
  <c r="F14"/>
  <c r="F12"/>
  <c r="F11"/>
  <c r="F13" s="1"/>
  <c r="F19"/>
  <c r="F17"/>
  <c r="F42" l="1"/>
  <c r="F28"/>
  <c r="F30"/>
  <c r="F29"/>
  <c r="D24" i="4" l="1"/>
  <c r="F64" i="24"/>
  <c r="F62"/>
  <c r="F61"/>
  <c r="F58"/>
  <c r="F57"/>
  <c r="F52"/>
  <c r="F60" s="1"/>
  <c r="G24" i="4" l="1"/>
  <c r="D29"/>
  <c r="F59" i="24"/>
  <c r="F63"/>
  <c r="F22"/>
  <c r="E49" l="1"/>
  <c r="E48"/>
  <c r="E43"/>
  <c r="F41"/>
  <c r="F37"/>
  <c r="F38" s="1"/>
  <c r="E34"/>
  <c r="E33"/>
  <c r="E28"/>
  <c r="F27"/>
  <c r="F32" s="1"/>
  <c r="F24"/>
  <c r="F23"/>
  <c r="F19"/>
  <c r="F18"/>
  <c r="F17"/>
  <c r="F10"/>
  <c r="F16" s="1"/>
  <c r="F53"/>
  <c r="F54"/>
  <c r="F55"/>
  <c r="F56"/>
  <c r="F14" l="1"/>
  <c r="F28"/>
  <c r="F34"/>
  <c r="F31"/>
  <c r="F33"/>
  <c r="F13"/>
  <c r="F12"/>
  <c r="F29"/>
  <c r="F42"/>
  <c r="F39"/>
  <c r="F30"/>
  <c r="F11"/>
  <c r="F15"/>
  <c r="F71" i="25"/>
  <c r="F66"/>
  <c r="F72" s="1"/>
  <c r="E63"/>
  <c r="E62"/>
  <c r="E57"/>
  <c r="F51"/>
  <c r="F52" s="1"/>
  <c r="E48"/>
  <c r="E47"/>
  <c r="E42"/>
  <c r="F40"/>
  <c r="F55" s="1"/>
  <c r="F36"/>
  <c r="F37" s="1"/>
  <c r="E33"/>
  <c r="E32"/>
  <c r="F32" s="1"/>
  <c r="F30"/>
  <c r="E30"/>
  <c r="F29"/>
  <c r="E29"/>
  <c r="F28"/>
  <c r="E28"/>
  <c r="F27"/>
  <c r="E26"/>
  <c r="E25"/>
  <c r="F24"/>
  <c r="F31" s="1"/>
  <c r="F21"/>
  <c r="F16"/>
  <c r="F15"/>
  <c r="F18" s="1"/>
  <c r="F11"/>
  <c r="F10"/>
  <c r="F12" s="1"/>
  <c r="E17" i="5"/>
  <c r="F17" s="1"/>
  <c r="F44" i="24" l="1"/>
  <c r="F46"/>
  <c r="F47"/>
  <c r="F43"/>
  <c r="F45"/>
  <c r="F48"/>
  <c r="F49"/>
  <c r="F68" i="25"/>
  <c r="F67"/>
  <c r="F70"/>
  <c r="F69"/>
  <c r="F41"/>
  <c r="F45" s="1"/>
  <c r="F33"/>
  <c r="F19"/>
  <c r="F17"/>
  <c r="F20"/>
  <c r="F44"/>
  <c r="F48"/>
  <c r="F53"/>
  <c r="F25"/>
  <c r="F26"/>
  <c r="F43"/>
  <c r="F38"/>
  <c r="F42"/>
  <c r="F46"/>
  <c r="F47"/>
  <c r="F56"/>
  <c r="F58" l="1"/>
  <c r="F63"/>
  <c r="F59"/>
  <c r="F60"/>
  <c r="F62"/>
  <c r="F61"/>
  <c r="F57"/>
  <c r="J31" i="29" l="1"/>
  <c r="J29"/>
  <c r="J28"/>
  <c r="J27"/>
  <c r="I68" i="30" l="1"/>
  <c r="D68"/>
  <c r="C68"/>
  <c r="E68" s="1"/>
  <c r="A68"/>
  <c r="B68"/>
  <c r="F68" l="1"/>
  <c r="H68" l="1"/>
  <c r="G68" l="1"/>
  <c r="I56" l="1"/>
  <c r="I55"/>
  <c r="D56"/>
  <c r="D55"/>
  <c r="C56"/>
  <c r="E56" s="1"/>
  <c r="C55"/>
  <c r="E55" s="1"/>
  <c r="A56"/>
  <c r="A55"/>
  <c r="B56"/>
  <c r="B55"/>
  <c r="F56" l="1"/>
  <c r="F55"/>
  <c r="H56"/>
  <c r="G56" l="1"/>
  <c r="H55"/>
  <c r="G55" s="1"/>
  <c r="I54" l="1"/>
  <c r="I53"/>
  <c r="I52"/>
  <c r="I51"/>
  <c r="I50"/>
  <c r="I49"/>
  <c r="I48"/>
  <c r="I47"/>
  <c r="I46"/>
  <c r="I45"/>
  <c r="I44"/>
  <c r="I43"/>
  <c r="I42"/>
  <c r="I41"/>
  <c r="D54"/>
  <c r="D53"/>
  <c r="D52"/>
  <c r="D51"/>
  <c r="D50"/>
  <c r="D49"/>
  <c r="D48"/>
  <c r="D47"/>
  <c r="D43"/>
  <c r="D42"/>
  <c r="D41"/>
  <c r="C54"/>
  <c r="C53"/>
  <c r="E53" s="1"/>
  <c r="C52"/>
  <c r="C51"/>
  <c r="E51" s="1"/>
  <c r="C50"/>
  <c r="E50" s="1"/>
  <c r="C49"/>
  <c r="C48"/>
  <c r="E48" s="1"/>
  <c r="C47"/>
  <c r="C46"/>
  <c r="E46" s="1"/>
  <c r="C45"/>
  <c r="E45" s="1"/>
  <c r="C44"/>
  <c r="E44" s="1"/>
  <c r="C43"/>
  <c r="E43" s="1"/>
  <c r="C42"/>
  <c r="E42" s="1"/>
  <c r="C41"/>
  <c r="F41" s="1"/>
  <c r="A54"/>
  <c r="A53"/>
  <c r="A52"/>
  <c r="A51"/>
  <c r="A50"/>
  <c r="A49"/>
  <c r="A48"/>
  <c r="A47"/>
  <c r="A46"/>
  <c r="A45"/>
  <c r="A44"/>
  <c r="A43"/>
  <c r="A42"/>
  <c r="A41"/>
  <c r="B54"/>
  <c r="B53"/>
  <c r="B52"/>
  <c r="B51"/>
  <c r="B50"/>
  <c r="B49"/>
  <c r="B48"/>
  <c r="B47"/>
  <c r="B46"/>
  <c r="B45"/>
  <c r="B44"/>
  <c r="B43"/>
  <c r="B42"/>
  <c r="B41"/>
  <c r="F31" i="13"/>
  <c r="H43" i="30"/>
  <c r="F54" l="1"/>
  <c r="F49"/>
  <c r="D44"/>
  <c r="F44" s="1"/>
  <c r="D46"/>
  <c r="F46" s="1"/>
  <c r="D45"/>
  <c r="F45" s="1"/>
  <c r="F47"/>
  <c r="F52"/>
  <c r="E54"/>
  <c r="E49"/>
  <c r="E47"/>
  <c r="F50"/>
  <c r="F43"/>
  <c r="G43" s="1"/>
  <c r="E41"/>
  <c r="E52"/>
  <c r="F48"/>
  <c r="F53"/>
  <c r="F51"/>
  <c r="F42"/>
  <c r="H52"/>
  <c r="H44"/>
  <c r="H50"/>
  <c r="H53"/>
  <c r="H45" l="1"/>
  <c r="G45" s="1"/>
  <c r="H41"/>
  <c r="G41" s="1"/>
  <c r="G44"/>
  <c r="H48"/>
  <c r="G48" s="1"/>
  <c r="H51"/>
  <c r="G51" s="1"/>
  <c r="G53"/>
  <c r="G50"/>
  <c r="G52"/>
  <c r="H47"/>
  <c r="G47" s="1"/>
  <c r="H54" l="1"/>
  <c r="G54" s="1"/>
  <c r="H42"/>
  <c r="G42" s="1"/>
  <c r="H49"/>
  <c r="G49" s="1"/>
  <c r="H46"/>
  <c r="G46" s="1"/>
  <c r="H57" l="1"/>
  <c r="G70" i="29" l="1"/>
  <c r="K70" s="1"/>
  <c r="G6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82" i="30" l="1"/>
  <c r="I81"/>
  <c r="I80"/>
  <c r="I79"/>
  <c r="I78"/>
  <c r="I77"/>
  <c r="I76"/>
  <c r="I75"/>
  <c r="D82"/>
  <c r="D80"/>
  <c r="D79"/>
  <c r="D78"/>
  <c r="D77"/>
  <c r="D76"/>
  <c r="D75"/>
  <c r="C82"/>
  <c r="C81"/>
  <c r="E81" s="1"/>
  <c r="C80"/>
  <c r="E80" s="1"/>
  <c r="C79"/>
  <c r="F79" s="1"/>
  <c r="C78"/>
  <c r="E78" s="1"/>
  <c r="C77"/>
  <c r="F77" s="1"/>
  <c r="C76"/>
  <c r="E76" s="1"/>
  <c r="C75"/>
  <c r="F75" s="1"/>
  <c r="A82"/>
  <c r="A81"/>
  <c r="A80"/>
  <c r="A79"/>
  <c r="A78"/>
  <c r="A77"/>
  <c r="A76"/>
  <c r="A75"/>
  <c r="B82"/>
  <c r="B81"/>
  <c r="B80"/>
  <c r="B79"/>
  <c r="B78"/>
  <c r="B77"/>
  <c r="B76"/>
  <c r="B75"/>
  <c r="B74"/>
  <c r="B27" i="31" s="1"/>
  <c r="I67" i="30"/>
  <c r="I66"/>
  <c r="I65"/>
  <c r="I64"/>
  <c r="I63"/>
  <c r="D66"/>
  <c r="D65"/>
  <c r="D64"/>
  <c r="D63"/>
  <c r="C67"/>
  <c r="E67" s="1"/>
  <c r="C66"/>
  <c r="E66" s="1"/>
  <c r="C65"/>
  <c r="E65" s="1"/>
  <c r="C64"/>
  <c r="E64" s="1"/>
  <c r="C63"/>
  <c r="E63" s="1"/>
  <c r="A67"/>
  <c r="A66"/>
  <c r="A65"/>
  <c r="A64"/>
  <c r="A63"/>
  <c r="B67"/>
  <c r="B66"/>
  <c r="B65"/>
  <c r="B64"/>
  <c r="B63"/>
  <c r="B62"/>
  <c r="B25" i="31" s="1"/>
  <c r="B40" i="30"/>
  <c r="B23" i="31" s="1"/>
  <c r="I34" i="30"/>
  <c r="I33"/>
  <c r="I32"/>
  <c r="I31"/>
  <c r="I30"/>
  <c r="I29"/>
  <c r="I28"/>
  <c r="D34"/>
  <c r="D31"/>
  <c r="D28"/>
  <c r="C34"/>
  <c r="E34" s="1"/>
  <c r="C33"/>
  <c r="C32"/>
  <c r="C31"/>
  <c r="C30"/>
  <c r="E30" s="1"/>
  <c r="C29"/>
  <c r="E29" s="1"/>
  <c r="C28"/>
  <c r="A34"/>
  <c r="A33"/>
  <c r="A32"/>
  <c r="A31"/>
  <c r="A30"/>
  <c r="A29"/>
  <c r="A28"/>
  <c r="B34"/>
  <c r="B33"/>
  <c r="B32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82" i="30" l="1"/>
  <c r="F65"/>
  <c r="F80"/>
  <c r="E79"/>
  <c r="F63"/>
  <c r="E77"/>
  <c r="E82"/>
  <c r="E75"/>
  <c r="F78"/>
  <c r="F66"/>
  <c r="F64"/>
  <c r="F76"/>
  <c r="F31"/>
  <c r="E31"/>
  <c r="F34"/>
  <c r="F28"/>
  <c r="E33"/>
  <c r="E28"/>
  <c r="E32"/>
  <c r="F21"/>
  <c r="E21"/>
  <c r="D81" l="1"/>
  <c r="F81" s="1"/>
  <c r="H75"/>
  <c r="G75" s="1"/>
  <c r="D67" l="1"/>
  <c r="F67" s="1"/>
  <c r="K69" i="29" l="1"/>
  <c r="A22"/>
  <c r="H34" i="30" l="1"/>
  <c r="G34" s="1"/>
  <c r="D33" l="1"/>
  <c r="F33" s="1"/>
  <c r="D32"/>
  <c r="F32" s="1"/>
  <c r="H33"/>
  <c r="D30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H82" i="30" s="1"/>
  <c r="G82" s="1"/>
  <c r="K36" i="29"/>
  <c r="K35"/>
  <c r="H67" i="30" s="1"/>
  <c r="G67" s="1"/>
  <c r="K34" i="29"/>
  <c r="K33"/>
  <c r="K32"/>
  <c r="K31"/>
  <c r="K30"/>
  <c r="K29"/>
  <c r="K28"/>
  <c r="K27"/>
  <c r="K26"/>
  <c r="K25"/>
  <c r="K24"/>
  <c r="K23"/>
  <c r="K22"/>
  <c r="K21"/>
  <c r="A3"/>
  <c r="G33" i="30" l="1"/>
  <c r="H79"/>
  <c r="G79" s="1"/>
  <c r="H65"/>
  <c r="G65" s="1"/>
  <c r="H80"/>
  <c r="G80" s="1"/>
  <c r="H66"/>
  <c r="G66" s="1"/>
  <c r="H31"/>
  <c r="G31" s="1"/>
  <c r="A7" i="29"/>
  <c r="F18" i="4" l="1"/>
  <c r="H58" i="30"/>
  <c r="H59" s="1"/>
  <c r="H60" s="1"/>
  <c r="H61" s="1"/>
  <c r="D23" i="31" s="1"/>
  <c r="F29" i="4" l="1"/>
  <c r="G18"/>
  <c r="G29" s="1"/>
  <c r="G31" s="1"/>
  <c r="G32" s="1"/>
  <c r="G33" s="1"/>
  <c r="G34" s="1"/>
  <c r="G35" s="1"/>
  <c r="G36" s="1"/>
  <c r="G37" s="1"/>
  <c r="G39" s="1"/>
  <c r="H32" i="30"/>
  <c r="G32" s="1"/>
  <c r="H76"/>
  <c r="G76" s="1"/>
  <c r="H77"/>
  <c r="G77" s="1"/>
  <c r="H78"/>
  <c r="G78" s="1"/>
  <c r="H81"/>
  <c r="H64"/>
  <c r="G64" s="1"/>
  <c r="G81" l="1"/>
  <c r="H83"/>
  <c r="H84" s="1"/>
  <c r="H85" s="1"/>
  <c r="H86" s="1"/>
  <c r="H87" s="1"/>
  <c r="D27" i="31" s="1"/>
  <c r="H63" i="30" l="1"/>
  <c r="H69" s="1"/>
  <c r="G63" l="1"/>
  <c r="H70"/>
  <c r="H71" s="1"/>
  <c r="H72" s="1"/>
  <c r="H73" s="1"/>
  <c r="D25" i="31" s="1"/>
  <c r="D29" i="30" l="1"/>
  <c r="F29" s="1"/>
  <c r="H29" l="1"/>
  <c r="G29" s="1"/>
  <c r="H28" l="1"/>
  <c r="G28" s="1"/>
  <c r="H21" l="1"/>
  <c r="H30" l="1"/>
  <c r="H35" s="1"/>
  <c r="H36" s="1"/>
  <c r="H37" s="1"/>
  <c r="H38" s="1"/>
  <c r="H39" s="1"/>
  <c r="D21" i="31" s="1"/>
  <c r="H22" i="30"/>
  <c r="H23" s="1"/>
  <c r="H24" s="1"/>
  <c r="H25" s="1"/>
  <c r="H26" s="1"/>
  <c r="D19" i="31" s="1"/>
  <c r="G21" i="30"/>
  <c r="G30" l="1"/>
  <c r="D28" i="31"/>
  <c r="D29" s="1"/>
  <c r="D30" s="1"/>
  <c r="D31" s="1"/>
  <c r="D32" s="1"/>
</calcChain>
</file>

<file path=xl/sharedStrings.xml><?xml version="1.0" encoding="utf-8"?>
<sst xmlns="http://schemas.openxmlformats.org/spreadsheetml/2006/main" count="1245" uniqueCount="439">
  <si>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</si>
  <si>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</si>
  <si>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</si>
  <si>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</si>
  <si>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</si>
  <si>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</si>
  <si>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</si>
  <si>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</si>
  <si>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</si>
  <si>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</si>
  <si>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</si>
  <si>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</si>
  <si>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</si>
  <si>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</si>
  <si>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</si>
  <si>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</si>
  <si>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</si>
  <si>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</si>
  <si>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</si>
  <si>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</si>
  <si>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</si>
  <si>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</si>
  <si>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</si>
  <si>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</si>
  <si>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</si>
  <si>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</si>
  <si>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</si>
  <si>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</si>
  <si>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</si>
  <si>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</si>
  <si>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</si>
  <si>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</si>
  <si>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</si>
  <si>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</si>
  <si>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</si>
  <si>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</si>
  <si>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</si>
  <si>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</si>
  <si>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</si>
  <si>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</si>
  <si>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</si>
  <si>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</si>
  <si>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</si>
  <si>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</si>
  <si>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</si>
  <si>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</si>
  <si>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</si>
  <si>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</si>
  <si>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</si>
  <si>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</si>
  <si>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</si>
  <si>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</si>
  <si>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</si>
  <si>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</si>
  <si>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</si>
  <si>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</si>
  <si>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</si>
  <si>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თავი 5. გზის კუთვნილება და მოწყობილობა</t>
  </si>
  <si>
    <t>მიწის ვაკისი</t>
  </si>
  <si>
    <t xml:space="preserve">ხარჯთაღმრიცხველი: </t>
  </si>
  <si>
    <t>Checked</t>
  </si>
  <si>
    <t>1.6.1</t>
  </si>
  <si>
    <t>1.6.2</t>
  </si>
  <si>
    <t>1.7.1</t>
  </si>
  <si>
    <t>1.7.2</t>
  </si>
  <si>
    <t>1.8.1</t>
  </si>
  <si>
    <t>1.8.2</t>
  </si>
  <si>
    <t>1.9.1</t>
  </si>
  <si>
    <t>1.9.2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</si>
  <si>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</si>
  <si>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</si>
  <si>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</si>
  <si>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</si>
  <si>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</si>
  <si>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</si>
  <si>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</si>
  <si>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</si>
  <si>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>1.15.1</t>
  </si>
  <si>
    <t>1.15.2</t>
  </si>
  <si>
    <t>1.15.3</t>
  </si>
  <si>
    <t>1.15.4</t>
  </si>
  <si>
    <t>1.16.1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</si>
  <si>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</si>
  <si>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</si>
  <si>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</si>
  <si>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</si>
  <si>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</si>
  <si>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თხევადი ბიტუმის მოსხმა</t>
  </si>
  <si>
    <t>27-63-1</t>
  </si>
  <si>
    <t>ავტოგუდრონატორი 3500 ლ</t>
  </si>
  <si>
    <t>თვითმავალი სატკეპნი საგზაო, პნევმოსვლით 18 ტ</t>
  </si>
  <si>
    <t>თვითმავალი სატკეპნი საგზაო 5 ტ</t>
  </si>
  <si>
    <t>თვითმავალი სატკეპნი საგზაო 10 ტ</t>
  </si>
  <si>
    <t>ქვის ნამტვრევების გამანაწილებელი მანქანა</t>
  </si>
  <si>
    <t>ბიტუმის ემულსია</t>
  </si>
  <si>
    <t>27-39-1-2                            27-40-1-2</t>
  </si>
  <si>
    <t>ასფალტობეტონის დამგები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</si>
  <si>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</si>
  <si>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</si>
  <si>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</si>
  <si>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საპრ.</t>
  </si>
  <si>
    <t>შრომითი დანახარჯი</t>
  </si>
  <si>
    <t>საბაზრო</t>
  </si>
  <si>
    <t>100 მ</t>
  </si>
  <si>
    <t>ქვიშა-ხრეშოვანი ნარევი</t>
  </si>
  <si>
    <t>რ/ბ ანაკრები კიუვეტი</t>
  </si>
  <si>
    <t>მ</t>
  </si>
  <si>
    <t>მიერთებებისა და ადგილობრივი შესასვლელების მოწყობის სამუშაოები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</si>
  <si>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</si>
  <si>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</si>
  <si>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</si>
  <si>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</si>
  <si>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</si>
  <si>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</si>
  <si>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</si>
  <si>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</si>
  <si>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</si>
  <si>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</si>
  <si>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შემასწორებელი ფენის მოწყობა ქვიშა-ხრეშოვანი ნარევით</t>
  </si>
  <si>
    <t xml:space="preserve">წყალი </t>
  </si>
  <si>
    <t xml:space="preserve">მოსარწყავ-მოსარეცხი მანქანა 6000 ლ </t>
  </si>
  <si>
    <t xml:space="preserve">თვითმავალი სატკეპნი საგზაო 10 ტ </t>
  </si>
  <si>
    <t xml:space="preserve">თვითმავალი სატკეპნი საგზაო 5 ტ </t>
  </si>
  <si>
    <t xml:space="preserve">ავტოგრეიდერი საშუალო ტიპის 79 კვტ (108 ც.ძ.) 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</si>
  <si>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</si>
  <si>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</si>
  <si>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</si>
  <si>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</si>
  <si>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</si>
  <si>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</si>
  <si>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</si>
  <si>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</si>
  <si>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</si>
  <si>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</si>
  <si>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</si>
  <si>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</si>
  <si>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</si>
  <si>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</si>
  <si>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ამწე მუხლუხა სვლაზე 10 ტ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</si>
  <si>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</si>
  <si>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</si>
  <si>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</si>
  <si>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</si>
  <si>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</si>
  <si>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</si>
  <si>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</si>
  <si>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ღორღი, ფრაქცია 0-40 მმ, მარკა 600-1200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</si>
  <si>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</si>
  <si>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</si>
  <si>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</si>
  <si>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</si>
  <si>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</si>
  <si>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</si>
  <si>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</si>
  <si>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</si>
  <si>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</si>
  <si>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</si>
  <si>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</si>
  <si>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</si>
  <si>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</si>
  <si>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</si>
  <si>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</si>
  <si>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</si>
  <si>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</si>
  <si>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</si>
  <si>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</si>
  <si>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</si>
  <si>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</si>
  <si>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</si>
  <si>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</si>
  <si>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</si>
  <si>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</si>
  <si>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</si>
  <si>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</si>
  <si>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</si>
  <si>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</si>
  <si>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</si>
  <si>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</si>
  <si>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</si>
  <si>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</si>
  <si>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</si>
  <si>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</si>
  <si>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</si>
  <si>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</si>
  <si>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</si>
  <si>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</si>
  <si>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</si>
  <si>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</si>
  <si>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</si>
  <si>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</si>
  <si>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</si>
  <si>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</si>
  <si>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</si>
  <si>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</si>
  <si>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</si>
  <si>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</si>
  <si>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</si>
  <si>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</si>
  <si>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გრუნტის ტრანსპორტირება კარიერიდან 15 კმ მანძილზე</t>
  </si>
  <si>
    <t>1-22-14</t>
  </si>
  <si>
    <t xml:space="preserve">ხრეშოვანი გრუნტის დატვირთვა კარიერში ექსკავატორით ავტოთვითმცლელზე </t>
  </si>
  <si>
    <t>შემოტანილი გრუნტის მოსწორება ბულდოზერით</t>
  </si>
  <si>
    <t>1.16.2</t>
  </si>
  <si>
    <t>1.16.3</t>
  </si>
  <si>
    <t>3-1</t>
  </si>
  <si>
    <t>5-1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</si>
  <si>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</si>
  <si>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</si>
  <si>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</si>
  <si>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</si>
  <si>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</si>
  <si>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</si>
  <si>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</si>
  <si>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</si>
  <si>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</si>
  <si>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1.7.3</t>
  </si>
  <si>
    <t>1.7.4</t>
  </si>
  <si>
    <t>1.7.5</t>
  </si>
  <si>
    <t>1.7.6</t>
  </si>
  <si>
    <t>1.7.7</t>
  </si>
  <si>
    <t>1.11.2</t>
  </si>
  <si>
    <t>1.14.1</t>
  </si>
  <si>
    <t>1.3.5</t>
  </si>
  <si>
    <t>1.3.6</t>
  </si>
  <si>
    <t>1.3.7</t>
  </si>
  <si>
    <t>1.5.5</t>
  </si>
  <si>
    <t>1.5.6</t>
  </si>
  <si>
    <t>1.6.3</t>
  </si>
  <si>
    <t>1.6.4</t>
  </si>
  <si>
    <t>1.8.3</t>
  </si>
  <si>
    <t>1.8.4</t>
  </si>
  <si>
    <t>1.8.5</t>
  </si>
  <si>
    <t>1.9.3</t>
  </si>
  <si>
    <t>1.9.4</t>
  </si>
  <si>
    <t>1.9.5</t>
  </si>
  <si>
    <t>1.9.6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</si>
  <si>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</si>
  <si>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</si>
  <si>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</si>
  <si>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</si>
  <si>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</si>
  <si>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</si>
  <si>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</si>
  <si>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</si>
  <si>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1.9.7</t>
  </si>
  <si>
    <t>1.5.7</t>
  </si>
  <si>
    <t>1.3.8</t>
  </si>
  <si>
    <t>მისაყრელი გვერდულების მოწყობა ქვიშა-ხრეშოვანი ნარევით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</si>
  <si>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</si>
  <si>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</si>
  <si>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</si>
  <si>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</si>
  <si>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</si>
  <si>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</si>
  <si>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</si>
  <si>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</si>
  <si>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</si>
  <si>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</si>
  <si>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</si>
  <si>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</si>
  <si>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</si>
  <si>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</si>
  <si>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</si>
  <si>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</si>
  <si>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</si>
  <si>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რკინაბეტონის ანაკრები მილი d-1500 მმ L-1000 მმ</t>
  </si>
  <si>
    <t>წვრილმარცვლოვანი ასფალტობეტონი</t>
  </si>
  <si>
    <t>1.3.9</t>
  </si>
  <si>
    <t>საფუძვლის მოწყობა ქვიშა-ღორღის ნარევით h-10 სმ</t>
  </si>
  <si>
    <t>საფარის მოწყობა წვრილმარცვლოვანი მკვრივი ა/ბეტონის ცხელი ნარევით ტიპი B მარკა II , სისქით 3 სმ.</t>
  </si>
  <si>
    <t>1.8.6</t>
  </si>
  <si>
    <t>ერთ. ფასი</t>
  </si>
  <si>
    <t>სულ</t>
  </si>
  <si>
    <t>ქარხანა</t>
  </si>
  <si>
    <t>ქუთაისი</t>
  </si>
  <si>
    <t>1.1.7</t>
  </si>
  <si>
    <t>1.1.8</t>
  </si>
  <si>
    <t>1.1.9</t>
  </si>
  <si>
    <t>ბეტონის ქვაფენილი</t>
  </si>
  <si>
    <t>1.13.3</t>
  </si>
  <si>
    <t>1.13.4</t>
  </si>
  <si>
    <t>არსებული ღობის დემონტაჟი</t>
  </si>
  <si>
    <t>ავტოამწე საბურღი მოწყობილობით</t>
  </si>
  <si>
    <t>ამწე საავტომობილო სვლაზე 6,3ტ</t>
  </si>
  <si>
    <t>სხვა მანქამები</t>
  </si>
  <si>
    <t>1.9.8</t>
  </si>
  <si>
    <t>1.9.9</t>
  </si>
  <si>
    <t>ქვაყრილის მოყრა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</si>
  <si>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</si>
  <si>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</si>
  <si>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</si>
  <si>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>1.14.3</t>
  </si>
  <si>
    <t>1.14.4</t>
  </si>
  <si>
    <t>1.14.5</t>
  </si>
  <si>
    <t>ღობის მოწყობის სამუშაოები</t>
  </si>
  <si>
    <t>კედლის თავზე ღობის მოწყობა</t>
  </si>
  <si>
    <t>27-50-9</t>
  </si>
  <si>
    <t>1.15.5</t>
  </si>
  <si>
    <t>1.15.6</t>
  </si>
  <si>
    <t>1.15.7</t>
  </si>
  <si>
    <t>მავთული 4მმ</t>
  </si>
  <si>
    <t>კგ</t>
  </si>
  <si>
    <t>1.15.8</t>
  </si>
  <si>
    <t>დაბა მესტიაში ნ.ჯაფარიძის ქუჩის სარეაბილიტაციო სამუშაოების ლოკალურ-რესურსული ხარჯთაღრიცხვა</t>
  </si>
  <si>
    <t>ბეტონის კომბინირებული ბორდიურის მონტაჟი</t>
  </si>
  <si>
    <t xml:space="preserve">ხის ძელი 10X5 სმ </t>
  </si>
  <si>
    <t>1.15.9</t>
  </si>
  <si>
    <t>1.15.10</t>
  </si>
  <si>
    <t>ხის ლაქით შეღებვა</t>
  </si>
  <si>
    <t>ანტისეპტიკური ხსნარი</t>
  </si>
  <si>
    <t>ხის ღობე სიმაღლით 1,5 მ</t>
  </si>
  <si>
    <t>პროექტის კოდი: NJAF-BoQ</t>
  </si>
  <si>
    <t>შესრულების თარიღი: 13/06/2018</t>
  </si>
  <si>
    <t>ვალუტა: ლარი ₾</t>
  </si>
  <si>
    <t xml:space="preserve">ფასთა კრებული: 2018 წლის II კვარტალი 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</si>
  <si>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</si>
  <si>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</si>
  <si>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</si>
  <si>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</si>
  <si>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</si>
  <si>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</si>
  <si>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</si>
  <si>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</si>
  <si>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</si>
  <si>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მ³</t>
  </si>
  <si>
    <t>მ2</t>
  </si>
  <si>
    <t>10 000 მ2</t>
  </si>
  <si>
    <t>14-1-200</t>
  </si>
  <si>
    <t>27-7-2.</t>
  </si>
  <si>
    <t>მ3</t>
  </si>
  <si>
    <t>100 მ3</t>
  </si>
  <si>
    <t>14-1-222</t>
  </si>
  <si>
    <t>14-1-228</t>
  </si>
  <si>
    <t>4-1-228</t>
  </si>
  <si>
    <t>27-11-2.</t>
  </si>
  <si>
    <t>1000 მ2</t>
  </si>
  <si>
    <t>14-1-142</t>
  </si>
  <si>
    <t>14-1-218</t>
  </si>
  <si>
    <t>14-1-219</t>
  </si>
  <si>
    <t>14-1-229</t>
  </si>
  <si>
    <t>4-1-234</t>
  </si>
  <si>
    <t>14-1-198</t>
  </si>
  <si>
    <t>14-1-538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</si>
  <si>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</t>
  </si>
  <si>
    <t>14-1-231</t>
  </si>
  <si>
    <t>4-1-522</t>
  </si>
  <si>
    <t>მსხვილმარცვლოვანი ასფალტობეტონი</t>
  </si>
  <si>
    <t>1000  მ2</t>
  </si>
  <si>
    <t>4-1-524</t>
  </si>
  <si>
    <t>საგზაო სამოსი</t>
  </si>
  <si>
    <t>4-1-237</t>
  </si>
  <si>
    <t>ღორღი ბუნებრივი ქვის, ფრაქცია 0-40 მმ, მარკა 600-1200</t>
  </si>
  <si>
    <t>27-39-1; -2                            27-40-1; -2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</si>
  <si>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4 სმ</t>
  </si>
  <si>
    <t>საფუძვლის ფენის მოწყობა ქვიშა-ღორღის ნარევით (ფრ. 0-40მმ), სისქით 18სმ.</t>
  </si>
  <si>
    <t>27-02-007-01</t>
  </si>
  <si>
    <t>1 მ3</t>
  </si>
  <si>
    <t>ბეტონი მ-200 (B-15)</t>
  </si>
  <si>
    <t>4-1-341</t>
  </si>
  <si>
    <t>14-1-044</t>
  </si>
  <si>
    <t>ამწე საავტომობილო სვლაზე 10 ტ-ანი</t>
  </si>
  <si>
    <t>14-1-079</t>
  </si>
  <si>
    <t>ავტოსატვირთველი 5 ტ-მდე</t>
  </si>
  <si>
    <t>14-1-113</t>
  </si>
  <si>
    <t>კომპრესორი მოძრავი შიდა წვის ძრავით 7 ატმ 5 მ3/სთ</t>
  </si>
  <si>
    <t>მოსარწყავ-მოსარეცხი მანქანა 6000 ლ-ანი</t>
  </si>
  <si>
    <t>14-1-338</t>
  </si>
  <si>
    <t>პნევმატური სატკეპნი მომუშავე მოძრავ კომპრესორზე</t>
  </si>
  <si>
    <t>14-1-340</t>
  </si>
  <si>
    <t>ავტომობილი ბორტიანი 5 ტ-მდე</t>
  </si>
  <si>
    <t>ბეტონის კომბინირებული ბორდიური</t>
  </si>
  <si>
    <t>ГЭСН</t>
  </si>
  <si>
    <t>1000 მ3</t>
  </si>
  <si>
    <t>15-ტრ-3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</si>
  <si>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</si>
  <si>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</si>
  <si>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</si>
  <si>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</si>
  <si>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15-ტრ-15</t>
  </si>
  <si>
    <t>14-1-143</t>
  </si>
  <si>
    <t>ბულდოზერი 96 კვტ (130 ც.ძ.)</t>
  </si>
  <si>
    <t>ტ.ნ. პ. 2.6</t>
  </si>
  <si>
    <t>კ=0.6</t>
  </si>
  <si>
    <t>14-1-299</t>
  </si>
  <si>
    <t>14-1-043</t>
  </si>
  <si>
    <t>კ=0.7</t>
  </si>
  <si>
    <t>კ=0.5</t>
  </si>
  <si>
    <t>1-80-3</t>
  </si>
  <si>
    <t xml:space="preserve">მე-3 კატეგორიის გრუნტის ფენის დამუშავება ხელით, სიღრმით 2 მ-მდე </t>
  </si>
  <si>
    <t>პ. 3.105</t>
  </si>
  <si>
    <t>კ=1.2</t>
  </si>
  <si>
    <t>Е1-22/1-а</t>
  </si>
  <si>
    <t xml:space="preserve">გრუნტის  დატვირთვა ავტოთვითმცლელზე ხელით </t>
  </si>
  <si>
    <t>ЕНиР</t>
  </si>
  <si>
    <t>6-1-1.</t>
  </si>
  <si>
    <t>8-3-2.</t>
  </si>
  <si>
    <t>4-1-339</t>
  </si>
  <si>
    <t>ბეტონი B 7.5</t>
  </si>
  <si>
    <t>6-11-7.</t>
  </si>
  <si>
    <t>4-1-357</t>
  </si>
  <si>
    <t>1-1-012</t>
  </si>
  <si>
    <t>5-1-132</t>
  </si>
  <si>
    <t>ფარი ყალიბის სისქით 18 მმ</t>
  </si>
  <si>
    <t>5-1-022</t>
  </si>
  <si>
    <t>1-10-014</t>
  </si>
  <si>
    <t>ელექტროდი შედუღების</t>
  </si>
  <si>
    <t>1-10-017</t>
  </si>
  <si>
    <t>სამშენებლო ჭანჭიკი</t>
  </si>
  <si>
    <t>1-1-010</t>
  </si>
  <si>
    <t>არმატურა A-I კლასი</t>
  </si>
  <si>
    <t>27-5-3.</t>
  </si>
  <si>
    <t>2-11-001</t>
  </si>
  <si>
    <t>გოფრირებული მილი სადრენაჟო Ø150 მმ</t>
  </si>
  <si>
    <t>პროექტი</t>
  </si>
  <si>
    <t>1.9.10</t>
  </si>
  <si>
    <t>1.9.11</t>
  </si>
  <si>
    <t>1.9.12</t>
  </si>
  <si>
    <t>1.9.13</t>
  </si>
  <si>
    <t>1-31-6; -16</t>
  </si>
  <si>
    <t>4-1-232</t>
  </si>
  <si>
    <t>8-4-8.</t>
  </si>
  <si>
    <t>4-1-216</t>
  </si>
  <si>
    <t>წასაცხები ჰიდროიზოლაციის მოწყობა, 2 ფენა</t>
  </si>
  <si>
    <t>100 მ2</t>
  </si>
  <si>
    <t>4-1-539</t>
  </si>
  <si>
    <t>მასტიკა ბიტუმ-ზეთოვანი</t>
  </si>
  <si>
    <t>8-4-7.</t>
  </si>
  <si>
    <t>10-31-3.</t>
  </si>
  <si>
    <t>5-1-037</t>
  </si>
  <si>
    <t>ჭანჭიკი სამშენებლო</t>
  </si>
  <si>
    <t>15-163-1.</t>
  </si>
  <si>
    <t>4-2-001</t>
  </si>
  <si>
    <t>ხის ლაქი ზეთოვანი</t>
  </si>
  <si>
    <r>
      <t xml:space="preserve">1-29-6 </t>
    </r>
    <r>
      <rPr>
        <b/>
        <strike/>
        <sz val="10"/>
        <rFont val="Arial"/>
        <family val="2"/>
        <charset val="204"/>
      </rPr>
      <t xml:space="preserve"> -10</t>
    </r>
  </si>
  <si>
    <r>
      <t xml:space="preserve">რ/ბ </t>
    </r>
    <r>
      <rPr>
        <b/>
        <sz val="10"/>
        <rFont val="Arial"/>
        <family val="2"/>
        <charset val="204"/>
      </rPr>
      <t>საყრდენი</t>
    </r>
    <r>
      <rPr>
        <sz val="10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</si>
  <si>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rFont val="Arial"/>
        <family val="2"/>
        <charset val="204"/>
      </rPr>
      <t>მასალები</t>
    </r>
    <r>
      <rPr>
        <sz val="10"/>
        <rFont val="Arial"/>
        <family val="2"/>
        <charset val="204"/>
      </rPr>
      <t xml:space="preserve"> მანქანები</t>
    </r>
  </si>
  <si>
    <r>
      <t xml:space="preserve">ფიცარი ჩამოგანილი სისქით </t>
    </r>
    <r>
      <rPr>
        <strike/>
        <sz val="10"/>
        <rFont val="Arial"/>
        <family val="2"/>
        <charset val="204"/>
      </rPr>
      <t>25-32</t>
    </r>
    <r>
      <rPr>
        <sz val="10"/>
        <rFont val="Arial"/>
        <family val="2"/>
        <charset val="204"/>
      </rPr>
      <t xml:space="preserve">  40-60 მმ, III ხარისხის</t>
    </r>
  </si>
  <si>
    <r>
      <t xml:space="preserve">პოლიეთილენის </t>
    </r>
    <r>
      <rPr>
        <b/>
        <sz val="10"/>
        <rFont val="Arial"/>
        <family val="2"/>
        <charset val="204"/>
      </rPr>
      <t>სადრენაჟე</t>
    </r>
    <r>
      <rPr>
        <sz val="10"/>
        <rFont val="Arial"/>
        <family val="2"/>
        <charset val="204"/>
      </rPr>
      <t xml:space="preserve"> მილის მონტაჟი</t>
    </r>
  </si>
  <si>
    <r>
      <t xml:space="preserve">ხის ძელი </t>
    </r>
    <r>
      <rPr>
        <strike/>
        <sz val="10"/>
        <rFont val="Arial"/>
        <family val="2"/>
        <charset val="204"/>
      </rPr>
      <t xml:space="preserve">10X10 სმ 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</si>
</sst>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trike/>
      <sz val="10"/>
      <name val="Arial"/>
      <family val="2"/>
      <charset val="204"/>
    </font>
    <font>
      <b/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0" fontId="10" fillId="0" borderId="0"/>
    <xf numFmtId="0" fontId="11" fillId="0" borderId="0"/>
    <xf numFmtId="43" fontId="8" fillId="0" borderId="0" applyFont="0" applyFill="0" applyBorder="0" applyAlignment="0" applyProtection="0"/>
    <xf numFmtId="0" fontId="12" fillId="0" borderId="0"/>
    <xf numFmtId="0" fontId="13" fillId="0" borderId="0"/>
    <xf numFmtId="164" fontId="8" fillId="0" borderId="0" applyFont="0" applyFill="0" applyBorder="0" applyAlignment="0" applyProtection="0"/>
    <xf numFmtId="0" fontId="13" fillId="0" borderId="0"/>
    <xf numFmtId="0" fontId="11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0" fillId="2" borderId="0" xfId="0" applyNumberFormat="1" applyFill="1" applyBorder="1"/>
    <xf numFmtId="2" fontId="5" fillId="0" borderId="0" xfId="0" applyNumberFormat="1" applyFont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/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9" fontId="4" fillId="4" borderId="1" xfId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/>
    <xf numFmtId="0" fontId="2" fillId="3" borderId="0" xfId="0" applyFont="1" applyFill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Fill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4" fontId="11" fillId="0" borderId="1" xfId="2" applyNumberFormat="1" applyFont="1" applyFill="1" applyBorder="1" applyAlignment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/>
    </xf>
    <xf numFmtId="166" fontId="11" fillId="0" borderId="1" xfId="9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indent="1"/>
    </xf>
    <xf numFmtId="49" fontId="15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/>
    <xf numFmtId="2" fontId="11" fillId="0" borderId="0" xfId="0" applyNumberFormat="1" applyFont="1" applyFill="1"/>
    <xf numFmtId="0" fontId="11" fillId="0" borderId="1" xfId="2" applyFont="1" applyFill="1" applyBorder="1" applyAlignment="1">
      <alignment horizontal="left" vertical="center" wrapText="1"/>
    </xf>
    <xf numFmtId="166" fontId="11" fillId="0" borderId="1" xfId="2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4" fontId="16" fillId="0" borderId="1" xfId="3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0df0e3fdb395e79/Projects/Davit%20Kvaratskhelia/1.%20&#4307;&#4304;&#4305;&#4304;%20&#4315;&#4308;&#4321;&#4322;&#4312;&#4304;/BoQ/&#4305;.&#4334;&#4308;&#4320;&#4306;&#4312;&#4304;&#4316;&#4312;&#4321;%20&#4325;&#4323;&#4329;&#4304;-Bo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4-1"/>
      <sheetName val="სატენდერო კრებსითი"/>
      <sheetName val="სატენდერო"/>
      <sheetName val="ტრანსპორტირებ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J71">
            <v>27</v>
          </cell>
          <cell r="K71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7"/>
  <sheetViews>
    <sheetView view="pageBreakPreview" topLeftCell="A22" zoomScaleNormal="55" zoomScaleSheetLayoutView="100" workbookViewId="0">
      <selection activeCell="J25" sqref="J25:J31"/>
    </sheetView>
  </sheetViews>
  <sheetFormatPr defaultRowHeight="12.75"/>
  <cols>
    <col min="1" max="1" width="5.7109375" style="54" customWidth="1"/>
    <col min="2" max="2" width="60.140625" style="54" customWidth="1"/>
    <col min="3" max="3" width="9.7109375" style="54" customWidth="1"/>
    <col min="4" max="7" width="25.5703125" style="54" customWidth="1"/>
    <col min="8" max="16384" width="9.140625" style="54"/>
  </cols>
  <sheetData>
    <row r="1" spans="1:7">
      <c r="A1" s="58"/>
      <c r="B1" s="58"/>
      <c r="C1" s="59"/>
      <c r="D1" s="59"/>
      <c r="E1" s="59"/>
      <c r="F1" s="59"/>
      <c r="G1" s="59"/>
    </row>
    <row r="2" spans="1:7">
      <c r="A2" s="60"/>
      <c r="B2" s="60" t="s">
        <v>311</v>
      </c>
      <c r="C2" s="59"/>
      <c r="D2" s="59"/>
      <c r="E2" s="60" t="s">
        <v>17</v>
      </c>
      <c r="F2" s="59"/>
      <c r="G2" s="59"/>
    </row>
    <row r="3" spans="1:7">
      <c r="A3" s="60"/>
      <c r="B3" s="57" t="s">
        <v>314</v>
      </c>
      <c r="C3" s="59"/>
      <c r="D3" s="59"/>
      <c r="E3" s="60" t="s">
        <v>18</v>
      </c>
      <c r="F3" s="59"/>
      <c r="G3" s="59"/>
    </row>
    <row r="4" spans="1:7">
      <c r="A4" s="60"/>
      <c r="B4" s="60" t="s">
        <v>312</v>
      </c>
      <c r="C4" s="59"/>
      <c r="D4" s="59"/>
      <c r="E4" s="60" t="s">
        <v>59</v>
      </c>
      <c r="F4" s="60" t="s">
        <v>20</v>
      </c>
      <c r="G4" s="59"/>
    </row>
    <row r="5" spans="1:7">
      <c r="A5" s="60"/>
      <c r="B5" s="60" t="s">
        <v>313</v>
      </c>
      <c r="C5" s="59"/>
      <c r="D5" s="59"/>
      <c r="E5" s="60" t="s">
        <v>19</v>
      </c>
      <c r="F5" s="59"/>
      <c r="G5" s="59"/>
    </row>
    <row r="6" spans="1:7">
      <c r="A6" s="60"/>
      <c r="B6" s="60"/>
      <c r="C6" s="59"/>
      <c r="D6" s="59"/>
      <c r="E6" s="59"/>
      <c r="F6" s="59"/>
      <c r="G6" s="59"/>
    </row>
    <row r="7" spans="1:7" s="59" customFormat="1">
      <c r="A7" s="154" t="s">
        <v>48</v>
      </c>
      <c r="B7" s="154"/>
      <c r="C7" s="154"/>
      <c r="D7" s="154"/>
      <c r="E7" s="154"/>
      <c r="F7" s="154"/>
      <c r="G7" s="154"/>
    </row>
    <row r="8" spans="1:7" s="59" customFormat="1">
      <c r="A8" s="77"/>
      <c r="B8" s="77"/>
      <c r="C8" s="77"/>
      <c r="D8" s="77"/>
      <c r="E8" s="77"/>
      <c r="F8" s="77"/>
      <c r="G8" s="77"/>
    </row>
    <row r="9" spans="1:7">
      <c r="A9" s="155" t="s">
        <v>2</v>
      </c>
      <c r="B9" s="155" t="s">
        <v>3</v>
      </c>
      <c r="C9" s="155" t="s">
        <v>12</v>
      </c>
      <c r="D9" s="156" t="s">
        <v>49</v>
      </c>
      <c r="E9" s="156" t="s">
        <v>50</v>
      </c>
      <c r="F9" s="156" t="s">
        <v>51</v>
      </c>
      <c r="G9" s="156" t="s">
        <v>52</v>
      </c>
    </row>
    <row r="10" spans="1:7">
      <c r="A10" s="155"/>
      <c r="B10" s="155"/>
      <c r="C10" s="155"/>
      <c r="D10" s="156"/>
      <c r="E10" s="156"/>
      <c r="F10" s="156"/>
      <c r="G10" s="156"/>
    </row>
    <row r="11" spans="1:7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</row>
    <row r="12" spans="1:7">
      <c r="A12" s="61"/>
      <c r="B12" s="61"/>
      <c r="C12" s="61"/>
      <c r="D12" s="61"/>
      <c r="E12" s="61"/>
      <c r="F12" s="61"/>
      <c r="G12" s="61"/>
    </row>
    <row r="13" spans="1:7">
      <c r="A13" s="96"/>
      <c r="B13" s="96" t="s">
        <v>53</v>
      </c>
      <c r="C13" s="96"/>
      <c r="D13" s="96"/>
      <c r="E13" s="96"/>
      <c r="F13" s="96"/>
      <c r="G13" s="96"/>
    </row>
    <row r="14" spans="1:7">
      <c r="A14" s="96"/>
      <c r="B14" s="96"/>
      <c r="C14" s="96"/>
      <c r="D14" s="96"/>
      <c r="E14" s="96"/>
      <c r="F14" s="96"/>
      <c r="G14" s="96"/>
    </row>
    <row r="15" spans="1:7" s="103" customFormat="1">
      <c r="A15" s="94" t="s">
        <v>162</v>
      </c>
      <c r="B15" s="91" t="s">
        <v>32</v>
      </c>
      <c r="C15" s="94"/>
      <c r="D15" s="94">
        <f>'1-1'!H19</f>
        <v>0</v>
      </c>
      <c r="E15" s="94">
        <f>'1-1'!J19</f>
        <v>0</v>
      </c>
      <c r="F15" s="94">
        <f>'1-1'!L19</f>
        <v>0</v>
      </c>
      <c r="G15" s="94">
        <f>SUM(D15:F15)</f>
        <v>0</v>
      </c>
    </row>
    <row r="16" spans="1:7">
      <c r="A16" s="64"/>
      <c r="B16" s="64" t="s">
        <v>54</v>
      </c>
      <c r="C16" s="64"/>
      <c r="D16" s="64"/>
      <c r="E16" s="64"/>
      <c r="F16" s="64"/>
      <c r="G16" s="64"/>
    </row>
    <row r="17" spans="1:7">
      <c r="A17" s="64"/>
      <c r="B17" s="64"/>
      <c r="C17" s="64"/>
      <c r="D17" s="64"/>
      <c r="E17" s="64"/>
      <c r="F17" s="64"/>
      <c r="G17" s="64"/>
    </row>
    <row r="18" spans="1:7" s="103" customFormat="1">
      <c r="A18" s="94" t="s">
        <v>175</v>
      </c>
      <c r="B18" s="94" t="s">
        <v>58</v>
      </c>
      <c r="C18" s="94"/>
      <c r="D18" s="94">
        <f>'2-1'!H44</f>
        <v>0</v>
      </c>
      <c r="E18" s="94">
        <f>'2-1'!J44</f>
        <v>0</v>
      </c>
      <c r="F18" s="94">
        <f>'2-1'!L44</f>
        <v>0</v>
      </c>
      <c r="G18" s="94">
        <f>SUM(D18:F18)</f>
        <v>0</v>
      </c>
    </row>
    <row r="19" spans="1:7">
      <c r="A19" s="64"/>
      <c r="B19" s="64" t="s">
        <v>55</v>
      </c>
      <c r="C19" s="64"/>
      <c r="D19" s="64"/>
      <c r="E19" s="64"/>
      <c r="F19" s="64"/>
      <c r="G19" s="64"/>
    </row>
    <row r="20" spans="1:7">
      <c r="A20" s="64"/>
      <c r="B20" s="64"/>
      <c r="C20" s="64"/>
      <c r="D20" s="64"/>
      <c r="E20" s="64"/>
      <c r="F20" s="64"/>
      <c r="G20" s="64"/>
    </row>
    <row r="21" spans="1:7" s="103" customFormat="1">
      <c r="A21" s="94" t="s">
        <v>204</v>
      </c>
      <c r="B21" s="94" t="s">
        <v>294</v>
      </c>
      <c r="C21" s="94"/>
      <c r="D21" s="94">
        <f>'3-1'!H125</f>
        <v>0</v>
      </c>
      <c r="E21" s="94">
        <f>'3-1'!J125</f>
        <v>0</v>
      </c>
      <c r="F21" s="94">
        <f>'3-1'!L125</f>
        <v>0</v>
      </c>
      <c r="G21" s="94">
        <f>SUM(D21:F21)</f>
        <v>0</v>
      </c>
    </row>
    <row r="22" spans="1:7">
      <c r="A22" s="64"/>
      <c r="B22" s="64" t="s">
        <v>56</v>
      </c>
      <c r="C22" s="64"/>
      <c r="D22" s="64"/>
      <c r="E22" s="64"/>
      <c r="F22" s="64"/>
      <c r="G22" s="64"/>
    </row>
    <row r="23" spans="1:7">
      <c r="A23" s="64"/>
      <c r="B23" s="64"/>
      <c r="C23" s="64"/>
      <c r="D23" s="64"/>
      <c r="E23" s="64"/>
      <c r="F23" s="64"/>
      <c r="G23" s="64"/>
    </row>
    <row r="24" spans="1:7" s="103" customFormat="1">
      <c r="A24" s="94" t="s">
        <v>189</v>
      </c>
      <c r="B24" s="94" t="s">
        <v>349</v>
      </c>
      <c r="C24" s="94"/>
      <c r="D24" s="94">
        <f>'4-1'!H66</f>
        <v>0</v>
      </c>
      <c r="E24" s="94">
        <f>'4-1'!J66</f>
        <v>0</v>
      </c>
      <c r="F24" s="94">
        <f>'4-1'!L66</f>
        <v>0</v>
      </c>
      <c r="G24" s="94">
        <f>SUM(D24:F24)</f>
        <v>0</v>
      </c>
    </row>
    <row r="25" spans="1:7">
      <c r="A25" s="64"/>
      <c r="B25" s="64" t="s">
        <v>57</v>
      </c>
      <c r="C25" s="64"/>
      <c r="D25" s="64"/>
      <c r="E25" s="64"/>
      <c r="F25" s="64"/>
      <c r="G25" s="64"/>
    </row>
    <row r="26" spans="1:7">
      <c r="A26" s="64"/>
      <c r="B26" s="64"/>
      <c r="C26" s="64"/>
      <c r="D26" s="64"/>
      <c r="E26" s="64"/>
      <c r="F26" s="64"/>
      <c r="G26" s="64"/>
    </row>
    <row r="27" spans="1:7" s="103" customFormat="1" ht="25.5">
      <c r="A27" s="105" t="s">
        <v>205</v>
      </c>
      <c r="B27" s="105" t="s">
        <v>107</v>
      </c>
      <c r="C27" s="105"/>
      <c r="D27" s="105">
        <f>'5-1'!H74</f>
        <v>0</v>
      </c>
      <c r="E27" s="105">
        <f>'5-1'!J74</f>
        <v>0</v>
      </c>
      <c r="F27" s="105">
        <f>'5-1'!L74</f>
        <v>0</v>
      </c>
      <c r="G27" s="94">
        <f>SUM(D27:F27)</f>
        <v>0</v>
      </c>
    </row>
    <row r="28" spans="1:7">
      <c r="A28" s="62"/>
      <c r="B28" s="62"/>
      <c r="C28" s="62"/>
      <c r="D28" s="62"/>
      <c r="E28" s="62"/>
      <c r="F28" s="62"/>
      <c r="G28" s="62"/>
    </row>
    <row r="29" spans="1:7" s="104" customFormat="1">
      <c r="A29" s="63"/>
      <c r="B29" s="62" t="s">
        <v>4</v>
      </c>
      <c r="C29" s="63"/>
      <c r="D29" s="63">
        <f t="shared" ref="D29:F29" si="0">SUM(D14:D28)</f>
        <v>0</v>
      </c>
      <c r="E29" s="63">
        <f t="shared" si="0"/>
        <v>0</v>
      </c>
      <c r="F29" s="63">
        <f t="shared" si="0"/>
        <v>0</v>
      </c>
      <c r="G29" s="63">
        <f>SUM(G14:G28)</f>
        <v>0</v>
      </c>
    </row>
    <row r="30" spans="1:7">
      <c r="A30" s="90"/>
      <c r="B30" s="106"/>
      <c r="C30" s="95"/>
      <c r="D30" s="92"/>
      <c r="E30" s="92"/>
      <c r="F30" s="92"/>
      <c r="G30" s="92"/>
    </row>
    <row r="31" spans="1:7">
      <c r="A31" s="90"/>
      <c r="B31" s="106" t="s">
        <v>10</v>
      </c>
      <c r="C31" s="95">
        <v>0.1</v>
      </c>
      <c r="D31" s="92"/>
      <c r="E31" s="92"/>
      <c r="F31" s="92"/>
      <c r="G31" s="92">
        <f>G29*C31</f>
        <v>0</v>
      </c>
    </row>
    <row r="32" spans="1:7">
      <c r="A32" s="90"/>
      <c r="B32" s="107" t="s">
        <v>4</v>
      </c>
      <c r="C32" s="95"/>
      <c r="D32" s="92"/>
      <c r="E32" s="92"/>
      <c r="F32" s="92"/>
      <c r="G32" s="92">
        <f>SUM(G29:G31)</f>
        <v>0</v>
      </c>
    </row>
    <row r="33" spans="1:7">
      <c r="A33" s="90"/>
      <c r="B33" s="106" t="s">
        <v>11</v>
      </c>
      <c r="C33" s="95">
        <v>0.08</v>
      </c>
      <c r="D33" s="92"/>
      <c r="E33" s="92"/>
      <c r="F33" s="92"/>
      <c r="G33" s="92">
        <f>G32*C33</f>
        <v>0</v>
      </c>
    </row>
    <row r="34" spans="1:7">
      <c r="A34" s="91"/>
      <c r="B34" s="107" t="s">
        <v>4</v>
      </c>
      <c r="C34" s="95"/>
      <c r="D34" s="92"/>
      <c r="E34" s="92"/>
      <c r="F34" s="92"/>
      <c r="G34" s="92">
        <f>SUM(G32:G33)</f>
        <v>0</v>
      </c>
    </row>
    <row r="35" spans="1:7">
      <c r="A35" s="93"/>
      <c r="B35" s="106" t="s">
        <v>26</v>
      </c>
      <c r="C35" s="108">
        <v>0.05</v>
      </c>
      <c r="D35" s="92"/>
      <c r="E35" s="92"/>
      <c r="F35" s="92"/>
      <c r="G35" s="92">
        <f>G34*C35</f>
        <v>0</v>
      </c>
    </row>
    <row r="36" spans="1:7">
      <c r="A36" s="93"/>
      <c r="B36" s="107" t="s">
        <v>4</v>
      </c>
      <c r="C36" s="95"/>
      <c r="D36" s="92"/>
      <c r="E36" s="92"/>
      <c r="F36" s="92"/>
      <c r="G36" s="92">
        <f>SUM(G34:G35)</f>
        <v>0</v>
      </c>
    </row>
    <row r="37" spans="1:7">
      <c r="A37" s="93"/>
      <c r="B37" s="106" t="s">
        <v>27</v>
      </c>
      <c r="C37" s="108">
        <v>0.18</v>
      </c>
      <c r="D37" s="92"/>
      <c r="E37" s="92"/>
      <c r="F37" s="92"/>
      <c r="G37" s="92">
        <f>G36*C37</f>
        <v>0</v>
      </c>
    </row>
    <row r="38" spans="1:7">
      <c r="A38" s="93"/>
      <c r="B38" s="106"/>
      <c r="C38" s="109"/>
      <c r="D38" s="92"/>
      <c r="E38" s="92"/>
      <c r="F38" s="92"/>
      <c r="G38" s="92"/>
    </row>
    <row r="39" spans="1:7">
      <c r="A39" s="79"/>
      <c r="B39" s="79" t="s">
        <v>4</v>
      </c>
      <c r="C39" s="79"/>
      <c r="D39" s="80"/>
      <c r="E39" s="80"/>
      <c r="F39" s="80"/>
      <c r="G39" s="80">
        <f>SUM(G36:G38)</f>
        <v>0</v>
      </c>
    </row>
    <row r="40" spans="1:7">
      <c r="A40" s="110"/>
      <c r="B40" s="111"/>
      <c r="C40" s="112"/>
      <c r="D40" s="112"/>
      <c r="E40" s="112"/>
      <c r="F40" s="112"/>
      <c r="G40" s="112"/>
    </row>
    <row r="41" spans="1:7">
      <c r="A41" s="110"/>
      <c r="B41" s="111"/>
      <c r="C41" s="112"/>
      <c r="D41" s="112"/>
      <c r="E41" s="112"/>
      <c r="F41" s="112"/>
      <c r="G41" s="112"/>
    </row>
    <row r="42" spans="1:7">
      <c r="B42" s="65"/>
      <c r="C42" s="66"/>
      <c r="D42" s="66"/>
      <c r="E42" s="66"/>
      <c r="F42" s="66"/>
      <c r="G42" s="66"/>
    </row>
    <row r="43" spans="1:7">
      <c r="B43" s="65"/>
      <c r="C43" s="66"/>
      <c r="D43" s="66"/>
      <c r="E43" s="66"/>
      <c r="F43" s="66"/>
      <c r="G43" s="66"/>
    </row>
    <row r="44" spans="1:7">
      <c r="B44" s="65"/>
      <c r="C44" s="66"/>
      <c r="D44" s="66"/>
      <c r="E44" s="66"/>
      <c r="F44" s="66"/>
      <c r="G44" s="66"/>
    </row>
    <row r="45" spans="1:7">
      <c r="B45" s="65"/>
      <c r="C45" s="66"/>
      <c r="D45" s="66"/>
      <c r="E45" s="66"/>
      <c r="F45" s="66"/>
      <c r="G45" s="66"/>
    </row>
    <row r="46" spans="1:7">
      <c r="B46" s="65"/>
      <c r="C46" s="66"/>
      <c r="D46" s="66"/>
      <c r="E46" s="66"/>
      <c r="F46" s="66"/>
      <c r="G46" s="66"/>
    </row>
    <row r="47" spans="1:7">
      <c r="B47" s="65"/>
      <c r="C47" s="66"/>
      <c r="D47" s="66"/>
      <c r="E47" s="66"/>
      <c r="F47" s="66"/>
      <c r="G47" s="66"/>
    </row>
    <row r="48" spans="1:7">
      <c r="B48" s="65"/>
      <c r="C48" s="66"/>
      <c r="D48" s="66"/>
      <c r="E48" s="66"/>
      <c r="F48" s="66"/>
      <c r="G48" s="66"/>
    </row>
    <row r="49" spans="2:7">
      <c r="B49" s="65"/>
      <c r="C49" s="66"/>
      <c r="D49" s="66"/>
      <c r="E49" s="66"/>
      <c r="F49" s="66"/>
      <c r="G49" s="66"/>
    </row>
    <row r="50" spans="2:7">
      <c r="B50" s="65"/>
      <c r="C50" s="66"/>
      <c r="D50" s="66"/>
      <c r="E50" s="66"/>
      <c r="F50" s="66"/>
      <c r="G50" s="66"/>
    </row>
    <row r="51" spans="2:7">
      <c r="B51" s="65"/>
      <c r="C51" s="66"/>
      <c r="D51" s="66"/>
      <c r="E51" s="66"/>
      <c r="F51" s="66"/>
      <c r="G51" s="66"/>
    </row>
    <row r="52" spans="2:7">
      <c r="B52" s="65"/>
      <c r="C52" s="66"/>
      <c r="D52" s="66"/>
      <c r="E52" s="66"/>
      <c r="F52" s="66"/>
      <c r="G52" s="66"/>
    </row>
    <row r="53" spans="2:7">
      <c r="B53" s="65"/>
      <c r="C53" s="66"/>
      <c r="D53" s="66"/>
      <c r="E53" s="66"/>
      <c r="F53" s="66"/>
      <c r="G53" s="66"/>
    </row>
    <row r="54" spans="2:7">
      <c r="B54" s="65"/>
      <c r="C54" s="66"/>
      <c r="D54" s="66"/>
      <c r="E54" s="66"/>
      <c r="F54" s="66"/>
      <c r="G54" s="66"/>
    </row>
    <row r="55" spans="2:7">
      <c r="B55" s="65"/>
      <c r="C55" s="66"/>
      <c r="D55" s="66"/>
      <c r="E55" s="66"/>
      <c r="F55" s="66"/>
      <c r="G55" s="66"/>
    </row>
    <row r="56" spans="2:7">
      <c r="B56" s="65"/>
      <c r="C56" s="66"/>
      <c r="D56" s="66"/>
      <c r="E56" s="66"/>
      <c r="F56" s="66"/>
      <c r="G56" s="66"/>
    </row>
    <row r="57" spans="2:7">
      <c r="B57" s="65"/>
      <c r="C57" s="66"/>
      <c r="D57" s="66"/>
      <c r="E57" s="66"/>
      <c r="F57" s="66"/>
      <c r="G57" s="66"/>
    </row>
    <row r="58" spans="2:7">
      <c r="B58" s="65"/>
      <c r="C58" s="66"/>
      <c r="D58" s="66"/>
      <c r="E58" s="66"/>
      <c r="F58" s="66"/>
      <c r="G58" s="66"/>
    </row>
    <row r="59" spans="2:7">
      <c r="B59" s="65"/>
      <c r="C59" s="66"/>
      <c r="D59" s="66"/>
      <c r="E59" s="66"/>
      <c r="F59" s="66"/>
      <c r="G59" s="66"/>
    </row>
    <row r="60" spans="2:7">
      <c r="B60" s="65"/>
      <c r="C60" s="66"/>
      <c r="D60" s="66"/>
      <c r="E60" s="66"/>
      <c r="F60" s="66"/>
      <c r="G60" s="66"/>
    </row>
    <row r="61" spans="2:7">
      <c r="B61" s="65"/>
      <c r="C61" s="66"/>
      <c r="D61" s="66"/>
      <c r="E61" s="66"/>
      <c r="F61" s="66"/>
      <c r="G61" s="66"/>
    </row>
    <row r="62" spans="2:7">
      <c r="B62" s="65"/>
      <c r="C62" s="66"/>
      <c r="D62" s="66"/>
      <c r="E62" s="66"/>
      <c r="F62" s="66"/>
      <c r="G62" s="66"/>
    </row>
    <row r="63" spans="2:7">
      <c r="B63" s="65"/>
      <c r="C63" s="66"/>
      <c r="D63" s="66"/>
      <c r="E63" s="66"/>
      <c r="F63" s="66"/>
      <c r="G63" s="66"/>
    </row>
    <row r="64" spans="2:7">
      <c r="B64" s="65"/>
      <c r="C64" s="66"/>
      <c r="D64" s="66"/>
      <c r="E64" s="66"/>
      <c r="F64" s="66"/>
      <c r="G64" s="66"/>
    </row>
    <row r="65" spans="2:7">
      <c r="B65" s="65"/>
      <c r="C65" s="66"/>
      <c r="D65" s="66"/>
      <c r="E65" s="66"/>
      <c r="F65" s="66"/>
      <c r="G65" s="66"/>
    </row>
    <row r="66" spans="2:7">
      <c r="B66" s="65"/>
      <c r="C66" s="66"/>
      <c r="D66" s="66"/>
      <c r="E66" s="66"/>
      <c r="F66" s="66"/>
      <c r="G66" s="66"/>
    </row>
    <row r="67" spans="2:7">
      <c r="B67" s="65"/>
      <c r="C67" s="66"/>
      <c r="D67" s="66"/>
      <c r="E67" s="66"/>
      <c r="F67" s="66"/>
      <c r="G67" s="66"/>
    </row>
    <row r="68" spans="2:7">
      <c r="B68" s="65"/>
      <c r="C68" s="66"/>
      <c r="D68" s="66"/>
      <c r="E68" s="66"/>
      <c r="F68" s="66"/>
      <c r="G68" s="66"/>
    </row>
    <row r="69" spans="2:7">
      <c r="B69" s="65"/>
      <c r="C69" s="66"/>
      <c r="D69" s="66"/>
      <c r="E69" s="66"/>
      <c r="F69" s="66"/>
      <c r="G69" s="66"/>
    </row>
    <row r="70" spans="2:7">
      <c r="B70" s="65"/>
      <c r="C70" s="66"/>
      <c r="D70" s="66"/>
      <c r="E70" s="66"/>
      <c r="F70" s="66"/>
      <c r="G70" s="66"/>
    </row>
    <row r="71" spans="2:7">
      <c r="B71" s="65"/>
      <c r="C71" s="66"/>
      <c r="D71" s="66"/>
      <c r="E71" s="66"/>
      <c r="F71" s="66"/>
      <c r="G71" s="66"/>
    </row>
    <row r="72" spans="2:7">
      <c r="B72" s="65"/>
      <c r="C72" s="66"/>
      <c r="D72" s="66"/>
      <c r="E72" s="66"/>
      <c r="F72" s="66"/>
      <c r="G72" s="66"/>
    </row>
    <row r="73" spans="2:7">
      <c r="B73" s="65"/>
      <c r="C73" s="66"/>
      <c r="D73" s="66"/>
      <c r="E73" s="66"/>
      <c r="F73" s="66"/>
      <c r="G73" s="66"/>
    </row>
    <row r="74" spans="2:7">
      <c r="B74" s="65"/>
      <c r="C74" s="66"/>
      <c r="D74" s="66"/>
      <c r="E74" s="66"/>
      <c r="F74" s="66"/>
      <c r="G74" s="66"/>
    </row>
    <row r="75" spans="2:7">
      <c r="B75" s="65"/>
      <c r="C75" s="65"/>
      <c r="D75" s="65"/>
      <c r="E75" s="65"/>
      <c r="F75" s="65"/>
      <c r="G75" s="65"/>
    </row>
    <row r="76" spans="2:7">
      <c r="B76" s="65"/>
      <c r="C76" s="65"/>
      <c r="D76" s="65"/>
      <c r="E76" s="65"/>
      <c r="F76" s="65"/>
      <c r="G76" s="65"/>
    </row>
    <row r="77" spans="2:7">
      <c r="B77" s="65"/>
      <c r="C77" s="65"/>
      <c r="D77" s="65"/>
      <c r="E77" s="65"/>
      <c r="F77" s="65"/>
      <c r="G77" s="65"/>
    </row>
    <row r="78" spans="2:7">
      <c r="B78" s="65"/>
      <c r="C78" s="65"/>
      <c r="D78" s="65"/>
      <c r="E78" s="65"/>
      <c r="F78" s="65"/>
      <c r="G78" s="65"/>
    </row>
    <row r="79" spans="2:7">
      <c r="B79" s="65"/>
      <c r="C79" s="65"/>
      <c r="D79" s="65"/>
      <c r="E79" s="65"/>
      <c r="F79" s="65"/>
      <c r="G79" s="65"/>
    </row>
    <row r="80" spans="2:7">
      <c r="B80" s="65"/>
      <c r="C80" s="65"/>
      <c r="D80" s="65"/>
      <c r="E80" s="65"/>
      <c r="F80" s="65"/>
      <c r="G80" s="65"/>
    </row>
    <row r="81" spans="2:7">
      <c r="B81" s="65"/>
      <c r="C81" s="65"/>
      <c r="D81" s="65"/>
      <c r="E81" s="65"/>
      <c r="F81" s="65"/>
      <c r="G81" s="65"/>
    </row>
    <row r="82" spans="2:7">
      <c r="B82" s="65"/>
      <c r="C82" s="65"/>
      <c r="D82" s="65"/>
      <c r="E82" s="65"/>
      <c r="F82" s="65"/>
      <c r="G82" s="65"/>
    </row>
    <row r="83" spans="2:7">
      <c r="B83" s="65"/>
      <c r="C83" s="65"/>
      <c r="D83" s="65"/>
      <c r="E83" s="65"/>
      <c r="F83" s="65"/>
      <c r="G83" s="65"/>
    </row>
    <row r="84" spans="2:7">
      <c r="B84" s="65"/>
      <c r="C84" s="65"/>
      <c r="D84" s="65"/>
      <c r="E84" s="65"/>
      <c r="F84" s="65"/>
      <c r="G84" s="65"/>
    </row>
    <row r="85" spans="2:7">
      <c r="B85" s="65"/>
      <c r="C85" s="65"/>
      <c r="D85" s="65"/>
      <c r="E85" s="65"/>
      <c r="F85" s="65"/>
      <c r="G85" s="65"/>
    </row>
    <row r="86" spans="2:7">
      <c r="B86" s="65"/>
      <c r="C86" s="65"/>
      <c r="D86" s="65"/>
      <c r="E86" s="65"/>
      <c r="F86" s="65"/>
      <c r="G86" s="65"/>
    </row>
    <row r="87" spans="2:7">
      <c r="B87" s="65"/>
      <c r="C87" s="65"/>
      <c r="D87" s="65"/>
      <c r="E87" s="65"/>
      <c r="F87" s="65"/>
      <c r="G87" s="65"/>
    </row>
  </sheetData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80" fitToHeight="0" orientation="landscape" r:id="rId1"/>
  <ignoredErrors>
    <ignoredError sqref="G34:G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74"/>
  <sheetViews>
    <sheetView view="pageBreakPreview" topLeftCell="A4" zoomScaleNormal="60" zoomScaleSheetLayoutView="100" workbookViewId="0">
      <selection activeCell="J22" sqref="J22"/>
    </sheetView>
  </sheetViews>
  <sheetFormatPr defaultRowHeight="12.75"/>
  <cols>
    <col min="1" max="1" width="6.28515625" style="54" customWidth="1"/>
    <col min="2" max="2" width="12.42578125" style="54" customWidth="1"/>
    <col min="3" max="3" width="41.140625" style="54" customWidth="1"/>
    <col min="4" max="4" width="8.5703125" style="54" customWidth="1"/>
    <col min="5" max="11" width="9.28515625" style="54" customWidth="1"/>
    <col min="12" max="12" width="9.28515625" style="75" customWidth="1"/>
    <col min="13" max="13" width="8.5703125" style="54" customWidth="1"/>
    <col min="14" max="16" width="20.7109375" style="54" customWidth="1"/>
    <col min="17" max="16384" width="9.140625" style="54"/>
  </cols>
  <sheetData>
    <row r="1" spans="1:13">
      <c r="A1" s="58"/>
      <c r="B1" s="58"/>
      <c r="C1" s="59"/>
      <c r="D1" s="59"/>
      <c r="E1" s="59"/>
      <c r="F1" s="59"/>
      <c r="G1" s="59"/>
      <c r="H1" s="59"/>
      <c r="I1" s="59"/>
      <c r="J1" s="59"/>
      <c r="K1" s="59"/>
      <c r="L1" s="72"/>
      <c r="M1" s="59"/>
    </row>
    <row r="2" spans="1:13">
      <c r="A2" s="60"/>
      <c r="B2" s="60" t="s">
        <v>311</v>
      </c>
      <c r="C2" s="59"/>
      <c r="D2" s="59"/>
      <c r="E2" s="59"/>
      <c r="F2" s="59"/>
      <c r="G2" s="59"/>
      <c r="H2" s="59"/>
      <c r="I2" s="60" t="s">
        <v>17</v>
      </c>
      <c r="J2" s="60"/>
      <c r="K2" s="60"/>
      <c r="L2" s="60"/>
      <c r="M2" s="60"/>
    </row>
    <row r="3" spans="1:13">
      <c r="A3" s="60"/>
      <c r="B3" s="57" t="s">
        <v>314</v>
      </c>
      <c r="C3" s="59"/>
      <c r="D3" s="59"/>
      <c r="E3" s="59"/>
      <c r="F3" s="59"/>
      <c r="G3" s="59"/>
      <c r="H3" s="59"/>
      <c r="I3" s="60" t="s">
        <v>18</v>
      </c>
      <c r="J3" s="60"/>
      <c r="K3" s="60"/>
      <c r="L3" s="60"/>
      <c r="M3" s="60"/>
    </row>
    <row r="4" spans="1:13">
      <c r="A4" s="60"/>
      <c r="B4" s="60" t="s">
        <v>312</v>
      </c>
      <c r="C4" s="59"/>
      <c r="D4" s="59"/>
      <c r="E4" s="59"/>
      <c r="F4" s="59"/>
      <c r="G4" s="59"/>
      <c r="H4" s="59"/>
      <c r="I4" s="60" t="s">
        <v>59</v>
      </c>
      <c r="J4" s="60"/>
      <c r="K4" s="60"/>
      <c r="L4" s="60" t="s">
        <v>20</v>
      </c>
      <c r="M4" s="60"/>
    </row>
    <row r="5" spans="1:13">
      <c r="A5" s="60"/>
      <c r="B5" s="60" t="s">
        <v>313</v>
      </c>
      <c r="C5" s="59"/>
      <c r="D5" s="59"/>
      <c r="E5" s="59"/>
      <c r="F5" s="59"/>
      <c r="G5" s="59"/>
      <c r="H5" s="59"/>
      <c r="I5" s="60" t="s">
        <v>19</v>
      </c>
      <c r="J5" s="60"/>
      <c r="K5" s="60"/>
      <c r="L5" s="60"/>
      <c r="M5" s="60"/>
    </row>
    <row r="6" spans="1:13">
      <c r="A6" s="60"/>
      <c r="B6" s="60"/>
      <c r="C6" s="59"/>
      <c r="D6" s="59"/>
      <c r="E6" s="59"/>
      <c r="F6" s="59"/>
      <c r="G6" s="59"/>
      <c r="H6" s="60"/>
      <c r="I6" s="60"/>
      <c r="J6" s="60"/>
      <c r="K6" s="60"/>
      <c r="L6" s="60"/>
      <c r="M6" s="60"/>
    </row>
    <row r="7" spans="1:13" s="59" customFormat="1">
      <c r="A7" s="154" t="s">
        <v>303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s="59" customForma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27" customHeight="1">
      <c r="A9" s="157" t="s">
        <v>315</v>
      </c>
      <c r="B9" s="161" t="s">
        <v>316</v>
      </c>
      <c r="C9" s="161" t="s">
        <v>317</v>
      </c>
      <c r="D9" s="161" t="s">
        <v>318</v>
      </c>
      <c r="E9" s="157" t="s">
        <v>319</v>
      </c>
      <c r="F9" s="157"/>
      <c r="G9" s="161" t="s">
        <v>320</v>
      </c>
      <c r="H9" s="161"/>
      <c r="I9" s="161" t="s">
        <v>6</v>
      </c>
      <c r="J9" s="161"/>
      <c r="K9" s="157" t="s">
        <v>321</v>
      </c>
      <c r="L9" s="157"/>
      <c r="M9" s="157" t="s">
        <v>4</v>
      </c>
    </row>
    <row r="10" spans="1:13" ht="12.75" customHeight="1">
      <c r="A10" s="157"/>
      <c r="B10" s="161"/>
      <c r="C10" s="161"/>
      <c r="D10" s="161"/>
      <c r="E10" s="114" t="s">
        <v>322</v>
      </c>
      <c r="F10" s="114" t="s">
        <v>272</v>
      </c>
      <c r="G10" s="114" t="s">
        <v>322</v>
      </c>
      <c r="H10" s="114" t="s">
        <v>272</v>
      </c>
      <c r="I10" s="114" t="s">
        <v>322</v>
      </c>
      <c r="J10" s="114" t="s">
        <v>272</v>
      </c>
      <c r="K10" s="114" t="s">
        <v>322</v>
      </c>
      <c r="L10" s="114" t="s">
        <v>272</v>
      </c>
      <c r="M10" s="157"/>
    </row>
    <row r="11" spans="1:13">
      <c r="A11" s="114">
        <v>1</v>
      </c>
      <c r="B11" s="114">
        <v>2</v>
      </c>
      <c r="C11" s="113">
        <v>3</v>
      </c>
      <c r="D11" s="114">
        <v>4</v>
      </c>
      <c r="E11" s="114">
        <v>5</v>
      </c>
      <c r="F11" s="114">
        <v>6</v>
      </c>
      <c r="G11" s="114">
        <v>7</v>
      </c>
      <c r="H11" s="78">
        <v>8</v>
      </c>
      <c r="I11" s="114">
        <v>9</v>
      </c>
      <c r="J11" s="78">
        <v>10</v>
      </c>
      <c r="K11" s="114">
        <v>11</v>
      </c>
      <c r="L11" s="78">
        <v>12</v>
      </c>
      <c r="M11" s="78">
        <v>13</v>
      </c>
    </row>
    <row r="12" spans="1:13">
      <c r="A12" s="114"/>
      <c r="B12" s="114"/>
      <c r="C12" s="114"/>
      <c r="D12" s="114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>
      <c r="A13" s="114"/>
      <c r="B13" s="116"/>
      <c r="C13" s="113" t="s">
        <v>32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ht="12.75" customHeight="1">
      <c r="A14" s="114"/>
      <c r="B14" s="116"/>
      <c r="C14" s="113"/>
      <c r="D14" s="116"/>
      <c r="E14" s="88"/>
      <c r="F14" s="88"/>
      <c r="G14" s="88"/>
      <c r="H14" s="88"/>
      <c r="I14" s="88"/>
      <c r="J14" s="88"/>
      <c r="K14" s="88"/>
      <c r="L14" s="88"/>
      <c r="M14" s="88"/>
    </row>
    <row r="15" spans="1:13">
      <c r="A15" s="116">
        <v>1.1000000000000001</v>
      </c>
      <c r="B15" s="158" t="s">
        <v>323</v>
      </c>
      <c r="C15" s="85" t="s">
        <v>33</v>
      </c>
      <c r="D15" s="116" t="s">
        <v>34</v>
      </c>
      <c r="E15" s="88"/>
      <c r="F15" s="88">
        <v>0.2</v>
      </c>
      <c r="G15" s="88"/>
      <c r="H15" s="88"/>
      <c r="I15" s="88"/>
      <c r="J15" s="88"/>
      <c r="K15" s="88"/>
      <c r="L15" s="88"/>
      <c r="M15" s="88"/>
    </row>
    <row r="16" spans="1:13">
      <c r="A16" s="116"/>
      <c r="B16" s="159"/>
      <c r="C16" s="85"/>
      <c r="D16" s="116"/>
      <c r="E16" s="88"/>
      <c r="F16" s="88"/>
      <c r="G16" s="88"/>
      <c r="H16" s="88"/>
      <c r="I16" s="88"/>
      <c r="J16" s="88"/>
      <c r="K16" s="88"/>
      <c r="L16" s="88"/>
      <c r="M16" s="88"/>
    </row>
    <row r="17" spans="1:13">
      <c r="A17" s="116" t="s">
        <v>0</v>
      </c>
      <c r="B17" s="159"/>
      <c r="C17" s="118" t="s">
        <v>15</v>
      </c>
      <c r="D17" s="116" t="s">
        <v>1</v>
      </c>
      <c r="E17" s="88">
        <f>1.1*1.13*(127+67)</f>
        <v>241.14199999999997</v>
      </c>
      <c r="F17" s="88">
        <f>E17*F15</f>
        <v>48.228399999999993</v>
      </c>
      <c r="G17" s="88"/>
      <c r="H17" s="88"/>
      <c r="I17" s="88"/>
      <c r="J17" s="88"/>
      <c r="K17" s="88"/>
      <c r="L17" s="88"/>
      <c r="M17" s="88"/>
    </row>
    <row r="18" spans="1:13">
      <c r="A18" s="116"/>
      <c r="B18" s="160"/>
      <c r="C18" s="85"/>
      <c r="D18" s="116"/>
      <c r="E18" s="88"/>
      <c r="F18" s="88"/>
      <c r="G18" s="88"/>
      <c r="H18" s="88"/>
      <c r="I18" s="88"/>
      <c r="J18" s="88"/>
      <c r="K18" s="88"/>
      <c r="L18" s="88"/>
      <c r="M18" s="88"/>
    </row>
    <row r="19" spans="1:13">
      <c r="A19" s="114"/>
      <c r="B19" s="119"/>
      <c r="C19" s="114" t="s">
        <v>4</v>
      </c>
      <c r="D19" s="114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>
      <c r="A20" s="116"/>
      <c r="B20" s="97"/>
      <c r="C20" s="116"/>
      <c r="D20" s="116"/>
      <c r="E20" s="88"/>
      <c r="F20" s="88"/>
      <c r="G20" s="88"/>
      <c r="H20" s="88"/>
      <c r="I20" s="88"/>
      <c r="J20" s="88"/>
      <c r="K20" s="88"/>
      <c r="L20" s="88"/>
      <c r="M20" s="88"/>
    </row>
    <row r="21" spans="1:13">
      <c r="A21" s="116"/>
      <c r="B21" s="97"/>
      <c r="C21" s="116" t="s">
        <v>10</v>
      </c>
      <c r="D21" s="120">
        <v>0.1</v>
      </c>
      <c r="E21" s="88"/>
      <c r="F21" s="88"/>
      <c r="G21" s="88"/>
      <c r="H21" s="88"/>
      <c r="I21" s="88"/>
      <c r="J21" s="88"/>
      <c r="K21" s="88"/>
      <c r="L21" s="88"/>
      <c r="M21" s="88"/>
    </row>
    <row r="22" spans="1:13">
      <c r="A22" s="116"/>
      <c r="B22" s="97"/>
      <c r="C22" s="116" t="s">
        <v>4</v>
      </c>
      <c r="D22" s="120"/>
      <c r="E22" s="88"/>
      <c r="F22" s="88"/>
      <c r="G22" s="88"/>
      <c r="H22" s="88"/>
      <c r="I22" s="88"/>
      <c r="J22" s="88"/>
      <c r="K22" s="88"/>
      <c r="L22" s="88"/>
      <c r="M22" s="88"/>
    </row>
    <row r="23" spans="1:13">
      <c r="A23" s="116"/>
      <c r="B23" s="97"/>
      <c r="C23" s="116" t="s">
        <v>11</v>
      </c>
      <c r="D23" s="120">
        <v>0.08</v>
      </c>
      <c r="E23" s="88"/>
      <c r="F23" s="88"/>
      <c r="G23" s="88"/>
      <c r="H23" s="88"/>
      <c r="I23" s="88"/>
      <c r="J23" s="88"/>
      <c r="K23" s="88"/>
      <c r="L23" s="88"/>
      <c r="M23" s="88"/>
    </row>
    <row r="24" spans="1:13">
      <c r="A24" s="116"/>
      <c r="B24" s="97"/>
      <c r="C24" s="116"/>
      <c r="D24" s="120"/>
      <c r="E24" s="88"/>
      <c r="F24" s="88"/>
      <c r="G24" s="88"/>
      <c r="H24" s="88"/>
      <c r="I24" s="88"/>
      <c r="J24" s="88"/>
      <c r="K24" s="88"/>
      <c r="L24" s="88"/>
      <c r="M24" s="88"/>
    </row>
    <row r="25" spans="1:13">
      <c r="A25" s="114"/>
      <c r="B25" s="119"/>
      <c r="C25" s="114" t="s">
        <v>4</v>
      </c>
      <c r="D25" s="114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>
      <c r="A26" s="121"/>
      <c r="B26" s="121"/>
      <c r="C26" s="122"/>
      <c r="D26" s="121"/>
      <c r="E26" s="121"/>
      <c r="F26" s="121"/>
      <c r="G26" s="121"/>
      <c r="H26" s="121"/>
      <c r="I26" s="121"/>
      <c r="J26" s="121"/>
      <c r="K26" s="121"/>
      <c r="L26" s="121"/>
      <c r="M26" s="123"/>
    </row>
    <row r="27" spans="1:13">
      <c r="A27" s="56"/>
      <c r="B27" s="56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69"/>
    </row>
    <row r="28" spans="1:13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73"/>
      <c r="M28" s="66"/>
    </row>
    <row r="29" spans="1:13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73"/>
      <c r="M29" s="66"/>
    </row>
    <row r="30" spans="1:13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73"/>
      <c r="M30" s="66"/>
    </row>
    <row r="31" spans="1:13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73"/>
      <c r="M31" s="66"/>
    </row>
    <row r="32" spans="1:13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73"/>
      <c r="M32" s="66"/>
    </row>
    <row r="33" spans="2:13"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73"/>
      <c r="M33" s="66"/>
    </row>
    <row r="34" spans="2:13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73"/>
      <c r="M34" s="66"/>
    </row>
    <row r="35" spans="2:13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73"/>
      <c r="M35" s="66"/>
    </row>
    <row r="36" spans="2:13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73"/>
      <c r="M36" s="66"/>
    </row>
    <row r="37" spans="2:13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73"/>
      <c r="M37" s="66"/>
    </row>
    <row r="38" spans="2:13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73"/>
      <c r="M38" s="66"/>
    </row>
    <row r="39" spans="2:13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73"/>
      <c r="M39" s="66"/>
    </row>
    <row r="40" spans="2:13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73"/>
      <c r="M40" s="66"/>
    </row>
    <row r="41" spans="2:13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73"/>
      <c r="M41" s="66"/>
    </row>
    <row r="42" spans="2:13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73"/>
      <c r="M42" s="66"/>
    </row>
    <row r="43" spans="2:13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73"/>
      <c r="M43" s="66"/>
    </row>
    <row r="44" spans="2:13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73"/>
      <c r="M44" s="66"/>
    </row>
    <row r="45" spans="2:13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73"/>
      <c r="M45" s="66"/>
    </row>
    <row r="46" spans="2:13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73"/>
      <c r="M46" s="66"/>
    </row>
    <row r="47" spans="2:13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73"/>
      <c r="M47" s="66"/>
    </row>
    <row r="48" spans="2:13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73"/>
      <c r="M48" s="66"/>
    </row>
    <row r="49" spans="2:13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73"/>
      <c r="M49" s="66"/>
    </row>
    <row r="50" spans="2:13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73"/>
      <c r="M50" s="66"/>
    </row>
    <row r="51" spans="2:13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73"/>
      <c r="M51" s="66"/>
    </row>
    <row r="52" spans="2:13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73"/>
      <c r="M52" s="66"/>
    </row>
    <row r="53" spans="2:13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73"/>
      <c r="M53" s="66"/>
    </row>
    <row r="54" spans="2:13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73"/>
      <c r="M54" s="66"/>
    </row>
    <row r="55" spans="2:13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73"/>
      <c r="M55" s="66"/>
    </row>
    <row r="56" spans="2:13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73"/>
      <c r="M56" s="66"/>
    </row>
    <row r="57" spans="2:13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73"/>
      <c r="M57" s="66"/>
    </row>
    <row r="58" spans="2:13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73"/>
      <c r="M58" s="66"/>
    </row>
    <row r="59" spans="2:13"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73"/>
      <c r="M59" s="66"/>
    </row>
    <row r="60" spans="2:13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73"/>
      <c r="M60" s="66"/>
    </row>
    <row r="61" spans="2:13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73"/>
      <c r="M61" s="66"/>
    </row>
    <row r="62" spans="2:13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74"/>
      <c r="M62" s="65"/>
    </row>
    <row r="63" spans="2:13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74"/>
      <c r="M63" s="65"/>
    </row>
    <row r="64" spans="2:13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74"/>
      <c r="M64" s="65"/>
    </row>
    <row r="65" spans="2:13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74"/>
      <c r="M65" s="65"/>
    </row>
    <row r="66" spans="2:13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74"/>
      <c r="M66" s="65"/>
    </row>
    <row r="67" spans="2:13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74"/>
      <c r="M67" s="65"/>
    </row>
    <row r="68" spans="2:13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74"/>
      <c r="M68" s="65"/>
    </row>
    <row r="69" spans="2:13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74"/>
      <c r="M69" s="65"/>
    </row>
    <row r="70" spans="2:13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74"/>
      <c r="M70" s="65"/>
    </row>
    <row r="71" spans="2:13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74"/>
      <c r="M71" s="65"/>
    </row>
    <row r="72" spans="2:13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74"/>
      <c r="M72" s="65"/>
    </row>
    <row r="73" spans="2:13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74"/>
      <c r="M73" s="65"/>
    </row>
    <row r="74" spans="2:13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74"/>
      <c r="M74" s="65"/>
    </row>
  </sheetData>
  <mergeCells count="11">
    <mergeCell ref="M9:M10"/>
    <mergeCell ref="B15:B18"/>
    <mergeCell ref="A7:M7"/>
    <mergeCell ref="A9:A10"/>
    <mergeCell ref="B9:B10"/>
    <mergeCell ref="C9:C10"/>
    <mergeCell ref="D9:D10"/>
    <mergeCell ref="E9:F9"/>
    <mergeCell ref="G9:H9"/>
    <mergeCell ref="I9:J9"/>
    <mergeCell ref="K9:L9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3"/>
  <sheetViews>
    <sheetView view="pageBreakPreview" zoomScaleNormal="60" zoomScaleSheetLayoutView="100" workbookViewId="0">
      <selection activeCell="J15" sqref="J15"/>
    </sheetView>
  </sheetViews>
  <sheetFormatPr defaultRowHeight="12.75"/>
  <cols>
    <col min="1" max="1" width="6.5703125" style="132" customWidth="1"/>
    <col min="2" max="2" width="13.42578125" style="134" customWidth="1"/>
    <col min="3" max="3" width="59" style="134" customWidth="1"/>
    <col min="4" max="4" width="9" style="134" customWidth="1"/>
    <col min="5" max="12" width="10" style="134" customWidth="1"/>
    <col min="13" max="13" width="10" style="135" customWidth="1"/>
    <col min="14" max="16384" width="9.140625" style="54"/>
  </cols>
  <sheetData>
    <row r="1" spans="1:13" s="59" customFormat="1">
      <c r="A1" s="124" t="s">
        <v>303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59" customForma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59" customForma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6.25" customHeight="1">
      <c r="A4" s="157" t="s">
        <v>315</v>
      </c>
      <c r="B4" s="161" t="s">
        <v>316</v>
      </c>
      <c r="C4" s="161" t="s">
        <v>317</v>
      </c>
      <c r="D4" s="161" t="s">
        <v>318</v>
      </c>
      <c r="E4" s="157" t="s">
        <v>319</v>
      </c>
      <c r="F4" s="157"/>
      <c r="G4" s="161" t="s">
        <v>320</v>
      </c>
      <c r="H4" s="161"/>
      <c r="I4" s="161" t="s">
        <v>6</v>
      </c>
      <c r="J4" s="161"/>
      <c r="K4" s="157" t="s">
        <v>321</v>
      </c>
      <c r="L4" s="157"/>
      <c r="M4" s="157" t="s">
        <v>4</v>
      </c>
    </row>
    <row r="5" spans="1:13" ht="12.75" customHeight="1">
      <c r="A5" s="157"/>
      <c r="B5" s="161"/>
      <c r="C5" s="161"/>
      <c r="D5" s="161"/>
      <c r="E5" s="114" t="s">
        <v>322</v>
      </c>
      <c r="F5" s="114" t="s">
        <v>272</v>
      </c>
      <c r="G5" s="114" t="s">
        <v>322</v>
      </c>
      <c r="H5" s="114" t="s">
        <v>272</v>
      </c>
      <c r="I5" s="114" t="s">
        <v>322</v>
      </c>
      <c r="J5" s="114" t="s">
        <v>272</v>
      </c>
      <c r="K5" s="114" t="s">
        <v>322</v>
      </c>
      <c r="L5" s="114" t="s">
        <v>272</v>
      </c>
      <c r="M5" s="157"/>
    </row>
    <row r="6" spans="1:13">
      <c r="A6" s="114">
        <v>1</v>
      </c>
      <c r="B6" s="114">
        <v>2</v>
      </c>
      <c r="C6" s="113">
        <v>3</v>
      </c>
      <c r="D6" s="114">
        <v>4</v>
      </c>
      <c r="E6" s="114">
        <v>5</v>
      </c>
      <c r="F6" s="114">
        <v>6</v>
      </c>
      <c r="G6" s="114">
        <v>7</v>
      </c>
      <c r="H6" s="78">
        <v>8</v>
      </c>
      <c r="I6" s="114">
        <v>9</v>
      </c>
      <c r="J6" s="78">
        <v>10</v>
      </c>
      <c r="K6" s="114">
        <v>11</v>
      </c>
      <c r="L6" s="78">
        <v>12</v>
      </c>
      <c r="M6" s="78">
        <v>13</v>
      </c>
    </row>
    <row r="7" spans="1:13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25"/>
    </row>
    <row r="8" spans="1:13">
      <c r="A8" s="114"/>
      <c r="B8" s="116"/>
      <c r="C8" s="113" t="s">
        <v>58</v>
      </c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>
      <c r="A9" s="114"/>
      <c r="B9" s="116"/>
      <c r="C9" s="113"/>
      <c r="D9" s="116"/>
      <c r="E9" s="116"/>
      <c r="F9" s="116"/>
      <c r="G9" s="88"/>
      <c r="H9" s="88"/>
      <c r="I9" s="88"/>
      <c r="J9" s="88"/>
      <c r="K9" s="88"/>
      <c r="L9" s="88"/>
      <c r="M9" s="88"/>
    </row>
    <row r="10" spans="1:13" ht="12.75" customHeight="1">
      <c r="A10" s="116">
        <v>1.1000000000000001</v>
      </c>
      <c r="B10" s="97" t="s">
        <v>83</v>
      </c>
      <c r="C10" s="126" t="s">
        <v>82</v>
      </c>
      <c r="D10" s="116" t="s">
        <v>329</v>
      </c>
      <c r="E10" s="88"/>
      <c r="F10" s="88">
        <v>269</v>
      </c>
      <c r="G10" s="88"/>
      <c r="H10" s="88"/>
      <c r="I10" s="88"/>
      <c r="J10" s="88"/>
      <c r="K10" s="88"/>
      <c r="L10" s="88"/>
      <c r="M10" s="88"/>
    </row>
    <row r="11" spans="1:13" ht="12.75" customHeight="1">
      <c r="A11" s="116"/>
      <c r="B11" s="97"/>
      <c r="C11" s="127"/>
      <c r="D11" s="116" t="s">
        <v>372</v>
      </c>
      <c r="E11" s="88"/>
      <c r="F11" s="128">
        <f>F10/1000</f>
        <v>0.26900000000000002</v>
      </c>
      <c r="G11" s="88"/>
      <c r="H11" s="88"/>
      <c r="I11" s="88"/>
      <c r="J11" s="88"/>
      <c r="K11" s="88"/>
      <c r="L11" s="88"/>
      <c r="M11" s="89"/>
    </row>
    <row r="12" spans="1:13">
      <c r="A12" s="116" t="s">
        <v>0</v>
      </c>
      <c r="B12" s="97"/>
      <c r="C12" s="99" t="s">
        <v>15</v>
      </c>
      <c r="D12" s="116" t="s">
        <v>1</v>
      </c>
      <c r="E12" s="88">
        <v>20</v>
      </c>
      <c r="F12" s="88">
        <f>E12*F11</f>
        <v>5.3800000000000008</v>
      </c>
      <c r="G12" s="88"/>
      <c r="H12" s="88"/>
      <c r="I12" s="88"/>
      <c r="J12" s="88"/>
      <c r="K12" s="88"/>
      <c r="L12" s="88"/>
      <c r="M12" s="89"/>
    </row>
    <row r="13" spans="1:13">
      <c r="A13" s="116" t="s">
        <v>206</v>
      </c>
      <c r="B13" s="97" t="s">
        <v>374</v>
      </c>
      <c r="C13" s="129" t="s">
        <v>375</v>
      </c>
      <c r="D13" s="116" t="s">
        <v>24</v>
      </c>
      <c r="E13" s="88">
        <v>44.8</v>
      </c>
      <c r="F13" s="88">
        <f>E13*F11</f>
        <v>12.0512</v>
      </c>
      <c r="G13" s="88"/>
      <c r="H13" s="88"/>
      <c r="I13" s="88"/>
      <c r="J13" s="88"/>
      <c r="K13" s="88"/>
      <c r="L13" s="88"/>
      <c r="M13" s="89"/>
    </row>
    <row r="14" spans="1:13">
      <c r="A14" s="116" t="s">
        <v>207</v>
      </c>
      <c r="B14" s="97"/>
      <c r="C14" s="129" t="s">
        <v>13</v>
      </c>
      <c r="D14" s="116" t="s">
        <v>25</v>
      </c>
      <c r="E14" s="88">
        <v>2.1</v>
      </c>
      <c r="F14" s="88">
        <f>E14*F11</f>
        <v>0.56490000000000007</v>
      </c>
      <c r="G14" s="88"/>
      <c r="H14" s="88"/>
      <c r="I14" s="88"/>
      <c r="J14" s="88"/>
      <c r="K14" s="88"/>
      <c r="L14" s="88"/>
      <c r="M14" s="89"/>
    </row>
    <row r="15" spans="1:13">
      <c r="A15" s="116" t="s">
        <v>208</v>
      </c>
      <c r="B15" s="97" t="s">
        <v>376</v>
      </c>
      <c r="C15" s="129" t="s">
        <v>377</v>
      </c>
      <c r="D15" s="116" t="s">
        <v>329</v>
      </c>
      <c r="E15" s="88">
        <v>0.05</v>
      </c>
      <c r="F15" s="88">
        <f>E15*F11</f>
        <v>1.3450000000000002E-2</v>
      </c>
      <c r="G15" s="88"/>
      <c r="H15" s="88"/>
      <c r="I15" s="88"/>
      <c r="J15" s="88"/>
      <c r="K15" s="88"/>
      <c r="L15" s="88"/>
      <c r="M15" s="89"/>
    </row>
    <row r="16" spans="1:13">
      <c r="A16" s="116"/>
      <c r="B16" s="97"/>
      <c r="C16" s="130"/>
      <c r="D16" s="116"/>
      <c r="E16" s="88"/>
      <c r="F16" s="88"/>
      <c r="G16" s="88"/>
      <c r="H16" s="88"/>
      <c r="I16" s="88"/>
      <c r="J16" s="88"/>
      <c r="K16" s="88"/>
      <c r="L16" s="88"/>
      <c r="M16" s="88"/>
    </row>
    <row r="17" spans="1:13">
      <c r="A17" s="116">
        <v>1.2</v>
      </c>
      <c r="B17" s="97" t="s">
        <v>373</v>
      </c>
      <c r="C17" s="126" t="s">
        <v>31</v>
      </c>
      <c r="D17" s="116" t="s">
        <v>23</v>
      </c>
      <c r="E17" s="88">
        <v>1.95</v>
      </c>
      <c r="F17" s="88">
        <f>F10*E17</f>
        <v>524.54999999999995</v>
      </c>
      <c r="G17" s="88"/>
      <c r="H17" s="88"/>
      <c r="I17" s="88"/>
      <c r="J17" s="88"/>
      <c r="K17" s="88"/>
      <c r="L17" s="88"/>
      <c r="M17" s="88"/>
    </row>
    <row r="18" spans="1:13">
      <c r="A18" s="116"/>
      <c r="B18" s="97"/>
      <c r="C18" s="126"/>
      <c r="D18" s="116"/>
      <c r="E18" s="88"/>
      <c r="F18" s="88"/>
      <c r="G18" s="88"/>
      <c r="H18" s="88"/>
      <c r="I18" s="88"/>
      <c r="J18" s="88"/>
      <c r="K18" s="88"/>
      <c r="L18" s="88"/>
      <c r="M18" s="88"/>
    </row>
    <row r="19" spans="1:13">
      <c r="A19" s="116">
        <v>1.3</v>
      </c>
      <c r="B19" s="97" t="s">
        <v>85</v>
      </c>
      <c r="C19" s="126" t="s">
        <v>84</v>
      </c>
      <c r="D19" s="116" t="s">
        <v>329</v>
      </c>
      <c r="E19" s="88"/>
      <c r="F19" s="88">
        <f>F10</f>
        <v>269</v>
      </c>
      <c r="G19" s="88"/>
      <c r="H19" s="88"/>
      <c r="I19" s="88"/>
      <c r="J19" s="88"/>
      <c r="K19" s="88"/>
      <c r="L19" s="88"/>
      <c r="M19" s="88"/>
    </row>
    <row r="20" spans="1:13">
      <c r="A20" s="116"/>
      <c r="B20" s="97"/>
      <c r="C20" s="126"/>
      <c r="D20" s="116" t="s">
        <v>372</v>
      </c>
      <c r="E20" s="88"/>
      <c r="F20" s="128">
        <f>F19/1000</f>
        <v>0.26900000000000002</v>
      </c>
      <c r="G20" s="88"/>
      <c r="H20" s="88"/>
      <c r="I20" s="88"/>
      <c r="J20" s="88"/>
      <c r="K20" s="88"/>
      <c r="L20" s="88"/>
      <c r="M20" s="88"/>
    </row>
    <row r="21" spans="1:13">
      <c r="A21" s="116" t="s">
        <v>30</v>
      </c>
      <c r="B21" s="97"/>
      <c r="C21" s="126" t="s">
        <v>15</v>
      </c>
      <c r="D21" s="116" t="s">
        <v>1</v>
      </c>
      <c r="E21" s="88">
        <v>3.23</v>
      </c>
      <c r="F21" s="88">
        <f>E21*F20</f>
        <v>0.86887000000000003</v>
      </c>
      <c r="G21" s="88"/>
      <c r="H21" s="88"/>
      <c r="I21" s="88"/>
      <c r="J21" s="88"/>
      <c r="K21" s="88"/>
      <c r="L21" s="88"/>
      <c r="M21" s="88"/>
    </row>
    <row r="22" spans="1:13">
      <c r="A22" s="116" t="s">
        <v>45</v>
      </c>
      <c r="B22" s="97" t="s">
        <v>336</v>
      </c>
      <c r="C22" s="126" t="s">
        <v>86</v>
      </c>
      <c r="D22" s="116" t="s">
        <v>24</v>
      </c>
      <c r="E22" s="88">
        <v>3.62</v>
      </c>
      <c r="F22" s="88">
        <f>E22*F20</f>
        <v>0.97378000000000009</v>
      </c>
      <c r="G22" s="88"/>
      <c r="H22" s="88"/>
      <c r="I22" s="88"/>
      <c r="J22" s="88"/>
      <c r="K22" s="88"/>
      <c r="L22" s="88"/>
      <c r="M22" s="88"/>
    </row>
    <row r="23" spans="1:13">
      <c r="A23" s="116" t="s">
        <v>46</v>
      </c>
      <c r="B23" s="97"/>
      <c r="C23" s="126" t="s">
        <v>13</v>
      </c>
      <c r="D23" s="116" t="s">
        <v>25</v>
      </c>
      <c r="E23" s="88">
        <v>0.18</v>
      </c>
      <c r="F23" s="88">
        <f>E23*F20</f>
        <v>4.8420000000000005E-2</v>
      </c>
      <c r="G23" s="88"/>
      <c r="H23" s="88"/>
      <c r="I23" s="88"/>
      <c r="J23" s="88"/>
      <c r="K23" s="88"/>
      <c r="L23" s="88"/>
      <c r="M23" s="88"/>
    </row>
    <row r="24" spans="1:13">
      <c r="A24" s="116" t="s">
        <v>47</v>
      </c>
      <c r="B24" s="97" t="s">
        <v>376</v>
      </c>
      <c r="C24" s="129" t="s">
        <v>377</v>
      </c>
      <c r="D24" s="116" t="s">
        <v>329</v>
      </c>
      <c r="E24" s="88">
        <v>0.04</v>
      </c>
      <c r="F24" s="88">
        <f>E24*F20</f>
        <v>1.076E-2</v>
      </c>
      <c r="G24" s="88"/>
      <c r="H24" s="88"/>
      <c r="I24" s="88"/>
      <c r="J24" s="88"/>
      <c r="K24" s="88"/>
      <c r="L24" s="88"/>
      <c r="M24" s="88"/>
    </row>
    <row r="25" spans="1:13">
      <c r="A25" s="116"/>
      <c r="B25" s="97"/>
      <c r="C25" s="130"/>
      <c r="D25" s="116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.75" customHeight="1">
      <c r="A26" s="131">
        <v>1.4</v>
      </c>
      <c r="B26" s="97" t="s">
        <v>83</v>
      </c>
      <c r="C26" s="126" t="s">
        <v>200</v>
      </c>
      <c r="D26" s="116" t="s">
        <v>329</v>
      </c>
      <c r="E26" s="88"/>
      <c r="F26" s="88">
        <v>6</v>
      </c>
      <c r="G26" s="88"/>
      <c r="H26" s="88"/>
      <c r="I26" s="88"/>
      <c r="J26" s="88"/>
      <c r="K26" s="88"/>
      <c r="L26" s="88"/>
      <c r="M26" s="88"/>
    </row>
    <row r="27" spans="1:13" ht="12.75" customHeight="1">
      <c r="A27" s="131"/>
      <c r="B27" s="97"/>
      <c r="C27" s="127"/>
      <c r="D27" s="116" t="s">
        <v>372</v>
      </c>
      <c r="E27" s="88"/>
      <c r="F27" s="128">
        <f>F26/1000</f>
        <v>6.0000000000000001E-3</v>
      </c>
      <c r="G27" s="88"/>
      <c r="H27" s="88"/>
      <c r="I27" s="88"/>
      <c r="J27" s="88"/>
      <c r="K27" s="88"/>
      <c r="L27" s="88"/>
      <c r="M27" s="89"/>
    </row>
    <row r="28" spans="1:13">
      <c r="A28" s="116" t="s">
        <v>22</v>
      </c>
      <c r="B28" s="97"/>
      <c r="C28" s="99" t="s">
        <v>15</v>
      </c>
      <c r="D28" s="116" t="s">
        <v>1</v>
      </c>
      <c r="E28" s="88">
        <v>20</v>
      </c>
      <c r="F28" s="88">
        <f>E28*F27</f>
        <v>0.12</v>
      </c>
      <c r="G28" s="88"/>
      <c r="H28" s="88"/>
      <c r="I28" s="88"/>
      <c r="J28" s="88"/>
      <c r="K28" s="88"/>
      <c r="L28" s="88"/>
      <c r="M28" s="89"/>
    </row>
    <row r="29" spans="1:13">
      <c r="A29" s="116" t="s">
        <v>240</v>
      </c>
      <c r="B29" s="97" t="s">
        <v>374</v>
      </c>
      <c r="C29" s="129" t="s">
        <v>375</v>
      </c>
      <c r="D29" s="116" t="s">
        <v>24</v>
      </c>
      <c r="E29" s="88">
        <v>44.8</v>
      </c>
      <c r="F29" s="88">
        <f>E29*F27</f>
        <v>0.26879999999999998</v>
      </c>
      <c r="G29" s="88"/>
      <c r="H29" s="88"/>
      <c r="I29" s="88"/>
      <c r="J29" s="88"/>
      <c r="K29" s="88"/>
      <c r="L29" s="88"/>
      <c r="M29" s="89"/>
    </row>
    <row r="30" spans="1:13">
      <c r="A30" s="116" t="s">
        <v>241</v>
      </c>
      <c r="B30" s="97"/>
      <c r="C30" s="129" t="s">
        <v>13</v>
      </c>
      <c r="D30" s="116" t="s">
        <v>25</v>
      </c>
      <c r="E30" s="88">
        <v>2.1</v>
      </c>
      <c r="F30" s="88">
        <f>E30*F27</f>
        <v>1.26E-2</v>
      </c>
      <c r="G30" s="88"/>
      <c r="H30" s="88"/>
      <c r="I30" s="88"/>
      <c r="J30" s="88"/>
      <c r="K30" s="88"/>
      <c r="L30" s="88"/>
      <c r="M30" s="89"/>
    </row>
    <row r="31" spans="1:13">
      <c r="A31" s="116" t="s">
        <v>242</v>
      </c>
      <c r="B31" s="97" t="s">
        <v>376</v>
      </c>
      <c r="C31" s="129" t="s">
        <v>377</v>
      </c>
      <c r="D31" s="116" t="s">
        <v>329</v>
      </c>
      <c r="E31" s="88">
        <v>0.05</v>
      </c>
      <c r="F31" s="88">
        <f>E31*F27</f>
        <v>3.0000000000000003E-4</v>
      </c>
      <c r="G31" s="88"/>
      <c r="H31" s="88"/>
      <c r="I31" s="88"/>
      <c r="J31" s="88"/>
      <c r="K31" s="88"/>
      <c r="L31" s="88"/>
      <c r="M31" s="89"/>
    </row>
    <row r="32" spans="1:13">
      <c r="A32" s="116"/>
      <c r="B32" s="97"/>
      <c r="C32" s="126"/>
      <c r="D32" s="116"/>
      <c r="E32" s="88"/>
      <c r="F32" s="88"/>
      <c r="G32" s="88"/>
      <c r="H32" s="88"/>
      <c r="I32" s="88"/>
      <c r="J32" s="88"/>
      <c r="K32" s="88"/>
      <c r="L32" s="88"/>
      <c r="M32" s="88"/>
    </row>
    <row r="33" spans="1:13">
      <c r="A33" s="131">
        <v>1.5</v>
      </c>
      <c r="B33" s="97" t="s">
        <v>378</v>
      </c>
      <c r="C33" s="126" t="s">
        <v>198</v>
      </c>
      <c r="D33" s="116" t="s">
        <v>23</v>
      </c>
      <c r="E33" s="88"/>
      <c r="F33" s="88">
        <f>F26*1.95</f>
        <v>11.7</v>
      </c>
      <c r="G33" s="88"/>
      <c r="H33" s="88"/>
      <c r="I33" s="88"/>
      <c r="J33" s="88"/>
      <c r="K33" s="88"/>
      <c r="L33" s="88"/>
      <c r="M33" s="88"/>
    </row>
    <row r="34" spans="1:13">
      <c r="A34" s="131"/>
      <c r="B34" s="97"/>
      <c r="C34" s="126"/>
      <c r="D34" s="116"/>
      <c r="E34" s="88"/>
      <c r="F34" s="88"/>
      <c r="G34" s="88"/>
      <c r="H34" s="88"/>
      <c r="I34" s="88"/>
      <c r="J34" s="88"/>
      <c r="K34" s="88"/>
      <c r="L34" s="88"/>
      <c r="M34" s="88"/>
    </row>
    <row r="35" spans="1:13">
      <c r="A35" s="116">
        <v>1.6</v>
      </c>
      <c r="B35" s="97" t="s">
        <v>433</v>
      </c>
      <c r="C35" s="130" t="s">
        <v>201</v>
      </c>
      <c r="D35" s="116" t="s">
        <v>329</v>
      </c>
      <c r="E35" s="88"/>
      <c r="F35" s="88">
        <f>F26</f>
        <v>6</v>
      </c>
      <c r="G35" s="88"/>
      <c r="H35" s="88"/>
      <c r="I35" s="88"/>
      <c r="J35" s="88"/>
      <c r="K35" s="88"/>
      <c r="L35" s="88"/>
      <c r="M35" s="88"/>
    </row>
    <row r="36" spans="1:13">
      <c r="A36" s="116"/>
      <c r="B36" s="97"/>
      <c r="C36" s="130"/>
      <c r="D36" s="116" t="s">
        <v>372</v>
      </c>
      <c r="E36" s="88"/>
      <c r="F36" s="128">
        <f>F35/1000</f>
        <v>6.0000000000000001E-3</v>
      </c>
      <c r="G36" s="88"/>
      <c r="H36" s="88"/>
      <c r="I36" s="88"/>
      <c r="J36" s="88"/>
      <c r="K36" s="88"/>
      <c r="L36" s="88"/>
      <c r="M36" s="88"/>
    </row>
    <row r="37" spans="1:13">
      <c r="A37" s="116" t="s">
        <v>61</v>
      </c>
      <c r="B37" s="97" t="s">
        <v>379</v>
      </c>
      <c r="C37" s="127" t="s">
        <v>380</v>
      </c>
      <c r="D37" s="116" t="s">
        <v>24</v>
      </c>
      <c r="E37" s="88">
        <v>8.9</v>
      </c>
      <c r="F37" s="88">
        <f>E37*F36</f>
        <v>5.3400000000000003E-2</v>
      </c>
      <c r="G37" s="88"/>
      <c r="H37" s="88"/>
      <c r="I37" s="88"/>
      <c r="J37" s="88"/>
      <c r="K37" s="88"/>
      <c r="L37" s="88"/>
      <c r="M37" s="89"/>
    </row>
    <row r="38" spans="1:13">
      <c r="A38" s="116"/>
      <c r="B38" s="97"/>
      <c r="C38" s="126"/>
      <c r="D38" s="116"/>
      <c r="E38" s="88"/>
      <c r="F38" s="88"/>
      <c r="G38" s="88"/>
      <c r="H38" s="88"/>
      <c r="I38" s="88"/>
      <c r="J38" s="88"/>
      <c r="K38" s="88"/>
      <c r="L38" s="88"/>
      <c r="M38" s="88"/>
    </row>
    <row r="39" spans="1:13">
      <c r="A39" s="131">
        <v>1.7</v>
      </c>
      <c r="B39" s="97" t="s">
        <v>125</v>
      </c>
      <c r="C39" s="126" t="s">
        <v>126</v>
      </c>
      <c r="D39" s="116" t="s">
        <v>325</v>
      </c>
      <c r="E39" s="88"/>
      <c r="F39" s="88">
        <v>1080</v>
      </c>
      <c r="G39" s="88"/>
      <c r="H39" s="88"/>
      <c r="I39" s="88"/>
      <c r="J39" s="88"/>
      <c r="K39" s="88"/>
      <c r="L39" s="88"/>
      <c r="M39" s="88"/>
    </row>
    <row r="40" spans="1:13">
      <c r="A40" s="131"/>
      <c r="B40" s="97"/>
      <c r="C40" s="127"/>
      <c r="D40" s="116" t="s">
        <v>326</v>
      </c>
      <c r="E40" s="88"/>
      <c r="F40" s="128">
        <f>F39/10000</f>
        <v>0.108</v>
      </c>
      <c r="G40" s="88"/>
      <c r="H40" s="88"/>
      <c r="I40" s="88"/>
      <c r="J40" s="88"/>
      <c r="K40" s="88"/>
      <c r="L40" s="88"/>
      <c r="M40" s="88"/>
    </row>
    <row r="41" spans="1:13">
      <c r="A41" s="116" t="s">
        <v>63</v>
      </c>
      <c r="B41" s="97"/>
      <c r="C41" s="127" t="s">
        <v>15</v>
      </c>
      <c r="D41" s="116" t="s">
        <v>1</v>
      </c>
      <c r="E41" s="88">
        <v>0.31</v>
      </c>
      <c r="F41" s="88">
        <f>E41*F40</f>
        <v>3.3480000000000003E-2</v>
      </c>
      <c r="G41" s="88"/>
      <c r="H41" s="88"/>
      <c r="I41" s="88"/>
      <c r="J41" s="88"/>
      <c r="K41" s="88"/>
      <c r="L41" s="88"/>
      <c r="M41" s="88"/>
    </row>
    <row r="42" spans="1:13">
      <c r="A42" s="116" t="s">
        <v>64</v>
      </c>
      <c r="B42" s="97" t="s">
        <v>327</v>
      </c>
      <c r="C42" s="129" t="s">
        <v>74</v>
      </c>
      <c r="D42" s="116" t="s">
        <v>24</v>
      </c>
      <c r="E42" s="88">
        <v>1.1200000000000001</v>
      </c>
      <c r="F42" s="88">
        <f>E42*F40</f>
        <v>0.12096000000000001</v>
      </c>
      <c r="G42" s="88"/>
      <c r="H42" s="88"/>
      <c r="I42" s="88"/>
      <c r="J42" s="88"/>
      <c r="K42" s="88"/>
      <c r="L42" s="88"/>
      <c r="M42" s="88"/>
    </row>
    <row r="43" spans="1:13">
      <c r="A43" s="116"/>
      <c r="B43" s="97"/>
      <c r="C43" s="129"/>
      <c r="D43" s="116"/>
      <c r="E43" s="88"/>
      <c r="F43" s="88"/>
      <c r="G43" s="88"/>
      <c r="H43" s="88"/>
      <c r="I43" s="88"/>
      <c r="J43" s="88"/>
      <c r="K43" s="88"/>
      <c r="L43" s="88"/>
      <c r="M43" s="88"/>
    </row>
    <row r="44" spans="1:13">
      <c r="A44" s="114"/>
      <c r="B44" s="97"/>
      <c r="C44" s="114" t="s">
        <v>4</v>
      </c>
      <c r="D44" s="116"/>
      <c r="E44" s="88"/>
      <c r="F44" s="88"/>
      <c r="G44" s="88"/>
      <c r="H44" s="115"/>
      <c r="I44" s="115"/>
      <c r="J44" s="115"/>
      <c r="K44" s="115"/>
      <c r="L44" s="115"/>
      <c r="M44" s="115"/>
    </row>
    <row r="45" spans="1:13">
      <c r="A45" s="116"/>
      <c r="B45" s="97"/>
      <c r="C45" s="116"/>
      <c r="D45" s="116"/>
      <c r="E45" s="88"/>
      <c r="F45" s="88"/>
      <c r="G45" s="88"/>
      <c r="H45" s="88"/>
      <c r="I45" s="88"/>
      <c r="J45" s="88"/>
      <c r="K45" s="88"/>
      <c r="L45" s="88"/>
      <c r="M45" s="88"/>
    </row>
    <row r="46" spans="1:13">
      <c r="A46" s="116"/>
      <c r="B46" s="97"/>
      <c r="C46" s="116" t="s">
        <v>10</v>
      </c>
      <c r="D46" s="120">
        <v>0.1</v>
      </c>
      <c r="E46" s="88"/>
      <c r="F46" s="88"/>
      <c r="G46" s="88"/>
      <c r="H46" s="88"/>
      <c r="I46" s="88"/>
      <c r="J46" s="88"/>
      <c r="K46" s="88"/>
      <c r="L46" s="88"/>
      <c r="M46" s="88"/>
    </row>
    <row r="47" spans="1:13">
      <c r="A47" s="116"/>
      <c r="B47" s="97"/>
      <c r="C47" s="116" t="s">
        <v>4</v>
      </c>
      <c r="D47" s="120"/>
      <c r="E47" s="88"/>
      <c r="F47" s="88"/>
      <c r="G47" s="88"/>
      <c r="H47" s="88"/>
      <c r="I47" s="88"/>
      <c r="J47" s="88"/>
      <c r="K47" s="88"/>
      <c r="L47" s="88"/>
      <c r="M47" s="88"/>
    </row>
    <row r="48" spans="1:13">
      <c r="A48" s="116"/>
      <c r="B48" s="97"/>
      <c r="C48" s="116" t="s">
        <v>11</v>
      </c>
      <c r="D48" s="120">
        <v>0.08</v>
      </c>
      <c r="E48" s="88"/>
      <c r="F48" s="88"/>
      <c r="G48" s="88"/>
      <c r="H48" s="88"/>
      <c r="I48" s="88"/>
      <c r="J48" s="88"/>
      <c r="K48" s="88"/>
      <c r="L48" s="88"/>
      <c r="M48" s="88"/>
    </row>
    <row r="49" spans="1:13">
      <c r="A49" s="116"/>
      <c r="B49" s="97"/>
      <c r="C49" s="116"/>
      <c r="D49" s="120"/>
      <c r="E49" s="88"/>
      <c r="F49" s="88"/>
      <c r="G49" s="88"/>
      <c r="H49" s="88"/>
      <c r="I49" s="88"/>
      <c r="J49" s="88"/>
      <c r="K49" s="88"/>
      <c r="L49" s="88"/>
      <c r="M49" s="88"/>
    </row>
    <row r="50" spans="1:13">
      <c r="A50" s="114"/>
      <c r="B50" s="119"/>
      <c r="C50" s="114" t="s">
        <v>4</v>
      </c>
      <c r="D50" s="114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>
      <c r="B51" s="121"/>
      <c r="C51" s="122"/>
      <c r="D51" s="121"/>
      <c r="E51" s="121"/>
      <c r="F51" s="121"/>
      <c r="G51" s="121"/>
      <c r="H51" s="121"/>
      <c r="I51" s="121"/>
      <c r="J51" s="121"/>
      <c r="K51" s="121"/>
      <c r="L51" s="121"/>
      <c r="M51" s="123"/>
    </row>
    <row r="52" spans="1:13">
      <c r="B52" s="121"/>
      <c r="C52" s="122"/>
      <c r="D52" s="121"/>
      <c r="E52" s="121"/>
      <c r="F52" s="121"/>
      <c r="G52" s="121"/>
      <c r="H52" s="121"/>
      <c r="I52" s="121"/>
      <c r="J52" s="121"/>
      <c r="K52" s="121"/>
      <c r="L52" s="121"/>
      <c r="M52" s="123"/>
    </row>
    <row r="53" spans="1:13">
      <c r="B53" s="121"/>
      <c r="C53" s="122"/>
      <c r="D53" s="121"/>
      <c r="E53" s="121"/>
      <c r="F53" s="121"/>
      <c r="G53" s="121"/>
      <c r="H53" s="121"/>
      <c r="I53" s="121"/>
      <c r="J53" s="121"/>
      <c r="K53" s="121"/>
      <c r="L53" s="121"/>
      <c r="M53" s="123"/>
    </row>
    <row r="54" spans="1:13">
      <c r="B54" s="121"/>
      <c r="C54" s="122"/>
      <c r="D54" s="121"/>
      <c r="E54" s="121"/>
      <c r="F54" s="121"/>
      <c r="G54" s="121"/>
      <c r="H54" s="121"/>
      <c r="I54" s="121"/>
      <c r="J54" s="121"/>
      <c r="K54" s="121"/>
      <c r="L54" s="121"/>
      <c r="M54" s="123"/>
    </row>
    <row r="55" spans="1:13">
      <c r="B55" s="121"/>
      <c r="C55" s="122"/>
      <c r="D55" s="121"/>
      <c r="E55" s="121"/>
      <c r="F55" s="121"/>
      <c r="G55" s="121"/>
      <c r="H55" s="121"/>
      <c r="I55" s="121"/>
      <c r="J55" s="121"/>
      <c r="K55" s="121"/>
      <c r="L55" s="121"/>
      <c r="M55" s="123"/>
    </row>
    <row r="56" spans="1:13">
      <c r="B56" s="121"/>
      <c r="C56" s="122"/>
      <c r="D56" s="121"/>
      <c r="E56" s="121"/>
      <c r="F56" s="121"/>
      <c r="G56" s="121"/>
      <c r="H56" s="121"/>
      <c r="I56" s="121"/>
      <c r="J56" s="121"/>
      <c r="K56" s="121"/>
      <c r="L56" s="121"/>
      <c r="M56" s="123"/>
    </row>
    <row r="57" spans="1:13">
      <c r="B57" s="121"/>
      <c r="C57" s="122"/>
      <c r="D57" s="121"/>
      <c r="E57" s="121"/>
      <c r="F57" s="121"/>
      <c r="G57" s="121"/>
      <c r="H57" s="121"/>
      <c r="I57" s="121"/>
      <c r="J57" s="121"/>
      <c r="K57" s="121"/>
      <c r="L57" s="121"/>
      <c r="M57" s="123"/>
    </row>
    <row r="58" spans="1:13">
      <c r="B58" s="121"/>
      <c r="C58" s="122"/>
      <c r="D58" s="121"/>
      <c r="E58" s="121"/>
      <c r="F58" s="121"/>
      <c r="G58" s="121"/>
      <c r="H58" s="121"/>
      <c r="I58" s="121"/>
      <c r="J58" s="121"/>
      <c r="K58" s="121"/>
      <c r="L58" s="121"/>
      <c r="M58" s="123"/>
    </row>
    <row r="59" spans="1:13">
      <c r="B59" s="121"/>
      <c r="C59" s="122"/>
      <c r="D59" s="121"/>
      <c r="E59" s="121"/>
      <c r="F59" s="121"/>
      <c r="G59" s="121"/>
      <c r="H59" s="121"/>
      <c r="I59" s="121"/>
      <c r="J59" s="121"/>
      <c r="K59" s="121"/>
      <c r="L59" s="121"/>
      <c r="M59" s="123"/>
    </row>
    <row r="60" spans="1:13">
      <c r="B60" s="121"/>
      <c r="C60" s="122"/>
      <c r="D60" s="121"/>
      <c r="E60" s="121"/>
      <c r="F60" s="121"/>
      <c r="G60" s="121"/>
      <c r="H60" s="121"/>
      <c r="I60" s="121"/>
      <c r="J60" s="121"/>
      <c r="K60" s="121"/>
      <c r="L60" s="121"/>
      <c r="M60" s="123"/>
    </row>
    <row r="61" spans="1:13">
      <c r="B61" s="121"/>
      <c r="C61" s="122"/>
      <c r="D61" s="121"/>
      <c r="E61" s="121"/>
      <c r="F61" s="121"/>
      <c r="G61" s="121"/>
      <c r="H61" s="121"/>
      <c r="I61" s="121"/>
      <c r="J61" s="121"/>
      <c r="K61" s="121"/>
      <c r="L61" s="121"/>
      <c r="M61" s="123"/>
    </row>
    <row r="62" spans="1:13">
      <c r="B62" s="121"/>
      <c r="C62" s="122"/>
      <c r="D62" s="121"/>
      <c r="E62" s="121"/>
      <c r="F62" s="121"/>
      <c r="G62" s="121"/>
      <c r="H62" s="121"/>
      <c r="I62" s="121"/>
      <c r="J62" s="121"/>
      <c r="K62" s="121"/>
      <c r="L62" s="121"/>
      <c r="M62" s="123"/>
    </row>
    <row r="63" spans="1:13">
      <c r="B63" s="121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3"/>
    </row>
    <row r="64" spans="1:13">
      <c r="B64" s="121"/>
      <c r="C64" s="122"/>
      <c r="D64" s="121"/>
      <c r="E64" s="121"/>
      <c r="F64" s="121"/>
      <c r="G64" s="121"/>
      <c r="H64" s="121"/>
      <c r="I64" s="121"/>
      <c r="J64" s="121"/>
      <c r="K64" s="121"/>
      <c r="L64" s="121"/>
      <c r="M64" s="123"/>
    </row>
    <row r="65" spans="2:13">
      <c r="B65" s="121"/>
      <c r="C65" s="122"/>
      <c r="D65" s="121"/>
      <c r="E65" s="121"/>
      <c r="F65" s="121"/>
      <c r="G65" s="121"/>
      <c r="H65" s="121"/>
      <c r="I65" s="121"/>
      <c r="J65" s="121"/>
      <c r="K65" s="121"/>
      <c r="L65" s="121"/>
      <c r="M65" s="123"/>
    </row>
    <row r="66" spans="2:13"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3"/>
    </row>
    <row r="67" spans="2:13">
      <c r="B67" s="121"/>
      <c r="C67" s="122"/>
      <c r="D67" s="121"/>
      <c r="E67" s="121"/>
      <c r="F67" s="121"/>
      <c r="G67" s="121"/>
      <c r="H67" s="121"/>
      <c r="I67" s="121"/>
      <c r="J67" s="121"/>
      <c r="K67" s="121"/>
      <c r="L67" s="121"/>
      <c r="M67" s="123"/>
    </row>
    <row r="68" spans="2:13">
      <c r="B68" s="121"/>
      <c r="C68" s="122"/>
      <c r="D68" s="121"/>
      <c r="E68" s="121"/>
      <c r="F68" s="121"/>
      <c r="G68" s="121"/>
      <c r="H68" s="121"/>
      <c r="I68" s="121"/>
      <c r="J68" s="121"/>
      <c r="K68" s="121"/>
      <c r="L68" s="121"/>
      <c r="M68" s="123"/>
    </row>
    <row r="69" spans="2:13">
      <c r="B69" s="121"/>
      <c r="C69" s="122"/>
      <c r="D69" s="121"/>
      <c r="E69" s="121"/>
      <c r="F69" s="121"/>
      <c r="G69" s="121"/>
      <c r="H69" s="121"/>
      <c r="I69" s="121"/>
      <c r="J69" s="121"/>
      <c r="K69" s="121"/>
      <c r="L69" s="121"/>
      <c r="M69" s="123"/>
    </row>
    <row r="70" spans="2:13">
      <c r="B70" s="121"/>
      <c r="C70" s="122"/>
      <c r="D70" s="121"/>
      <c r="E70" s="121"/>
      <c r="F70" s="121"/>
      <c r="G70" s="121"/>
      <c r="H70" s="121"/>
      <c r="I70" s="121"/>
      <c r="J70" s="121"/>
      <c r="K70" s="121"/>
      <c r="L70" s="121"/>
      <c r="M70" s="123"/>
    </row>
    <row r="71" spans="2:13">
      <c r="B71" s="121"/>
      <c r="C71" s="122"/>
      <c r="D71" s="121"/>
      <c r="E71" s="121"/>
      <c r="F71" s="121"/>
      <c r="G71" s="121"/>
      <c r="H71" s="121"/>
      <c r="I71" s="121"/>
      <c r="J71" s="121"/>
      <c r="K71" s="121"/>
      <c r="L71" s="121"/>
      <c r="M71" s="123"/>
    </row>
    <row r="72" spans="2:13">
      <c r="B72" s="121"/>
      <c r="C72" s="122"/>
      <c r="D72" s="121"/>
      <c r="E72" s="121"/>
      <c r="F72" s="121"/>
      <c r="G72" s="121"/>
      <c r="H72" s="121"/>
      <c r="I72" s="121"/>
      <c r="J72" s="121"/>
      <c r="K72" s="121"/>
      <c r="L72" s="121"/>
      <c r="M72" s="123"/>
    </row>
    <row r="73" spans="2:13">
      <c r="B73" s="121"/>
      <c r="C73" s="122"/>
      <c r="D73" s="121"/>
      <c r="E73" s="121"/>
      <c r="F73" s="121"/>
      <c r="G73" s="121"/>
      <c r="H73" s="121"/>
      <c r="I73" s="121"/>
      <c r="J73" s="121"/>
      <c r="K73" s="121"/>
      <c r="L73" s="121"/>
      <c r="M73" s="123"/>
    </row>
    <row r="74" spans="2:13">
      <c r="B74" s="121"/>
      <c r="C74" s="122"/>
      <c r="D74" s="121"/>
      <c r="E74" s="121"/>
      <c r="F74" s="121"/>
      <c r="G74" s="121"/>
      <c r="H74" s="121"/>
      <c r="I74" s="121"/>
      <c r="J74" s="121"/>
      <c r="K74" s="121"/>
      <c r="L74" s="121"/>
      <c r="M74" s="123"/>
    </row>
    <row r="75" spans="2:13">
      <c r="B75" s="121"/>
      <c r="C75" s="122"/>
      <c r="D75" s="121"/>
      <c r="E75" s="121"/>
      <c r="F75" s="121"/>
      <c r="G75" s="121"/>
      <c r="H75" s="121"/>
      <c r="I75" s="121"/>
      <c r="J75" s="121"/>
      <c r="K75" s="121"/>
      <c r="L75" s="121"/>
      <c r="M75" s="123"/>
    </row>
    <row r="76" spans="2:13">
      <c r="B76" s="121"/>
      <c r="C76" s="122"/>
      <c r="D76" s="121"/>
      <c r="E76" s="121"/>
      <c r="F76" s="121"/>
      <c r="G76" s="121"/>
      <c r="H76" s="121"/>
      <c r="I76" s="121"/>
      <c r="J76" s="121"/>
      <c r="K76" s="121"/>
      <c r="L76" s="121"/>
      <c r="M76" s="123"/>
    </row>
    <row r="77" spans="2:13">
      <c r="B77" s="121"/>
      <c r="C77" s="122"/>
      <c r="D77" s="121"/>
      <c r="E77" s="121"/>
      <c r="F77" s="121"/>
      <c r="G77" s="121"/>
      <c r="H77" s="121"/>
      <c r="I77" s="121"/>
      <c r="J77" s="121"/>
      <c r="K77" s="121"/>
      <c r="L77" s="121"/>
      <c r="M77" s="123"/>
    </row>
    <row r="78" spans="2:13">
      <c r="B78" s="121"/>
      <c r="C78" s="122"/>
      <c r="D78" s="121"/>
      <c r="E78" s="121"/>
      <c r="F78" s="121"/>
      <c r="G78" s="121"/>
      <c r="H78" s="121"/>
      <c r="I78" s="121"/>
      <c r="J78" s="121"/>
      <c r="K78" s="121"/>
      <c r="L78" s="121"/>
      <c r="M78" s="123"/>
    </row>
    <row r="79" spans="2:13">
      <c r="B79" s="121"/>
      <c r="C79" s="122"/>
      <c r="D79" s="121"/>
      <c r="E79" s="121"/>
      <c r="F79" s="121"/>
      <c r="G79" s="121"/>
      <c r="H79" s="121"/>
      <c r="I79" s="121"/>
      <c r="J79" s="121"/>
      <c r="K79" s="121"/>
      <c r="L79" s="121"/>
      <c r="M79" s="123"/>
    </row>
    <row r="80" spans="2:13">
      <c r="B80" s="121"/>
      <c r="C80" s="122"/>
      <c r="D80" s="121"/>
      <c r="E80" s="121"/>
      <c r="F80" s="121"/>
      <c r="G80" s="121"/>
      <c r="H80" s="121"/>
      <c r="I80" s="121"/>
      <c r="J80" s="121"/>
      <c r="K80" s="121"/>
      <c r="L80" s="121"/>
      <c r="M80" s="123"/>
    </row>
    <row r="81" spans="2:13">
      <c r="B81" s="12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3"/>
    </row>
    <row r="82" spans="2:13">
      <c r="B82" s="121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3"/>
    </row>
    <row r="83" spans="2:13">
      <c r="B83" s="121"/>
      <c r="C83" s="122"/>
      <c r="D83" s="121"/>
      <c r="E83" s="121"/>
      <c r="F83" s="121"/>
      <c r="G83" s="121"/>
      <c r="H83" s="121"/>
      <c r="I83" s="121"/>
      <c r="J83" s="121"/>
      <c r="K83" s="121"/>
      <c r="L83" s="121"/>
      <c r="M83" s="123"/>
    </row>
    <row r="84" spans="2:13">
      <c r="B84" s="121"/>
      <c r="C84" s="122"/>
      <c r="D84" s="121"/>
      <c r="E84" s="121"/>
      <c r="F84" s="121"/>
      <c r="G84" s="121"/>
      <c r="H84" s="121"/>
      <c r="I84" s="121"/>
      <c r="J84" s="121"/>
      <c r="K84" s="121"/>
      <c r="L84" s="121"/>
      <c r="M84" s="123"/>
    </row>
    <row r="85" spans="2:13">
      <c r="B85" s="121"/>
      <c r="C85" s="122"/>
      <c r="D85" s="121"/>
      <c r="E85" s="121"/>
      <c r="F85" s="121"/>
      <c r="G85" s="121"/>
      <c r="H85" s="121"/>
      <c r="I85" s="121"/>
      <c r="J85" s="121"/>
      <c r="K85" s="121"/>
      <c r="L85" s="121"/>
      <c r="M85" s="123"/>
    </row>
    <row r="86" spans="2:13">
      <c r="B86" s="121"/>
      <c r="C86" s="122"/>
      <c r="D86" s="121"/>
      <c r="E86" s="121"/>
      <c r="F86" s="121"/>
      <c r="G86" s="121"/>
      <c r="H86" s="121"/>
      <c r="I86" s="121"/>
      <c r="J86" s="121"/>
      <c r="K86" s="121"/>
      <c r="L86" s="121"/>
      <c r="M86" s="123"/>
    </row>
    <row r="87" spans="2:13">
      <c r="B87" s="121"/>
      <c r="C87" s="122"/>
      <c r="D87" s="121"/>
      <c r="E87" s="121"/>
      <c r="F87" s="121"/>
      <c r="G87" s="121"/>
      <c r="H87" s="121"/>
      <c r="I87" s="121"/>
      <c r="J87" s="121"/>
      <c r="K87" s="121"/>
      <c r="L87" s="121"/>
      <c r="M87" s="123"/>
    </row>
    <row r="88" spans="2:13">
      <c r="B88" s="121"/>
      <c r="C88" s="122"/>
      <c r="D88" s="121"/>
      <c r="E88" s="121"/>
      <c r="F88" s="121"/>
      <c r="G88" s="121"/>
      <c r="H88" s="121"/>
      <c r="I88" s="121"/>
      <c r="J88" s="121"/>
      <c r="K88" s="121"/>
      <c r="L88" s="121"/>
      <c r="M88" s="123"/>
    </row>
    <row r="89" spans="2:13">
      <c r="B89" s="121"/>
      <c r="C89" s="122"/>
      <c r="D89" s="121"/>
      <c r="E89" s="121"/>
      <c r="F89" s="121"/>
      <c r="G89" s="121"/>
      <c r="H89" s="121"/>
      <c r="I89" s="121"/>
      <c r="J89" s="121"/>
      <c r="K89" s="121"/>
      <c r="L89" s="121"/>
      <c r="M89" s="123"/>
    </row>
    <row r="90" spans="2:13">
      <c r="B90" s="121"/>
      <c r="C90" s="122"/>
      <c r="D90" s="121"/>
      <c r="E90" s="121"/>
      <c r="F90" s="121"/>
      <c r="G90" s="121"/>
      <c r="H90" s="121"/>
      <c r="I90" s="121"/>
      <c r="J90" s="121"/>
      <c r="K90" s="121"/>
      <c r="L90" s="121"/>
      <c r="M90" s="123"/>
    </row>
    <row r="91" spans="2:13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33"/>
    </row>
    <row r="92" spans="2:13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33"/>
    </row>
    <row r="93" spans="2:13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33"/>
    </row>
    <row r="94" spans="2:13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33"/>
    </row>
    <row r="95" spans="2:13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33"/>
    </row>
    <row r="96" spans="2:13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33"/>
    </row>
    <row r="97" spans="2:13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33"/>
    </row>
    <row r="98" spans="2:13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33"/>
    </row>
    <row r="99" spans="2:13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33"/>
    </row>
    <row r="100" spans="2:13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33"/>
    </row>
    <row r="101" spans="2:13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33"/>
    </row>
    <row r="102" spans="2:13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33"/>
    </row>
    <row r="103" spans="2:13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33"/>
    </row>
  </sheetData>
  <mergeCells count="9">
    <mergeCell ref="A4:A5"/>
    <mergeCell ref="I4:J4"/>
    <mergeCell ref="K4:L4"/>
    <mergeCell ref="M4:M5"/>
    <mergeCell ref="B4:B5"/>
    <mergeCell ref="C4:C5"/>
    <mergeCell ref="D4:D5"/>
    <mergeCell ref="E4:F4"/>
    <mergeCell ref="G4:H4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80" fitToHeight="0" orientation="landscape" r:id="rId1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84"/>
  <sheetViews>
    <sheetView view="pageBreakPreview" zoomScaleNormal="60" zoomScaleSheetLayoutView="100" workbookViewId="0">
      <selection activeCell="G17" sqref="G17"/>
    </sheetView>
  </sheetViews>
  <sheetFormatPr defaultRowHeight="12.75"/>
  <cols>
    <col min="1" max="1" width="8.7109375" style="132" customWidth="1"/>
    <col min="2" max="2" width="15.42578125" style="134" customWidth="1"/>
    <col min="3" max="3" width="65.85546875" style="134" customWidth="1"/>
    <col min="4" max="7" width="9.28515625" style="134" customWidth="1"/>
    <col min="8" max="8" width="10" style="134" customWidth="1"/>
    <col min="9" max="12" width="9.28515625" style="134" customWidth="1"/>
    <col min="13" max="13" width="10.85546875" style="135" customWidth="1"/>
    <col min="14" max="16384" width="9.140625" style="54"/>
  </cols>
  <sheetData>
    <row r="1" spans="1:13" s="59" customFormat="1">
      <c r="A1" s="162" t="s">
        <v>303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59" customForma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8.5" customHeight="1">
      <c r="A3" s="157" t="s">
        <v>315</v>
      </c>
      <c r="B3" s="161" t="s">
        <v>316</v>
      </c>
      <c r="C3" s="161" t="s">
        <v>317</v>
      </c>
      <c r="D3" s="161" t="s">
        <v>318</v>
      </c>
      <c r="E3" s="157" t="s">
        <v>319</v>
      </c>
      <c r="F3" s="157"/>
      <c r="G3" s="161" t="s">
        <v>320</v>
      </c>
      <c r="H3" s="161"/>
      <c r="I3" s="161" t="s">
        <v>6</v>
      </c>
      <c r="J3" s="161"/>
      <c r="K3" s="157" t="s">
        <v>321</v>
      </c>
      <c r="L3" s="157"/>
      <c r="M3" s="157" t="s">
        <v>4</v>
      </c>
    </row>
    <row r="4" spans="1:13" ht="12.75" customHeight="1">
      <c r="A4" s="157"/>
      <c r="B4" s="161"/>
      <c r="C4" s="161"/>
      <c r="D4" s="161"/>
      <c r="E4" s="114" t="s">
        <v>322</v>
      </c>
      <c r="F4" s="114" t="s">
        <v>272</v>
      </c>
      <c r="G4" s="114" t="s">
        <v>322</v>
      </c>
      <c r="H4" s="114" t="s">
        <v>272</v>
      </c>
      <c r="I4" s="114" t="s">
        <v>322</v>
      </c>
      <c r="J4" s="114" t="s">
        <v>272</v>
      </c>
      <c r="K4" s="114" t="s">
        <v>322</v>
      </c>
      <c r="L4" s="114" t="s">
        <v>272</v>
      </c>
      <c r="M4" s="157"/>
    </row>
    <row r="5" spans="1:13">
      <c r="A5" s="114">
        <v>1</v>
      </c>
      <c r="B5" s="114">
        <v>2</v>
      </c>
      <c r="C5" s="113">
        <v>3</v>
      </c>
      <c r="D5" s="114">
        <v>4</v>
      </c>
      <c r="E5" s="114">
        <v>5</v>
      </c>
      <c r="F5" s="114">
        <v>6</v>
      </c>
      <c r="G5" s="114"/>
      <c r="H5" s="78">
        <v>8</v>
      </c>
      <c r="I5" s="114">
        <v>9</v>
      </c>
      <c r="J5" s="78">
        <v>10</v>
      </c>
      <c r="K5" s="114">
        <v>11</v>
      </c>
      <c r="L5" s="78">
        <v>12</v>
      </c>
      <c r="M5" s="78">
        <v>13</v>
      </c>
    </row>
    <row r="6" spans="1:1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45"/>
    </row>
    <row r="7" spans="1:13">
      <c r="A7" s="114"/>
      <c r="B7" s="116"/>
      <c r="C7" s="113" t="s">
        <v>294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>
      <c r="A8" s="114"/>
      <c r="B8" s="116"/>
      <c r="C8" s="113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>
      <c r="A9" s="116">
        <v>1.1000000000000001</v>
      </c>
      <c r="B9" s="97" t="s">
        <v>296</v>
      </c>
      <c r="C9" s="98" t="s">
        <v>281</v>
      </c>
      <c r="D9" s="85" t="s">
        <v>106</v>
      </c>
      <c r="E9" s="86"/>
      <c r="F9" s="87">
        <v>345</v>
      </c>
      <c r="G9" s="86"/>
      <c r="H9" s="88"/>
      <c r="I9" s="86"/>
      <c r="J9" s="89"/>
      <c r="K9" s="86"/>
      <c r="L9" s="88"/>
      <c r="M9" s="117"/>
    </row>
    <row r="10" spans="1:13">
      <c r="A10" s="116"/>
      <c r="B10" s="97" t="s">
        <v>381</v>
      </c>
      <c r="C10" s="136"/>
      <c r="D10" s="116" t="s">
        <v>103</v>
      </c>
      <c r="E10" s="88"/>
      <c r="F10" s="137">
        <f>F9/100</f>
        <v>3.45</v>
      </c>
      <c r="G10" s="88"/>
      <c r="H10" s="88"/>
      <c r="I10" s="88"/>
      <c r="J10" s="89"/>
      <c r="K10" s="88"/>
      <c r="L10" s="88"/>
      <c r="M10" s="88"/>
    </row>
    <row r="11" spans="1:13">
      <c r="A11" s="116" t="s">
        <v>0</v>
      </c>
      <c r="B11" s="97" t="s">
        <v>382</v>
      </c>
      <c r="C11" s="99" t="s">
        <v>15</v>
      </c>
      <c r="D11" s="116" t="s">
        <v>1</v>
      </c>
      <c r="E11" s="88">
        <f>0.6*65.5</f>
        <v>39.299999999999997</v>
      </c>
      <c r="F11" s="100">
        <f>F10*E11</f>
        <v>135.58500000000001</v>
      </c>
      <c r="G11" s="88"/>
      <c r="H11" s="88"/>
      <c r="I11" s="88"/>
      <c r="J11" s="88"/>
      <c r="K11" s="88"/>
      <c r="L11" s="88"/>
      <c r="M11" s="89"/>
    </row>
    <row r="12" spans="1:13">
      <c r="A12" s="116" t="s">
        <v>206</v>
      </c>
      <c r="B12" s="138" t="s">
        <v>383</v>
      </c>
      <c r="C12" s="139" t="s">
        <v>282</v>
      </c>
      <c r="D12" s="144" t="s">
        <v>24</v>
      </c>
      <c r="E12" s="140">
        <v>0</v>
      </c>
      <c r="F12" s="141">
        <f>F10*E12</f>
        <v>0</v>
      </c>
      <c r="G12" s="140"/>
      <c r="H12" s="140"/>
      <c r="I12" s="140"/>
      <c r="J12" s="142"/>
      <c r="K12" s="140"/>
      <c r="L12" s="140"/>
      <c r="M12" s="142"/>
    </row>
    <row r="13" spans="1:13">
      <c r="A13" s="116" t="s">
        <v>207</v>
      </c>
      <c r="B13" s="97" t="s">
        <v>384</v>
      </c>
      <c r="C13" s="136" t="s">
        <v>283</v>
      </c>
      <c r="D13" s="116" t="s">
        <v>24</v>
      </c>
      <c r="E13" s="88">
        <f>0.7*4.29</f>
        <v>3.0029999999999997</v>
      </c>
      <c r="F13" s="100">
        <f>F10*E13</f>
        <v>10.360349999999999</v>
      </c>
      <c r="G13" s="88"/>
      <c r="H13" s="88"/>
      <c r="I13" s="88"/>
      <c r="J13" s="89"/>
      <c r="K13" s="88"/>
      <c r="L13" s="88"/>
      <c r="M13" s="89"/>
    </row>
    <row r="14" spans="1:13">
      <c r="A14" s="116" t="s">
        <v>208</v>
      </c>
      <c r="B14" s="97" t="s">
        <v>385</v>
      </c>
      <c r="C14" s="129" t="s">
        <v>13</v>
      </c>
      <c r="D14" s="116" t="s">
        <v>25</v>
      </c>
      <c r="E14" s="88">
        <f>0.7*0.44</f>
        <v>0.308</v>
      </c>
      <c r="F14" s="100">
        <f>F10*E14</f>
        <v>1.0626</v>
      </c>
      <c r="G14" s="88"/>
      <c r="H14" s="88"/>
      <c r="I14" s="88"/>
      <c r="J14" s="89"/>
      <c r="K14" s="88"/>
      <c r="L14" s="88"/>
      <c r="M14" s="89"/>
    </row>
    <row r="15" spans="1:13">
      <c r="A15" s="116" t="s">
        <v>213</v>
      </c>
      <c r="B15" s="97" t="s">
        <v>386</v>
      </c>
      <c r="C15" s="99" t="s">
        <v>14</v>
      </c>
      <c r="D15" s="116" t="s">
        <v>25</v>
      </c>
      <c r="E15" s="88">
        <f>0.5*41.3</f>
        <v>20.65</v>
      </c>
      <c r="F15" s="100">
        <f>F10*E15</f>
        <v>71.242499999999993</v>
      </c>
      <c r="G15" s="88"/>
      <c r="H15" s="88"/>
      <c r="I15" s="88"/>
      <c r="J15" s="89"/>
      <c r="K15" s="88"/>
      <c r="L15" s="88"/>
      <c r="M15" s="89"/>
    </row>
    <row r="16" spans="1:13">
      <c r="A16" s="116"/>
      <c r="B16" s="97"/>
      <c r="C16" s="99"/>
      <c r="D16" s="116"/>
      <c r="E16" s="88"/>
      <c r="F16" s="100"/>
      <c r="G16" s="88"/>
      <c r="H16" s="88"/>
      <c r="I16" s="88"/>
      <c r="J16" s="89"/>
      <c r="K16" s="88"/>
      <c r="L16" s="88"/>
      <c r="M16" s="89"/>
    </row>
    <row r="17" spans="1:13" ht="25.5">
      <c r="A17" s="116">
        <v>1.2</v>
      </c>
      <c r="B17" s="97" t="s">
        <v>83</v>
      </c>
      <c r="C17" s="126" t="s">
        <v>82</v>
      </c>
      <c r="D17" s="116" t="s">
        <v>329</v>
      </c>
      <c r="E17" s="116"/>
      <c r="F17" s="88">
        <v>483</v>
      </c>
      <c r="G17" s="131"/>
      <c r="H17" s="131"/>
      <c r="I17" s="131"/>
      <c r="J17" s="131"/>
      <c r="K17" s="131"/>
      <c r="L17" s="131"/>
      <c r="M17" s="117"/>
    </row>
    <row r="18" spans="1:13">
      <c r="A18" s="116"/>
      <c r="B18" s="97"/>
      <c r="C18" s="127"/>
      <c r="D18" s="116" t="s">
        <v>372</v>
      </c>
      <c r="E18" s="88"/>
      <c r="F18" s="128">
        <f>F17/1000</f>
        <v>0.48299999999999998</v>
      </c>
      <c r="G18" s="88"/>
      <c r="H18" s="88"/>
      <c r="I18" s="88"/>
      <c r="J18" s="88"/>
      <c r="K18" s="88"/>
      <c r="L18" s="88"/>
      <c r="M18" s="89"/>
    </row>
    <row r="19" spans="1:13">
      <c r="A19" s="116" t="s">
        <v>21</v>
      </c>
      <c r="B19" s="97"/>
      <c r="C19" s="99" t="s">
        <v>15</v>
      </c>
      <c r="D19" s="116" t="s">
        <v>1</v>
      </c>
      <c r="E19" s="88">
        <v>20</v>
      </c>
      <c r="F19" s="88">
        <f>E19*F18</f>
        <v>9.66</v>
      </c>
      <c r="G19" s="88"/>
      <c r="H19" s="88"/>
      <c r="I19" s="88"/>
      <c r="J19" s="88"/>
      <c r="K19" s="88"/>
      <c r="L19" s="88"/>
      <c r="M19" s="89"/>
    </row>
    <row r="20" spans="1:13">
      <c r="A20" s="116" t="s">
        <v>35</v>
      </c>
      <c r="B20" s="97" t="s">
        <v>374</v>
      </c>
      <c r="C20" s="129" t="s">
        <v>375</v>
      </c>
      <c r="D20" s="116" t="s">
        <v>24</v>
      </c>
      <c r="E20" s="88">
        <v>44.8</v>
      </c>
      <c r="F20" s="88">
        <f>E20*F18</f>
        <v>21.638399999999997</v>
      </c>
      <c r="G20" s="88"/>
      <c r="H20" s="88"/>
      <c r="I20" s="88"/>
      <c r="J20" s="88"/>
      <c r="K20" s="88"/>
      <c r="L20" s="88"/>
      <c r="M20" s="89"/>
    </row>
    <row r="21" spans="1:13">
      <c r="A21" s="116" t="s">
        <v>36</v>
      </c>
      <c r="B21" s="97"/>
      <c r="C21" s="129" t="s">
        <v>13</v>
      </c>
      <c r="D21" s="116" t="s">
        <v>25</v>
      </c>
      <c r="E21" s="88">
        <v>2.1</v>
      </c>
      <c r="F21" s="88">
        <f>E21*F18</f>
        <v>1.0143</v>
      </c>
      <c r="G21" s="88"/>
      <c r="H21" s="88"/>
      <c r="I21" s="88"/>
      <c r="J21" s="88"/>
      <c r="K21" s="88"/>
      <c r="L21" s="88"/>
      <c r="M21" s="89"/>
    </row>
    <row r="22" spans="1:13">
      <c r="A22" s="116" t="s">
        <v>37</v>
      </c>
      <c r="B22" s="97" t="s">
        <v>376</v>
      </c>
      <c r="C22" s="129" t="s">
        <v>377</v>
      </c>
      <c r="D22" s="116" t="s">
        <v>329</v>
      </c>
      <c r="E22" s="88">
        <v>0.05</v>
      </c>
      <c r="F22" s="88">
        <f>E22*F18</f>
        <v>2.4150000000000001E-2</v>
      </c>
      <c r="G22" s="88"/>
      <c r="H22" s="88"/>
      <c r="I22" s="88"/>
      <c r="J22" s="88"/>
      <c r="K22" s="88"/>
      <c r="L22" s="88"/>
      <c r="M22" s="89"/>
    </row>
    <row r="23" spans="1:13">
      <c r="A23" s="116"/>
      <c r="B23" s="97"/>
      <c r="C23" s="126"/>
      <c r="D23" s="116"/>
      <c r="E23" s="116"/>
      <c r="F23" s="117"/>
      <c r="G23" s="131"/>
      <c r="H23" s="117"/>
      <c r="I23" s="131"/>
      <c r="J23" s="131"/>
      <c r="K23" s="131"/>
      <c r="L23" s="117"/>
      <c r="M23" s="117"/>
    </row>
    <row r="24" spans="1:13">
      <c r="A24" s="116">
        <v>1.3</v>
      </c>
      <c r="B24" s="146" t="s">
        <v>387</v>
      </c>
      <c r="C24" s="130" t="s">
        <v>388</v>
      </c>
      <c r="D24" s="116" t="s">
        <v>329</v>
      </c>
      <c r="E24" s="88"/>
      <c r="F24" s="88">
        <v>14.3</v>
      </c>
      <c r="G24" s="88"/>
      <c r="H24" s="88"/>
      <c r="I24" s="88"/>
      <c r="J24" s="88"/>
      <c r="K24" s="88"/>
      <c r="L24" s="88"/>
      <c r="M24" s="88"/>
    </row>
    <row r="25" spans="1:13">
      <c r="A25" s="116"/>
      <c r="B25" s="97" t="s">
        <v>389</v>
      </c>
      <c r="C25" s="126"/>
      <c r="D25" s="116" t="s">
        <v>330</v>
      </c>
      <c r="E25" s="88"/>
      <c r="F25" s="128">
        <f>F24/100</f>
        <v>0.14300000000000002</v>
      </c>
      <c r="G25" s="88"/>
      <c r="H25" s="88"/>
      <c r="I25" s="88"/>
      <c r="J25" s="88"/>
      <c r="K25" s="88"/>
      <c r="L25" s="88"/>
      <c r="M25" s="88"/>
    </row>
    <row r="26" spans="1:13">
      <c r="A26" s="116" t="s">
        <v>30</v>
      </c>
      <c r="B26" s="97" t="s">
        <v>390</v>
      </c>
      <c r="C26" s="126" t="s">
        <v>15</v>
      </c>
      <c r="D26" s="116" t="s">
        <v>1</v>
      </c>
      <c r="E26" s="88">
        <f>206*1.2</f>
        <v>247.2</v>
      </c>
      <c r="F26" s="88">
        <f>E26*F25</f>
        <v>35.349600000000002</v>
      </c>
      <c r="G26" s="88"/>
      <c r="H26" s="88"/>
      <c r="I26" s="88"/>
      <c r="J26" s="88"/>
      <c r="K26" s="88"/>
      <c r="L26" s="88"/>
      <c r="M26" s="88"/>
    </row>
    <row r="27" spans="1:13">
      <c r="A27" s="116"/>
      <c r="B27" s="97"/>
      <c r="C27" s="126"/>
      <c r="D27" s="116"/>
      <c r="E27" s="88"/>
      <c r="F27" s="88"/>
      <c r="G27" s="88"/>
      <c r="H27" s="88"/>
      <c r="I27" s="88"/>
      <c r="J27" s="88"/>
      <c r="K27" s="88"/>
      <c r="L27" s="88"/>
      <c r="M27" s="88"/>
    </row>
    <row r="28" spans="1:13">
      <c r="A28" s="116">
        <v>1.4</v>
      </c>
      <c r="B28" s="101" t="s">
        <v>391</v>
      </c>
      <c r="C28" s="130" t="s">
        <v>392</v>
      </c>
      <c r="D28" s="116" t="s">
        <v>23</v>
      </c>
      <c r="E28" s="88">
        <v>1.95</v>
      </c>
      <c r="F28" s="88">
        <f>F24*E28</f>
        <v>27.885000000000002</v>
      </c>
      <c r="G28" s="88"/>
      <c r="H28" s="88"/>
      <c r="I28" s="88"/>
      <c r="J28" s="88"/>
      <c r="K28" s="88"/>
      <c r="L28" s="88"/>
      <c r="M28" s="88"/>
    </row>
    <row r="29" spans="1:13">
      <c r="A29" s="116" t="s">
        <v>22</v>
      </c>
      <c r="B29" s="102" t="s">
        <v>393</v>
      </c>
      <c r="C29" s="130" t="s">
        <v>15</v>
      </c>
      <c r="D29" s="116" t="s">
        <v>1</v>
      </c>
      <c r="E29" s="88">
        <v>0.53</v>
      </c>
      <c r="F29" s="88">
        <f>E29*F28</f>
        <v>14.779050000000002</v>
      </c>
      <c r="G29" s="88"/>
      <c r="H29" s="88"/>
      <c r="I29" s="88"/>
      <c r="J29" s="88"/>
      <c r="K29" s="88"/>
      <c r="L29" s="88"/>
      <c r="M29" s="88"/>
    </row>
    <row r="30" spans="1:13">
      <c r="A30" s="116"/>
      <c r="B30" s="97"/>
      <c r="C30" s="126"/>
      <c r="D30" s="116"/>
      <c r="E30" s="88"/>
      <c r="F30" s="88"/>
      <c r="G30" s="88"/>
      <c r="H30" s="88"/>
      <c r="I30" s="88"/>
      <c r="J30" s="88"/>
      <c r="K30" s="88"/>
      <c r="L30" s="88"/>
      <c r="M30" s="88"/>
    </row>
    <row r="31" spans="1:13">
      <c r="A31" s="116">
        <v>1.5</v>
      </c>
      <c r="B31" s="97" t="s">
        <v>373</v>
      </c>
      <c r="C31" s="126" t="s">
        <v>31</v>
      </c>
      <c r="D31" s="116" t="s">
        <v>23</v>
      </c>
      <c r="E31" s="88"/>
      <c r="F31" s="88">
        <f>F28+(F18*1000*1.95)</f>
        <v>969.73500000000001</v>
      </c>
      <c r="G31" s="88"/>
      <c r="H31" s="88"/>
      <c r="I31" s="88"/>
      <c r="J31" s="88"/>
      <c r="K31" s="88"/>
      <c r="L31" s="88"/>
      <c r="M31" s="88"/>
    </row>
    <row r="32" spans="1:13">
      <c r="A32" s="116"/>
      <c r="B32" s="97"/>
      <c r="C32" s="126"/>
      <c r="D32" s="116"/>
      <c r="E32" s="116"/>
      <c r="F32" s="117"/>
      <c r="G32" s="131"/>
      <c r="H32" s="131"/>
      <c r="I32" s="131"/>
      <c r="J32" s="131"/>
      <c r="K32" s="88"/>
      <c r="L32" s="117"/>
      <c r="M32" s="117"/>
    </row>
    <row r="33" spans="1:13">
      <c r="A33" s="116">
        <v>1.6</v>
      </c>
      <c r="B33" s="97" t="s">
        <v>85</v>
      </c>
      <c r="C33" s="126" t="s">
        <v>84</v>
      </c>
      <c r="D33" s="116" t="s">
        <v>329</v>
      </c>
      <c r="E33" s="116"/>
      <c r="F33" s="88">
        <f>F17+F24</f>
        <v>497.3</v>
      </c>
      <c r="G33" s="131"/>
      <c r="H33" s="131"/>
      <c r="I33" s="131"/>
      <c r="J33" s="131"/>
      <c r="K33" s="131"/>
      <c r="L33" s="131"/>
      <c r="M33" s="117"/>
    </row>
    <row r="34" spans="1:13">
      <c r="A34" s="116"/>
      <c r="B34" s="97"/>
      <c r="C34" s="126"/>
      <c r="D34" s="116" t="s">
        <v>372</v>
      </c>
      <c r="E34" s="88"/>
      <c r="F34" s="128">
        <f>F33/1000</f>
        <v>0.49730000000000002</v>
      </c>
      <c r="G34" s="88"/>
      <c r="H34" s="88"/>
      <c r="I34" s="88"/>
      <c r="J34" s="88"/>
      <c r="K34" s="88"/>
      <c r="L34" s="88"/>
      <c r="M34" s="88"/>
    </row>
    <row r="35" spans="1:13">
      <c r="A35" s="116" t="s">
        <v>61</v>
      </c>
      <c r="B35" s="97"/>
      <c r="C35" s="126" t="s">
        <v>15</v>
      </c>
      <c r="D35" s="116" t="s">
        <v>1</v>
      </c>
      <c r="E35" s="88">
        <v>3.23</v>
      </c>
      <c r="F35" s="88">
        <f>E35*F34</f>
        <v>1.606279</v>
      </c>
      <c r="G35" s="88"/>
      <c r="H35" s="88"/>
      <c r="I35" s="88"/>
      <c r="J35" s="88"/>
      <c r="K35" s="88"/>
      <c r="L35" s="88"/>
      <c r="M35" s="88"/>
    </row>
    <row r="36" spans="1:13">
      <c r="A36" s="116" t="s">
        <v>62</v>
      </c>
      <c r="B36" s="97" t="s">
        <v>336</v>
      </c>
      <c r="C36" s="126" t="s">
        <v>86</v>
      </c>
      <c r="D36" s="116" t="s">
        <v>24</v>
      </c>
      <c r="E36" s="88">
        <v>3.62</v>
      </c>
      <c r="F36" s="88">
        <f>E36*F34</f>
        <v>1.8002260000000001</v>
      </c>
      <c r="G36" s="88"/>
      <c r="H36" s="88"/>
      <c r="I36" s="88"/>
      <c r="J36" s="88"/>
      <c r="K36" s="88"/>
      <c r="L36" s="88"/>
      <c r="M36" s="88"/>
    </row>
    <row r="37" spans="1:13">
      <c r="A37" s="116" t="s">
        <v>227</v>
      </c>
      <c r="B37" s="97"/>
      <c r="C37" s="126" t="s">
        <v>13</v>
      </c>
      <c r="D37" s="116" t="s">
        <v>25</v>
      </c>
      <c r="E37" s="88">
        <v>0.18</v>
      </c>
      <c r="F37" s="88">
        <f>E37*F34</f>
        <v>8.9513999999999996E-2</v>
      </c>
      <c r="G37" s="88"/>
      <c r="H37" s="88"/>
      <c r="I37" s="88"/>
      <c r="J37" s="88"/>
      <c r="K37" s="88"/>
      <c r="L37" s="88"/>
      <c r="M37" s="88"/>
    </row>
    <row r="38" spans="1:13">
      <c r="A38" s="116" t="s">
        <v>228</v>
      </c>
      <c r="B38" s="97" t="s">
        <v>376</v>
      </c>
      <c r="C38" s="129" t="s">
        <v>377</v>
      </c>
      <c r="D38" s="116" t="s">
        <v>329</v>
      </c>
      <c r="E38" s="88">
        <v>0.04</v>
      </c>
      <c r="F38" s="88">
        <f>E38*F34</f>
        <v>1.9892E-2</v>
      </c>
      <c r="G38" s="88"/>
      <c r="H38" s="88"/>
      <c r="I38" s="88"/>
      <c r="J38" s="88"/>
      <c r="K38" s="88"/>
      <c r="L38" s="88"/>
      <c r="M38" s="88"/>
    </row>
    <row r="39" spans="1:13">
      <c r="A39" s="116"/>
      <c r="B39" s="97"/>
      <c r="C39" s="127"/>
      <c r="D39" s="116"/>
      <c r="E39" s="88"/>
      <c r="F39" s="88"/>
      <c r="G39" s="88"/>
      <c r="H39" s="88"/>
      <c r="I39" s="88"/>
      <c r="J39" s="88"/>
      <c r="K39" s="88"/>
      <c r="L39" s="88"/>
      <c r="M39" s="88"/>
    </row>
    <row r="40" spans="1:13">
      <c r="A40" s="116">
        <v>1.7</v>
      </c>
      <c r="B40" s="97" t="s">
        <v>395</v>
      </c>
      <c r="C40" s="126" t="s">
        <v>262</v>
      </c>
      <c r="D40" s="116" t="s">
        <v>329</v>
      </c>
      <c r="E40" s="88"/>
      <c r="F40" s="88">
        <v>69</v>
      </c>
      <c r="G40" s="88"/>
      <c r="H40" s="88"/>
      <c r="I40" s="88"/>
      <c r="J40" s="88"/>
      <c r="K40" s="88"/>
      <c r="L40" s="88"/>
      <c r="M40" s="88"/>
    </row>
    <row r="41" spans="1:13">
      <c r="A41" s="116"/>
      <c r="B41" s="97"/>
      <c r="C41" s="127"/>
      <c r="D41" s="116" t="s">
        <v>356</v>
      </c>
      <c r="E41" s="88"/>
      <c r="F41" s="88">
        <f>F40</f>
        <v>69</v>
      </c>
      <c r="G41" s="88"/>
      <c r="H41" s="88"/>
      <c r="I41" s="88"/>
      <c r="J41" s="88"/>
      <c r="K41" s="88"/>
      <c r="L41" s="88"/>
      <c r="M41" s="88"/>
    </row>
    <row r="42" spans="1:13">
      <c r="A42" s="116" t="s">
        <v>63</v>
      </c>
      <c r="B42" s="97"/>
      <c r="C42" s="127" t="s">
        <v>15</v>
      </c>
      <c r="D42" s="116" t="s">
        <v>1</v>
      </c>
      <c r="E42" s="88">
        <v>0.89</v>
      </c>
      <c r="F42" s="88">
        <f>E42*F41</f>
        <v>61.410000000000004</v>
      </c>
      <c r="G42" s="88"/>
      <c r="H42" s="88"/>
      <c r="I42" s="88"/>
      <c r="J42" s="88"/>
      <c r="K42" s="88"/>
      <c r="L42" s="88"/>
      <c r="M42" s="88"/>
    </row>
    <row r="43" spans="1:13">
      <c r="A43" s="116" t="s">
        <v>64</v>
      </c>
      <c r="B43" s="97" t="s">
        <v>333</v>
      </c>
      <c r="C43" s="127" t="s">
        <v>104</v>
      </c>
      <c r="D43" s="116" t="s">
        <v>329</v>
      </c>
      <c r="E43" s="88">
        <v>1.1499999999999999</v>
      </c>
      <c r="F43" s="88">
        <f>E43*F41</f>
        <v>79.349999999999994</v>
      </c>
      <c r="G43" s="88"/>
      <c r="H43" s="88"/>
      <c r="I43" s="88"/>
      <c r="J43" s="88"/>
      <c r="K43" s="88"/>
      <c r="L43" s="88"/>
      <c r="M43" s="88"/>
    </row>
    <row r="44" spans="1:13">
      <c r="A44" s="116"/>
      <c r="B44" s="97"/>
      <c r="C44" s="126" t="s">
        <v>13</v>
      </c>
      <c r="D44" s="116" t="s">
        <v>25</v>
      </c>
      <c r="E44" s="88">
        <v>0.37</v>
      </c>
      <c r="F44" s="88">
        <f>E44*F41</f>
        <v>25.53</v>
      </c>
      <c r="G44" s="88"/>
      <c r="H44" s="88"/>
      <c r="I44" s="88"/>
      <c r="J44" s="88"/>
      <c r="K44" s="88"/>
      <c r="L44" s="88"/>
      <c r="M44" s="88"/>
    </row>
    <row r="45" spans="1:13">
      <c r="A45" s="116"/>
      <c r="B45" s="146"/>
      <c r="C45" s="127" t="s">
        <v>14</v>
      </c>
      <c r="D45" s="116" t="s">
        <v>25</v>
      </c>
      <c r="E45" s="88">
        <v>0.02</v>
      </c>
      <c r="F45" s="88">
        <f>E45*F41</f>
        <v>1.3800000000000001</v>
      </c>
      <c r="G45" s="88"/>
      <c r="H45" s="88"/>
      <c r="I45" s="88"/>
      <c r="J45" s="88"/>
      <c r="K45" s="88"/>
      <c r="L45" s="88"/>
      <c r="M45" s="88"/>
    </row>
    <row r="46" spans="1:13">
      <c r="A46" s="116"/>
      <c r="B46" s="97"/>
      <c r="C46" s="126"/>
      <c r="D46" s="116"/>
      <c r="E46" s="88"/>
      <c r="F46" s="88"/>
      <c r="G46" s="88"/>
      <c r="H46" s="88"/>
      <c r="I46" s="88"/>
      <c r="J46" s="88"/>
      <c r="K46" s="88"/>
      <c r="L46" s="88"/>
      <c r="M46" s="88"/>
    </row>
    <row r="47" spans="1:13">
      <c r="A47" s="116">
        <v>1.8</v>
      </c>
      <c r="B47" s="97" t="s">
        <v>394</v>
      </c>
      <c r="C47" s="126" t="s">
        <v>263</v>
      </c>
      <c r="D47" s="116" t="s">
        <v>329</v>
      </c>
      <c r="E47" s="88"/>
      <c r="F47" s="88">
        <v>35</v>
      </c>
      <c r="G47" s="88"/>
      <c r="H47" s="88"/>
      <c r="I47" s="88"/>
      <c r="J47" s="88"/>
      <c r="K47" s="88"/>
      <c r="L47" s="88"/>
      <c r="M47" s="88"/>
    </row>
    <row r="48" spans="1:13">
      <c r="A48" s="116"/>
      <c r="B48" s="97"/>
      <c r="C48" s="127"/>
      <c r="D48" s="116" t="s">
        <v>330</v>
      </c>
      <c r="E48" s="88"/>
      <c r="F48" s="128">
        <f>F47/100</f>
        <v>0.35</v>
      </c>
      <c r="G48" s="88"/>
      <c r="H48" s="88"/>
      <c r="I48" s="88"/>
      <c r="J48" s="88"/>
      <c r="K48" s="88"/>
      <c r="L48" s="88"/>
      <c r="M48" s="89"/>
    </row>
    <row r="49" spans="1:13">
      <c r="A49" s="116" t="s">
        <v>65</v>
      </c>
      <c r="B49" s="97"/>
      <c r="C49" s="99" t="s">
        <v>15</v>
      </c>
      <c r="D49" s="116" t="s">
        <v>1</v>
      </c>
      <c r="E49" s="88">
        <v>137</v>
      </c>
      <c r="F49" s="88">
        <f>E49*F48</f>
        <v>47.949999999999996</v>
      </c>
      <c r="G49" s="88"/>
      <c r="H49" s="88"/>
      <c r="I49" s="88"/>
      <c r="J49" s="88"/>
      <c r="K49" s="88"/>
      <c r="L49" s="88"/>
      <c r="M49" s="89"/>
    </row>
    <row r="50" spans="1:13">
      <c r="A50" s="116" t="s">
        <v>66</v>
      </c>
      <c r="B50" s="97"/>
      <c r="C50" s="129" t="s">
        <v>13</v>
      </c>
      <c r="D50" s="116" t="s">
        <v>25</v>
      </c>
      <c r="E50" s="88">
        <v>28.3</v>
      </c>
      <c r="F50" s="88">
        <f>E50*F48</f>
        <v>9.9049999999999994</v>
      </c>
      <c r="G50" s="88"/>
      <c r="H50" s="88"/>
      <c r="I50" s="88"/>
      <c r="J50" s="88"/>
      <c r="K50" s="88"/>
      <c r="L50" s="88"/>
      <c r="M50" s="89"/>
    </row>
    <row r="51" spans="1:13">
      <c r="A51" s="116" t="s">
        <v>229</v>
      </c>
      <c r="B51" s="97" t="s">
        <v>396</v>
      </c>
      <c r="C51" s="127" t="s">
        <v>397</v>
      </c>
      <c r="D51" s="116" t="s">
        <v>329</v>
      </c>
      <c r="E51" s="88">
        <v>102</v>
      </c>
      <c r="F51" s="88">
        <f>E51*F48</f>
        <v>35.699999999999996</v>
      </c>
      <c r="G51" s="88"/>
      <c r="H51" s="88"/>
      <c r="I51" s="88"/>
      <c r="J51" s="88"/>
      <c r="K51" s="88"/>
      <c r="L51" s="88"/>
      <c r="M51" s="89"/>
    </row>
    <row r="52" spans="1:13">
      <c r="A52" s="116" t="s">
        <v>230</v>
      </c>
      <c r="B52" s="97"/>
      <c r="C52" s="129" t="s">
        <v>14</v>
      </c>
      <c r="D52" s="116" t="s">
        <v>25</v>
      </c>
      <c r="E52" s="88">
        <v>62</v>
      </c>
      <c r="F52" s="88">
        <f>E52*F48</f>
        <v>21.7</v>
      </c>
      <c r="G52" s="88"/>
      <c r="H52" s="88"/>
      <c r="I52" s="88"/>
      <c r="J52" s="89"/>
      <c r="K52" s="88"/>
      <c r="L52" s="88"/>
      <c r="M52" s="89"/>
    </row>
    <row r="53" spans="1:13">
      <c r="A53" s="116"/>
      <c r="B53" s="97"/>
      <c r="C53" s="126"/>
      <c r="D53" s="116"/>
      <c r="E53" s="88"/>
      <c r="F53" s="88"/>
      <c r="G53" s="88"/>
      <c r="H53" s="88"/>
      <c r="I53" s="88"/>
      <c r="J53" s="88"/>
      <c r="K53" s="88"/>
      <c r="L53" s="88"/>
      <c r="M53" s="88"/>
    </row>
    <row r="54" spans="1:13">
      <c r="A54" s="116">
        <v>1.9</v>
      </c>
      <c r="B54" s="146" t="s">
        <v>398</v>
      </c>
      <c r="C54" s="127" t="s">
        <v>434</v>
      </c>
      <c r="D54" s="116" t="s">
        <v>329</v>
      </c>
      <c r="E54" s="88"/>
      <c r="F54" s="88">
        <v>260</v>
      </c>
      <c r="G54" s="88"/>
      <c r="H54" s="88"/>
      <c r="I54" s="88"/>
      <c r="J54" s="88"/>
      <c r="K54" s="88"/>
      <c r="L54" s="88"/>
      <c r="M54" s="88"/>
    </row>
    <row r="55" spans="1:13">
      <c r="A55" s="116"/>
      <c r="B55" s="146"/>
      <c r="C55" s="127"/>
      <c r="D55" s="116" t="s">
        <v>330</v>
      </c>
      <c r="E55" s="88"/>
      <c r="F55" s="128">
        <f>F54/100</f>
        <v>2.6</v>
      </c>
      <c r="G55" s="88"/>
      <c r="H55" s="88"/>
      <c r="I55" s="88"/>
      <c r="J55" s="88"/>
      <c r="K55" s="88"/>
      <c r="L55" s="88"/>
      <c r="M55" s="88"/>
    </row>
    <row r="56" spans="1:13">
      <c r="A56" s="116" t="s">
        <v>67</v>
      </c>
      <c r="B56" s="146"/>
      <c r="C56" s="127" t="s">
        <v>40</v>
      </c>
      <c r="D56" s="116" t="s">
        <v>1</v>
      </c>
      <c r="E56" s="88">
        <v>599</v>
      </c>
      <c r="F56" s="88">
        <f>E56*F55</f>
        <v>1557.4</v>
      </c>
      <c r="G56" s="88"/>
      <c r="H56" s="88"/>
      <c r="I56" s="88"/>
      <c r="J56" s="88"/>
      <c r="K56" s="88"/>
      <c r="L56" s="88"/>
      <c r="M56" s="88"/>
    </row>
    <row r="57" spans="1:13">
      <c r="A57" s="116" t="s">
        <v>68</v>
      </c>
      <c r="B57" s="146"/>
      <c r="C57" s="147" t="s">
        <v>138</v>
      </c>
      <c r="D57" s="144" t="s">
        <v>24</v>
      </c>
      <c r="E57" s="140">
        <v>0</v>
      </c>
      <c r="F57" s="140">
        <f>E57*F55</f>
        <v>0</v>
      </c>
      <c r="G57" s="140"/>
      <c r="H57" s="140"/>
      <c r="I57" s="140"/>
      <c r="J57" s="140"/>
      <c r="K57" s="140"/>
      <c r="L57" s="140"/>
      <c r="M57" s="140"/>
    </row>
    <row r="58" spans="1:13">
      <c r="A58" s="116" t="s">
        <v>232</v>
      </c>
      <c r="B58" s="146"/>
      <c r="C58" s="127" t="s">
        <v>435</v>
      </c>
      <c r="D58" s="116" t="s">
        <v>25</v>
      </c>
      <c r="E58" s="88">
        <v>109</v>
      </c>
      <c r="F58" s="88">
        <f>E58*F55</f>
        <v>283.40000000000003</v>
      </c>
      <c r="G58" s="88"/>
      <c r="H58" s="88"/>
      <c r="I58" s="88"/>
      <c r="J58" s="88"/>
      <c r="K58" s="88"/>
      <c r="L58" s="88"/>
      <c r="M58" s="88"/>
    </row>
    <row r="59" spans="1:13">
      <c r="A59" s="116" t="s">
        <v>233</v>
      </c>
      <c r="B59" s="146" t="s">
        <v>399</v>
      </c>
      <c r="C59" s="127" t="s">
        <v>192</v>
      </c>
      <c r="D59" s="116" t="s">
        <v>329</v>
      </c>
      <c r="E59" s="88">
        <v>101.5</v>
      </c>
      <c r="F59" s="88">
        <f>E59*F55</f>
        <v>263.90000000000003</v>
      </c>
      <c r="G59" s="88"/>
      <c r="H59" s="88"/>
      <c r="I59" s="88"/>
      <c r="J59" s="88"/>
      <c r="K59" s="88"/>
      <c r="L59" s="88"/>
      <c r="M59" s="88"/>
    </row>
    <row r="60" spans="1:13">
      <c r="A60" s="116" t="s">
        <v>234</v>
      </c>
      <c r="B60" s="146" t="s">
        <v>408</v>
      </c>
      <c r="C60" s="127" t="s">
        <v>409</v>
      </c>
      <c r="D60" s="116" t="s">
        <v>23</v>
      </c>
      <c r="E60" s="89" t="s">
        <v>100</v>
      </c>
      <c r="F60" s="128">
        <v>1.38</v>
      </c>
      <c r="G60" s="88"/>
      <c r="H60" s="88"/>
      <c r="I60" s="88"/>
      <c r="J60" s="88"/>
      <c r="K60" s="89"/>
      <c r="L60" s="88"/>
      <c r="M60" s="88"/>
    </row>
    <row r="61" spans="1:13">
      <c r="A61" s="116" t="s">
        <v>235</v>
      </c>
      <c r="B61" s="146" t="s">
        <v>400</v>
      </c>
      <c r="C61" s="127" t="s">
        <v>141</v>
      </c>
      <c r="D61" s="116" t="s">
        <v>23</v>
      </c>
      <c r="E61" s="89" t="s">
        <v>100</v>
      </c>
      <c r="F61" s="128">
        <v>15.525</v>
      </c>
      <c r="G61" s="88"/>
      <c r="H61" s="88"/>
      <c r="I61" s="88"/>
      <c r="J61" s="88"/>
      <c r="K61" s="89"/>
      <c r="L61" s="88"/>
      <c r="M61" s="88"/>
    </row>
    <row r="62" spans="1:13">
      <c r="A62" s="116" t="s">
        <v>244</v>
      </c>
      <c r="B62" s="146"/>
      <c r="C62" s="147" t="s">
        <v>136</v>
      </c>
      <c r="D62" s="144" t="s">
        <v>329</v>
      </c>
      <c r="E62" s="140">
        <v>0</v>
      </c>
      <c r="F62" s="140">
        <f>E62*F55</f>
        <v>0</v>
      </c>
      <c r="G62" s="140"/>
      <c r="H62" s="140"/>
      <c r="I62" s="140"/>
      <c r="J62" s="140"/>
      <c r="K62" s="140"/>
      <c r="L62" s="140"/>
      <c r="M62" s="140"/>
    </row>
    <row r="63" spans="1:13">
      <c r="A63" s="116" t="s">
        <v>285</v>
      </c>
      <c r="B63" s="146"/>
      <c r="C63" s="147" t="s">
        <v>139</v>
      </c>
      <c r="D63" s="144" t="s">
        <v>329</v>
      </c>
      <c r="E63" s="140">
        <v>0</v>
      </c>
      <c r="F63" s="140">
        <f>E63*F55</f>
        <v>0</v>
      </c>
      <c r="G63" s="140"/>
      <c r="H63" s="140"/>
      <c r="I63" s="140"/>
      <c r="J63" s="140"/>
      <c r="K63" s="140"/>
      <c r="L63" s="140"/>
      <c r="M63" s="140"/>
    </row>
    <row r="64" spans="1:13">
      <c r="A64" s="116" t="s">
        <v>286</v>
      </c>
      <c r="B64" s="146" t="s">
        <v>401</v>
      </c>
      <c r="C64" s="127" t="s">
        <v>402</v>
      </c>
      <c r="D64" s="116" t="s">
        <v>325</v>
      </c>
      <c r="E64" s="88">
        <v>118</v>
      </c>
      <c r="F64" s="88">
        <f>E64*F55</f>
        <v>306.8</v>
      </c>
      <c r="G64" s="88"/>
      <c r="H64" s="88"/>
      <c r="I64" s="88"/>
      <c r="J64" s="88"/>
      <c r="K64" s="88"/>
      <c r="L64" s="88"/>
      <c r="M64" s="88"/>
    </row>
    <row r="65" spans="1:13">
      <c r="A65" s="116" t="s">
        <v>414</v>
      </c>
      <c r="B65" s="146" t="s">
        <v>403</v>
      </c>
      <c r="C65" s="127" t="s">
        <v>436</v>
      </c>
      <c r="D65" s="116" t="s">
        <v>329</v>
      </c>
      <c r="E65" s="88">
        <f>0.21+2.78</f>
        <v>2.9899999999999998</v>
      </c>
      <c r="F65" s="88">
        <f>E65*F55</f>
        <v>7.774</v>
      </c>
      <c r="G65" s="88"/>
      <c r="H65" s="88"/>
      <c r="I65" s="88"/>
      <c r="J65" s="88"/>
      <c r="K65" s="88"/>
      <c r="L65" s="88"/>
      <c r="M65" s="88"/>
    </row>
    <row r="66" spans="1:13">
      <c r="A66" s="116" t="s">
        <v>415</v>
      </c>
      <c r="B66" s="146" t="s">
        <v>404</v>
      </c>
      <c r="C66" s="127" t="s">
        <v>405</v>
      </c>
      <c r="D66" s="116" t="s">
        <v>301</v>
      </c>
      <c r="E66" s="88">
        <v>110</v>
      </c>
      <c r="F66" s="88">
        <f>E66*F55</f>
        <v>286</v>
      </c>
      <c r="G66" s="88"/>
      <c r="H66" s="88"/>
      <c r="I66" s="88"/>
      <c r="J66" s="88"/>
      <c r="K66" s="88"/>
      <c r="L66" s="88"/>
      <c r="M66" s="88"/>
    </row>
    <row r="67" spans="1:13">
      <c r="A67" s="116" t="s">
        <v>416</v>
      </c>
      <c r="B67" s="146" t="s">
        <v>406</v>
      </c>
      <c r="C67" s="127" t="s">
        <v>407</v>
      </c>
      <c r="D67" s="116" t="s">
        <v>301</v>
      </c>
      <c r="E67" s="88">
        <v>140</v>
      </c>
      <c r="F67" s="88">
        <f>E67*F55</f>
        <v>364</v>
      </c>
      <c r="G67" s="88"/>
      <c r="H67" s="88"/>
      <c r="I67" s="88"/>
      <c r="J67" s="88"/>
      <c r="K67" s="88"/>
      <c r="L67" s="88"/>
      <c r="M67" s="88"/>
    </row>
    <row r="68" spans="1:13">
      <c r="A68" s="116" t="s">
        <v>417</v>
      </c>
      <c r="B68" s="146"/>
      <c r="C68" s="127" t="s">
        <v>110</v>
      </c>
      <c r="D68" s="116" t="s">
        <v>25</v>
      </c>
      <c r="E68" s="88">
        <v>32</v>
      </c>
      <c r="F68" s="88">
        <f>E68*F55</f>
        <v>83.2</v>
      </c>
      <c r="G68" s="88"/>
      <c r="H68" s="88"/>
      <c r="I68" s="88"/>
      <c r="J68" s="88"/>
      <c r="K68" s="88"/>
      <c r="L68" s="88"/>
      <c r="M68" s="88"/>
    </row>
    <row r="69" spans="1:13">
      <c r="A69" s="116"/>
      <c r="B69" s="97"/>
      <c r="C69" s="126"/>
      <c r="D69" s="116"/>
      <c r="E69" s="88"/>
      <c r="F69" s="88"/>
      <c r="G69" s="88"/>
      <c r="H69" s="88"/>
      <c r="I69" s="88"/>
      <c r="J69" s="88"/>
      <c r="K69" s="88"/>
      <c r="L69" s="88"/>
      <c r="M69" s="88"/>
    </row>
    <row r="70" spans="1:13">
      <c r="A70" s="117">
        <v>1.1000000000000001</v>
      </c>
      <c r="B70" s="146" t="s">
        <v>410</v>
      </c>
      <c r="C70" s="127" t="s">
        <v>437</v>
      </c>
      <c r="D70" s="116" t="s">
        <v>106</v>
      </c>
      <c r="E70" s="88"/>
      <c r="F70" s="88">
        <f>178.5*0.3</f>
        <v>53.55</v>
      </c>
      <c r="G70" s="88"/>
      <c r="H70" s="88"/>
      <c r="I70" s="88"/>
      <c r="J70" s="88"/>
      <c r="K70" s="88"/>
      <c r="L70" s="88"/>
      <c r="M70" s="88"/>
    </row>
    <row r="71" spans="1:13">
      <c r="A71" s="117"/>
      <c r="B71" s="146"/>
      <c r="C71" s="127"/>
      <c r="D71" s="116" t="s">
        <v>103</v>
      </c>
      <c r="E71" s="88"/>
      <c r="F71" s="128">
        <f>F70/100</f>
        <v>0.53549999999999998</v>
      </c>
      <c r="G71" s="88"/>
      <c r="H71" s="88"/>
      <c r="I71" s="88"/>
      <c r="J71" s="88"/>
      <c r="K71" s="88"/>
      <c r="L71" s="88"/>
      <c r="M71" s="88"/>
    </row>
    <row r="72" spans="1:13">
      <c r="A72" s="116" t="s">
        <v>69</v>
      </c>
      <c r="B72" s="146"/>
      <c r="C72" s="127" t="s">
        <v>40</v>
      </c>
      <c r="D72" s="116" t="s">
        <v>1</v>
      </c>
      <c r="E72" s="88">
        <v>33.1</v>
      </c>
      <c r="F72" s="88">
        <f>E72*F71</f>
        <v>17.72505</v>
      </c>
      <c r="G72" s="88"/>
      <c r="H72" s="88"/>
      <c r="I72" s="88"/>
      <c r="J72" s="88"/>
      <c r="K72" s="88"/>
      <c r="L72" s="88"/>
      <c r="M72" s="88"/>
    </row>
    <row r="73" spans="1:13">
      <c r="A73" s="116" t="s">
        <v>70</v>
      </c>
      <c r="B73" s="146"/>
      <c r="C73" s="127" t="s">
        <v>13</v>
      </c>
      <c r="D73" s="116" t="s">
        <v>25</v>
      </c>
      <c r="E73" s="88">
        <v>0.47</v>
      </c>
      <c r="F73" s="88">
        <f>E73*F71</f>
        <v>0.25168499999999999</v>
      </c>
      <c r="G73" s="88"/>
      <c r="H73" s="88"/>
      <c r="I73" s="88"/>
      <c r="J73" s="88"/>
      <c r="K73" s="88"/>
      <c r="L73" s="88"/>
      <c r="M73" s="88"/>
    </row>
    <row r="74" spans="1:13">
      <c r="A74" s="116" t="s">
        <v>236</v>
      </c>
      <c r="B74" s="146" t="s">
        <v>411</v>
      </c>
      <c r="C74" s="127" t="s">
        <v>412</v>
      </c>
      <c r="D74" s="116" t="s">
        <v>106</v>
      </c>
      <c r="E74" s="88" t="s">
        <v>413</v>
      </c>
      <c r="F74" s="88">
        <f>F70</f>
        <v>53.55</v>
      </c>
      <c r="G74" s="88"/>
      <c r="H74" s="88"/>
      <c r="I74" s="88"/>
      <c r="J74" s="88"/>
      <c r="K74" s="88"/>
      <c r="L74" s="88"/>
      <c r="M74" s="88"/>
    </row>
    <row r="75" spans="1:13">
      <c r="A75" s="116" t="s">
        <v>237</v>
      </c>
      <c r="B75" s="146"/>
      <c r="C75" s="127" t="s">
        <v>110</v>
      </c>
      <c r="D75" s="116" t="s">
        <v>25</v>
      </c>
      <c r="E75" s="88">
        <v>10.9</v>
      </c>
      <c r="F75" s="88">
        <f>E75*F71</f>
        <v>5.8369499999999999</v>
      </c>
      <c r="G75" s="88"/>
      <c r="H75" s="88"/>
      <c r="I75" s="88"/>
      <c r="J75" s="88"/>
      <c r="K75" s="88"/>
      <c r="L75" s="88"/>
      <c r="M75" s="88"/>
    </row>
    <row r="76" spans="1:13">
      <c r="A76" s="116"/>
      <c r="B76" s="97"/>
      <c r="C76" s="126"/>
      <c r="D76" s="116"/>
      <c r="E76" s="88"/>
      <c r="F76" s="88"/>
      <c r="G76" s="88"/>
      <c r="H76" s="88"/>
      <c r="I76" s="88"/>
      <c r="J76" s="88"/>
      <c r="K76" s="88"/>
      <c r="L76" s="88"/>
      <c r="M76" s="88"/>
    </row>
    <row r="77" spans="1:13">
      <c r="A77" s="117">
        <v>1.1100000000000001</v>
      </c>
      <c r="B77" s="97" t="s">
        <v>418</v>
      </c>
      <c r="C77" s="126" t="s">
        <v>287</v>
      </c>
      <c r="D77" s="116" t="s">
        <v>329</v>
      </c>
      <c r="E77" s="88"/>
      <c r="F77" s="88">
        <v>130</v>
      </c>
      <c r="G77" s="88"/>
      <c r="H77" s="88"/>
      <c r="I77" s="88"/>
      <c r="J77" s="88"/>
      <c r="K77" s="88"/>
      <c r="L77" s="88"/>
      <c r="M77" s="88"/>
    </row>
    <row r="78" spans="1:13">
      <c r="A78" s="117"/>
      <c r="B78" s="97"/>
      <c r="C78" s="127"/>
      <c r="D78" s="116" t="s">
        <v>372</v>
      </c>
      <c r="E78" s="88"/>
      <c r="F78" s="128">
        <f>F77/1000</f>
        <v>0.13</v>
      </c>
      <c r="G78" s="88"/>
      <c r="H78" s="88"/>
      <c r="I78" s="88"/>
      <c r="J78" s="88"/>
      <c r="K78" s="88"/>
      <c r="L78" s="88"/>
      <c r="M78" s="89"/>
    </row>
    <row r="79" spans="1:13">
      <c r="A79" s="116" t="s">
        <v>71</v>
      </c>
      <c r="B79" s="97" t="s">
        <v>379</v>
      </c>
      <c r="C79" s="127" t="s">
        <v>380</v>
      </c>
      <c r="D79" s="116" t="s">
        <v>24</v>
      </c>
      <c r="E79" s="88">
        <f>5.13+(4*2.04)</f>
        <v>13.29</v>
      </c>
      <c r="F79" s="88">
        <f>E79*F78</f>
        <v>1.7277</v>
      </c>
      <c r="G79" s="88"/>
      <c r="H79" s="88"/>
      <c r="I79" s="88"/>
      <c r="J79" s="88"/>
      <c r="K79" s="88"/>
      <c r="L79" s="88"/>
      <c r="M79" s="89"/>
    </row>
    <row r="80" spans="1:13">
      <c r="A80" s="116" t="s">
        <v>220</v>
      </c>
      <c r="B80" s="97" t="s">
        <v>419</v>
      </c>
      <c r="C80" s="127" t="s">
        <v>288</v>
      </c>
      <c r="D80" s="116" t="s">
        <v>329</v>
      </c>
      <c r="E80" s="88">
        <v>1010</v>
      </c>
      <c r="F80" s="88">
        <f>E80*F78</f>
        <v>131.30000000000001</v>
      </c>
      <c r="G80" s="88"/>
      <c r="H80" s="88"/>
      <c r="I80" s="88"/>
      <c r="J80" s="88"/>
      <c r="K80" s="88"/>
      <c r="L80" s="88"/>
      <c r="M80" s="89"/>
    </row>
    <row r="81" spans="1:13">
      <c r="A81" s="116"/>
      <c r="B81" s="97"/>
      <c r="C81" s="126"/>
      <c r="D81" s="116"/>
      <c r="E81" s="88"/>
      <c r="F81" s="88"/>
      <c r="G81" s="88"/>
      <c r="H81" s="88"/>
      <c r="I81" s="88"/>
      <c r="J81" s="88"/>
      <c r="K81" s="88"/>
      <c r="L81" s="88"/>
      <c r="M81" s="88"/>
    </row>
    <row r="82" spans="1:13">
      <c r="A82" s="116">
        <v>1.1200000000000001</v>
      </c>
      <c r="B82" s="97" t="s">
        <v>420</v>
      </c>
      <c r="C82" s="126" t="s">
        <v>289</v>
      </c>
      <c r="D82" s="116" t="s">
        <v>329</v>
      </c>
      <c r="E82" s="88"/>
      <c r="F82" s="88">
        <v>82</v>
      </c>
      <c r="G82" s="88"/>
      <c r="H82" s="88"/>
      <c r="I82" s="88"/>
      <c r="J82" s="88"/>
      <c r="K82" s="88"/>
      <c r="L82" s="88"/>
      <c r="M82" s="88"/>
    </row>
    <row r="83" spans="1:13">
      <c r="A83" s="116"/>
      <c r="B83" s="97"/>
      <c r="C83" s="127"/>
      <c r="D83" s="116" t="s">
        <v>356</v>
      </c>
      <c r="E83" s="88"/>
      <c r="F83" s="88">
        <v>14</v>
      </c>
      <c r="G83" s="88"/>
      <c r="H83" s="88"/>
      <c r="I83" s="88"/>
      <c r="J83" s="88"/>
      <c r="K83" s="88"/>
      <c r="L83" s="88"/>
      <c r="M83" s="89"/>
    </row>
    <row r="84" spans="1:13">
      <c r="A84" s="116" t="s">
        <v>238</v>
      </c>
      <c r="B84" s="97"/>
      <c r="C84" s="99" t="s">
        <v>15</v>
      </c>
      <c r="D84" s="116" t="s">
        <v>1</v>
      </c>
      <c r="E84" s="88">
        <v>6.5</v>
      </c>
      <c r="F84" s="100">
        <f>F83*E84</f>
        <v>91</v>
      </c>
      <c r="G84" s="88"/>
      <c r="H84" s="88"/>
      <c r="I84" s="88"/>
      <c r="J84" s="88"/>
      <c r="K84" s="88"/>
      <c r="L84" s="88"/>
      <c r="M84" s="89"/>
    </row>
    <row r="85" spans="1:13">
      <c r="A85" s="116"/>
      <c r="B85" s="146"/>
      <c r="C85" s="127" t="s">
        <v>13</v>
      </c>
      <c r="D85" s="116" t="s">
        <v>25</v>
      </c>
      <c r="E85" s="88">
        <v>2.16</v>
      </c>
      <c r="F85" s="88">
        <f>E85*F83</f>
        <v>30.240000000000002</v>
      </c>
      <c r="G85" s="88"/>
      <c r="H85" s="88"/>
      <c r="I85" s="88"/>
      <c r="J85" s="88"/>
      <c r="K85" s="88"/>
      <c r="L85" s="88"/>
      <c r="M85" s="88"/>
    </row>
    <row r="86" spans="1:13">
      <c r="A86" s="116" t="s">
        <v>239</v>
      </c>
      <c r="B86" s="97" t="s">
        <v>421</v>
      </c>
      <c r="C86" s="129" t="s">
        <v>290</v>
      </c>
      <c r="D86" s="116" t="s">
        <v>329</v>
      </c>
      <c r="E86" s="88">
        <v>1.1499999999999999</v>
      </c>
      <c r="F86" s="100">
        <f>F83*E86</f>
        <v>16.099999999999998</v>
      </c>
      <c r="G86" s="88"/>
      <c r="H86" s="88"/>
      <c r="I86" s="88"/>
      <c r="J86" s="88"/>
      <c r="K86" s="88"/>
      <c r="L86" s="88"/>
      <c r="M86" s="89"/>
    </row>
    <row r="87" spans="1:13">
      <c r="A87" s="116"/>
      <c r="B87" s="146"/>
      <c r="C87" s="127" t="s">
        <v>110</v>
      </c>
      <c r="D87" s="116" t="s">
        <v>25</v>
      </c>
      <c r="E87" s="88">
        <v>0.02</v>
      </c>
      <c r="F87" s="88">
        <f>E87*F83</f>
        <v>0.28000000000000003</v>
      </c>
      <c r="G87" s="88"/>
      <c r="H87" s="88"/>
      <c r="I87" s="88"/>
      <c r="J87" s="88"/>
      <c r="K87" s="88"/>
      <c r="L87" s="88"/>
      <c r="M87" s="88"/>
    </row>
    <row r="88" spans="1:13">
      <c r="A88" s="116"/>
      <c r="B88" s="97"/>
      <c r="C88" s="126"/>
      <c r="D88" s="116"/>
      <c r="E88" s="88"/>
      <c r="F88" s="87"/>
      <c r="G88" s="88"/>
      <c r="H88" s="88"/>
      <c r="I88" s="88"/>
      <c r="J88" s="88"/>
      <c r="K88" s="88"/>
      <c r="L88" s="88"/>
      <c r="M88" s="88"/>
    </row>
    <row r="89" spans="1:13">
      <c r="A89" s="116">
        <v>1.1299999999999999</v>
      </c>
      <c r="B89" s="97" t="s">
        <v>199</v>
      </c>
      <c r="C89" s="126" t="s">
        <v>264</v>
      </c>
      <c r="D89" s="116" t="s">
        <v>329</v>
      </c>
      <c r="E89" s="88"/>
      <c r="F89" s="88">
        <v>573</v>
      </c>
      <c r="G89" s="88"/>
      <c r="H89" s="88"/>
      <c r="I89" s="88"/>
      <c r="J89" s="88"/>
      <c r="K89" s="88"/>
      <c r="L89" s="88"/>
      <c r="M89" s="88"/>
    </row>
    <row r="90" spans="1:13">
      <c r="A90" s="116"/>
      <c r="B90" s="97"/>
      <c r="C90" s="127"/>
      <c r="D90" s="116" t="s">
        <v>372</v>
      </c>
      <c r="E90" s="88"/>
      <c r="F90" s="128">
        <f>F89/1000</f>
        <v>0.57299999999999995</v>
      </c>
      <c r="G90" s="88"/>
      <c r="H90" s="88"/>
      <c r="I90" s="88"/>
      <c r="J90" s="88"/>
      <c r="K90" s="88"/>
      <c r="L90" s="88"/>
      <c r="M90" s="89"/>
    </row>
    <row r="91" spans="1:13">
      <c r="A91" s="116" t="s">
        <v>72</v>
      </c>
      <c r="B91" s="97"/>
      <c r="C91" s="99" t="s">
        <v>15</v>
      </c>
      <c r="D91" s="116" t="s">
        <v>1</v>
      </c>
      <c r="E91" s="88">
        <v>15.5</v>
      </c>
      <c r="F91" s="88">
        <f>E91*F90</f>
        <v>8.8814999999999991</v>
      </c>
      <c r="G91" s="88"/>
      <c r="H91" s="88"/>
      <c r="I91" s="88"/>
      <c r="J91" s="88"/>
      <c r="K91" s="88"/>
      <c r="L91" s="88"/>
      <c r="M91" s="89"/>
    </row>
    <row r="92" spans="1:13">
      <c r="A92" s="116" t="s">
        <v>73</v>
      </c>
      <c r="B92" s="97" t="s">
        <v>374</v>
      </c>
      <c r="C92" s="129" t="s">
        <v>375</v>
      </c>
      <c r="D92" s="116" t="s">
        <v>24</v>
      </c>
      <c r="E92" s="88">
        <v>34.700000000000003</v>
      </c>
      <c r="F92" s="88">
        <f>E92*F90</f>
        <v>19.883099999999999</v>
      </c>
      <c r="G92" s="88"/>
      <c r="H92" s="88"/>
      <c r="I92" s="88"/>
      <c r="J92" s="88"/>
      <c r="K92" s="88"/>
      <c r="L92" s="88"/>
      <c r="M92" s="89"/>
    </row>
    <row r="93" spans="1:13">
      <c r="A93" s="116" t="s">
        <v>279</v>
      </c>
      <c r="B93" s="97"/>
      <c r="C93" s="129" t="s">
        <v>13</v>
      </c>
      <c r="D93" s="116" t="s">
        <v>25</v>
      </c>
      <c r="E93" s="88">
        <v>2.09</v>
      </c>
      <c r="F93" s="88">
        <f>E93*F90</f>
        <v>1.1975699999999998</v>
      </c>
      <c r="G93" s="88"/>
      <c r="H93" s="88"/>
      <c r="I93" s="88"/>
      <c r="J93" s="88"/>
      <c r="K93" s="88"/>
      <c r="L93" s="88"/>
      <c r="M93" s="89"/>
    </row>
    <row r="94" spans="1:13">
      <c r="A94" s="116" t="s">
        <v>280</v>
      </c>
      <c r="B94" s="97" t="s">
        <v>376</v>
      </c>
      <c r="C94" s="129" t="s">
        <v>377</v>
      </c>
      <c r="D94" s="116" t="s">
        <v>329</v>
      </c>
      <c r="E94" s="88">
        <v>0.04</v>
      </c>
      <c r="F94" s="128">
        <f>E94*F90</f>
        <v>2.2919999999999999E-2</v>
      </c>
      <c r="G94" s="88"/>
      <c r="H94" s="88"/>
      <c r="I94" s="88"/>
      <c r="J94" s="88"/>
      <c r="K94" s="88"/>
      <c r="L94" s="88"/>
      <c r="M94" s="89"/>
    </row>
    <row r="95" spans="1:13">
      <c r="A95" s="116"/>
      <c r="B95" s="148"/>
      <c r="C95" s="126"/>
      <c r="D95" s="116"/>
      <c r="E95" s="88"/>
      <c r="F95" s="88"/>
      <c r="G95" s="88"/>
      <c r="H95" s="88"/>
      <c r="I95" s="88"/>
      <c r="J95" s="88"/>
      <c r="K95" s="88"/>
      <c r="L95" s="88"/>
      <c r="M95" s="88"/>
    </row>
    <row r="96" spans="1:13">
      <c r="A96" s="117">
        <v>1.1399999999999999</v>
      </c>
      <c r="B96" s="97" t="s">
        <v>426</v>
      </c>
      <c r="C96" s="126" t="s">
        <v>422</v>
      </c>
      <c r="D96" s="116" t="s">
        <v>325</v>
      </c>
      <c r="E96" s="88"/>
      <c r="F96" s="88">
        <v>1035</v>
      </c>
      <c r="G96" s="88"/>
      <c r="H96" s="88"/>
      <c r="I96" s="88"/>
      <c r="J96" s="88"/>
      <c r="K96" s="88"/>
      <c r="L96" s="88"/>
      <c r="M96" s="88"/>
    </row>
    <row r="97" spans="1:13">
      <c r="A97" s="117"/>
      <c r="B97" s="97"/>
      <c r="C97" s="127"/>
      <c r="D97" s="116" t="s">
        <v>423</v>
      </c>
      <c r="E97" s="88"/>
      <c r="F97" s="128">
        <f>F96/100</f>
        <v>10.35</v>
      </c>
      <c r="G97" s="88"/>
      <c r="H97" s="88"/>
      <c r="I97" s="88"/>
      <c r="J97" s="88"/>
      <c r="K97" s="88"/>
      <c r="L97" s="88"/>
      <c r="M97" s="88"/>
    </row>
    <row r="98" spans="1:13">
      <c r="A98" s="116" t="s">
        <v>221</v>
      </c>
      <c r="B98" s="97"/>
      <c r="C98" s="127" t="s">
        <v>15</v>
      </c>
      <c r="D98" s="116" t="s">
        <v>1</v>
      </c>
      <c r="E98" s="88">
        <v>33.6</v>
      </c>
      <c r="F98" s="88">
        <f>E98*F97</f>
        <v>347.76</v>
      </c>
      <c r="G98" s="88"/>
      <c r="H98" s="88"/>
      <c r="I98" s="88"/>
      <c r="J98" s="88"/>
      <c r="K98" s="88"/>
      <c r="L98" s="88"/>
      <c r="M98" s="88"/>
    </row>
    <row r="99" spans="1:13">
      <c r="A99" s="116" t="s">
        <v>243</v>
      </c>
      <c r="B99" s="97"/>
      <c r="C99" s="127" t="s">
        <v>13</v>
      </c>
      <c r="D99" s="116" t="s">
        <v>25</v>
      </c>
      <c r="E99" s="88">
        <v>1.5</v>
      </c>
      <c r="F99" s="88">
        <f>E99*F97</f>
        <v>15.524999999999999</v>
      </c>
      <c r="G99" s="88"/>
      <c r="H99" s="88"/>
      <c r="I99" s="88"/>
      <c r="J99" s="88"/>
      <c r="K99" s="88"/>
      <c r="L99" s="88"/>
      <c r="M99" s="88"/>
    </row>
    <row r="100" spans="1:13">
      <c r="A100" s="116" t="s">
        <v>291</v>
      </c>
      <c r="B100" s="97" t="s">
        <v>424</v>
      </c>
      <c r="C100" s="127" t="s">
        <v>425</v>
      </c>
      <c r="D100" s="116" t="s">
        <v>23</v>
      </c>
      <c r="E100" s="88">
        <v>0.24</v>
      </c>
      <c r="F100" s="88">
        <f>E100*F97</f>
        <v>2.484</v>
      </c>
      <c r="G100" s="88"/>
      <c r="H100" s="88"/>
      <c r="I100" s="88"/>
      <c r="J100" s="88"/>
      <c r="K100" s="88"/>
      <c r="L100" s="88"/>
      <c r="M100" s="88"/>
    </row>
    <row r="101" spans="1:13">
      <c r="A101" s="116" t="s">
        <v>292</v>
      </c>
      <c r="B101" s="97"/>
      <c r="C101" s="147" t="s">
        <v>113</v>
      </c>
      <c r="D101" s="144" t="s">
        <v>329</v>
      </c>
      <c r="E101" s="140">
        <v>0</v>
      </c>
      <c r="F101" s="140">
        <f>E101*F97</f>
        <v>0</v>
      </c>
      <c r="G101" s="140"/>
      <c r="H101" s="140"/>
      <c r="I101" s="140"/>
      <c r="J101" s="140"/>
      <c r="K101" s="140"/>
      <c r="L101" s="140"/>
      <c r="M101" s="140"/>
    </row>
    <row r="102" spans="1:13">
      <c r="A102" s="116" t="s">
        <v>293</v>
      </c>
      <c r="B102" s="97"/>
      <c r="C102" s="127" t="s">
        <v>110</v>
      </c>
      <c r="D102" s="116" t="s">
        <v>25</v>
      </c>
      <c r="E102" s="88">
        <v>2.2799999999999998</v>
      </c>
      <c r="F102" s="88">
        <f>E102*F97</f>
        <v>23.597999999999995</v>
      </c>
      <c r="G102" s="88"/>
      <c r="H102" s="88"/>
      <c r="I102" s="88"/>
      <c r="J102" s="88"/>
      <c r="K102" s="88"/>
      <c r="L102" s="88"/>
      <c r="M102" s="88"/>
    </row>
    <row r="103" spans="1:13">
      <c r="A103" s="116"/>
      <c r="B103" s="97"/>
      <c r="C103" s="126"/>
      <c r="D103" s="116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1:13">
      <c r="A104" s="116">
        <v>1.1499999999999999</v>
      </c>
      <c r="B104" s="97" t="s">
        <v>427</v>
      </c>
      <c r="C104" s="98" t="s">
        <v>295</v>
      </c>
      <c r="D104" s="85" t="s">
        <v>106</v>
      </c>
      <c r="E104" s="86"/>
      <c r="F104" s="87">
        <v>345</v>
      </c>
      <c r="G104" s="86"/>
      <c r="H104" s="88"/>
      <c r="I104" s="86"/>
      <c r="J104" s="89"/>
      <c r="K104" s="86"/>
      <c r="L104" s="88"/>
      <c r="M104" s="88"/>
    </row>
    <row r="105" spans="1:13">
      <c r="A105" s="116"/>
      <c r="B105" s="97"/>
      <c r="C105" s="99"/>
      <c r="D105" s="116" t="s">
        <v>423</v>
      </c>
      <c r="E105" s="88">
        <v>1.5</v>
      </c>
      <c r="F105" s="137">
        <f>F104*E105/100</f>
        <v>5.1749999999999998</v>
      </c>
      <c r="G105" s="86"/>
      <c r="H105" s="88"/>
      <c r="I105" s="86"/>
      <c r="J105" s="89"/>
      <c r="K105" s="86"/>
      <c r="L105" s="88"/>
      <c r="M105" s="88"/>
    </row>
    <row r="106" spans="1:13">
      <c r="A106" s="116" t="s">
        <v>77</v>
      </c>
      <c r="B106" s="97"/>
      <c r="C106" s="99" t="s">
        <v>101</v>
      </c>
      <c r="D106" s="116" t="s">
        <v>1</v>
      </c>
      <c r="E106" s="88">
        <v>141</v>
      </c>
      <c r="F106" s="100">
        <f>F105*E106</f>
        <v>729.67499999999995</v>
      </c>
      <c r="G106" s="88"/>
      <c r="H106" s="88"/>
      <c r="I106" s="88"/>
      <c r="J106" s="88"/>
      <c r="K106" s="88"/>
      <c r="L106" s="88"/>
      <c r="M106" s="89"/>
    </row>
    <row r="107" spans="1:13">
      <c r="A107" s="116" t="s">
        <v>78</v>
      </c>
      <c r="B107" s="97"/>
      <c r="C107" s="143" t="s">
        <v>282</v>
      </c>
      <c r="D107" s="144" t="s">
        <v>24</v>
      </c>
      <c r="E107" s="140">
        <v>0</v>
      </c>
      <c r="F107" s="141">
        <f>F105*E107</f>
        <v>0</v>
      </c>
      <c r="G107" s="140"/>
      <c r="H107" s="140"/>
      <c r="I107" s="140"/>
      <c r="J107" s="142"/>
      <c r="K107" s="140"/>
      <c r="L107" s="140"/>
      <c r="M107" s="142"/>
    </row>
    <row r="108" spans="1:13">
      <c r="A108" s="116" t="s">
        <v>79</v>
      </c>
      <c r="B108" s="97"/>
      <c r="C108" s="143" t="s">
        <v>283</v>
      </c>
      <c r="D108" s="144" t="s">
        <v>24</v>
      </c>
      <c r="E108" s="140">
        <v>0</v>
      </c>
      <c r="F108" s="141">
        <f>F105*E108</f>
        <v>0</v>
      </c>
      <c r="G108" s="140"/>
      <c r="H108" s="140"/>
      <c r="I108" s="140"/>
      <c r="J108" s="142"/>
      <c r="K108" s="140"/>
      <c r="L108" s="140"/>
      <c r="M108" s="142"/>
    </row>
    <row r="109" spans="1:13">
      <c r="A109" s="116" t="s">
        <v>80</v>
      </c>
      <c r="B109" s="97"/>
      <c r="C109" s="99" t="s">
        <v>284</v>
      </c>
      <c r="D109" s="116" t="s">
        <v>25</v>
      </c>
      <c r="E109" s="88">
        <v>4.76</v>
      </c>
      <c r="F109" s="100">
        <f>F105*E109</f>
        <v>24.632999999999999</v>
      </c>
      <c r="G109" s="88"/>
      <c r="H109" s="88"/>
      <c r="I109" s="88"/>
      <c r="J109" s="89"/>
      <c r="K109" s="88"/>
      <c r="L109" s="88"/>
      <c r="M109" s="89"/>
    </row>
    <row r="110" spans="1:13">
      <c r="A110" s="116" t="s">
        <v>297</v>
      </c>
      <c r="B110" s="97" t="s">
        <v>428</v>
      </c>
      <c r="C110" s="99" t="s">
        <v>438</v>
      </c>
      <c r="D110" s="116" t="s">
        <v>329</v>
      </c>
      <c r="E110" s="88">
        <f>1.26+1.06+1.54</f>
        <v>3.8600000000000003</v>
      </c>
      <c r="F110" s="100">
        <f>E110*F105</f>
        <v>19.9755</v>
      </c>
      <c r="G110" s="88"/>
      <c r="H110" s="88"/>
      <c r="I110" s="88"/>
      <c r="J110" s="89"/>
      <c r="K110" s="88"/>
      <c r="L110" s="88"/>
      <c r="M110" s="89"/>
    </row>
    <row r="111" spans="1:13">
      <c r="A111" s="116" t="s">
        <v>298</v>
      </c>
      <c r="B111" s="97"/>
      <c r="C111" s="143" t="s">
        <v>305</v>
      </c>
      <c r="D111" s="144" t="s">
        <v>329</v>
      </c>
      <c r="E111" s="140" t="s">
        <v>413</v>
      </c>
      <c r="F111" s="141">
        <v>0</v>
      </c>
      <c r="G111" s="140"/>
      <c r="H111" s="140"/>
      <c r="I111" s="140"/>
      <c r="J111" s="142"/>
      <c r="K111" s="140"/>
      <c r="L111" s="140"/>
      <c r="M111" s="142"/>
    </row>
    <row r="112" spans="1:13">
      <c r="A112" s="116" t="s">
        <v>299</v>
      </c>
      <c r="B112" s="97"/>
      <c r="C112" s="143" t="s">
        <v>310</v>
      </c>
      <c r="D112" s="144" t="s">
        <v>329</v>
      </c>
      <c r="E112" s="140" t="s">
        <v>413</v>
      </c>
      <c r="F112" s="141">
        <v>0</v>
      </c>
      <c r="G112" s="140"/>
      <c r="H112" s="140"/>
      <c r="I112" s="140"/>
      <c r="J112" s="142"/>
      <c r="K112" s="140"/>
      <c r="L112" s="140"/>
      <c r="M112" s="142"/>
    </row>
    <row r="113" spans="1:13">
      <c r="A113" s="116" t="s">
        <v>302</v>
      </c>
      <c r="B113" s="97"/>
      <c r="C113" s="143" t="s">
        <v>300</v>
      </c>
      <c r="D113" s="144" t="s">
        <v>301</v>
      </c>
      <c r="E113" s="140">
        <v>3.8</v>
      </c>
      <c r="F113" s="141">
        <v>0</v>
      </c>
      <c r="G113" s="140"/>
      <c r="H113" s="140"/>
      <c r="I113" s="140"/>
      <c r="J113" s="142"/>
      <c r="K113" s="140"/>
      <c r="L113" s="140"/>
      <c r="M113" s="142"/>
    </row>
    <row r="114" spans="1:13">
      <c r="A114" s="116" t="s">
        <v>306</v>
      </c>
      <c r="B114" s="97" t="s">
        <v>406</v>
      </c>
      <c r="C114" s="99" t="s">
        <v>429</v>
      </c>
      <c r="D114" s="116" t="s">
        <v>301</v>
      </c>
      <c r="E114" s="88">
        <v>21.5</v>
      </c>
      <c r="F114" s="100">
        <f>E114*F105</f>
        <v>111.2625</v>
      </c>
      <c r="G114" s="88"/>
      <c r="H114" s="88"/>
      <c r="I114" s="88"/>
      <c r="J114" s="89"/>
      <c r="K114" s="88"/>
      <c r="L114" s="88"/>
      <c r="M114" s="89"/>
    </row>
    <row r="115" spans="1:13">
      <c r="A115" s="116" t="s">
        <v>307</v>
      </c>
      <c r="B115" s="97"/>
      <c r="C115" s="99" t="s">
        <v>14</v>
      </c>
      <c r="D115" s="116" t="s">
        <v>25</v>
      </c>
      <c r="E115" s="88">
        <v>11.3</v>
      </c>
      <c r="F115" s="100">
        <f>F105*E115</f>
        <v>58.477499999999999</v>
      </c>
      <c r="G115" s="88"/>
      <c r="H115" s="88"/>
      <c r="I115" s="88"/>
      <c r="J115" s="89"/>
      <c r="K115" s="88"/>
      <c r="L115" s="88"/>
      <c r="M115" s="89"/>
    </row>
    <row r="116" spans="1:13">
      <c r="A116" s="116"/>
      <c r="B116" s="97"/>
      <c r="C116" s="98"/>
      <c r="D116" s="116"/>
      <c r="E116" s="86"/>
      <c r="F116" s="87"/>
      <c r="G116" s="86"/>
      <c r="H116" s="88"/>
      <c r="I116" s="86"/>
      <c r="J116" s="89"/>
      <c r="K116" s="86"/>
      <c r="L116" s="88"/>
      <c r="M116" s="89"/>
    </row>
    <row r="117" spans="1:13">
      <c r="A117" s="116">
        <v>1.1599999999999999</v>
      </c>
      <c r="B117" s="97" t="s">
        <v>430</v>
      </c>
      <c r="C117" s="129" t="s">
        <v>308</v>
      </c>
      <c r="D117" s="116" t="s">
        <v>325</v>
      </c>
      <c r="E117" s="88">
        <v>2</v>
      </c>
      <c r="F117" s="88">
        <f>E117*F105*100</f>
        <v>1035</v>
      </c>
      <c r="G117" s="88"/>
      <c r="H117" s="88"/>
      <c r="I117" s="88"/>
      <c r="J117" s="88"/>
      <c r="K117" s="88"/>
      <c r="L117" s="88"/>
      <c r="M117" s="88"/>
    </row>
    <row r="118" spans="1:13">
      <c r="A118" s="116"/>
      <c r="B118" s="97"/>
      <c r="C118" s="129"/>
      <c r="D118" s="116" t="s">
        <v>423</v>
      </c>
      <c r="E118" s="88"/>
      <c r="F118" s="128">
        <f>F117/100</f>
        <v>10.35</v>
      </c>
      <c r="G118" s="88"/>
      <c r="H118" s="88"/>
      <c r="I118" s="88"/>
      <c r="J118" s="88"/>
      <c r="K118" s="88"/>
      <c r="L118" s="88"/>
      <c r="M118" s="88"/>
    </row>
    <row r="119" spans="1:13">
      <c r="A119" s="116" t="s">
        <v>81</v>
      </c>
      <c r="B119" s="97"/>
      <c r="C119" s="129" t="s">
        <v>15</v>
      </c>
      <c r="D119" s="116" t="s">
        <v>1</v>
      </c>
      <c r="E119" s="88">
        <v>11.8</v>
      </c>
      <c r="F119" s="88">
        <f>E119*F118</f>
        <v>122.13000000000001</v>
      </c>
      <c r="G119" s="88"/>
      <c r="H119" s="88"/>
      <c r="I119" s="88"/>
      <c r="J119" s="88"/>
      <c r="K119" s="88"/>
      <c r="L119" s="88"/>
      <c r="M119" s="88"/>
    </row>
    <row r="120" spans="1:13">
      <c r="A120" s="116" t="s">
        <v>202</v>
      </c>
      <c r="B120" s="97"/>
      <c r="C120" s="149" t="s">
        <v>13</v>
      </c>
      <c r="D120" s="144" t="s">
        <v>25</v>
      </c>
      <c r="E120" s="140">
        <v>0</v>
      </c>
      <c r="F120" s="140">
        <f>E120*F118</f>
        <v>0</v>
      </c>
      <c r="G120" s="140"/>
      <c r="H120" s="140"/>
      <c r="I120" s="140"/>
      <c r="J120" s="140"/>
      <c r="K120" s="140"/>
      <c r="L120" s="140"/>
      <c r="M120" s="140"/>
    </row>
    <row r="121" spans="1:13">
      <c r="A121" s="116" t="s">
        <v>203</v>
      </c>
      <c r="B121" s="97"/>
      <c r="C121" s="149" t="s">
        <v>309</v>
      </c>
      <c r="D121" s="144" t="s">
        <v>301</v>
      </c>
      <c r="E121" s="140">
        <v>0</v>
      </c>
      <c r="F121" s="140">
        <f>E121*F118</f>
        <v>0</v>
      </c>
      <c r="G121" s="140"/>
      <c r="H121" s="140"/>
      <c r="I121" s="140"/>
      <c r="J121" s="140"/>
      <c r="K121" s="140"/>
      <c r="L121" s="140"/>
      <c r="M121" s="140"/>
    </row>
    <row r="122" spans="1:13">
      <c r="A122" s="116"/>
      <c r="B122" s="97" t="s">
        <v>431</v>
      </c>
      <c r="C122" s="129" t="s">
        <v>432</v>
      </c>
      <c r="D122" s="116" t="s">
        <v>301</v>
      </c>
      <c r="E122" s="88">
        <v>20.8</v>
      </c>
      <c r="F122" s="88">
        <f>E122*F118</f>
        <v>215.28</v>
      </c>
      <c r="G122" s="88"/>
      <c r="H122" s="88"/>
      <c r="I122" s="88"/>
      <c r="J122" s="88"/>
      <c r="K122" s="88"/>
      <c r="L122" s="88"/>
      <c r="M122" s="89"/>
    </row>
    <row r="123" spans="1:13">
      <c r="A123" s="116"/>
      <c r="B123" s="97"/>
      <c r="C123" s="99" t="s">
        <v>14</v>
      </c>
      <c r="D123" s="116" t="s">
        <v>25</v>
      </c>
      <c r="E123" s="88">
        <v>0.12</v>
      </c>
      <c r="F123" s="100">
        <f>F118*E123</f>
        <v>1.242</v>
      </c>
      <c r="G123" s="88"/>
      <c r="H123" s="88"/>
      <c r="I123" s="88"/>
      <c r="J123" s="89"/>
      <c r="K123" s="88"/>
      <c r="L123" s="88"/>
      <c r="M123" s="89"/>
    </row>
    <row r="124" spans="1:13">
      <c r="A124" s="116"/>
      <c r="B124" s="97"/>
      <c r="C124" s="126"/>
      <c r="D124" s="116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1:13" s="104" customFormat="1">
      <c r="A125" s="114"/>
      <c r="B125" s="119"/>
      <c r="C125" s="114" t="s">
        <v>4</v>
      </c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1:13">
      <c r="A126" s="116"/>
      <c r="B126" s="97"/>
      <c r="C126" s="116"/>
      <c r="D126" s="116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1:13">
      <c r="A127" s="116"/>
      <c r="B127" s="97"/>
      <c r="C127" s="116" t="s">
        <v>10</v>
      </c>
      <c r="D127" s="120">
        <v>0.1</v>
      </c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1:13">
      <c r="A128" s="116"/>
      <c r="B128" s="97"/>
      <c r="C128" s="116" t="s">
        <v>4</v>
      </c>
      <c r="D128" s="120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1:13">
      <c r="A129" s="116"/>
      <c r="B129" s="97"/>
      <c r="C129" s="116" t="s">
        <v>11</v>
      </c>
      <c r="D129" s="120">
        <v>0.08</v>
      </c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1:13">
      <c r="A130" s="116"/>
      <c r="B130" s="97"/>
      <c r="C130" s="116"/>
      <c r="D130" s="120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1:13">
      <c r="A131" s="114"/>
      <c r="B131" s="119"/>
      <c r="C131" s="114" t="s">
        <v>4</v>
      </c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1:13">
      <c r="B132" s="121"/>
      <c r="C132" s="122"/>
      <c r="D132" s="121"/>
      <c r="E132" s="121"/>
      <c r="F132" s="121"/>
      <c r="G132" s="121"/>
      <c r="H132" s="121"/>
      <c r="I132" s="121"/>
      <c r="J132" s="121"/>
      <c r="K132" s="121"/>
      <c r="L132" s="121"/>
      <c r="M132" s="123"/>
    </row>
    <row r="133" spans="1:13">
      <c r="B133" s="121"/>
      <c r="C133" s="122"/>
      <c r="D133" s="121"/>
      <c r="E133" s="121"/>
      <c r="F133" s="121"/>
      <c r="G133" s="121"/>
      <c r="H133" s="121"/>
      <c r="I133" s="121"/>
      <c r="J133" s="121"/>
      <c r="K133" s="121"/>
      <c r="L133" s="121"/>
      <c r="M133" s="123"/>
    </row>
    <row r="134" spans="1:13">
      <c r="B134" s="121"/>
      <c r="C134" s="122"/>
      <c r="D134" s="121"/>
      <c r="E134" s="121"/>
      <c r="F134" s="121"/>
      <c r="G134" s="121"/>
      <c r="H134" s="121"/>
      <c r="I134" s="121"/>
      <c r="J134" s="121"/>
      <c r="K134" s="121"/>
      <c r="L134" s="121"/>
      <c r="M134" s="123"/>
    </row>
    <row r="135" spans="1:13">
      <c r="B135" s="121"/>
      <c r="C135" s="122"/>
      <c r="D135" s="121"/>
      <c r="E135" s="121"/>
      <c r="F135" s="121"/>
      <c r="G135" s="121"/>
      <c r="H135" s="121"/>
      <c r="I135" s="121"/>
      <c r="J135" s="121"/>
      <c r="K135" s="121"/>
      <c r="L135" s="121"/>
      <c r="M135" s="123"/>
    </row>
    <row r="136" spans="1:13">
      <c r="B136" s="121"/>
      <c r="C136" s="122"/>
      <c r="D136" s="121"/>
      <c r="E136" s="121"/>
      <c r="F136" s="121"/>
      <c r="G136" s="121"/>
      <c r="H136" s="121"/>
      <c r="I136" s="121"/>
      <c r="J136" s="121"/>
      <c r="K136" s="121"/>
      <c r="L136" s="121"/>
      <c r="M136" s="123"/>
    </row>
    <row r="137" spans="1:13">
      <c r="B137" s="121"/>
      <c r="C137" s="122"/>
      <c r="D137" s="121"/>
      <c r="E137" s="121"/>
      <c r="F137" s="121"/>
      <c r="G137" s="121"/>
      <c r="H137" s="121"/>
      <c r="I137" s="121"/>
      <c r="J137" s="121"/>
      <c r="K137" s="121"/>
      <c r="L137" s="121"/>
      <c r="M137" s="123"/>
    </row>
    <row r="138" spans="1:13">
      <c r="B138" s="121"/>
      <c r="C138" s="122"/>
      <c r="D138" s="121"/>
      <c r="E138" s="121"/>
      <c r="F138" s="121"/>
      <c r="G138" s="121"/>
      <c r="H138" s="121"/>
      <c r="I138" s="121"/>
      <c r="J138" s="121"/>
      <c r="K138" s="121"/>
      <c r="L138" s="121"/>
      <c r="M138" s="123"/>
    </row>
    <row r="139" spans="1:13">
      <c r="B139" s="121"/>
      <c r="C139" s="122"/>
      <c r="D139" s="121"/>
      <c r="E139" s="121"/>
      <c r="F139" s="121"/>
      <c r="G139" s="121"/>
      <c r="H139" s="121"/>
      <c r="I139" s="121"/>
      <c r="J139" s="121"/>
      <c r="K139" s="121"/>
      <c r="L139" s="121"/>
      <c r="M139" s="123"/>
    </row>
    <row r="140" spans="1:13">
      <c r="B140" s="121"/>
      <c r="C140" s="122"/>
      <c r="D140" s="121"/>
      <c r="E140" s="121"/>
      <c r="F140" s="121"/>
      <c r="G140" s="121"/>
      <c r="H140" s="121"/>
      <c r="I140" s="121"/>
      <c r="J140" s="121"/>
      <c r="K140" s="121"/>
      <c r="L140" s="121"/>
      <c r="M140" s="123"/>
    </row>
    <row r="141" spans="1:13">
      <c r="B141" s="121"/>
      <c r="C141" s="122"/>
      <c r="D141" s="121"/>
      <c r="E141" s="121"/>
      <c r="F141" s="121"/>
      <c r="G141" s="121"/>
      <c r="H141" s="121"/>
      <c r="I141" s="121"/>
      <c r="J141" s="121"/>
      <c r="K141" s="121"/>
      <c r="L141" s="121"/>
      <c r="M141" s="123"/>
    </row>
    <row r="142" spans="1:13">
      <c r="B142" s="121"/>
      <c r="C142" s="122"/>
      <c r="D142" s="121"/>
      <c r="E142" s="121"/>
      <c r="F142" s="121"/>
      <c r="G142" s="121"/>
      <c r="H142" s="121"/>
      <c r="I142" s="121"/>
      <c r="J142" s="121"/>
      <c r="K142" s="121"/>
      <c r="L142" s="121"/>
      <c r="M142" s="123"/>
    </row>
    <row r="143" spans="1:13">
      <c r="B143" s="121"/>
      <c r="C143" s="122"/>
      <c r="D143" s="121"/>
      <c r="E143" s="121"/>
      <c r="F143" s="121"/>
      <c r="G143" s="121"/>
      <c r="H143" s="121"/>
      <c r="I143" s="121"/>
      <c r="J143" s="121"/>
      <c r="K143" s="121"/>
      <c r="L143" s="121"/>
      <c r="M143" s="123"/>
    </row>
    <row r="144" spans="1:13">
      <c r="B144" s="121"/>
      <c r="C144" s="122"/>
      <c r="D144" s="121"/>
      <c r="E144" s="121"/>
      <c r="F144" s="121"/>
      <c r="G144" s="121"/>
      <c r="H144" s="121"/>
      <c r="I144" s="121"/>
      <c r="J144" s="121"/>
      <c r="K144" s="121"/>
      <c r="L144" s="121"/>
      <c r="M144" s="123"/>
    </row>
    <row r="145" spans="2:13">
      <c r="B145" s="121"/>
      <c r="C145" s="122"/>
      <c r="D145" s="121"/>
      <c r="E145" s="121"/>
      <c r="F145" s="121"/>
      <c r="G145" s="121"/>
      <c r="H145" s="121"/>
      <c r="I145" s="121"/>
      <c r="J145" s="121"/>
      <c r="K145" s="121"/>
      <c r="L145" s="121"/>
      <c r="M145" s="123"/>
    </row>
    <row r="146" spans="2:13">
      <c r="B146" s="121"/>
      <c r="C146" s="122"/>
      <c r="D146" s="121"/>
      <c r="E146" s="121"/>
      <c r="F146" s="121"/>
      <c r="G146" s="121"/>
      <c r="H146" s="121"/>
      <c r="I146" s="121"/>
      <c r="J146" s="121"/>
      <c r="K146" s="121"/>
      <c r="L146" s="121"/>
      <c r="M146" s="123"/>
    </row>
    <row r="147" spans="2:13">
      <c r="B147" s="121"/>
      <c r="C147" s="122"/>
      <c r="D147" s="121"/>
      <c r="E147" s="121"/>
      <c r="F147" s="121"/>
      <c r="G147" s="121"/>
      <c r="H147" s="121"/>
      <c r="I147" s="121"/>
      <c r="J147" s="121"/>
      <c r="K147" s="121"/>
      <c r="L147" s="121"/>
      <c r="M147" s="123"/>
    </row>
    <row r="148" spans="2:13">
      <c r="B148" s="121"/>
      <c r="C148" s="122"/>
      <c r="D148" s="121"/>
      <c r="E148" s="121"/>
      <c r="F148" s="121"/>
      <c r="G148" s="121"/>
      <c r="H148" s="121"/>
      <c r="I148" s="121"/>
      <c r="J148" s="121"/>
      <c r="K148" s="121"/>
      <c r="L148" s="121"/>
      <c r="M148" s="123"/>
    </row>
    <row r="149" spans="2:13">
      <c r="B149" s="121"/>
      <c r="C149" s="122"/>
      <c r="D149" s="121"/>
      <c r="E149" s="121"/>
      <c r="F149" s="121"/>
      <c r="G149" s="121"/>
      <c r="H149" s="121"/>
      <c r="I149" s="121"/>
      <c r="J149" s="121"/>
      <c r="K149" s="121"/>
      <c r="L149" s="121"/>
      <c r="M149" s="123"/>
    </row>
    <row r="150" spans="2:13">
      <c r="B150" s="121"/>
      <c r="C150" s="122"/>
      <c r="D150" s="121"/>
      <c r="E150" s="121"/>
      <c r="F150" s="121"/>
      <c r="G150" s="121"/>
      <c r="H150" s="121"/>
      <c r="I150" s="121"/>
      <c r="J150" s="121"/>
      <c r="K150" s="121"/>
      <c r="L150" s="121"/>
      <c r="M150" s="123"/>
    </row>
    <row r="151" spans="2:13">
      <c r="B151" s="121"/>
      <c r="C151" s="122"/>
      <c r="D151" s="121"/>
      <c r="E151" s="121"/>
      <c r="F151" s="121"/>
      <c r="G151" s="121"/>
      <c r="H151" s="121"/>
      <c r="I151" s="121"/>
      <c r="J151" s="121"/>
      <c r="K151" s="121"/>
      <c r="L151" s="121"/>
      <c r="M151" s="123"/>
    </row>
    <row r="152" spans="2:13">
      <c r="B152" s="121"/>
      <c r="C152" s="122"/>
      <c r="D152" s="121"/>
      <c r="E152" s="121"/>
      <c r="F152" s="121"/>
      <c r="G152" s="121"/>
      <c r="H152" s="121"/>
      <c r="I152" s="121"/>
      <c r="J152" s="121"/>
      <c r="K152" s="121"/>
      <c r="L152" s="121"/>
      <c r="M152" s="123"/>
    </row>
    <row r="153" spans="2:13">
      <c r="B153" s="121"/>
      <c r="C153" s="122"/>
      <c r="D153" s="121"/>
      <c r="E153" s="121"/>
      <c r="F153" s="121"/>
      <c r="G153" s="121"/>
      <c r="H153" s="121"/>
      <c r="I153" s="121"/>
      <c r="J153" s="121"/>
      <c r="K153" s="121"/>
      <c r="L153" s="121"/>
      <c r="M153" s="123"/>
    </row>
    <row r="154" spans="2:13">
      <c r="B154" s="121"/>
      <c r="C154" s="122"/>
      <c r="D154" s="121"/>
      <c r="E154" s="121"/>
      <c r="F154" s="121"/>
      <c r="G154" s="121"/>
      <c r="H154" s="121"/>
      <c r="I154" s="121"/>
      <c r="J154" s="121"/>
      <c r="K154" s="121"/>
      <c r="L154" s="121"/>
      <c r="M154" s="123"/>
    </row>
    <row r="155" spans="2:13">
      <c r="B155" s="121"/>
      <c r="C155" s="122"/>
      <c r="D155" s="121"/>
      <c r="E155" s="121"/>
      <c r="F155" s="121"/>
      <c r="G155" s="121"/>
      <c r="H155" s="121"/>
      <c r="I155" s="121"/>
      <c r="J155" s="121"/>
      <c r="K155" s="121"/>
      <c r="L155" s="121"/>
      <c r="M155" s="123"/>
    </row>
    <row r="156" spans="2:13">
      <c r="B156" s="121"/>
      <c r="C156" s="122"/>
      <c r="D156" s="121"/>
      <c r="E156" s="121"/>
      <c r="F156" s="121"/>
      <c r="G156" s="121"/>
      <c r="H156" s="121"/>
      <c r="I156" s="121"/>
      <c r="J156" s="121"/>
      <c r="K156" s="121"/>
      <c r="L156" s="121"/>
      <c r="M156" s="123"/>
    </row>
    <row r="157" spans="2:13">
      <c r="B157" s="121"/>
      <c r="C157" s="122"/>
      <c r="D157" s="121"/>
      <c r="E157" s="121"/>
      <c r="F157" s="121"/>
      <c r="G157" s="121"/>
      <c r="H157" s="121"/>
      <c r="I157" s="121"/>
      <c r="J157" s="121"/>
      <c r="K157" s="121"/>
      <c r="L157" s="121"/>
      <c r="M157" s="123"/>
    </row>
    <row r="158" spans="2:13">
      <c r="B158" s="121"/>
      <c r="C158" s="122"/>
      <c r="D158" s="121"/>
      <c r="E158" s="121"/>
      <c r="F158" s="121"/>
      <c r="G158" s="121"/>
      <c r="H158" s="121"/>
      <c r="I158" s="121"/>
      <c r="J158" s="121"/>
      <c r="K158" s="121"/>
      <c r="L158" s="121"/>
      <c r="M158" s="123"/>
    </row>
    <row r="159" spans="2:13">
      <c r="B159" s="121"/>
      <c r="C159" s="122"/>
      <c r="D159" s="121"/>
      <c r="E159" s="121"/>
      <c r="F159" s="121"/>
      <c r="G159" s="121"/>
      <c r="H159" s="121"/>
      <c r="I159" s="121"/>
      <c r="J159" s="121"/>
      <c r="K159" s="121"/>
      <c r="L159" s="121"/>
      <c r="M159" s="123"/>
    </row>
    <row r="160" spans="2:13">
      <c r="B160" s="121"/>
      <c r="C160" s="122"/>
      <c r="D160" s="121"/>
      <c r="E160" s="121"/>
      <c r="F160" s="121"/>
      <c r="G160" s="121"/>
      <c r="H160" s="121"/>
      <c r="I160" s="121"/>
      <c r="J160" s="121"/>
      <c r="K160" s="121"/>
      <c r="L160" s="121"/>
      <c r="M160" s="123"/>
    </row>
    <row r="161" spans="2:13">
      <c r="B161" s="121"/>
      <c r="C161" s="122"/>
      <c r="D161" s="121"/>
      <c r="E161" s="121"/>
      <c r="F161" s="121"/>
      <c r="G161" s="121"/>
      <c r="H161" s="121"/>
      <c r="I161" s="121"/>
      <c r="J161" s="121"/>
      <c r="K161" s="121"/>
      <c r="L161" s="121"/>
      <c r="M161" s="123"/>
    </row>
    <row r="162" spans="2:13">
      <c r="B162" s="121"/>
      <c r="C162" s="122"/>
      <c r="D162" s="121"/>
      <c r="E162" s="121"/>
      <c r="F162" s="121"/>
      <c r="G162" s="121"/>
      <c r="H162" s="121"/>
      <c r="I162" s="121"/>
      <c r="J162" s="121"/>
      <c r="K162" s="121"/>
      <c r="L162" s="121"/>
      <c r="M162" s="123"/>
    </row>
    <row r="163" spans="2:13">
      <c r="B163" s="121"/>
      <c r="C163" s="122"/>
      <c r="D163" s="121"/>
      <c r="E163" s="121"/>
      <c r="F163" s="121"/>
      <c r="G163" s="121"/>
      <c r="H163" s="121"/>
      <c r="I163" s="121"/>
      <c r="J163" s="121"/>
      <c r="K163" s="121"/>
      <c r="L163" s="121"/>
      <c r="M163" s="123"/>
    </row>
    <row r="164" spans="2:13">
      <c r="B164" s="121"/>
      <c r="C164" s="122"/>
      <c r="D164" s="121"/>
      <c r="E164" s="121"/>
      <c r="F164" s="121"/>
      <c r="G164" s="121"/>
      <c r="H164" s="121"/>
      <c r="I164" s="121"/>
      <c r="J164" s="121"/>
      <c r="K164" s="121"/>
      <c r="L164" s="121"/>
      <c r="M164" s="123"/>
    </row>
    <row r="165" spans="2:13">
      <c r="B165" s="121"/>
      <c r="C165" s="122"/>
      <c r="D165" s="121"/>
      <c r="E165" s="121"/>
      <c r="F165" s="121"/>
      <c r="G165" s="121"/>
      <c r="H165" s="121"/>
      <c r="I165" s="121"/>
      <c r="J165" s="121"/>
      <c r="K165" s="121"/>
      <c r="L165" s="121"/>
      <c r="M165" s="123"/>
    </row>
    <row r="166" spans="2:13">
      <c r="B166" s="121"/>
      <c r="C166" s="122"/>
      <c r="D166" s="121"/>
      <c r="E166" s="121"/>
      <c r="F166" s="121"/>
      <c r="G166" s="121"/>
      <c r="H166" s="121"/>
      <c r="I166" s="121"/>
      <c r="J166" s="121"/>
      <c r="K166" s="121"/>
      <c r="L166" s="121"/>
      <c r="M166" s="123"/>
    </row>
    <row r="167" spans="2:13">
      <c r="B167" s="121"/>
      <c r="C167" s="122"/>
      <c r="D167" s="121"/>
      <c r="E167" s="121"/>
      <c r="F167" s="121"/>
      <c r="G167" s="121"/>
      <c r="H167" s="121"/>
      <c r="I167" s="121"/>
      <c r="J167" s="121"/>
      <c r="K167" s="121"/>
      <c r="L167" s="121"/>
      <c r="M167" s="123"/>
    </row>
    <row r="168" spans="2:13">
      <c r="B168" s="121"/>
      <c r="C168" s="122"/>
      <c r="D168" s="121"/>
      <c r="E168" s="121"/>
      <c r="F168" s="121"/>
      <c r="G168" s="121"/>
      <c r="H168" s="121"/>
      <c r="I168" s="121"/>
      <c r="J168" s="121"/>
      <c r="K168" s="121"/>
      <c r="L168" s="121"/>
      <c r="M168" s="123"/>
    </row>
    <row r="169" spans="2:13">
      <c r="B169" s="121"/>
      <c r="C169" s="122"/>
      <c r="D169" s="121"/>
      <c r="E169" s="121"/>
      <c r="F169" s="121"/>
      <c r="G169" s="121"/>
      <c r="H169" s="121"/>
      <c r="I169" s="121"/>
      <c r="J169" s="121"/>
      <c r="K169" s="121"/>
      <c r="L169" s="121"/>
      <c r="M169" s="123"/>
    </row>
    <row r="170" spans="2:13">
      <c r="B170" s="121"/>
      <c r="C170" s="122"/>
      <c r="D170" s="121"/>
      <c r="E170" s="121"/>
      <c r="F170" s="121"/>
      <c r="G170" s="121"/>
      <c r="H170" s="121"/>
      <c r="I170" s="121"/>
      <c r="J170" s="121"/>
      <c r="K170" s="121"/>
      <c r="L170" s="121"/>
      <c r="M170" s="123"/>
    </row>
    <row r="171" spans="2:13">
      <c r="B171" s="121"/>
      <c r="C171" s="122"/>
      <c r="D171" s="121"/>
      <c r="E171" s="121"/>
      <c r="F171" s="121"/>
      <c r="G171" s="121"/>
      <c r="H171" s="121"/>
      <c r="I171" s="121"/>
      <c r="J171" s="121"/>
      <c r="K171" s="121"/>
      <c r="L171" s="121"/>
      <c r="M171" s="123"/>
    </row>
    <row r="172" spans="2:13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33"/>
    </row>
    <row r="173" spans="2:13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33"/>
    </row>
    <row r="174" spans="2:13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33"/>
    </row>
    <row r="175" spans="2:13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33"/>
    </row>
    <row r="176" spans="2:13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33"/>
    </row>
    <row r="177" spans="2:13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33"/>
    </row>
    <row r="178" spans="2:13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33"/>
    </row>
    <row r="179" spans="2:13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33"/>
    </row>
    <row r="180" spans="2:13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33"/>
    </row>
    <row r="181" spans="2:13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33"/>
    </row>
    <row r="182" spans="2:13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33"/>
    </row>
    <row r="183" spans="2:13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33"/>
    </row>
    <row r="184" spans="2:13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33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84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M126"/>
  <sheetViews>
    <sheetView view="pageBreakPreview" zoomScaleNormal="60" zoomScaleSheetLayoutView="100" workbookViewId="0">
      <selection activeCell="I12" sqref="I12"/>
    </sheetView>
  </sheetViews>
  <sheetFormatPr defaultRowHeight="12.75"/>
  <cols>
    <col min="1" max="1" width="6.5703125" style="132" customWidth="1"/>
    <col min="2" max="2" width="13.140625" style="134" customWidth="1"/>
    <col min="3" max="3" width="65" style="134" customWidth="1"/>
    <col min="4" max="7" width="9.42578125" style="134" customWidth="1"/>
    <col min="8" max="8" width="9.85546875" style="134" customWidth="1"/>
    <col min="9" max="12" width="9.42578125" style="134" customWidth="1"/>
    <col min="13" max="13" width="10.42578125" style="135" customWidth="1"/>
    <col min="14" max="16" width="20.7109375" style="53" customWidth="1"/>
    <col min="17" max="16384" width="9.140625" style="53"/>
  </cols>
  <sheetData>
    <row r="1" spans="1:13" s="84" customFormat="1">
      <c r="A1" s="162" t="s">
        <v>303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84" customFormat="1">
      <c r="A2" s="150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67" customFormat="1" ht="27.75" customHeight="1">
      <c r="A3" s="157" t="s">
        <v>315</v>
      </c>
      <c r="B3" s="161" t="s">
        <v>316</v>
      </c>
      <c r="C3" s="161" t="s">
        <v>317</v>
      </c>
      <c r="D3" s="161" t="s">
        <v>318</v>
      </c>
      <c r="E3" s="157" t="s">
        <v>319</v>
      </c>
      <c r="F3" s="157"/>
      <c r="G3" s="161" t="s">
        <v>320</v>
      </c>
      <c r="H3" s="161"/>
      <c r="I3" s="161" t="s">
        <v>6</v>
      </c>
      <c r="J3" s="161"/>
      <c r="K3" s="157" t="s">
        <v>321</v>
      </c>
      <c r="L3" s="157"/>
      <c r="M3" s="157" t="s">
        <v>4</v>
      </c>
    </row>
    <row r="4" spans="1:13" s="67" customFormat="1" ht="12.75" customHeight="1">
      <c r="A4" s="157"/>
      <c r="B4" s="161"/>
      <c r="C4" s="161"/>
      <c r="D4" s="161"/>
      <c r="E4" s="114" t="s">
        <v>322</v>
      </c>
      <c r="F4" s="114" t="s">
        <v>272</v>
      </c>
      <c r="G4" s="114" t="s">
        <v>322</v>
      </c>
      <c r="H4" s="114" t="s">
        <v>272</v>
      </c>
      <c r="I4" s="114" t="s">
        <v>322</v>
      </c>
      <c r="J4" s="114" t="s">
        <v>272</v>
      </c>
      <c r="K4" s="114" t="s">
        <v>322</v>
      </c>
      <c r="L4" s="114" t="s">
        <v>272</v>
      </c>
      <c r="M4" s="157"/>
    </row>
    <row r="5" spans="1:13" s="67" customFormat="1">
      <c r="A5" s="114">
        <v>1</v>
      </c>
      <c r="B5" s="114">
        <v>2</v>
      </c>
      <c r="C5" s="113">
        <v>3</v>
      </c>
      <c r="D5" s="114">
        <v>4</v>
      </c>
      <c r="E5" s="114">
        <v>5</v>
      </c>
      <c r="F5" s="114">
        <v>6</v>
      </c>
      <c r="G5" s="114">
        <v>7</v>
      </c>
      <c r="H5" s="78">
        <v>8</v>
      </c>
      <c r="I5" s="114">
        <v>9</v>
      </c>
      <c r="J5" s="78">
        <v>10</v>
      </c>
      <c r="K5" s="114">
        <v>11</v>
      </c>
      <c r="L5" s="78">
        <v>12</v>
      </c>
      <c r="M5" s="78">
        <v>13</v>
      </c>
    </row>
    <row r="6" spans="1:13" s="67" customForma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45"/>
    </row>
    <row r="7" spans="1:13" s="67" customFormat="1">
      <c r="A7" s="114"/>
      <c r="B7" s="116"/>
      <c r="C7" s="113" t="s">
        <v>349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ht="12.75" customHeight="1">
      <c r="A8" s="114"/>
      <c r="B8" s="116"/>
      <c r="C8" s="113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ht="25.5">
      <c r="A9" s="116">
        <v>1.1000000000000001</v>
      </c>
      <c r="B9" s="97" t="s">
        <v>328</v>
      </c>
      <c r="C9" s="127" t="s">
        <v>354</v>
      </c>
      <c r="D9" s="116" t="s">
        <v>329</v>
      </c>
      <c r="E9" s="88"/>
      <c r="F9" s="88">
        <v>167</v>
      </c>
      <c r="G9" s="88"/>
      <c r="H9" s="88"/>
      <c r="I9" s="88"/>
      <c r="J9" s="88"/>
      <c r="K9" s="88"/>
      <c r="L9" s="88"/>
      <c r="M9" s="88"/>
    </row>
    <row r="10" spans="1:13">
      <c r="A10" s="116"/>
      <c r="B10" s="97"/>
      <c r="C10" s="129"/>
      <c r="D10" s="116" t="s">
        <v>330</v>
      </c>
      <c r="E10" s="88"/>
      <c r="F10" s="88">
        <f>F9/100</f>
        <v>1.67</v>
      </c>
      <c r="G10" s="88"/>
      <c r="H10" s="88"/>
      <c r="I10" s="88"/>
      <c r="J10" s="88"/>
      <c r="K10" s="88"/>
      <c r="L10" s="88"/>
      <c r="M10" s="88"/>
    </row>
    <row r="11" spans="1:13">
      <c r="A11" s="116" t="s">
        <v>0</v>
      </c>
      <c r="B11" s="97"/>
      <c r="C11" s="129" t="s">
        <v>15</v>
      </c>
      <c r="D11" s="116" t="s">
        <v>1</v>
      </c>
      <c r="E11" s="88">
        <v>15</v>
      </c>
      <c r="F11" s="88">
        <f>E11*F10</f>
        <v>25.049999999999997</v>
      </c>
      <c r="G11" s="88"/>
      <c r="H11" s="88"/>
      <c r="I11" s="88"/>
      <c r="J11" s="88"/>
      <c r="K11" s="88"/>
      <c r="L11" s="88"/>
      <c r="M11" s="88"/>
    </row>
    <row r="12" spans="1:13">
      <c r="A12" s="116" t="s">
        <v>206</v>
      </c>
      <c r="B12" s="97" t="s">
        <v>327</v>
      </c>
      <c r="C12" s="129" t="s">
        <v>74</v>
      </c>
      <c r="D12" s="116" t="s">
        <v>24</v>
      </c>
      <c r="E12" s="88">
        <v>2.16</v>
      </c>
      <c r="F12" s="88">
        <f>E12*F10</f>
        <v>3.6072000000000002</v>
      </c>
      <c r="G12" s="88"/>
      <c r="H12" s="88"/>
      <c r="I12" s="88"/>
      <c r="J12" s="88"/>
      <c r="K12" s="88"/>
      <c r="L12" s="88"/>
      <c r="M12" s="88"/>
    </row>
    <row r="13" spans="1:13">
      <c r="A13" s="116" t="s">
        <v>207</v>
      </c>
      <c r="B13" s="97" t="s">
        <v>331</v>
      </c>
      <c r="C13" s="129" t="s">
        <v>90</v>
      </c>
      <c r="D13" s="116" t="s">
        <v>24</v>
      </c>
      <c r="E13" s="88">
        <v>2.73</v>
      </c>
      <c r="F13" s="88">
        <f>E13*F10</f>
        <v>4.5590999999999999</v>
      </c>
      <c r="G13" s="88"/>
      <c r="H13" s="88"/>
      <c r="I13" s="88"/>
      <c r="J13" s="88"/>
      <c r="K13" s="88"/>
      <c r="L13" s="88"/>
      <c r="M13" s="88"/>
    </row>
    <row r="14" spans="1:13">
      <c r="A14" s="116" t="s">
        <v>208</v>
      </c>
      <c r="B14" s="97" t="s">
        <v>332</v>
      </c>
      <c r="C14" s="129" t="s">
        <v>75</v>
      </c>
      <c r="D14" s="116" t="s">
        <v>24</v>
      </c>
      <c r="E14" s="88">
        <v>0.97</v>
      </c>
      <c r="F14" s="88">
        <f>E14*F10</f>
        <v>1.6198999999999999</v>
      </c>
      <c r="G14" s="88"/>
      <c r="H14" s="88"/>
      <c r="I14" s="88"/>
      <c r="J14" s="88"/>
      <c r="K14" s="88"/>
      <c r="L14" s="88"/>
      <c r="M14" s="88"/>
    </row>
    <row r="15" spans="1:13">
      <c r="A15" s="116" t="s">
        <v>213</v>
      </c>
      <c r="B15" s="97"/>
      <c r="C15" s="129" t="s">
        <v>76</v>
      </c>
      <c r="D15" s="116" t="s">
        <v>329</v>
      </c>
      <c r="E15" s="88">
        <v>7</v>
      </c>
      <c r="F15" s="88">
        <f>E15*F10</f>
        <v>11.69</v>
      </c>
      <c r="G15" s="88"/>
      <c r="H15" s="88"/>
      <c r="I15" s="88"/>
      <c r="J15" s="88"/>
      <c r="K15" s="88"/>
      <c r="L15" s="88"/>
      <c r="M15" s="88"/>
    </row>
    <row r="16" spans="1:13">
      <c r="A16" s="116" t="s">
        <v>214</v>
      </c>
      <c r="B16" s="97" t="s">
        <v>350</v>
      </c>
      <c r="C16" s="127" t="s">
        <v>351</v>
      </c>
      <c r="D16" s="116" t="s">
        <v>329</v>
      </c>
      <c r="E16" s="88">
        <v>122</v>
      </c>
      <c r="F16" s="88">
        <f>E16*F10</f>
        <v>203.73999999999998</v>
      </c>
      <c r="G16" s="88"/>
      <c r="H16" s="88"/>
      <c r="I16" s="88"/>
      <c r="J16" s="88"/>
      <c r="K16" s="88"/>
      <c r="L16" s="88"/>
      <c r="M16" s="88"/>
    </row>
    <row r="17" spans="1:13">
      <c r="A17" s="116" t="s">
        <v>275</v>
      </c>
      <c r="B17" s="138"/>
      <c r="C17" s="147" t="s">
        <v>75</v>
      </c>
      <c r="D17" s="144" t="s">
        <v>24</v>
      </c>
      <c r="E17" s="140">
        <v>0</v>
      </c>
      <c r="F17" s="140">
        <f>E17*F9</f>
        <v>0</v>
      </c>
      <c r="G17" s="140"/>
      <c r="H17" s="140"/>
      <c r="I17" s="140"/>
      <c r="J17" s="140"/>
      <c r="K17" s="140"/>
      <c r="L17" s="140"/>
      <c r="M17" s="140"/>
    </row>
    <row r="18" spans="1:13">
      <c r="A18" s="116" t="s">
        <v>276</v>
      </c>
      <c r="B18" s="138"/>
      <c r="C18" s="147" t="s">
        <v>76</v>
      </c>
      <c r="D18" s="144" t="s">
        <v>324</v>
      </c>
      <c r="E18" s="140">
        <v>0</v>
      </c>
      <c r="F18" s="140">
        <f>E18*F9</f>
        <v>0</v>
      </c>
      <c r="G18" s="140"/>
      <c r="H18" s="140"/>
      <c r="I18" s="140"/>
      <c r="J18" s="140"/>
      <c r="K18" s="140"/>
      <c r="L18" s="140"/>
      <c r="M18" s="140"/>
    </row>
    <row r="19" spans="1:13">
      <c r="A19" s="116" t="s">
        <v>277</v>
      </c>
      <c r="B19" s="138"/>
      <c r="C19" s="147" t="s">
        <v>146</v>
      </c>
      <c r="D19" s="144" t="s">
        <v>324</v>
      </c>
      <c r="E19" s="140">
        <v>0</v>
      </c>
      <c r="F19" s="140">
        <f>E19*F9</f>
        <v>0</v>
      </c>
      <c r="G19" s="140"/>
      <c r="H19" s="140"/>
      <c r="I19" s="140"/>
      <c r="J19" s="140"/>
      <c r="K19" s="140"/>
      <c r="L19" s="140"/>
      <c r="M19" s="140"/>
    </row>
    <row r="20" spans="1:13">
      <c r="A20" s="116"/>
      <c r="B20" s="97"/>
      <c r="C20" s="127"/>
      <c r="D20" s="116"/>
      <c r="E20" s="88"/>
      <c r="F20" s="88"/>
      <c r="G20" s="88"/>
      <c r="H20" s="88"/>
      <c r="I20" s="88"/>
      <c r="J20" s="88"/>
      <c r="K20" s="88"/>
      <c r="L20" s="88"/>
      <c r="M20" s="88"/>
    </row>
    <row r="21" spans="1:13">
      <c r="A21" s="116">
        <v>1.2</v>
      </c>
      <c r="B21" s="97" t="s">
        <v>88</v>
      </c>
      <c r="C21" s="127" t="s">
        <v>87</v>
      </c>
      <c r="D21" s="116" t="s">
        <v>23</v>
      </c>
      <c r="E21" s="88"/>
      <c r="F21" s="88">
        <v>0.46</v>
      </c>
      <c r="G21" s="88"/>
      <c r="H21" s="88"/>
      <c r="I21" s="88"/>
      <c r="J21" s="88"/>
      <c r="K21" s="88"/>
      <c r="L21" s="88"/>
      <c r="M21" s="88"/>
    </row>
    <row r="22" spans="1:13">
      <c r="A22" s="116"/>
      <c r="B22" s="97"/>
      <c r="C22" s="127"/>
      <c r="D22" s="116" t="s">
        <v>111</v>
      </c>
      <c r="E22" s="88"/>
      <c r="F22" s="128">
        <f>F21</f>
        <v>0.46</v>
      </c>
      <c r="G22" s="88"/>
      <c r="H22" s="88"/>
      <c r="I22" s="88"/>
      <c r="J22" s="88"/>
      <c r="K22" s="88"/>
      <c r="L22" s="88"/>
      <c r="M22" s="88"/>
    </row>
    <row r="23" spans="1:13">
      <c r="A23" s="116" t="s">
        <v>21</v>
      </c>
      <c r="B23" s="97" t="s">
        <v>341</v>
      </c>
      <c r="C23" s="127" t="s">
        <v>89</v>
      </c>
      <c r="D23" s="116" t="s">
        <v>24</v>
      </c>
      <c r="E23" s="88">
        <v>0.3</v>
      </c>
      <c r="F23" s="88">
        <f>ROUND(E23*F22,1)</f>
        <v>0.1</v>
      </c>
      <c r="G23" s="88"/>
      <c r="H23" s="88"/>
      <c r="I23" s="88"/>
      <c r="J23" s="88"/>
      <c r="K23" s="88"/>
      <c r="L23" s="88"/>
      <c r="M23" s="88"/>
    </row>
    <row r="24" spans="1:13">
      <c r="A24" s="116" t="s">
        <v>35</v>
      </c>
      <c r="B24" s="97" t="s">
        <v>342</v>
      </c>
      <c r="C24" s="127" t="s">
        <v>94</v>
      </c>
      <c r="D24" s="116" t="s">
        <v>23</v>
      </c>
      <c r="E24" s="88">
        <v>1.03</v>
      </c>
      <c r="F24" s="88">
        <f>ROUND(E24*F22,2)</f>
        <v>0.47</v>
      </c>
      <c r="G24" s="88"/>
      <c r="H24" s="88"/>
      <c r="I24" s="88"/>
      <c r="J24" s="88"/>
      <c r="K24" s="88"/>
      <c r="L24" s="88"/>
      <c r="M24" s="88"/>
    </row>
    <row r="25" spans="1:13">
      <c r="A25" s="116"/>
      <c r="B25" s="97"/>
      <c r="C25" s="127"/>
      <c r="D25" s="116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25.5">
      <c r="A26" s="116">
        <v>1.3</v>
      </c>
      <c r="B26" s="146" t="s">
        <v>352</v>
      </c>
      <c r="C26" s="127" t="s">
        <v>343</v>
      </c>
      <c r="D26" s="116" t="s">
        <v>325</v>
      </c>
      <c r="E26" s="88"/>
      <c r="F26" s="88">
        <v>768</v>
      </c>
      <c r="G26" s="88"/>
      <c r="H26" s="88"/>
      <c r="I26" s="88"/>
      <c r="J26" s="88"/>
      <c r="K26" s="88"/>
      <c r="L26" s="88"/>
      <c r="M26" s="88"/>
    </row>
    <row r="27" spans="1:13">
      <c r="A27" s="116"/>
      <c r="B27" s="146"/>
      <c r="C27" s="127"/>
      <c r="D27" s="116" t="s">
        <v>335</v>
      </c>
      <c r="E27" s="88"/>
      <c r="F27" s="128">
        <f>F26/1000</f>
        <v>0.76800000000000002</v>
      </c>
      <c r="G27" s="88"/>
      <c r="H27" s="88"/>
      <c r="I27" s="88"/>
      <c r="J27" s="88"/>
      <c r="K27" s="88"/>
      <c r="L27" s="88"/>
      <c r="M27" s="88"/>
    </row>
    <row r="28" spans="1:13">
      <c r="A28" s="116" t="s">
        <v>30</v>
      </c>
      <c r="B28" s="146"/>
      <c r="C28" s="127" t="s">
        <v>15</v>
      </c>
      <c r="D28" s="116" t="s">
        <v>1</v>
      </c>
      <c r="E28" s="88">
        <f>37.5+4*0.07</f>
        <v>37.78</v>
      </c>
      <c r="F28" s="88">
        <f>E28*F27</f>
        <v>29.015040000000003</v>
      </c>
      <c r="G28" s="88"/>
      <c r="H28" s="88"/>
      <c r="I28" s="88"/>
      <c r="J28" s="88"/>
      <c r="K28" s="88"/>
      <c r="L28" s="88"/>
      <c r="M28" s="88"/>
    </row>
    <row r="29" spans="1:13">
      <c r="A29" s="116" t="s">
        <v>45</v>
      </c>
      <c r="B29" s="146" t="s">
        <v>337</v>
      </c>
      <c r="C29" s="127" t="s">
        <v>91</v>
      </c>
      <c r="D29" s="116" t="s">
        <v>24</v>
      </c>
      <c r="E29" s="88">
        <v>3.7</v>
      </c>
      <c r="F29" s="88">
        <f>E29*F27</f>
        <v>2.8416000000000001</v>
      </c>
      <c r="G29" s="88"/>
      <c r="H29" s="88"/>
      <c r="I29" s="88"/>
      <c r="J29" s="88"/>
      <c r="K29" s="88"/>
      <c r="L29" s="88"/>
      <c r="M29" s="88"/>
    </row>
    <row r="30" spans="1:13">
      <c r="A30" s="116" t="s">
        <v>46</v>
      </c>
      <c r="B30" s="146" t="s">
        <v>338</v>
      </c>
      <c r="C30" s="127" t="s">
        <v>92</v>
      </c>
      <c r="D30" s="116" t="s">
        <v>24</v>
      </c>
      <c r="E30" s="88">
        <v>11.1</v>
      </c>
      <c r="F30" s="88">
        <f>E30*F27</f>
        <v>8.524799999999999</v>
      </c>
      <c r="G30" s="88"/>
      <c r="H30" s="88"/>
      <c r="I30" s="88"/>
      <c r="J30" s="88"/>
      <c r="K30" s="88"/>
      <c r="L30" s="88"/>
      <c r="M30" s="88"/>
    </row>
    <row r="31" spans="1:13">
      <c r="A31" s="116" t="s">
        <v>47</v>
      </c>
      <c r="B31" s="146" t="s">
        <v>344</v>
      </c>
      <c r="C31" s="127" t="s">
        <v>96</v>
      </c>
      <c r="D31" s="116" t="s">
        <v>24</v>
      </c>
      <c r="E31" s="88">
        <v>3.02</v>
      </c>
      <c r="F31" s="88">
        <f>E31*F27</f>
        <v>2.3193600000000001</v>
      </c>
      <c r="G31" s="88"/>
      <c r="H31" s="88"/>
      <c r="I31" s="88"/>
      <c r="J31" s="88"/>
      <c r="K31" s="88"/>
      <c r="L31" s="88"/>
      <c r="M31" s="88"/>
    </row>
    <row r="32" spans="1:13">
      <c r="A32" s="116" t="s">
        <v>222</v>
      </c>
      <c r="B32" s="146"/>
      <c r="C32" s="127" t="s">
        <v>13</v>
      </c>
      <c r="D32" s="116" t="s">
        <v>25</v>
      </c>
      <c r="E32" s="88">
        <v>2.2999999999999998</v>
      </c>
      <c r="F32" s="88">
        <f>E32*F27</f>
        <v>1.7664</v>
      </c>
      <c r="G32" s="88"/>
      <c r="H32" s="88"/>
      <c r="I32" s="88"/>
      <c r="J32" s="88"/>
      <c r="K32" s="88"/>
      <c r="L32" s="88"/>
      <c r="M32" s="88"/>
    </row>
    <row r="33" spans="1:13">
      <c r="A33" s="116" t="s">
        <v>223</v>
      </c>
      <c r="B33" s="146" t="s">
        <v>345</v>
      </c>
      <c r="C33" s="127" t="s">
        <v>346</v>
      </c>
      <c r="D33" s="116" t="s">
        <v>23</v>
      </c>
      <c r="E33" s="88">
        <f>97.4+4*12.1</f>
        <v>145.80000000000001</v>
      </c>
      <c r="F33" s="88">
        <f>E33*F27</f>
        <v>111.97440000000002</v>
      </c>
      <c r="G33" s="88"/>
      <c r="H33" s="88"/>
      <c r="I33" s="88"/>
      <c r="J33" s="88"/>
      <c r="K33" s="88"/>
      <c r="L33" s="88"/>
      <c r="M33" s="88"/>
    </row>
    <row r="34" spans="1:13">
      <c r="A34" s="116" t="s">
        <v>224</v>
      </c>
      <c r="B34" s="146"/>
      <c r="C34" s="127" t="s">
        <v>14</v>
      </c>
      <c r="D34" s="116" t="s">
        <v>25</v>
      </c>
      <c r="E34" s="88">
        <f>14.5+4*0.2</f>
        <v>15.3</v>
      </c>
      <c r="F34" s="88">
        <f>E34*F27</f>
        <v>11.750400000000001</v>
      </c>
      <c r="G34" s="88"/>
      <c r="H34" s="88"/>
      <c r="I34" s="88"/>
      <c r="J34" s="88"/>
      <c r="K34" s="88"/>
      <c r="L34" s="88"/>
      <c r="M34" s="88"/>
    </row>
    <row r="35" spans="1:13">
      <c r="A35" s="116"/>
      <c r="B35" s="146"/>
      <c r="C35" s="127"/>
      <c r="D35" s="116"/>
      <c r="E35" s="88"/>
      <c r="F35" s="88"/>
      <c r="G35" s="88"/>
      <c r="H35" s="88"/>
      <c r="I35" s="88"/>
      <c r="J35" s="88"/>
      <c r="K35" s="88"/>
      <c r="L35" s="88"/>
      <c r="M35" s="88"/>
    </row>
    <row r="36" spans="1:13">
      <c r="A36" s="116">
        <v>1.4</v>
      </c>
      <c r="B36" s="97" t="s">
        <v>88</v>
      </c>
      <c r="C36" s="127" t="s">
        <v>87</v>
      </c>
      <c r="D36" s="116" t="s">
        <v>23</v>
      </c>
      <c r="E36" s="88"/>
      <c r="F36" s="88">
        <v>0.23</v>
      </c>
      <c r="G36" s="88"/>
      <c r="H36" s="88"/>
      <c r="I36" s="88"/>
      <c r="J36" s="88"/>
      <c r="K36" s="88"/>
      <c r="L36" s="88"/>
      <c r="M36" s="88"/>
    </row>
    <row r="37" spans="1:13">
      <c r="A37" s="116"/>
      <c r="B37" s="97"/>
      <c r="C37" s="127"/>
      <c r="D37" s="116" t="s">
        <v>111</v>
      </c>
      <c r="E37" s="88"/>
      <c r="F37" s="128">
        <f>F36</f>
        <v>0.23</v>
      </c>
      <c r="G37" s="88"/>
      <c r="H37" s="88"/>
      <c r="I37" s="88"/>
      <c r="J37" s="88"/>
      <c r="K37" s="88"/>
      <c r="L37" s="88"/>
      <c r="M37" s="88"/>
    </row>
    <row r="38" spans="1:13">
      <c r="A38" s="116" t="s">
        <v>22</v>
      </c>
      <c r="B38" s="97" t="s">
        <v>341</v>
      </c>
      <c r="C38" s="127" t="s">
        <v>89</v>
      </c>
      <c r="D38" s="116" t="s">
        <v>24</v>
      </c>
      <c r="E38" s="88">
        <v>0.3</v>
      </c>
      <c r="F38" s="88">
        <f>ROUND(E38*F37,1)</f>
        <v>0.1</v>
      </c>
      <c r="G38" s="88"/>
      <c r="H38" s="88"/>
      <c r="I38" s="88"/>
      <c r="J38" s="88"/>
      <c r="K38" s="88"/>
      <c r="L38" s="88"/>
      <c r="M38" s="88"/>
    </row>
    <row r="39" spans="1:13">
      <c r="A39" s="116" t="s">
        <v>240</v>
      </c>
      <c r="B39" s="97" t="s">
        <v>342</v>
      </c>
      <c r="C39" s="127" t="s">
        <v>94</v>
      </c>
      <c r="D39" s="116" t="s">
        <v>23</v>
      </c>
      <c r="E39" s="88">
        <v>1.03</v>
      </c>
      <c r="F39" s="88">
        <f>ROUND(E39*F37,2)</f>
        <v>0.24</v>
      </c>
      <c r="G39" s="88"/>
      <c r="H39" s="88"/>
      <c r="I39" s="88"/>
      <c r="J39" s="88"/>
      <c r="K39" s="88"/>
      <c r="L39" s="88"/>
      <c r="M39" s="88"/>
    </row>
    <row r="40" spans="1:13">
      <c r="A40" s="116"/>
      <c r="B40" s="97"/>
      <c r="C40" s="127"/>
      <c r="D40" s="116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25.5">
      <c r="A41" s="116">
        <v>1.5</v>
      </c>
      <c r="B41" s="146" t="s">
        <v>352</v>
      </c>
      <c r="C41" s="127" t="s">
        <v>353</v>
      </c>
      <c r="D41" s="116" t="s">
        <v>325</v>
      </c>
      <c r="E41" s="88"/>
      <c r="F41" s="88">
        <f>F26</f>
        <v>768</v>
      </c>
      <c r="G41" s="88"/>
      <c r="H41" s="88"/>
      <c r="I41" s="88"/>
      <c r="J41" s="88"/>
      <c r="K41" s="88"/>
      <c r="L41" s="88"/>
      <c r="M41" s="88"/>
    </row>
    <row r="42" spans="1:13">
      <c r="A42" s="116"/>
      <c r="B42" s="146"/>
      <c r="C42" s="127"/>
      <c r="D42" s="116" t="s">
        <v>347</v>
      </c>
      <c r="E42" s="88"/>
      <c r="F42" s="128">
        <f>F27</f>
        <v>0.76800000000000002</v>
      </c>
      <c r="G42" s="88"/>
      <c r="H42" s="88"/>
      <c r="I42" s="88"/>
      <c r="J42" s="88"/>
      <c r="K42" s="88"/>
      <c r="L42" s="88"/>
      <c r="M42" s="88"/>
    </row>
    <row r="43" spans="1:13">
      <c r="A43" s="116" t="s">
        <v>209</v>
      </c>
      <c r="B43" s="146"/>
      <c r="C43" s="127" t="s">
        <v>15</v>
      </c>
      <c r="D43" s="116" t="s">
        <v>1</v>
      </c>
      <c r="E43" s="88">
        <f>37.5</f>
        <v>37.5</v>
      </c>
      <c r="F43" s="88">
        <f>E43*F42</f>
        <v>28.8</v>
      </c>
      <c r="G43" s="88"/>
      <c r="H43" s="88"/>
      <c r="I43" s="88"/>
      <c r="J43" s="88"/>
      <c r="K43" s="88"/>
      <c r="L43" s="88"/>
      <c r="M43" s="88"/>
    </row>
    <row r="44" spans="1:13">
      <c r="A44" s="116" t="s">
        <v>210</v>
      </c>
      <c r="B44" s="146" t="s">
        <v>337</v>
      </c>
      <c r="C44" s="127" t="s">
        <v>91</v>
      </c>
      <c r="D44" s="116" t="s">
        <v>24</v>
      </c>
      <c r="E44" s="88">
        <v>3.7</v>
      </c>
      <c r="F44" s="88">
        <f>E44*F42</f>
        <v>2.8416000000000001</v>
      </c>
      <c r="G44" s="88"/>
      <c r="H44" s="88"/>
      <c r="I44" s="88"/>
      <c r="J44" s="88"/>
      <c r="K44" s="88"/>
      <c r="L44" s="88"/>
      <c r="M44" s="88"/>
    </row>
    <row r="45" spans="1:13">
      <c r="A45" s="116" t="s">
        <v>211</v>
      </c>
      <c r="B45" s="146" t="s">
        <v>338</v>
      </c>
      <c r="C45" s="127" t="s">
        <v>92</v>
      </c>
      <c r="D45" s="116" t="s">
        <v>24</v>
      </c>
      <c r="E45" s="88">
        <v>11.1</v>
      </c>
      <c r="F45" s="88">
        <f>E45*F42</f>
        <v>8.524799999999999</v>
      </c>
      <c r="G45" s="88"/>
      <c r="H45" s="88"/>
      <c r="I45" s="88"/>
      <c r="J45" s="88"/>
      <c r="K45" s="88"/>
      <c r="L45" s="88"/>
      <c r="M45" s="88"/>
    </row>
    <row r="46" spans="1:13">
      <c r="A46" s="116" t="s">
        <v>212</v>
      </c>
      <c r="B46" s="146" t="s">
        <v>344</v>
      </c>
      <c r="C46" s="127" t="s">
        <v>96</v>
      </c>
      <c r="D46" s="116" t="s">
        <v>24</v>
      </c>
      <c r="E46" s="88">
        <v>3.02</v>
      </c>
      <c r="F46" s="88">
        <f>E46*F42</f>
        <v>2.3193600000000001</v>
      </c>
      <c r="G46" s="88"/>
      <c r="H46" s="88"/>
      <c r="I46" s="88"/>
      <c r="J46" s="88"/>
      <c r="K46" s="88"/>
      <c r="L46" s="88"/>
      <c r="M46" s="88"/>
    </row>
    <row r="47" spans="1:13">
      <c r="A47" s="116" t="s">
        <v>225</v>
      </c>
      <c r="B47" s="146"/>
      <c r="C47" s="127" t="s">
        <v>13</v>
      </c>
      <c r="D47" s="116" t="s">
        <v>25</v>
      </c>
      <c r="E47" s="88">
        <v>2.2999999999999998</v>
      </c>
      <c r="F47" s="88">
        <f>E47*F42</f>
        <v>1.7664</v>
      </c>
      <c r="G47" s="88"/>
      <c r="H47" s="88"/>
      <c r="I47" s="88"/>
      <c r="J47" s="88"/>
      <c r="K47" s="88"/>
      <c r="L47" s="88"/>
      <c r="M47" s="88"/>
    </row>
    <row r="48" spans="1:13">
      <c r="A48" s="116" t="s">
        <v>226</v>
      </c>
      <c r="B48" s="146" t="s">
        <v>348</v>
      </c>
      <c r="C48" s="127" t="s">
        <v>266</v>
      </c>
      <c r="D48" s="116" t="s">
        <v>23</v>
      </c>
      <c r="E48" s="88">
        <f>97.4</f>
        <v>97.4</v>
      </c>
      <c r="F48" s="88">
        <f>E48*F42</f>
        <v>74.803200000000004</v>
      </c>
      <c r="G48" s="88"/>
      <c r="H48" s="88"/>
      <c r="I48" s="88"/>
      <c r="J48" s="88"/>
      <c r="K48" s="88"/>
      <c r="L48" s="88"/>
      <c r="M48" s="88"/>
    </row>
    <row r="49" spans="1:13">
      <c r="A49" s="116" t="s">
        <v>245</v>
      </c>
      <c r="B49" s="146"/>
      <c r="C49" s="127" t="s">
        <v>14</v>
      </c>
      <c r="D49" s="116" t="s">
        <v>25</v>
      </c>
      <c r="E49" s="88">
        <f>14.5</f>
        <v>14.5</v>
      </c>
      <c r="F49" s="88">
        <f>E49*F42</f>
        <v>11.136000000000001</v>
      </c>
      <c r="G49" s="88"/>
      <c r="H49" s="88"/>
      <c r="I49" s="88"/>
      <c r="J49" s="88"/>
      <c r="K49" s="88"/>
      <c r="L49" s="88"/>
      <c r="M49" s="88"/>
    </row>
    <row r="50" spans="1:13">
      <c r="A50" s="116"/>
      <c r="B50" s="146"/>
      <c r="C50" s="127"/>
      <c r="D50" s="116"/>
      <c r="E50" s="88"/>
      <c r="F50" s="88"/>
      <c r="G50" s="88"/>
      <c r="H50" s="88"/>
      <c r="I50" s="88"/>
      <c r="J50" s="88"/>
      <c r="K50" s="88"/>
      <c r="L50" s="88"/>
      <c r="M50" s="88"/>
    </row>
    <row r="51" spans="1:13">
      <c r="A51" s="116">
        <v>1.6</v>
      </c>
      <c r="B51" s="146" t="s">
        <v>355</v>
      </c>
      <c r="C51" s="126" t="s">
        <v>304</v>
      </c>
      <c r="D51" s="116" t="s">
        <v>106</v>
      </c>
      <c r="E51" s="116"/>
      <c r="F51" s="88">
        <v>400</v>
      </c>
      <c r="G51" s="131"/>
      <c r="H51" s="131"/>
      <c r="I51" s="131"/>
      <c r="J51" s="131"/>
      <c r="K51" s="131"/>
      <c r="L51" s="131"/>
      <c r="M51" s="117"/>
    </row>
    <row r="52" spans="1:13">
      <c r="A52" s="116"/>
      <c r="B52" s="146" t="s">
        <v>371</v>
      </c>
      <c r="C52" s="126"/>
      <c r="D52" s="116" t="s">
        <v>356</v>
      </c>
      <c r="E52" s="116">
        <v>0.124</v>
      </c>
      <c r="F52" s="128">
        <f>F51*E52</f>
        <v>49.6</v>
      </c>
      <c r="G52" s="131"/>
      <c r="H52" s="131"/>
      <c r="I52" s="131"/>
      <c r="J52" s="131"/>
      <c r="K52" s="131"/>
      <c r="L52" s="131"/>
      <c r="M52" s="117"/>
    </row>
    <row r="53" spans="1:13">
      <c r="A53" s="116" t="s">
        <v>61</v>
      </c>
      <c r="B53" s="146"/>
      <c r="C53" s="126" t="s">
        <v>15</v>
      </c>
      <c r="D53" s="116" t="s">
        <v>1</v>
      </c>
      <c r="E53" s="88">
        <v>22.56</v>
      </c>
      <c r="F53" s="88">
        <f>ROUND(E53*F52,2)</f>
        <v>1118.98</v>
      </c>
      <c r="G53" s="88"/>
      <c r="H53" s="88"/>
      <c r="I53" s="88"/>
      <c r="J53" s="88"/>
      <c r="K53" s="88"/>
      <c r="L53" s="88"/>
      <c r="M53" s="88"/>
    </row>
    <row r="54" spans="1:13">
      <c r="A54" s="116" t="s">
        <v>62</v>
      </c>
      <c r="B54" s="151"/>
      <c r="C54" s="152" t="s">
        <v>13</v>
      </c>
      <c r="D54" s="144" t="s">
        <v>24</v>
      </c>
      <c r="E54" s="140">
        <v>0</v>
      </c>
      <c r="F54" s="140">
        <f>ROUND(E54*F52,1)</f>
        <v>0</v>
      </c>
      <c r="G54" s="140"/>
      <c r="H54" s="140"/>
      <c r="I54" s="140"/>
      <c r="J54" s="140"/>
      <c r="K54" s="140"/>
      <c r="L54" s="140"/>
      <c r="M54" s="140"/>
    </row>
    <row r="55" spans="1:13">
      <c r="A55" s="116" t="s">
        <v>227</v>
      </c>
      <c r="B55" s="146" t="s">
        <v>358</v>
      </c>
      <c r="C55" s="126" t="s">
        <v>357</v>
      </c>
      <c r="D55" s="116" t="s">
        <v>329</v>
      </c>
      <c r="E55" s="88">
        <v>0.46</v>
      </c>
      <c r="F55" s="88">
        <f>ROUND(E55*F52,2)</f>
        <v>22.82</v>
      </c>
      <c r="G55" s="88"/>
      <c r="H55" s="88"/>
      <c r="I55" s="88"/>
      <c r="J55" s="88"/>
      <c r="K55" s="88"/>
      <c r="L55" s="88"/>
      <c r="M55" s="88"/>
    </row>
    <row r="56" spans="1:13">
      <c r="A56" s="116" t="s">
        <v>228</v>
      </c>
      <c r="B56" s="151"/>
      <c r="C56" s="152" t="s">
        <v>14</v>
      </c>
      <c r="D56" s="144" t="s">
        <v>25</v>
      </c>
      <c r="E56" s="140">
        <v>0</v>
      </c>
      <c r="F56" s="140">
        <f>ROUND(E56*F52,1)</f>
        <v>0</v>
      </c>
      <c r="G56" s="140"/>
      <c r="H56" s="140"/>
      <c r="I56" s="140"/>
      <c r="J56" s="140"/>
      <c r="K56" s="140"/>
      <c r="L56" s="140"/>
      <c r="M56" s="140"/>
    </row>
    <row r="57" spans="1:13">
      <c r="A57" s="116"/>
      <c r="B57" s="146" t="s">
        <v>359</v>
      </c>
      <c r="C57" s="130" t="s">
        <v>360</v>
      </c>
      <c r="D57" s="116" t="s">
        <v>24</v>
      </c>
      <c r="E57" s="88">
        <v>2.83</v>
      </c>
      <c r="F57" s="88">
        <f>E57*F52</f>
        <v>140.36799999999999</v>
      </c>
      <c r="G57" s="88"/>
      <c r="H57" s="88"/>
      <c r="I57" s="88"/>
      <c r="J57" s="88"/>
      <c r="K57" s="88"/>
      <c r="L57" s="88"/>
      <c r="M57" s="88"/>
    </row>
    <row r="58" spans="1:13">
      <c r="A58" s="116"/>
      <c r="B58" s="146" t="s">
        <v>361</v>
      </c>
      <c r="C58" s="130" t="s">
        <v>362</v>
      </c>
      <c r="D58" s="116" t="s">
        <v>24</v>
      </c>
      <c r="E58" s="88">
        <v>0.14000000000000001</v>
      </c>
      <c r="F58" s="88">
        <f>E58*F52</f>
        <v>6.9440000000000008</v>
      </c>
      <c r="G58" s="88"/>
      <c r="H58" s="88"/>
      <c r="I58" s="88"/>
      <c r="J58" s="88"/>
      <c r="K58" s="88"/>
      <c r="L58" s="88"/>
      <c r="M58" s="88"/>
    </row>
    <row r="59" spans="1:13">
      <c r="A59" s="116"/>
      <c r="B59" s="146" t="s">
        <v>363</v>
      </c>
      <c r="C59" s="130" t="s">
        <v>364</v>
      </c>
      <c r="D59" s="116" t="s">
        <v>24</v>
      </c>
      <c r="E59" s="88">
        <v>0.17</v>
      </c>
      <c r="F59" s="88">
        <f>E59*F52</f>
        <v>8.4320000000000004</v>
      </c>
      <c r="G59" s="88"/>
      <c r="H59" s="88"/>
      <c r="I59" s="88"/>
      <c r="J59" s="88"/>
      <c r="K59" s="88"/>
      <c r="L59" s="88"/>
      <c r="M59" s="88"/>
    </row>
    <row r="60" spans="1:13">
      <c r="A60" s="116"/>
      <c r="B60" s="146" t="s">
        <v>332</v>
      </c>
      <c r="C60" s="130" t="s">
        <v>365</v>
      </c>
      <c r="D60" s="116" t="s">
        <v>24</v>
      </c>
      <c r="E60" s="88">
        <v>0.03</v>
      </c>
      <c r="F60" s="88">
        <f>E60*F52</f>
        <v>1.488</v>
      </c>
      <c r="G60" s="88"/>
      <c r="H60" s="88"/>
      <c r="I60" s="88"/>
      <c r="J60" s="88"/>
      <c r="K60" s="88"/>
      <c r="L60" s="88"/>
      <c r="M60" s="88"/>
    </row>
    <row r="61" spans="1:13">
      <c r="A61" s="116"/>
      <c r="B61" s="146" t="s">
        <v>366</v>
      </c>
      <c r="C61" s="130" t="s">
        <v>367</v>
      </c>
      <c r="D61" s="116" t="s">
        <v>24</v>
      </c>
      <c r="E61" s="88">
        <v>0.35</v>
      </c>
      <c r="F61" s="88">
        <f>E61*F52</f>
        <v>17.36</v>
      </c>
      <c r="G61" s="88"/>
      <c r="H61" s="88"/>
      <c r="I61" s="88"/>
      <c r="J61" s="88"/>
      <c r="K61" s="88"/>
      <c r="L61" s="88"/>
      <c r="M61" s="88"/>
    </row>
    <row r="62" spans="1:13">
      <c r="A62" s="116"/>
      <c r="B62" s="146" t="s">
        <v>368</v>
      </c>
      <c r="C62" s="130" t="s">
        <v>369</v>
      </c>
      <c r="D62" s="116" t="s">
        <v>24</v>
      </c>
      <c r="E62" s="88">
        <v>0.14000000000000001</v>
      </c>
      <c r="F62" s="88">
        <f>E62*F52</f>
        <v>6.9440000000000008</v>
      </c>
      <c r="G62" s="88"/>
      <c r="H62" s="88"/>
      <c r="I62" s="88"/>
      <c r="J62" s="88"/>
      <c r="K62" s="88"/>
      <c r="L62" s="88"/>
      <c r="M62" s="88"/>
    </row>
    <row r="63" spans="1:13">
      <c r="A63" s="116"/>
      <c r="B63" s="97" t="s">
        <v>350</v>
      </c>
      <c r="C63" s="127" t="s">
        <v>351</v>
      </c>
      <c r="D63" s="116" t="s">
        <v>329</v>
      </c>
      <c r="E63" s="88">
        <v>2.17</v>
      </c>
      <c r="F63" s="88">
        <f>E63*F52</f>
        <v>107.63200000000001</v>
      </c>
      <c r="G63" s="88"/>
      <c r="H63" s="88"/>
      <c r="I63" s="88"/>
      <c r="J63" s="88"/>
      <c r="K63" s="88"/>
      <c r="L63" s="88"/>
      <c r="M63" s="88"/>
    </row>
    <row r="64" spans="1:13">
      <c r="A64" s="116"/>
      <c r="B64" s="146" t="s">
        <v>102</v>
      </c>
      <c r="C64" s="130" t="s">
        <v>370</v>
      </c>
      <c r="D64" s="116" t="s">
        <v>106</v>
      </c>
      <c r="E64" s="88">
        <v>1</v>
      </c>
      <c r="F64" s="88">
        <f>E64*F51</f>
        <v>400</v>
      </c>
      <c r="G64" s="88"/>
      <c r="H64" s="88"/>
      <c r="I64" s="88"/>
      <c r="J64" s="88"/>
      <c r="K64" s="88"/>
      <c r="L64" s="88"/>
      <c r="M64" s="88"/>
    </row>
    <row r="65" spans="1:13">
      <c r="A65" s="116"/>
      <c r="B65" s="146"/>
      <c r="C65" s="130"/>
      <c r="D65" s="116"/>
      <c r="E65" s="88"/>
      <c r="F65" s="88"/>
      <c r="G65" s="88"/>
      <c r="H65" s="88"/>
      <c r="I65" s="88"/>
      <c r="J65" s="88"/>
      <c r="K65" s="88"/>
      <c r="L65" s="88"/>
      <c r="M65" s="88"/>
    </row>
    <row r="66" spans="1:13">
      <c r="A66" s="114"/>
      <c r="B66" s="119"/>
      <c r="C66" s="114" t="s">
        <v>4</v>
      </c>
      <c r="D66" s="114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>
      <c r="A67" s="116"/>
      <c r="B67" s="97"/>
      <c r="C67" s="116"/>
      <c r="D67" s="116"/>
      <c r="E67" s="88"/>
      <c r="F67" s="88"/>
      <c r="G67" s="88"/>
      <c r="H67" s="88"/>
      <c r="I67" s="88"/>
      <c r="J67" s="88"/>
      <c r="K67" s="88"/>
      <c r="L67" s="88"/>
      <c r="M67" s="88"/>
    </row>
    <row r="68" spans="1:13">
      <c r="A68" s="116"/>
      <c r="B68" s="97"/>
      <c r="C68" s="116" t="s">
        <v>10</v>
      </c>
      <c r="D68" s="120">
        <v>0.1</v>
      </c>
      <c r="E68" s="88"/>
      <c r="F68" s="88"/>
      <c r="G68" s="88"/>
      <c r="H68" s="88"/>
      <c r="I68" s="88"/>
      <c r="J68" s="88"/>
      <c r="K68" s="88"/>
      <c r="L68" s="88"/>
      <c r="M68" s="88"/>
    </row>
    <row r="69" spans="1:13">
      <c r="A69" s="116"/>
      <c r="B69" s="97"/>
      <c r="C69" s="116" t="s">
        <v>4</v>
      </c>
      <c r="D69" s="120"/>
      <c r="E69" s="88"/>
      <c r="F69" s="88"/>
      <c r="G69" s="88"/>
      <c r="H69" s="88"/>
      <c r="I69" s="88"/>
      <c r="J69" s="88"/>
      <c r="K69" s="88"/>
      <c r="L69" s="88"/>
      <c r="M69" s="88"/>
    </row>
    <row r="70" spans="1:13">
      <c r="A70" s="116"/>
      <c r="B70" s="97"/>
      <c r="C70" s="116" t="s">
        <v>11</v>
      </c>
      <c r="D70" s="120">
        <v>0.08</v>
      </c>
      <c r="E70" s="88"/>
      <c r="F70" s="88"/>
      <c r="G70" s="88"/>
      <c r="H70" s="88"/>
      <c r="I70" s="88"/>
      <c r="J70" s="88"/>
      <c r="K70" s="88"/>
      <c r="L70" s="88"/>
      <c r="M70" s="88"/>
    </row>
    <row r="71" spans="1:13">
      <c r="A71" s="116"/>
      <c r="B71" s="97"/>
      <c r="C71" s="116"/>
      <c r="D71" s="120"/>
      <c r="E71" s="88"/>
      <c r="F71" s="88"/>
      <c r="G71" s="88"/>
      <c r="H71" s="88"/>
      <c r="I71" s="88"/>
      <c r="J71" s="88"/>
      <c r="K71" s="88"/>
      <c r="L71" s="88"/>
      <c r="M71" s="88"/>
    </row>
    <row r="72" spans="1:13">
      <c r="A72" s="114"/>
      <c r="B72" s="119"/>
      <c r="C72" s="114" t="s">
        <v>4</v>
      </c>
      <c r="D72" s="114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>
      <c r="B73" s="121"/>
      <c r="C73" s="122"/>
      <c r="D73" s="121"/>
      <c r="E73" s="121"/>
      <c r="F73" s="121"/>
      <c r="G73" s="121"/>
      <c r="H73" s="121"/>
      <c r="I73" s="121"/>
      <c r="J73" s="121"/>
      <c r="K73" s="121"/>
      <c r="L73" s="121"/>
      <c r="M73" s="123"/>
    </row>
    <row r="74" spans="1:13">
      <c r="B74" s="121"/>
      <c r="C74" s="122"/>
      <c r="D74" s="121"/>
      <c r="E74" s="121"/>
      <c r="F74" s="121"/>
      <c r="G74" s="121"/>
      <c r="H74" s="121"/>
      <c r="I74" s="121"/>
      <c r="J74" s="121"/>
      <c r="K74" s="121"/>
      <c r="L74" s="121"/>
      <c r="M74" s="123"/>
    </row>
    <row r="75" spans="1:13">
      <c r="B75" s="121"/>
      <c r="C75" s="122"/>
      <c r="D75" s="121"/>
      <c r="E75" s="121"/>
      <c r="F75" s="121"/>
      <c r="G75" s="121"/>
      <c r="H75" s="121"/>
      <c r="I75" s="121"/>
      <c r="J75" s="121"/>
      <c r="K75" s="121"/>
      <c r="L75" s="121"/>
      <c r="M75" s="123"/>
    </row>
    <row r="76" spans="1:13">
      <c r="B76" s="121"/>
      <c r="C76" s="122"/>
      <c r="D76" s="121"/>
      <c r="E76" s="121"/>
      <c r="F76" s="121"/>
      <c r="G76" s="121"/>
      <c r="H76" s="121"/>
      <c r="I76" s="121"/>
      <c r="J76" s="121"/>
      <c r="K76" s="121"/>
      <c r="L76" s="121"/>
      <c r="M76" s="123"/>
    </row>
    <row r="77" spans="1:13">
      <c r="B77" s="121"/>
      <c r="C77" s="122"/>
      <c r="D77" s="121"/>
      <c r="E77" s="121"/>
      <c r="F77" s="121"/>
      <c r="G77" s="121"/>
      <c r="H77" s="121"/>
      <c r="I77" s="121"/>
      <c r="J77" s="121"/>
      <c r="K77" s="121"/>
      <c r="L77" s="121"/>
      <c r="M77" s="123"/>
    </row>
    <row r="78" spans="1:13">
      <c r="B78" s="121"/>
      <c r="C78" s="122"/>
      <c r="D78" s="121"/>
      <c r="E78" s="121"/>
      <c r="F78" s="121"/>
      <c r="G78" s="121"/>
      <c r="H78" s="121"/>
      <c r="I78" s="121"/>
      <c r="J78" s="121"/>
      <c r="K78" s="121"/>
      <c r="L78" s="121"/>
      <c r="M78" s="123"/>
    </row>
    <row r="79" spans="1:13">
      <c r="B79" s="121"/>
      <c r="C79" s="122"/>
      <c r="D79" s="121"/>
      <c r="E79" s="121"/>
      <c r="F79" s="121"/>
      <c r="G79" s="121"/>
      <c r="H79" s="121"/>
      <c r="I79" s="121"/>
      <c r="J79" s="121"/>
      <c r="K79" s="121"/>
      <c r="L79" s="121"/>
      <c r="M79" s="123"/>
    </row>
    <row r="80" spans="1:13">
      <c r="B80" s="121"/>
      <c r="C80" s="122"/>
      <c r="D80" s="121"/>
      <c r="E80" s="121"/>
      <c r="F80" s="121"/>
      <c r="G80" s="121"/>
      <c r="H80" s="121"/>
      <c r="I80" s="121"/>
      <c r="J80" s="121"/>
      <c r="K80" s="121"/>
      <c r="L80" s="121"/>
      <c r="M80" s="123"/>
    </row>
    <row r="81" spans="2:13">
      <c r="B81" s="12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3"/>
    </row>
    <row r="82" spans="2:13">
      <c r="B82" s="121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3"/>
    </row>
    <row r="83" spans="2:13">
      <c r="B83" s="121"/>
      <c r="C83" s="122"/>
      <c r="D83" s="121"/>
      <c r="E83" s="121"/>
      <c r="F83" s="121"/>
      <c r="G83" s="121"/>
      <c r="H83" s="121"/>
      <c r="I83" s="121"/>
      <c r="J83" s="121"/>
      <c r="K83" s="121"/>
      <c r="L83" s="121"/>
      <c r="M83" s="123"/>
    </row>
    <row r="84" spans="2:13">
      <c r="B84" s="121"/>
      <c r="C84" s="122"/>
      <c r="D84" s="121"/>
      <c r="E84" s="121"/>
      <c r="F84" s="121"/>
      <c r="G84" s="121"/>
      <c r="H84" s="121"/>
      <c r="I84" s="121"/>
      <c r="J84" s="121"/>
      <c r="K84" s="121"/>
      <c r="L84" s="121"/>
      <c r="M84" s="123"/>
    </row>
    <row r="85" spans="2:13">
      <c r="B85" s="121"/>
      <c r="C85" s="122"/>
      <c r="D85" s="121"/>
      <c r="E85" s="121"/>
      <c r="F85" s="121"/>
      <c r="G85" s="121"/>
      <c r="H85" s="121"/>
      <c r="I85" s="121"/>
      <c r="J85" s="121"/>
      <c r="K85" s="121"/>
      <c r="L85" s="121"/>
      <c r="M85" s="123"/>
    </row>
    <row r="86" spans="2:13">
      <c r="B86" s="121"/>
      <c r="C86" s="122"/>
      <c r="D86" s="121"/>
      <c r="E86" s="121"/>
      <c r="F86" s="121"/>
      <c r="G86" s="121"/>
      <c r="H86" s="121"/>
      <c r="I86" s="121"/>
      <c r="J86" s="121"/>
      <c r="K86" s="121"/>
      <c r="L86" s="121"/>
      <c r="M86" s="123"/>
    </row>
    <row r="87" spans="2:13">
      <c r="B87" s="121"/>
      <c r="C87" s="122"/>
      <c r="D87" s="121"/>
      <c r="E87" s="121"/>
      <c r="F87" s="121"/>
      <c r="G87" s="121"/>
      <c r="H87" s="121"/>
      <c r="I87" s="121"/>
      <c r="J87" s="121"/>
      <c r="K87" s="121"/>
      <c r="L87" s="121"/>
      <c r="M87" s="123"/>
    </row>
    <row r="88" spans="2:13">
      <c r="B88" s="121"/>
      <c r="C88" s="122"/>
      <c r="D88" s="121"/>
      <c r="E88" s="121"/>
      <c r="F88" s="121"/>
      <c r="G88" s="121"/>
      <c r="H88" s="121"/>
      <c r="I88" s="121"/>
      <c r="J88" s="121"/>
      <c r="K88" s="121"/>
      <c r="L88" s="121"/>
      <c r="M88" s="123"/>
    </row>
    <row r="89" spans="2:13">
      <c r="B89" s="121"/>
      <c r="C89" s="122"/>
      <c r="D89" s="121"/>
      <c r="E89" s="121"/>
      <c r="F89" s="121"/>
      <c r="G89" s="121"/>
      <c r="H89" s="121"/>
      <c r="I89" s="121"/>
      <c r="J89" s="121"/>
      <c r="K89" s="121"/>
      <c r="L89" s="121"/>
      <c r="M89" s="123"/>
    </row>
    <row r="90" spans="2:13">
      <c r="B90" s="121"/>
      <c r="C90" s="122"/>
      <c r="D90" s="121"/>
      <c r="E90" s="121"/>
      <c r="F90" s="121"/>
      <c r="G90" s="121"/>
      <c r="H90" s="121"/>
      <c r="I90" s="121"/>
      <c r="J90" s="121"/>
      <c r="K90" s="121"/>
      <c r="L90" s="121"/>
      <c r="M90" s="123"/>
    </row>
    <row r="91" spans="2:13">
      <c r="B91" s="121"/>
      <c r="C91" s="122"/>
      <c r="D91" s="121"/>
      <c r="E91" s="121"/>
      <c r="F91" s="121"/>
      <c r="G91" s="121"/>
      <c r="H91" s="121"/>
      <c r="I91" s="121"/>
      <c r="J91" s="121"/>
      <c r="K91" s="121"/>
      <c r="L91" s="121"/>
      <c r="M91" s="123"/>
    </row>
    <row r="92" spans="2:13">
      <c r="B92" s="121"/>
      <c r="C92" s="122"/>
      <c r="D92" s="121"/>
      <c r="E92" s="121"/>
      <c r="F92" s="121"/>
      <c r="G92" s="121"/>
      <c r="H92" s="121"/>
      <c r="I92" s="121"/>
      <c r="J92" s="121"/>
      <c r="K92" s="121"/>
      <c r="L92" s="121"/>
      <c r="M92" s="123"/>
    </row>
    <row r="93" spans="2:13">
      <c r="B93" s="121"/>
      <c r="C93" s="122"/>
      <c r="D93" s="121"/>
      <c r="E93" s="121"/>
      <c r="F93" s="121"/>
      <c r="G93" s="121"/>
      <c r="H93" s="121"/>
      <c r="I93" s="121"/>
      <c r="J93" s="121"/>
      <c r="K93" s="121"/>
      <c r="L93" s="121"/>
      <c r="M93" s="123"/>
    </row>
    <row r="94" spans="2:13">
      <c r="B94" s="121"/>
      <c r="C94" s="122"/>
      <c r="D94" s="121"/>
      <c r="E94" s="121"/>
      <c r="F94" s="121"/>
      <c r="G94" s="121"/>
      <c r="H94" s="121"/>
      <c r="I94" s="121"/>
      <c r="J94" s="121"/>
      <c r="K94" s="121"/>
      <c r="L94" s="121"/>
      <c r="M94" s="123"/>
    </row>
    <row r="95" spans="2:13">
      <c r="B95" s="121"/>
      <c r="C95" s="122"/>
      <c r="D95" s="121"/>
      <c r="E95" s="121"/>
      <c r="F95" s="121"/>
      <c r="G95" s="121"/>
      <c r="H95" s="121"/>
      <c r="I95" s="121"/>
      <c r="J95" s="121"/>
      <c r="K95" s="121"/>
      <c r="L95" s="121"/>
      <c r="M95" s="123"/>
    </row>
    <row r="96" spans="2:13">
      <c r="B96" s="121"/>
      <c r="C96" s="122"/>
      <c r="D96" s="121"/>
      <c r="E96" s="121"/>
      <c r="F96" s="121"/>
      <c r="G96" s="121"/>
      <c r="H96" s="121"/>
      <c r="I96" s="121"/>
      <c r="J96" s="121"/>
      <c r="K96" s="121"/>
      <c r="L96" s="121"/>
      <c r="M96" s="123"/>
    </row>
    <row r="97" spans="2:13">
      <c r="B97" s="121"/>
      <c r="C97" s="122"/>
      <c r="D97" s="121"/>
      <c r="E97" s="121"/>
      <c r="F97" s="121"/>
      <c r="G97" s="121"/>
      <c r="H97" s="121"/>
      <c r="I97" s="121"/>
      <c r="J97" s="121"/>
      <c r="K97" s="121"/>
      <c r="L97" s="121"/>
      <c r="M97" s="123"/>
    </row>
    <row r="98" spans="2:13">
      <c r="B98" s="121"/>
      <c r="C98" s="122"/>
      <c r="D98" s="121"/>
      <c r="E98" s="121"/>
      <c r="F98" s="121"/>
      <c r="G98" s="121"/>
      <c r="H98" s="121"/>
      <c r="I98" s="121"/>
      <c r="J98" s="121"/>
      <c r="K98" s="121"/>
      <c r="L98" s="121"/>
      <c r="M98" s="123"/>
    </row>
    <row r="99" spans="2:13">
      <c r="B99" s="121"/>
      <c r="C99" s="122"/>
      <c r="D99" s="121"/>
      <c r="E99" s="121"/>
      <c r="F99" s="121"/>
      <c r="G99" s="121"/>
      <c r="H99" s="121"/>
      <c r="I99" s="121"/>
      <c r="J99" s="121"/>
      <c r="K99" s="121"/>
      <c r="L99" s="121"/>
      <c r="M99" s="123"/>
    </row>
    <row r="100" spans="2:13">
      <c r="B100" s="121"/>
      <c r="C100" s="122"/>
      <c r="D100" s="121"/>
      <c r="E100" s="121"/>
      <c r="F100" s="121"/>
      <c r="G100" s="121"/>
      <c r="H100" s="121"/>
      <c r="I100" s="121"/>
      <c r="J100" s="121"/>
      <c r="K100" s="121"/>
      <c r="L100" s="121"/>
      <c r="M100" s="123"/>
    </row>
    <row r="101" spans="2:13">
      <c r="B101" s="121"/>
      <c r="C101" s="122"/>
      <c r="D101" s="121"/>
      <c r="E101" s="121"/>
      <c r="F101" s="121"/>
      <c r="G101" s="121"/>
      <c r="H101" s="121"/>
      <c r="I101" s="121"/>
      <c r="J101" s="121"/>
      <c r="K101" s="121"/>
      <c r="L101" s="121"/>
      <c r="M101" s="123"/>
    </row>
    <row r="102" spans="2:13">
      <c r="B102" s="121"/>
      <c r="C102" s="122"/>
      <c r="D102" s="121"/>
      <c r="E102" s="121"/>
      <c r="F102" s="121"/>
      <c r="G102" s="121"/>
      <c r="H102" s="121"/>
      <c r="I102" s="121"/>
      <c r="J102" s="121"/>
      <c r="K102" s="121"/>
      <c r="L102" s="121"/>
      <c r="M102" s="123"/>
    </row>
    <row r="103" spans="2:13">
      <c r="B103" s="121"/>
      <c r="C103" s="122"/>
      <c r="D103" s="121"/>
      <c r="E103" s="121"/>
      <c r="F103" s="121"/>
      <c r="G103" s="121"/>
      <c r="H103" s="121"/>
      <c r="I103" s="121"/>
      <c r="J103" s="121"/>
      <c r="K103" s="121"/>
      <c r="L103" s="121"/>
      <c r="M103" s="123"/>
    </row>
    <row r="104" spans="2:13">
      <c r="B104" s="121"/>
      <c r="C104" s="122"/>
      <c r="D104" s="121"/>
      <c r="E104" s="121"/>
      <c r="F104" s="121"/>
      <c r="G104" s="121"/>
      <c r="H104" s="121"/>
      <c r="I104" s="121"/>
      <c r="J104" s="121"/>
      <c r="K104" s="121"/>
      <c r="L104" s="121"/>
      <c r="M104" s="123"/>
    </row>
    <row r="105" spans="2:13">
      <c r="B105" s="121"/>
      <c r="C105" s="122"/>
      <c r="D105" s="121"/>
      <c r="E105" s="121"/>
      <c r="F105" s="121"/>
      <c r="G105" s="121"/>
      <c r="H105" s="121"/>
      <c r="I105" s="121"/>
      <c r="J105" s="121"/>
      <c r="K105" s="121"/>
      <c r="L105" s="121"/>
      <c r="M105" s="123"/>
    </row>
    <row r="106" spans="2:13">
      <c r="B106" s="121"/>
      <c r="C106" s="12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3"/>
    </row>
    <row r="107" spans="2:13">
      <c r="B107" s="121"/>
      <c r="C107" s="122"/>
      <c r="D107" s="121"/>
      <c r="E107" s="121"/>
      <c r="F107" s="121"/>
      <c r="G107" s="121"/>
      <c r="H107" s="121"/>
      <c r="I107" s="121"/>
      <c r="J107" s="121"/>
      <c r="K107" s="121"/>
      <c r="L107" s="121"/>
      <c r="M107" s="123"/>
    </row>
    <row r="108" spans="2:13">
      <c r="B108" s="121"/>
      <c r="C108" s="122"/>
      <c r="D108" s="121"/>
      <c r="E108" s="121"/>
      <c r="F108" s="121"/>
      <c r="G108" s="121"/>
      <c r="H108" s="121"/>
      <c r="I108" s="121"/>
      <c r="J108" s="121"/>
      <c r="K108" s="121"/>
      <c r="L108" s="121"/>
      <c r="M108" s="123"/>
    </row>
    <row r="109" spans="2:13">
      <c r="B109" s="121"/>
      <c r="C109" s="122"/>
      <c r="D109" s="121"/>
      <c r="E109" s="121"/>
      <c r="F109" s="121"/>
      <c r="G109" s="121"/>
      <c r="H109" s="121"/>
      <c r="I109" s="121"/>
      <c r="J109" s="121"/>
      <c r="K109" s="121"/>
      <c r="L109" s="121"/>
      <c r="M109" s="123"/>
    </row>
    <row r="110" spans="2:13">
      <c r="B110" s="121"/>
      <c r="C110" s="122"/>
      <c r="D110" s="121"/>
      <c r="E110" s="121"/>
      <c r="F110" s="121"/>
      <c r="G110" s="121"/>
      <c r="H110" s="121"/>
      <c r="I110" s="121"/>
      <c r="J110" s="121"/>
      <c r="K110" s="121"/>
      <c r="L110" s="121"/>
      <c r="M110" s="123"/>
    </row>
    <row r="111" spans="2:13">
      <c r="B111" s="121"/>
      <c r="C111" s="122"/>
      <c r="D111" s="121"/>
      <c r="E111" s="121"/>
      <c r="F111" s="121"/>
      <c r="G111" s="121"/>
      <c r="H111" s="121"/>
      <c r="I111" s="121"/>
      <c r="J111" s="121"/>
      <c r="K111" s="121"/>
      <c r="L111" s="121"/>
      <c r="M111" s="123"/>
    </row>
    <row r="112" spans="2:13">
      <c r="B112" s="121"/>
      <c r="C112" s="122"/>
      <c r="D112" s="121"/>
      <c r="E112" s="121"/>
      <c r="F112" s="121"/>
      <c r="G112" s="121"/>
      <c r="H112" s="121"/>
      <c r="I112" s="121"/>
      <c r="J112" s="121"/>
      <c r="K112" s="121"/>
      <c r="L112" s="121"/>
      <c r="M112" s="123"/>
    </row>
    <row r="113" spans="2:13">
      <c r="B113" s="121"/>
      <c r="C113" s="122"/>
      <c r="D113" s="121"/>
      <c r="E113" s="121"/>
      <c r="F113" s="121"/>
      <c r="G113" s="121"/>
      <c r="H113" s="121"/>
      <c r="I113" s="121"/>
      <c r="J113" s="121"/>
      <c r="K113" s="121"/>
      <c r="L113" s="121"/>
      <c r="M113" s="123"/>
    </row>
    <row r="114" spans="2:13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33"/>
    </row>
    <row r="115" spans="2:13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33"/>
    </row>
    <row r="116" spans="2:13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33"/>
    </row>
    <row r="117" spans="2:13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33"/>
    </row>
    <row r="118" spans="2:13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33"/>
    </row>
    <row r="119" spans="2:13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33"/>
    </row>
    <row r="120" spans="2:13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33"/>
    </row>
    <row r="121" spans="2:13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33"/>
    </row>
    <row r="122" spans="2:13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33"/>
    </row>
    <row r="123" spans="2:13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33"/>
    </row>
    <row r="124" spans="2:13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33"/>
    </row>
    <row r="125" spans="2:13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33"/>
    </row>
    <row r="126" spans="2:13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33"/>
    </row>
  </sheetData>
  <mergeCells count="10">
    <mergeCell ref="A1:M1"/>
    <mergeCell ref="E3:F3"/>
    <mergeCell ref="G3:H3"/>
    <mergeCell ref="I3:J3"/>
    <mergeCell ref="K3:L3"/>
    <mergeCell ref="A3:A4"/>
    <mergeCell ref="B3:B4"/>
    <mergeCell ref="C3:C4"/>
    <mergeCell ref="D3:D4"/>
    <mergeCell ref="M3:M4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115"/>
  <sheetViews>
    <sheetView tabSelected="1" view="pageBreakPreview" zoomScaleNormal="60" zoomScaleSheetLayoutView="100" workbookViewId="0">
      <selection activeCell="J14" sqref="J14"/>
    </sheetView>
  </sheetViews>
  <sheetFormatPr defaultRowHeight="12.75"/>
  <cols>
    <col min="1" max="1" width="8.42578125" style="81" customWidth="1"/>
    <col min="2" max="2" width="12.28515625" style="53" customWidth="1"/>
    <col min="3" max="3" width="57.85546875" style="53" customWidth="1"/>
    <col min="4" max="4" width="10.42578125" style="53" customWidth="1"/>
    <col min="5" max="12" width="9.7109375" style="53" customWidth="1"/>
    <col min="13" max="13" width="13.7109375" style="71" customWidth="1"/>
    <col min="14" max="16" width="20.7109375" style="53" customWidth="1"/>
    <col min="17" max="16384" width="9.140625" style="53"/>
  </cols>
  <sheetData>
    <row r="1" spans="1:14" s="84" customFormat="1">
      <c r="A1" s="163" t="s">
        <v>303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s="84" customForma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s="67" customFormat="1" ht="24.75" customHeight="1">
      <c r="A3" s="157" t="s">
        <v>315</v>
      </c>
      <c r="B3" s="161" t="s">
        <v>316</v>
      </c>
      <c r="C3" s="161" t="s">
        <v>317</v>
      </c>
      <c r="D3" s="161" t="s">
        <v>318</v>
      </c>
      <c r="E3" s="157" t="s">
        <v>319</v>
      </c>
      <c r="F3" s="157"/>
      <c r="G3" s="161" t="s">
        <v>320</v>
      </c>
      <c r="H3" s="161"/>
      <c r="I3" s="161" t="s">
        <v>6</v>
      </c>
      <c r="J3" s="161"/>
      <c r="K3" s="157" t="s">
        <v>321</v>
      </c>
      <c r="L3" s="157"/>
      <c r="M3" s="157" t="s">
        <v>4</v>
      </c>
    </row>
    <row r="4" spans="1:14" s="67" customFormat="1" ht="12.75" customHeight="1">
      <c r="A4" s="157"/>
      <c r="B4" s="161"/>
      <c r="C4" s="161"/>
      <c r="D4" s="161"/>
      <c r="E4" s="114" t="s">
        <v>322</v>
      </c>
      <c r="F4" s="114" t="s">
        <v>272</v>
      </c>
      <c r="G4" s="114" t="s">
        <v>322</v>
      </c>
      <c r="H4" s="114" t="s">
        <v>272</v>
      </c>
      <c r="I4" s="114" t="s">
        <v>322</v>
      </c>
      <c r="J4" s="114" t="s">
        <v>272</v>
      </c>
      <c r="K4" s="114" t="s">
        <v>322</v>
      </c>
      <c r="L4" s="114" t="s">
        <v>272</v>
      </c>
      <c r="M4" s="157"/>
    </row>
    <row r="5" spans="1:14" s="67" customFormat="1">
      <c r="A5" s="114">
        <v>1</v>
      </c>
      <c r="B5" s="114">
        <v>2</v>
      </c>
      <c r="C5" s="113">
        <v>3</v>
      </c>
      <c r="D5" s="114">
        <v>4</v>
      </c>
      <c r="E5" s="114">
        <v>5</v>
      </c>
      <c r="F5" s="114">
        <v>6</v>
      </c>
      <c r="G5" s="114">
        <v>7</v>
      </c>
      <c r="H5" s="78">
        <v>8</v>
      </c>
      <c r="I5" s="114">
        <v>9</v>
      </c>
      <c r="J5" s="78">
        <v>10</v>
      </c>
      <c r="K5" s="114">
        <v>11</v>
      </c>
      <c r="L5" s="78">
        <v>12</v>
      </c>
      <c r="M5" s="78">
        <v>13</v>
      </c>
    </row>
    <row r="6" spans="1:14" s="67" customForma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45"/>
    </row>
    <row r="7" spans="1:14" s="67" customFormat="1" ht="25.5">
      <c r="A7" s="114"/>
      <c r="B7" s="116"/>
      <c r="C7" s="113" t="s">
        <v>107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4">
      <c r="A8" s="114"/>
      <c r="B8" s="116"/>
      <c r="C8" s="113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56" t="s">
        <v>60</v>
      </c>
    </row>
    <row r="9" spans="1:14">
      <c r="A9" s="116">
        <v>1.1000000000000001</v>
      </c>
      <c r="B9" s="97" t="s">
        <v>125</v>
      </c>
      <c r="C9" s="126" t="s">
        <v>126</v>
      </c>
      <c r="D9" s="116" t="s">
        <v>325</v>
      </c>
      <c r="E9" s="116"/>
      <c r="F9" s="88">
        <v>290</v>
      </c>
      <c r="G9" s="131"/>
      <c r="H9" s="131"/>
      <c r="I9" s="131"/>
      <c r="J9" s="131"/>
      <c r="K9" s="131"/>
      <c r="L9" s="131"/>
      <c r="M9" s="117"/>
    </row>
    <row r="10" spans="1:14">
      <c r="A10" s="116"/>
      <c r="B10" s="97"/>
      <c r="C10" s="127"/>
      <c r="D10" s="116" t="s">
        <v>326</v>
      </c>
      <c r="E10" s="88"/>
      <c r="F10" s="128">
        <f>F9/10000</f>
        <v>2.9000000000000001E-2</v>
      </c>
      <c r="G10" s="88"/>
      <c r="H10" s="88"/>
      <c r="I10" s="88"/>
      <c r="J10" s="88"/>
      <c r="K10" s="88"/>
      <c r="L10" s="88"/>
      <c r="M10" s="88"/>
    </row>
    <row r="11" spans="1:14">
      <c r="A11" s="116" t="s">
        <v>0</v>
      </c>
      <c r="B11" s="97"/>
      <c r="C11" s="127" t="s">
        <v>15</v>
      </c>
      <c r="D11" s="116" t="s">
        <v>1</v>
      </c>
      <c r="E11" s="88">
        <v>0.31</v>
      </c>
      <c r="F11" s="88">
        <f>E11*F10</f>
        <v>8.9899999999999997E-3</v>
      </c>
      <c r="G11" s="88"/>
      <c r="H11" s="88"/>
      <c r="I11" s="88"/>
      <c r="J11" s="88"/>
      <c r="K11" s="88"/>
      <c r="L11" s="88"/>
      <c r="M11" s="88"/>
    </row>
    <row r="12" spans="1:14">
      <c r="A12" s="116" t="s">
        <v>206</v>
      </c>
      <c r="B12" s="97" t="s">
        <v>327</v>
      </c>
      <c r="C12" s="129" t="s">
        <v>74</v>
      </c>
      <c r="D12" s="116" t="s">
        <v>24</v>
      </c>
      <c r="E12" s="88">
        <v>1.1200000000000001</v>
      </c>
      <c r="F12" s="88">
        <f>E12*F10</f>
        <v>3.2480000000000002E-2</v>
      </c>
      <c r="G12" s="88"/>
      <c r="H12" s="88"/>
      <c r="I12" s="88"/>
      <c r="J12" s="88"/>
      <c r="K12" s="88"/>
      <c r="L12" s="88"/>
      <c r="M12" s="88"/>
    </row>
    <row r="13" spans="1:14">
      <c r="A13" s="116"/>
      <c r="B13" s="97"/>
      <c r="C13" s="126"/>
      <c r="D13" s="116"/>
      <c r="E13" s="116"/>
      <c r="F13" s="117"/>
      <c r="G13" s="131"/>
      <c r="H13" s="131"/>
      <c r="I13" s="131"/>
      <c r="J13" s="131"/>
      <c r="K13" s="117"/>
      <c r="L13" s="117"/>
      <c r="M13" s="117"/>
    </row>
    <row r="14" spans="1:14">
      <c r="A14" s="116">
        <v>1.2</v>
      </c>
      <c r="B14" s="97" t="s">
        <v>328</v>
      </c>
      <c r="C14" s="126" t="s">
        <v>118</v>
      </c>
      <c r="D14" s="116" t="s">
        <v>329</v>
      </c>
      <c r="E14" s="116"/>
      <c r="F14" s="116">
        <v>22.1</v>
      </c>
      <c r="G14" s="131"/>
      <c r="H14" s="131"/>
      <c r="I14" s="131"/>
      <c r="J14" s="131"/>
      <c r="K14" s="131"/>
      <c r="L14" s="131"/>
      <c r="M14" s="117"/>
    </row>
    <row r="15" spans="1:14">
      <c r="A15" s="116"/>
      <c r="B15" s="97"/>
      <c r="C15" s="127"/>
      <c r="D15" s="116" t="s">
        <v>330</v>
      </c>
      <c r="E15" s="88"/>
      <c r="F15" s="128">
        <f>F14/100</f>
        <v>0.221</v>
      </c>
      <c r="G15" s="88"/>
      <c r="H15" s="88"/>
      <c r="I15" s="88"/>
      <c r="J15" s="88"/>
      <c r="K15" s="88"/>
      <c r="L15" s="88"/>
      <c r="M15" s="88"/>
    </row>
    <row r="16" spans="1:14">
      <c r="A16" s="116" t="s">
        <v>21</v>
      </c>
      <c r="B16" s="97"/>
      <c r="C16" s="129" t="s">
        <v>15</v>
      </c>
      <c r="D16" s="116" t="s">
        <v>1</v>
      </c>
      <c r="E16" s="88">
        <v>15</v>
      </c>
      <c r="F16" s="88">
        <f>E16*F15</f>
        <v>3.3149999999999999</v>
      </c>
      <c r="G16" s="88"/>
      <c r="H16" s="88"/>
      <c r="I16" s="88"/>
      <c r="J16" s="88"/>
      <c r="K16" s="88"/>
      <c r="L16" s="88"/>
      <c r="M16" s="88"/>
    </row>
    <row r="17" spans="1:13">
      <c r="A17" s="116" t="s">
        <v>35</v>
      </c>
      <c r="B17" s="97" t="s">
        <v>327</v>
      </c>
      <c r="C17" s="129" t="s">
        <v>74</v>
      </c>
      <c r="D17" s="116" t="s">
        <v>24</v>
      </c>
      <c r="E17" s="88">
        <v>2.16</v>
      </c>
      <c r="F17" s="88">
        <f>E17*F15</f>
        <v>0.47736000000000006</v>
      </c>
      <c r="G17" s="88"/>
      <c r="H17" s="88"/>
      <c r="I17" s="88"/>
      <c r="J17" s="88"/>
      <c r="K17" s="88"/>
      <c r="L17" s="88"/>
      <c r="M17" s="88"/>
    </row>
    <row r="18" spans="1:13">
      <c r="A18" s="116" t="s">
        <v>36</v>
      </c>
      <c r="B18" s="97" t="s">
        <v>331</v>
      </c>
      <c r="C18" s="129" t="s">
        <v>90</v>
      </c>
      <c r="D18" s="116" t="s">
        <v>24</v>
      </c>
      <c r="E18" s="88">
        <v>2.73</v>
      </c>
      <c r="F18" s="88">
        <f>E18*F15</f>
        <v>0.60333000000000003</v>
      </c>
      <c r="G18" s="88"/>
      <c r="H18" s="88"/>
      <c r="I18" s="88"/>
      <c r="J18" s="88"/>
      <c r="K18" s="88"/>
      <c r="L18" s="88"/>
      <c r="M18" s="88"/>
    </row>
    <row r="19" spans="1:13">
      <c r="A19" s="116" t="s">
        <v>37</v>
      </c>
      <c r="B19" s="97" t="s">
        <v>332</v>
      </c>
      <c r="C19" s="129" t="s">
        <v>75</v>
      </c>
      <c r="D19" s="116" t="s">
        <v>24</v>
      </c>
      <c r="E19" s="88">
        <v>0.97</v>
      </c>
      <c r="F19" s="88">
        <f>E19*F15</f>
        <v>0.21437</v>
      </c>
      <c r="G19" s="88"/>
      <c r="H19" s="88"/>
      <c r="I19" s="88"/>
      <c r="J19" s="88"/>
      <c r="K19" s="88"/>
      <c r="L19" s="88"/>
      <c r="M19" s="88"/>
    </row>
    <row r="20" spans="1:13">
      <c r="A20" s="116" t="s">
        <v>38</v>
      </c>
      <c r="B20" s="97"/>
      <c r="C20" s="129" t="s">
        <v>76</v>
      </c>
      <c r="D20" s="116" t="s">
        <v>329</v>
      </c>
      <c r="E20" s="88">
        <v>7</v>
      </c>
      <c r="F20" s="88">
        <f>E20*F15</f>
        <v>1.5469999999999999</v>
      </c>
      <c r="G20" s="88"/>
      <c r="H20" s="88"/>
      <c r="I20" s="88"/>
      <c r="J20" s="88"/>
      <c r="K20" s="88"/>
      <c r="L20" s="88"/>
      <c r="M20" s="88"/>
    </row>
    <row r="21" spans="1:13">
      <c r="A21" s="116" t="s">
        <v>39</v>
      </c>
      <c r="B21" s="97" t="s">
        <v>333</v>
      </c>
      <c r="C21" s="129" t="s">
        <v>170</v>
      </c>
      <c r="D21" s="116" t="s">
        <v>329</v>
      </c>
      <c r="E21" s="88">
        <v>122</v>
      </c>
      <c r="F21" s="88">
        <f>E21*F15</f>
        <v>26.962</v>
      </c>
      <c r="G21" s="88"/>
      <c r="H21" s="88"/>
      <c r="I21" s="88"/>
      <c r="J21" s="88"/>
      <c r="K21" s="88"/>
      <c r="L21" s="88"/>
      <c r="M21" s="88"/>
    </row>
    <row r="22" spans="1:13">
      <c r="A22" s="116"/>
      <c r="B22" s="97"/>
      <c r="C22" s="126"/>
      <c r="D22" s="116"/>
      <c r="E22" s="116"/>
      <c r="F22" s="131"/>
      <c r="G22" s="131"/>
      <c r="H22" s="117"/>
      <c r="I22" s="131"/>
      <c r="J22" s="131"/>
      <c r="K22" s="117"/>
      <c r="L22" s="117"/>
      <c r="M22" s="117"/>
    </row>
    <row r="23" spans="1:13">
      <c r="A23" s="116">
        <v>1.3</v>
      </c>
      <c r="B23" s="97" t="s">
        <v>334</v>
      </c>
      <c r="C23" s="126" t="s">
        <v>268</v>
      </c>
      <c r="D23" s="116" t="s">
        <v>325</v>
      </c>
      <c r="E23" s="116"/>
      <c r="F23" s="88">
        <v>276</v>
      </c>
      <c r="G23" s="131"/>
      <c r="H23" s="131"/>
      <c r="I23" s="131"/>
      <c r="J23" s="131"/>
      <c r="K23" s="131"/>
      <c r="L23" s="131"/>
      <c r="M23" s="117"/>
    </row>
    <row r="24" spans="1:13">
      <c r="A24" s="116"/>
      <c r="B24" s="97"/>
      <c r="C24" s="127"/>
      <c r="D24" s="116" t="s">
        <v>335</v>
      </c>
      <c r="E24" s="88"/>
      <c r="F24" s="128">
        <f>F23/1000</f>
        <v>0.27600000000000002</v>
      </c>
      <c r="G24" s="88"/>
      <c r="H24" s="88"/>
      <c r="I24" s="88"/>
      <c r="J24" s="88"/>
      <c r="K24" s="88"/>
      <c r="L24" s="88"/>
      <c r="M24" s="153"/>
    </row>
    <row r="25" spans="1:13">
      <c r="A25" s="116" t="s">
        <v>30</v>
      </c>
      <c r="B25" s="97"/>
      <c r="C25" s="127" t="s">
        <v>40</v>
      </c>
      <c r="D25" s="116" t="s">
        <v>1</v>
      </c>
      <c r="E25" s="88">
        <f>33</f>
        <v>33</v>
      </c>
      <c r="F25" s="88">
        <f>E25*F24</f>
        <v>9.1080000000000005</v>
      </c>
      <c r="G25" s="88"/>
      <c r="H25" s="88"/>
      <c r="I25" s="88"/>
      <c r="J25" s="88"/>
      <c r="K25" s="88"/>
      <c r="L25" s="88"/>
      <c r="M25" s="153"/>
    </row>
    <row r="26" spans="1:13">
      <c r="A26" s="116" t="s">
        <v>45</v>
      </c>
      <c r="B26" s="97" t="s">
        <v>327</v>
      </c>
      <c r="C26" s="127" t="s">
        <v>123</v>
      </c>
      <c r="D26" s="116" t="s">
        <v>24</v>
      </c>
      <c r="E26" s="88">
        <f>1.91</f>
        <v>1.91</v>
      </c>
      <c r="F26" s="88">
        <f>E26*F24</f>
        <v>0.52716000000000007</v>
      </c>
      <c r="G26" s="88"/>
      <c r="H26" s="88"/>
      <c r="I26" s="88"/>
      <c r="J26" s="88"/>
      <c r="K26" s="88"/>
      <c r="L26" s="88"/>
      <c r="M26" s="153"/>
    </row>
    <row r="27" spans="1:13">
      <c r="A27" s="116" t="s">
        <v>46</v>
      </c>
      <c r="B27" s="97" t="s">
        <v>336</v>
      </c>
      <c r="C27" s="127" t="s">
        <v>86</v>
      </c>
      <c r="D27" s="116" t="s">
        <v>24</v>
      </c>
      <c r="E27" s="88">
        <v>2.58</v>
      </c>
      <c r="F27" s="88">
        <f>E27*F24</f>
        <v>0.71208000000000005</v>
      </c>
      <c r="G27" s="88"/>
      <c r="H27" s="88"/>
      <c r="I27" s="88"/>
      <c r="J27" s="88"/>
      <c r="K27" s="88"/>
      <c r="L27" s="88"/>
      <c r="M27" s="153"/>
    </row>
    <row r="28" spans="1:13">
      <c r="A28" s="116" t="s">
        <v>47</v>
      </c>
      <c r="B28" s="97" t="s">
        <v>337</v>
      </c>
      <c r="C28" s="127" t="s">
        <v>122</v>
      </c>
      <c r="D28" s="116" t="s">
        <v>24</v>
      </c>
      <c r="E28" s="88">
        <f>11.2</f>
        <v>11.2</v>
      </c>
      <c r="F28" s="88">
        <f>E28*F24</f>
        <v>3.0912000000000002</v>
      </c>
      <c r="G28" s="88"/>
      <c r="H28" s="88"/>
      <c r="I28" s="88"/>
      <c r="J28" s="88"/>
      <c r="K28" s="88"/>
      <c r="L28" s="88"/>
      <c r="M28" s="153"/>
    </row>
    <row r="29" spans="1:13">
      <c r="A29" s="116" t="s">
        <v>222</v>
      </c>
      <c r="B29" s="97" t="s">
        <v>338</v>
      </c>
      <c r="C29" s="127" t="s">
        <v>121</v>
      </c>
      <c r="D29" s="116" t="s">
        <v>24</v>
      </c>
      <c r="E29" s="88">
        <f>24.8</f>
        <v>24.8</v>
      </c>
      <c r="F29" s="88">
        <f>E29*F24</f>
        <v>6.8448000000000011</v>
      </c>
      <c r="G29" s="88"/>
      <c r="H29" s="88"/>
      <c r="I29" s="88"/>
      <c r="J29" s="88"/>
      <c r="K29" s="88"/>
      <c r="L29" s="88"/>
      <c r="M29" s="153"/>
    </row>
    <row r="30" spans="1:13">
      <c r="A30" s="116" t="s">
        <v>223</v>
      </c>
      <c r="B30" s="97" t="s">
        <v>332</v>
      </c>
      <c r="C30" s="127" t="s">
        <v>120</v>
      </c>
      <c r="D30" s="116" t="s">
        <v>24</v>
      </c>
      <c r="E30" s="88">
        <f>4.14</f>
        <v>4.1399999999999997</v>
      </c>
      <c r="F30" s="88">
        <f>E30*F24</f>
        <v>1.1426400000000001</v>
      </c>
      <c r="G30" s="88"/>
      <c r="H30" s="88"/>
      <c r="I30" s="88"/>
      <c r="J30" s="88"/>
      <c r="K30" s="88"/>
      <c r="L30" s="88"/>
      <c r="M30" s="153"/>
    </row>
    <row r="31" spans="1:13" ht="25.5" customHeight="1">
      <c r="A31" s="116" t="s">
        <v>224</v>
      </c>
      <c r="B31" s="97" t="s">
        <v>339</v>
      </c>
      <c r="C31" s="127" t="s">
        <v>93</v>
      </c>
      <c r="D31" s="116" t="s">
        <v>24</v>
      </c>
      <c r="E31" s="88">
        <v>0.53</v>
      </c>
      <c r="F31" s="88">
        <f>E31*F24</f>
        <v>0.14628000000000002</v>
      </c>
      <c r="G31" s="88"/>
      <c r="H31" s="88"/>
      <c r="I31" s="88"/>
      <c r="J31" s="88"/>
      <c r="K31" s="88"/>
      <c r="L31" s="88"/>
      <c r="M31" s="153"/>
    </row>
    <row r="32" spans="1:13">
      <c r="A32" s="116" t="s">
        <v>246</v>
      </c>
      <c r="B32" s="97"/>
      <c r="C32" s="127" t="s">
        <v>119</v>
      </c>
      <c r="D32" s="116" t="s">
        <v>329</v>
      </c>
      <c r="E32" s="88">
        <f>30</f>
        <v>30</v>
      </c>
      <c r="F32" s="88">
        <f>E32*F24</f>
        <v>8.2800000000000011</v>
      </c>
      <c r="G32" s="88"/>
      <c r="H32" s="88"/>
      <c r="I32" s="88"/>
      <c r="J32" s="88"/>
      <c r="K32" s="88"/>
      <c r="L32" s="88"/>
      <c r="M32" s="153"/>
    </row>
    <row r="33" spans="1:13">
      <c r="A33" s="116" t="s">
        <v>267</v>
      </c>
      <c r="B33" s="97" t="s">
        <v>340</v>
      </c>
      <c r="C33" s="127" t="s">
        <v>146</v>
      </c>
      <c r="D33" s="116" t="s">
        <v>329</v>
      </c>
      <c r="E33" s="88">
        <f>204-12.6*5</f>
        <v>141</v>
      </c>
      <c r="F33" s="88">
        <f>E33*F24</f>
        <v>38.916000000000004</v>
      </c>
      <c r="G33" s="88"/>
      <c r="H33" s="88"/>
      <c r="I33" s="88"/>
      <c r="J33" s="88"/>
      <c r="K33" s="88"/>
      <c r="L33" s="88"/>
      <c r="M33" s="153"/>
    </row>
    <row r="34" spans="1:13">
      <c r="A34" s="116"/>
      <c r="B34" s="97"/>
      <c r="C34" s="126"/>
      <c r="D34" s="116"/>
      <c r="E34" s="116"/>
      <c r="F34" s="117"/>
      <c r="G34" s="131"/>
      <c r="H34" s="117"/>
      <c r="I34" s="131"/>
      <c r="J34" s="131"/>
      <c r="K34" s="117"/>
      <c r="L34" s="117"/>
      <c r="M34" s="117"/>
    </row>
    <row r="35" spans="1:13">
      <c r="A35" s="116">
        <v>1.4</v>
      </c>
      <c r="B35" s="97" t="s">
        <v>88</v>
      </c>
      <c r="C35" s="126" t="s">
        <v>87</v>
      </c>
      <c r="D35" s="116" t="s">
        <v>23</v>
      </c>
      <c r="E35" s="116"/>
      <c r="F35" s="116">
        <v>0.19320000000000001</v>
      </c>
      <c r="G35" s="131"/>
      <c r="H35" s="131"/>
      <c r="I35" s="131"/>
      <c r="J35" s="131"/>
      <c r="K35" s="131"/>
      <c r="L35" s="131"/>
      <c r="M35" s="117"/>
    </row>
    <row r="36" spans="1:13">
      <c r="A36" s="116"/>
      <c r="B36" s="97"/>
      <c r="C36" s="127"/>
      <c r="D36" s="116" t="s">
        <v>111</v>
      </c>
      <c r="E36" s="88"/>
      <c r="F36" s="128">
        <f>F35</f>
        <v>0.19320000000000001</v>
      </c>
      <c r="G36" s="88"/>
      <c r="H36" s="88"/>
      <c r="I36" s="88"/>
      <c r="J36" s="88"/>
      <c r="K36" s="88"/>
      <c r="L36" s="88"/>
      <c r="M36" s="88"/>
    </row>
    <row r="37" spans="1:13">
      <c r="A37" s="116" t="s">
        <v>22</v>
      </c>
      <c r="B37" s="97" t="s">
        <v>341</v>
      </c>
      <c r="C37" s="127" t="s">
        <v>89</v>
      </c>
      <c r="D37" s="116" t="s">
        <v>24</v>
      </c>
      <c r="E37" s="88">
        <v>0.3</v>
      </c>
      <c r="F37" s="88">
        <f>ROUND(E37*F36,1)</f>
        <v>0.1</v>
      </c>
      <c r="G37" s="88"/>
      <c r="H37" s="88"/>
      <c r="I37" s="88"/>
      <c r="J37" s="88"/>
      <c r="K37" s="88"/>
      <c r="L37" s="88"/>
      <c r="M37" s="88"/>
    </row>
    <row r="38" spans="1:13">
      <c r="A38" s="116" t="s">
        <v>240</v>
      </c>
      <c r="B38" s="97" t="s">
        <v>342</v>
      </c>
      <c r="C38" s="127" t="s">
        <v>94</v>
      </c>
      <c r="D38" s="116" t="s">
        <v>23</v>
      </c>
      <c r="E38" s="88">
        <v>1.03</v>
      </c>
      <c r="F38" s="88">
        <f>ROUND(E38*F36,2)</f>
        <v>0.2</v>
      </c>
      <c r="G38" s="88"/>
      <c r="H38" s="88"/>
      <c r="I38" s="88"/>
      <c r="J38" s="88"/>
      <c r="K38" s="88"/>
      <c r="L38" s="88"/>
      <c r="M38" s="88"/>
    </row>
    <row r="39" spans="1:13">
      <c r="A39" s="116"/>
      <c r="B39" s="97"/>
      <c r="C39" s="126"/>
      <c r="D39" s="116"/>
      <c r="E39" s="116"/>
      <c r="F39" s="117"/>
      <c r="G39" s="131"/>
      <c r="H39" s="117"/>
      <c r="I39" s="131"/>
      <c r="J39" s="131"/>
      <c r="K39" s="117"/>
      <c r="L39" s="117"/>
      <c r="M39" s="117"/>
    </row>
    <row r="40" spans="1:13" ht="38.25">
      <c r="A40" s="116">
        <v>1.5</v>
      </c>
      <c r="B40" s="146" t="s">
        <v>95</v>
      </c>
      <c r="C40" s="126" t="s">
        <v>343</v>
      </c>
      <c r="D40" s="116" t="s">
        <v>325</v>
      </c>
      <c r="E40" s="116"/>
      <c r="F40" s="88">
        <f>F23</f>
        <v>276</v>
      </c>
      <c r="G40" s="131"/>
      <c r="H40" s="131"/>
      <c r="I40" s="131"/>
      <c r="J40" s="131"/>
      <c r="K40" s="131"/>
      <c r="L40" s="131"/>
      <c r="M40" s="117"/>
    </row>
    <row r="41" spans="1:13">
      <c r="A41" s="116"/>
      <c r="B41" s="146"/>
      <c r="C41" s="127"/>
      <c r="D41" s="116" t="s">
        <v>335</v>
      </c>
      <c r="E41" s="88"/>
      <c r="F41" s="128">
        <f>F40/1000</f>
        <v>0.27600000000000002</v>
      </c>
      <c r="G41" s="88"/>
      <c r="H41" s="88"/>
      <c r="I41" s="88"/>
      <c r="J41" s="88"/>
      <c r="K41" s="88"/>
      <c r="L41" s="88"/>
      <c r="M41" s="88"/>
    </row>
    <row r="42" spans="1:13">
      <c r="A42" s="116" t="s">
        <v>209</v>
      </c>
      <c r="B42" s="146"/>
      <c r="C42" s="127" t="s">
        <v>15</v>
      </c>
      <c r="D42" s="116" t="s">
        <v>1</v>
      </c>
      <c r="E42" s="88">
        <f>37.5+4*0.07</f>
        <v>37.78</v>
      </c>
      <c r="F42" s="88">
        <f>E42*F41</f>
        <v>10.427280000000001</v>
      </c>
      <c r="G42" s="88"/>
      <c r="H42" s="88"/>
      <c r="I42" s="88"/>
      <c r="J42" s="88"/>
      <c r="K42" s="88"/>
      <c r="L42" s="88"/>
      <c r="M42" s="88"/>
    </row>
    <row r="43" spans="1:13">
      <c r="A43" s="116" t="s">
        <v>210</v>
      </c>
      <c r="B43" s="146" t="s">
        <v>337</v>
      </c>
      <c r="C43" s="127" t="s">
        <v>91</v>
      </c>
      <c r="D43" s="116" t="s">
        <v>24</v>
      </c>
      <c r="E43" s="88">
        <v>3.7</v>
      </c>
      <c r="F43" s="88">
        <f>E43*F41</f>
        <v>1.0212000000000001</v>
      </c>
      <c r="G43" s="88"/>
      <c r="H43" s="88"/>
      <c r="I43" s="88"/>
      <c r="J43" s="88"/>
      <c r="K43" s="88"/>
      <c r="L43" s="88"/>
      <c r="M43" s="88"/>
    </row>
    <row r="44" spans="1:13">
      <c r="A44" s="116" t="s">
        <v>211</v>
      </c>
      <c r="B44" s="146" t="s">
        <v>338</v>
      </c>
      <c r="C44" s="127" t="s">
        <v>92</v>
      </c>
      <c r="D44" s="116" t="s">
        <v>24</v>
      </c>
      <c r="E44" s="88">
        <v>11.1</v>
      </c>
      <c r="F44" s="88">
        <f>E44*F41</f>
        <v>3.0636000000000001</v>
      </c>
      <c r="G44" s="88"/>
      <c r="H44" s="88"/>
      <c r="I44" s="88"/>
      <c r="J44" s="88"/>
      <c r="K44" s="88"/>
      <c r="L44" s="88"/>
      <c r="M44" s="88"/>
    </row>
    <row r="45" spans="1:13">
      <c r="A45" s="116" t="s">
        <v>212</v>
      </c>
      <c r="B45" s="146" t="s">
        <v>344</v>
      </c>
      <c r="C45" s="127" t="s">
        <v>96</v>
      </c>
      <c r="D45" s="116" t="s">
        <v>24</v>
      </c>
      <c r="E45" s="88">
        <v>3.02</v>
      </c>
      <c r="F45" s="88">
        <f>E45*F41</f>
        <v>0.83352000000000004</v>
      </c>
      <c r="G45" s="88"/>
      <c r="H45" s="88"/>
      <c r="I45" s="88"/>
      <c r="J45" s="88"/>
      <c r="K45" s="88"/>
      <c r="L45" s="88"/>
      <c r="M45" s="88"/>
    </row>
    <row r="46" spans="1:13">
      <c r="A46" s="116" t="s">
        <v>225</v>
      </c>
      <c r="B46" s="146"/>
      <c r="C46" s="127" t="s">
        <v>13</v>
      </c>
      <c r="D46" s="116" t="s">
        <v>25</v>
      </c>
      <c r="E46" s="88">
        <v>2.2999999999999998</v>
      </c>
      <c r="F46" s="88">
        <f>E46*F41</f>
        <v>0.63480000000000003</v>
      </c>
      <c r="G46" s="88"/>
      <c r="H46" s="88"/>
      <c r="I46" s="88"/>
      <c r="J46" s="88"/>
      <c r="K46" s="88"/>
      <c r="L46" s="88"/>
      <c r="M46" s="88"/>
    </row>
    <row r="47" spans="1:13">
      <c r="A47" s="116" t="s">
        <v>226</v>
      </c>
      <c r="B47" s="146" t="s">
        <v>345</v>
      </c>
      <c r="C47" s="127" t="s">
        <v>346</v>
      </c>
      <c r="D47" s="116" t="s">
        <v>23</v>
      </c>
      <c r="E47" s="88">
        <f>97.4+4*12.1</f>
        <v>145.80000000000001</v>
      </c>
      <c r="F47" s="88">
        <f>E47*F41</f>
        <v>40.240800000000007</v>
      </c>
      <c r="G47" s="88"/>
      <c r="H47" s="88"/>
      <c r="I47" s="88"/>
      <c r="J47" s="88"/>
      <c r="K47" s="88"/>
      <c r="L47" s="88"/>
      <c r="M47" s="88"/>
    </row>
    <row r="48" spans="1:13">
      <c r="A48" s="116" t="s">
        <v>245</v>
      </c>
      <c r="B48" s="146"/>
      <c r="C48" s="127" t="s">
        <v>14</v>
      </c>
      <c r="D48" s="116" t="s">
        <v>25</v>
      </c>
      <c r="E48" s="88">
        <f>14.5+4*0.2</f>
        <v>15.3</v>
      </c>
      <c r="F48" s="88">
        <f>E48*F41</f>
        <v>4.2228000000000003</v>
      </c>
      <c r="G48" s="88"/>
      <c r="H48" s="88"/>
      <c r="I48" s="88"/>
      <c r="J48" s="88"/>
      <c r="K48" s="88"/>
      <c r="L48" s="88"/>
      <c r="M48" s="88"/>
    </row>
    <row r="49" spans="1:14">
      <c r="A49" s="116"/>
      <c r="B49" s="146"/>
      <c r="C49" s="126"/>
      <c r="D49" s="116"/>
      <c r="E49" s="116"/>
      <c r="F49" s="117"/>
      <c r="G49" s="131"/>
      <c r="H49" s="117"/>
      <c r="I49" s="131"/>
      <c r="J49" s="131"/>
      <c r="K49" s="131"/>
      <c r="L49" s="131"/>
      <c r="M49" s="117"/>
    </row>
    <row r="50" spans="1:14" ht="12.75" customHeight="1">
      <c r="A50" s="116">
        <v>1.6</v>
      </c>
      <c r="B50" s="97" t="s">
        <v>88</v>
      </c>
      <c r="C50" s="126" t="s">
        <v>87</v>
      </c>
      <c r="D50" s="116" t="s">
        <v>23</v>
      </c>
      <c r="E50" s="116"/>
      <c r="F50" s="116">
        <v>0.96599999999999997</v>
      </c>
      <c r="G50" s="131"/>
      <c r="H50" s="131"/>
      <c r="I50" s="131"/>
      <c r="J50" s="131"/>
      <c r="K50" s="131"/>
      <c r="L50" s="131"/>
      <c r="M50" s="117"/>
      <c r="N50" s="56" t="s">
        <v>60</v>
      </c>
    </row>
    <row r="51" spans="1:14">
      <c r="A51" s="116"/>
      <c r="B51" s="97"/>
      <c r="C51" s="127"/>
      <c r="D51" s="116" t="s">
        <v>111</v>
      </c>
      <c r="E51" s="88"/>
      <c r="F51" s="128">
        <f>F50</f>
        <v>0.96599999999999997</v>
      </c>
      <c r="G51" s="88"/>
      <c r="H51" s="88"/>
      <c r="I51" s="88"/>
      <c r="J51" s="88"/>
      <c r="K51" s="88"/>
      <c r="L51" s="88"/>
      <c r="M51" s="88"/>
    </row>
    <row r="52" spans="1:14">
      <c r="A52" s="116" t="s">
        <v>61</v>
      </c>
      <c r="B52" s="97" t="s">
        <v>341</v>
      </c>
      <c r="C52" s="127" t="s">
        <v>89</v>
      </c>
      <c r="D52" s="116" t="s">
        <v>24</v>
      </c>
      <c r="E52" s="88">
        <v>0.3</v>
      </c>
      <c r="F52" s="88">
        <f>ROUND(E52*F51,1)</f>
        <v>0.3</v>
      </c>
      <c r="G52" s="88"/>
      <c r="H52" s="88"/>
      <c r="I52" s="88"/>
      <c r="J52" s="88"/>
      <c r="K52" s="88"/>
      <c r="L52" s="88"/>
      <c r="M52" s="88"/>
    </row>
    <row r="53" spans="1:14">
      <c r="A53" s="116" t="s">
        <v>62</v>
      </c>
      <c r="B53" s="97" t="s">
        <v>342</v>
      </c>
      <c r="C53" s="127" t="s">
        <v>94</v>
      </c>
      <c r="D53" s="116" t="s">
        <v>23</v>
      </c>
      <c r="E53" s="88">
        <v>1.03</v>
      </c>
      <c r="F53" s="88">
        <f>ROUND(E53*F51,2)</f>
        <v>0.99</v>
      </c>
      <c r="G53" s="88"/>
      <c r="H53" s="88"/>
      <c r="I53" s="88"/>
      <c r="J53" s="88"/>
      <c r="K53" s="88"/>
      <c r="L53" s="88"/>
      <c r="M53" s="88"/>
    </row>
    <row r="54" spans="1:14">
      <c r="A54" s="116"/>
      <c r="B54" s="97"/>
      <c r="C54" s="126"/>
      <c r="D54" s="116"/>
      <c r="E54" s="116"/>
      <c r="F54" s="117"/>
      <c r="G54" s="131"/>
      <c r="H54" s="117"/>
      <c r="I54" s="131"/>
      <c r="J54" s="131"/>
      <c r="K54" s="117"/>
      <c r="L54" s="117"/>
      <c r="M54" s="117"/>
    </row>
    <row r="55" spans="1:14" ht="25.5">
      <c r="A55" s="116">
        <v>1.7</v>
      </c>
      <c r="B55" s="146" t="s">
        <v>95</v>
      </c>
      <c r="C55" s="126" t="s">
        <v>269</v>
      </c>
      <c r="D55" s="116" t="s">
        <v>325</v>
      </c>
      <c r="E55" s="116"/>
      <c r="F55" s="88">
        <f>F40</f>
        <v>276</v>
      </c>
      <c r="G55" s="131"/>
      <c r="H55" s="131"/>
      <c r="I55" s="131"/>
      <c r="J55" s="131"/>
      <c r="K55" s="131"/>
      <c r="L55" s="131"/>
      <c r="M55" s="117"/>
    </row>
    <row r="56" spans="1:14">
      <c r="A56" s="116"/>
      <c r="B56" s="146"/>
      <c r="C56" s="127"/>
      <c r="D56" s="116" t="s">
        <v>347</v>
      </c>
      <c r="E56" s="88"/>
      <c r="F56" s="128">
        <f>F41</f>
        <v>0.27600000000000002</v>
      </c>
      <c r="G56" s="88"/>
      <c r="H56" s="88"/>
      <c r="I56" s="88"/>
      <c r="J56" s="88"/>
      <c r="K56" s="88"/>
      <c r="L56" s="88"/>
      <c r="M56" s="88"/>
    </row>
    <row r="57" spans="1:14" s="68" customFormat="1">
      <c r="A57" s="116" t="s">
        <v>63</v>
      </c>
      <c r="B57" s="146"/>
      <c r="C57" s="127" t="s">
        <v>15</v>
      </c>
      <c r="D57" s="116" t="s">
        <v>1</v>
      </c>
      <c r="E57" s="88">
        <f>37.5-2*0.07</f>
        <v>37.36</v>
      </c>
      <c r="F57" s="88">
        <f>E57*F56</f>
        <v>10.311360000000001</v>
      </c>
      <c r="G57" s="88"/>
      <c r="H57" s="88"/>
      <c r="I57" s="88"/>
      <c r="J57" s="88"/>
      <c r="K57" s="88"/>
      <c r="L57" s="88"/>
      <c r="M57" s="88"/>
    </row>
    <row r="58" spans="1:14" s="68" customFormat="1">
      <c r="A58" s="116" t="s">
        <v>64</v>
      </c>
      <c r="B58" s="146" t="s">
        <v>337</v>
      </c>
      <c r="C58" s="127" t="s">
        <v>91</v>
      </c>
      <c r="D58" s="116" t="s">
        <v>24</v>
      </c>
      <c r="E58" s="88">
        <v>3.7</v>
      </c>
      <c r="F58" s="88">
        <f>E58*F56</f>
        <v>1.0212000000000001</v>
      </c>
      <c r="G58" s="88"/>
      <c r="H58" s="88"/>
      <c r="I58" s="88"/>
      <c r="J58" s="88"/>
      <c r="K58" s="88"/>
      <c r="L58" s="88"/>
      <c r="M58" s="88"/>
    </row>
    <row r="59" spans="1:14" s="68" customFormat="1">
      <c r="A59" s="116" t="s">
        <v>215</v>
      </c>
      <c r="B59" s="146" t="s">
        <v>338</v>
      </c>
      <c r="C59" s="127" t="s">
        <v>92</v>
      </c>
      <c r="D59" s="116" t="s">
        <v>24</v>
      </c>
      <c r="E59" s="88">
        <v>11.1</v>
      </c>
      <c r="F59" s="88">
        <f>E59*F56</f>
        <v>3.0636000000000001</v>
      </c>
      <c r="G59" s="88"/>
      <c r="H59" s="88"/>
      <c r="I59" s="88"/>
      <c r="J59" s="88"/>
      <c r="K59" s="88"/>
      <c r="L59" s="88"/>
      <c r="M59" s="88"/>
    </row>
    <row r="60" spans="1:14" s="68" customFormat="1">
      <c r="A60" s="116" t="s">
        <v>216</v>
      </c>
      <c r="B60" s="146" t="s">
        <v>344</v>
      </c>
      <c r="C60" s="127" t="s">
        <v>96</v>
      </c>
      <c r="D60" s="116" t="s">
        <v>24</v>
      </c>
      <c r="E60" s="88">
        <v>3.02</v>
      </c>
      <c r="F60" s="88">
        <f>E60*F56</f>
        <v>0.83352000000000004</v>
      </c>
      <c r="G60" s="88"/>
      <c r="H60" s="88"/>
      <c r="I60" s="88"/>
      <c r="J60" s="88"/>
      <c r="K60" s="88"/>
      <c r="L60" s="88"/>
      <c r="M60" s="88"/>
    </row>
    <row r="61" spans="1:14" s="68" customFormat="1">
      <c r="A61" s="116" t="s">
        <v>217</v>
      </c>
      <c r="B61" s="146"/>
      <c r="C61" s="127" t="s">
        <v>13</v>
      </c>
      <c r="D61" s="116" t="s">
        <v>25</v>
      </c>
      <c r="E61" s="88">
        <v>2.2999999999999998</v>
      </c>
      <c r="F61" s="88">
        <f>E61*F56</f>
        <v>0.63480000000000003</v>
      </c>
      <c r="G61" s="88"/>
      <c r="H61" s="88"/>
      <c r="I61" s="88"/>
      <c r="J61" s="88"/>
      <c r="K61" s="88"/>
      <c r="L61" s="88"/>
      <c r="M61" s="88"/>
    </row>
    <row r="62" spans="1:14">
      <c r="A62" s="116" t="s">
        <v>218</v>
      </c>
      <c r="B62" s="146" t="s">
        <v>348</v>
      </c>
      <c r="C62" s="127" t="s">
        <v>266</v>
      </c>
      <c r="D62" s="116" t="s">
        <v>23</v>
      </c>
      <c r="E62" s="88">
        <f>97.4-2*12.1</f>
        <v>73.2</v>
      </c>
      <c r="F62" s="88">
        <f>E62*F56</f>
        <v>20.203200000000002</v>
      </c>
      <c r="G62" s="88"/>
      <c r="H62" s="88"/>
      <c r="I62" s="88"/>
      <c r="J62" s="88"/>
      <c r="K62" s="88"/>
      <c r="L62" s="88"/>
      <c r="M62" s="88"/>
    </row>
    <row r="63" spans="1:14">
      <c r="A63" s="116" t="s">
        <v>219</v>
      </c>
      <c r="B63" s="146"/>
      <c r="C63" s="127" t="s">
        <v>14</v>
      </c>
      <c r="D63" s="116" t="s">
        <v>25</v>
      </c>
      <c r="E63" s="88">
        <f>14.5-2*0.2</f>
        <v>14.1</v>
      </c>
      <c r="F63" s="88">
        <f>E63*F56</f>
        <v>3.8916000000000004</v>
      </c>
      <c r="G63" s="88"/>
      <c r="H63" s="88"/>
      <c r="I63" s="88"/>
      <c r="J63" s="88"/>
      <c r="K63" s="88"/>
      <c r="L63" s="88"/>
      <c r="M63" s="88"/>
    </row>
    <row r="64" spans="1:14">
      <c r="A64" s="116"/>
      <c r="B64" s="146"/>
      <c r="C64" s="126"/>
      <c r="D64" s="116"/>
      <c r="E64" s="116"/>
      <c r="F64" s="117"/>
      <c r="G64" s="131"/>
      <c r="H64" s="117"/>
      <c r="I64" s="131"/>
      <c r="J64" s="131"/>
      <c r="K64" s="131"/>
      <c r="L64" s="131"/>
      <c r="M64" s="117"/>
    </row>
    <row r="65" spans="1:13">
      <c r="A65" s="116">
        <v>1.8</v>
      </c>
      <c r="B65" s="97" t="s">
        <v>328</v>
      </c>
      <c r="C65" s="130" t="s">
        <v>247</v>
      </c>
      <c r="D65" s="116" t="s">
        <v>329</v>
      </c>
      <c r="E65" s="116"/>
      <c r="F65" s="88">
        <v>8.3000000000000007</v>
      </c>
      <c r="G65" s="131"/>
      <c r="H65" s="131"/>
      <c r="I65" s="131"/>
      <c r="J65" s="131"/>
      <c r="K65" s="131"/>
      <c r="L65" s="131"/>
      <c r="M65" s="117"/>
    </row>
    <row r="66" spans="1:13">
      <c r="A66" s="116"/>
      <c r="B66" s="97"/>
      <c r="C66" s="127"/>
      <c r="D66" s="116" t="s">
        <v>330</v>
      </c>
      <c r="E66" s="88"/>
      <c r="F66" s="128">
        <f>F65/100</f>
        <v>8.3000000000000004E-2</v>
      </c>
      <c r="G66" s="88"/>
      <c r="H66" s="88"/>
      <c r="I66" s="88"/>
      <c r="J66" s="88"/>
      <c r="K66" s="88"/>
      <c r="L66" s="88"/>
      <c r="M66" s="88"/>
    </row>
    <row r="67" spans="1:13">
      <c r="A67" s="116" t="s">
        <v>65</v>
      </c>
      <c r="B67" s="97"/>
      <c r="C67" s="129" t="s">
        <v>15</v>
      </c>
      <c r="D67" s="116" t="s">
        <v>1</v>
      </c>
      <c r="E67" s="88">
        <v>15</v>
      </c>
      <c r="F67" s="88">
        <f>E67*F66</f>
        <v>1.2450000000000001</v>
      </c>
      <c r="G67" s="88"/>
      <c r="H67" s="88"/>
      <c r="I67" s="88"/>
      <c r="J67" s="88"/>
      <c r="K67" s="88"/>
      <c r="L67" s="88"/>
      <c r="M67" s="88"/>
    </row>
    <row r="68" spans="1:13">
      <c r="A68" s="116" t="s">
        <v>66</v>
      </c>
      <c r="B68" s="97" t="s">
        <v>327</v>
      </c>
      <c r="C68" s="129" t="s">
        <v>74</v>
      </c>
      <c r="D68" s="116" t="s">
        <v>24</v>
      </c>
      <c r="E68" s="88">
        <v>2.16</v>
      </c>
      <c r="F68" s="88">
        <f>E68*F66</f>
        <v>0.17928000000000002</v>
      </c>
      <c r="G68" s="88"/>
      <c r="H68" s="88"/>
      <c r="I68" s="88"/>
      <c r="J68" s="88"/>
      <c r="K68" s="88"/>
      <c r="L68" s="88"/>
      <c r="M68" s="88"/>
    </row>
    <row r="69" spans="1:13">
      <c r="A69" s="116" t="s">
        <v>229</v>
      </c>
      <c r="B69" s="97" t="s">
        <v>331</v>
      </c>
      <c r="C69" s="129" t="s">
        <v>90</v>
      </c>
      <c r="D69" s="116" t="s">
        <v>24</v>
      </c>
      <c r="E69" s="88">
        <v>2.73</v>
      </c>
      <c r="F69" s="88">
        <f>E69*F66</f>
        <v>0.22659000000000001</v>
      </c>
      <c r="G69" s="88"/>
      <c r="H69" s="88"/>
      <c r="I69" s="88"/>
      <c r="J69" s="88"/>
      <c r="K69" s="88"/>
      <c r="L69" s="88"/>
      <c r="M69" s="88"/>
    </row>
    <row r="70" spans="1:13">
      <c r="A70" s="116" t="s">
        <v>230</v>
      </c>
      <c r="B70" s="97" t="s">
        <v>332</v>
      </c>
      <c r="C70" s="129" t="s">
        <v>75</v>
      </c>
      <c r="D70" s="116" t="s">
        <v>24</v>
      </c>
      <c r="E70" s="88">
        <v>0.97</v>
      </c>
      <c r="F70" s="88">
        <f>E70*F66</f>
        <v>8.0509999999999998E-2</v>
      </c>
      <c r="G70" s="88"/>
      <c r="H70" s="88"/>
      <c r="I70" s="88"/>
      <c r="J70" s="88"/>
      <c r="K70" s="88"/>
      <c r="L70" s="88"/>
      <c r="M70" s="88"/>
    </row>
    <row r="71" spans="1:13">
      <c r="A71" s="116" t="s">
        <v>231</v>
      </c>
      <c r="B71" s="97"/>
      <c r="C71" s="129" t="s">
        <v>76</v>
      </c>
      <c r="D71" s="116" t="s">
        <v>329</v>
      </c>
      <c r="E71" s="88">
        <v>7</v>
      </c>
      <c r="F71" s="88">
        <f>E71*F66</f>
        <v>0.58100000000000007</v>
      </c>
      <c r="G71" s="88"/>
      <c r="H71" s="88"/>
      <c r="I71" s="88"/>
      <c r="J71" s="88"/>
      <c r="K71" s="88"/>
      <c r="L71" s="88"/>
      <c r="M71" s="88"/>
    </row>
    <row r="72" spans="1:13">
      <c r="A72" s="116" t="s">
        <v>270</v>
      </c>
      <c r="B72" s="97" t="s">
        <v>333</v>
      </c>
      <c r="C72" s="129" t="s">
        <v>170</v>
      </c>
      <c r="D72" s="116" t="s">
        <v>329</v>
      </c>
      <c r="E72" s="88">
        <v>122</v>
      </c>
      <c r="F72" s="88">
        <f>E72*F66</f>
        <v>10.126000000000001</v>
      </c>
      <c r="G72" s="88"/>
      <c r="H72" s="88"/>
      <c r="I72" s="88"/>
      <c r="J72" s="88"/>
      <c r="K72" s="88"/>
      <c r="L72" s="88"/>
      <c r="M72" s="88"/>
    </row>
    <row r="73" spans="1:13">
      <c r="A73" s="116"/>
      <c r="B73" s="97"/>
      <c r="C73" s="126"/>
      <c r="D73" s="116"/>
      <c r="E73" s="116"/>
      <c r="F73" s="117"/>
      <c r="G73" s="131"/>
      <c r="H73" s="117"/>
      <c r="I73" s="131"/>
      <c r="J73" s="131"/>
      <c r="K73" s="117"/>
      <c r="L73" s="117"/>
      <c r="M73" s="117"/>
    </row>
    <row r="74" spans="1:13">
      <c r="A74" s="114"/>
      <c r="B74" s="97"/>
      <c r="C74" s="114" t="s">
        <v>4</v>
      </c>
      <c r="D74" s="114"/>
      <c r="E74" s="114"/>
      <c r="F74" s="114"/>
      <c r="G74" s="114"/>
      <c r="H74" s="115"/>
      <c r="I74" s="115"/>
      <c r="J74" s="115"/>
      <c r="K74" s="115"/>
      <c r="L74" s="115"/>
      <c r="M74" s="115"/>
    </row>
    <row r="75" spans="1:13">
      <c r="A75" s="116"/>
      <c r="B75" s="97"/>
      <c r="C75" s="116"/>
      <c r="D75" s="116"/>
      <c r="E75" s="88"/>
      <c r="F75" s="88"/>
      <c r="G75" s="88"/>
      <c r="H75" s="88"/>
      <c r="I75" s="88"/>
      <c r="J75" s="88"/>
      <c r="K75" s="88"/>
      <c r="L75" s="88"/>
      <c r="M75" s="88"/>
    </row>
    <row r="76" spans="1:13">
      <c r="A76" s="116"/>
      <c r="B76" s="97"/>
      <c r="C76" s="116" t="s">
        <v>10</v>
      </c>
      <c r="D76" s="120">
        <v>0.1</v>
      </c>
      <c r="E76" s="88"/>
      <c r="F76" s="88"/>
      <c r="G76" s="88"/>
      <c r="H76" s="88"/>
      <c r="I76" s="88"/>
      <c r="J76" s="88"/>
      <c r="K76" s="88"/>
      <c r="L76" s="88"/>
      <c r="M76" s="88"/>
    </row>
    <row r="77" spans="1:13">
      <c r="A77" s="116"/>
      <c r="B77" s="97"/>
      <c r="C77" s="116" t="s">
        <v>4</v>
      </c>
      <c r="D77" s="120"/>
      <c r="E77" s="88"/>
      <c r="F77" s="88"/>
      <c r="G77" s="88"/>
      <c r="H77" s="88"/>
      <c r="I77" s="88"/>
      <c r="J77" s="88"/>
      <c r="K77" s="88"/>
      <c r="L77" s="88"/>
      <c r="M77" s="88"/>
    </row>
    <row r="78" spans="1:13">
      <c r="A78" s="116"/>
      <c r="B78" s="97"/>
      <c r="C78" s="116" t="s">
        <v>11</v>
      </c>
      <c r="D78" s="120">
        <v>0.08</v>
      </c>
      <c r="E78" s="88"/>
      <c r="F78" s="88"/>
      <c r="G78" s="88"/>
      <c r="H78" s="88"/>
      <c r="I78" s="88"/>
      <c r="J78" s="88"/>
      <c r="K78" s="88"/>
      <c r="L78" s="88"/>
      <c r="M78" s="88"/>
    </row>
    <row r="79" spans="1:13">
      <c r="A79" s="116"/>
      <c r="B79" s="97"/>
      <c r="C79" s="116"/>
      <c r="D79" s="120"/>
      <c r="E79" s="88"/>
      <c r="F79" s="88"/>
      <c r="G79" s="88"/>
      <c r="H79" s="88"/>
      <c r="I79" s="88"/>
      <c r="J79" s="88"/>
      <c r="K79" s="88"/>
      <c r="L79" s="88"/>
      <c r="M79" s="88"/>
    </row>
    <row r="80" spans="1:13">
      <c r="A80" s="114"/>
      <c r="B80" s="119"/>
      <c r="C80" s="114" t="s">
        <v>4</v>
      </c>
      <c r="D80" s="114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2:13">
      <c r="B81" s="56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69"/>
    </row>
    <row r="82" spans="2:13">
      <c r="B82" s="56"/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69"/>
    </row>
    <row r="83" spans="2:13">
      <c r="B83" s="5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69"/>
    </row>
    <row r="84" spans="2:13">
      <c r="B84" s="56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69"/>
    </row>
    <row r="85" spans="2:13">
      <c r="B85" s="56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69"/>
    </row>
    <row r="86" spans="2:13">
      <c r="B86" s="56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69"/>
    </row>
    <row r="87" spans="2:13">
      <c r="B87" s="5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69"/>
    </row>
    <row r="88" spans="2:13">
      <c r="B88" s="56"/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69"/>
    </row>
    <row r="89" spans="2:13">
      <c r="B89" s="56"/>
      <c r="C89" s="55"/>
      <c r="D89" s="56"/>
      <c r="E89" s="56"/>
      <c r="F89" s="56"/>
      <c r="G89" s="56"/>
      <c r="H89" s="56"/>
      <c r="I89" s="56"/>
      <c r="J89" s="56"/>
      <c r="K89" s="56"/>
      <c r="L89" s="56"/>
      <c r="M89" s="69"/>
    </row>
    <row r="90" spans="2:13">
      <c r="B90" s="56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69"/>
    </row>
    <row r="91" spans="2:13">
      <c r="B91" s="56"/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69"/>
    </row>
    <row r="92" spans="2:13">
      <c r="B92" s="56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69"/>
    </row>
    <row r="93" spans="2:13">
      <c r="B93" s="56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69"/>
    </row>
    <row r="94" spans="2:13">
      <c r="B94" s="56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69"/>
    </row>
    <row r="95" spans="2:13">
      <c r="B95" s="56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69"/>
    </row>
    <row r="96" spans="2:13">
      <c r="B96" s="56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69"/>
    </row>
    <row r="97" spans="2:13">
      <c r="B97" s="56"/>
      <c r="C97" s="55"/>
      <c r="D97" s="56"/>
      <c r="E97" s="56"/>
      <c r="F97" s="56"/>
      <c r="G97" s="56"/>
      <c r="H97" s="56"/>
      <c r="I97" s="56"/>
      <c r="J97" s="56"/>
      <c r="K97" s="56"/>
      <c r="L97" s="56"/>
      <c r="M97" s="69"/>
    </row>
    <row r="98" spans="2:13">
      <c r="B98" s="56"/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69"/>
    </row>
    <row r="99" spans="2:13">
      <c r="B99" s="56"/>
      <c r="C99" s="55"/>
      <c r="D99" s="56"/>
      <c r="E99" s="56"/>
      <c r="F99" s="56"/>
      <c r="G99" s="56"/>
      <c r="H99" s="56"/>
      <c r="I99" s="56"/>
      <c r="J99" s="56"/>
      <c r="K99" s="56"/>
      <c r="L99" s="56"/>
      <c r="M99" s="69"/>
    </row>
    <row r="100" spans="2:13">
      <c r="B100" s="56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69"/>
    </row>
    <row r="101" spans="2:13">
      <c r="B101" s="56"/>
      <c r="C101" s="55"/>
      <c r="D101" s="56"/>
      <c r="E101" s="56"/>
      <c r="F101" s="56"/>
      <c r="G101" s="56"/>
      <c r="H101" s="56"/>
      <c r="I101" s="56"/>
      <c r="J101" s="56"/>
      <c r="K101" s="56"/>
      <c r="L101" s="56"/>
      <c r="M101" s="69"/>
    </row>
    <row r="102" spans="2:13">
      <c r="B102" s="56"/>
      <c r="C102" s="55"/>
      <c r="D102" s="56"/>
      <c r="E102" s="56"/>
      <c r="F102" s="56"/>
      <c r="G102" s="56"/>
      <c r="H102" s="56"/>
      <c r="I102" s="56"/>
      <c r="J102" s="56"/>
      <c r="K102" s="56"/>
      <c r="L102" s="56"/>
      <c r="M102" s="69"/>
    </row>
    <row r="103" spans="2:13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70"/>
    </row>
    <row r="104" spans="2:13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70"/>
    </row>
    <row r="105" spans="2:13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70"/>
    </row>
    <row r="106" spans="2:13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70"/>
    </row>
    <row r="107" spans="2:13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70"/>
    </row>
    <row r="108" spans="2:13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70"/>
    </row>
    <row r="109" spans="2:13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70"/>
    </row>
    <row r="110" spans="2:13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70"/>
    </row>
    <row r="111" spans="2:13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70"/>
    </row>
    <row r="112" spans="2:13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70"/>
    </row>
    <row r="113" spans="2:13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70"/>
    </row>
    <row r="114" spans="2:13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70"/>
    </row>
    <row r="115" spans="2:13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70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topLeftCell="A22" zoomScale="60" zoomScaleNormal="55" workbookViewId="0">
      <selection activeCell="J25" sqref="J25:J31"/>
    </sheetView>
  </sheetViews>
  <sheetFormatPr defaultRowHeight="15"/>
  <cols>
    <col min="1" max="1" width="15.7109375" customWidth="1"/>
    <col min="2" max="2" width="200.7109375" customWidth="1"/>
    <col min="3" max="3" width="9.7109375" customWidth="1"/>
    <col min="4" max="4" width="34.7109375" customWidth="1"/>
    <col min="5" max="7" width="20.7109375" customWidth="1"/>
  </cols>
  <sheetData>
    <row r="1" spans="1:4">
      <c r="A1" s="49"/>
      <c r="B1" s="49"/>
      <c r="C1" s="7"/>
      <c r="D1" s="7"/>
    </row>
    <row r="2" spans="1:4">
      <c r="A2" s="49"/>
      <c r="B2" s="49"/>
      <c r="C2" s="7"/>
      <c r="D2" s="7"/>
    </row>
    <row r="3" spans="1:4" ht="15" customHeight="1">
      <c r="A3" s="50">
        <f>სატენდერო!A3</f>
        <v>0</v>
      </c>
      <c r="B3" s="50"/>
      <c r="C3" s="7"/>
      <c r="D3" s="170"/>
    </row>
    <row r="4" spans="1:4" ht="15" customHeight="1">
      <c r="A4" s="50"/>
      <c r="B4" s="50"/>
      <c r="C4" s="7"/>
      <c r="D4" s="170"/>
    </row>
    <row r="5" spans="1:4" ht="15" customHeight="1">
      <c r="A5" s="50" t="s">
        <v>28</v>
      </c>
      <c r="B5" s="50"/>
      <c r="C5" s="7"/>
      <c r="D5" s="170"/>
    </row>
    <row r="6" spans="1:4" ht="15" customHeight="1">
      <c r="A6" s="50"/>
      <c r="B6" s="50"/>
      <c r="C6" s="7"/>
      <c r="D6" s="170"/>
    </row>
    <row r="7" spans="1:4" ht="15" customHeight="1">
      <c r="A7" s="50">
        <f>სატენდერო!A7</f>
        <v>0</v>
      </c>
      <c r="B7" s="50"/>
      <c r="C7" s="7"/>
      <c r="D7" s="170"/>
    </row>
    <row r="8" spans="1:4" ht="15" customHeight="1">
      <c r="A8" s="50"/>
      <c r="B8" s="50"/>
      <c r="C8" s="7"/>
      <c r="D8" s="170"/>
    </row>
    <row r="9" spans="1:4" ht="15" customHeight="1">
      <c r="A9" s="50" t="s">
        <v>29</v>
      </c>
      <c r="B9" s="50"/>
      <c r="C9" s="7"/>
      <c r="D9" s="170"/>
    </row>
    <row r="10" spans="1:4" ht="15" customHeight="1">
      <c r="A10" s="50"/>
      <c r="B10" s="50"/>
      <c r="C10" s="8"/>
      <c r="D10" s="170"/>
    </row>
    <row r="11" spans="1:4" ht="15" customHeight="1">
      <c r="A11" s="170"/>
      <c r="B11" s="170"/>
      <c r="C11" s="7"/>
      <c r="D11" s="170"/>
    </row>
    <row r="12" spans="1:4" ht="15" customHeight="1">
      <c r="A12" s="170"/>
      <c r="B12" s="170"/>
      <c r="C12" s="7"/>
      <c r="D12" s="170"/>
    </row>
    <row r="13" spans="1:4" s="27" customFormat="1" ht="80.099999999999994" customHeight="1">
      <c r="A13" s="166" t="s">
        <v>48</v>
      </c>
      <c r="B13" s="167"/>
      <c r="C13" s="167"/>
      <c r="D13" s="167"/>
    </row>
    <row r="14" spans="1:4" s="27" customFormat="1" ht="39.950000000000003" customHeight="1">
      <c r="A14" s="168" t="s">
        <v>2</v>
      </c>
      <c r="B14" s="168" t="s">
        <v>3</v>
      </c>
      <c r="C14" s="168" t="s">
        <v>12</v>
      </c>
      <c r="D14" s="169" t="s">
        <v>52</v>
      </c>
    </row>
    <row r="15" spans="1:4" s="27" customFormat="1" ht="39.950000000000003" customHeight="1">
      <c r="A15" s="168"/>
      <c r="B15" s="168"/>
      <c r="C15" s="168"/>
      <c r="D15" s="169"/>
    </row>
    <row r="16" spans="1:4" s="27" customFormat="1" ht="39.950000000000003" customHeight="1">
      <c r="A16" s="168"/>
      <c r="B16" s="168"/>
      <c r="C16" s="168"/>
      <c r="D16" s="169"/>
    </row>
    <row r="17" spans="1:4" s="27" customFormat="1" ht="39.950000000000003" customHeight="1">
      <c r="A17" s="43">
        <v>1</v>
      </c>
      <c r="B17" s="43">
        <v>2</v>
      </c>
      <c r="C17" s="43">
        <v>3</v>
      </c>
      <c r="D17" s="43">
        <v>4</v>
      </c>
    </row>
    <row r="18" spans="1:4" s="26" customFormat="1" ht="39.950000000000003" customHeight="1">
      <c r="A18" s="164" t="s">
        <v>53</v>
      </c>
      <c r="B18" s="165"/>
      <c r="C18" s="165"/>
      <c r="D18" s="165"/>
    </row>
    <row r="19" spans="1:4" s="26" customFormat="1" ht="39.950000000000003" customHeight="1">
      <c r="A19" s="40" t="s">
        <v>162</v>
      </c>
      <c r="B19" s="37">
        <f>სატენდერო!B20</f>
        <v>0</v>
      </c>
      <c r="C19" s="37"/>
      <c r="D19" s="31">
        <f>სატენდერო!H26</f>
        <v>0</v>
      </c>
    </row>
    <row r="20" spans="1:4" s="26" customFormat="1" ht="39.950000000000003" customHeight="1">
      <c r="A20" s="164" t="s">
        <v>54</v>
      </c>
      <c r="B20" s="165"/>
      <c r="C20" s="165"/>
      <c r="D20" s="165"/>
    </row>
    <row r="21" spans="1:4" s="26" customFormat="1" ht="39.950000000000003" customHeight="1">
      <c r="A21" s="40" t="s">
        <v>175</v>
      </c>
      <c r="B21" s="37" t="str">
        <f>სატენდერო!B27</f>
        <v>მიწის ვაკისი</v>
      </c>
      <c r="C21" s="37"/>
      <c r="D21" s="31">
        <f>სატენდერო!H39</f>
        <v>0</v>
      </c>
    </row>
    <row r="22" spans="1:4" s="26" customFormat="1" ht="39.950000000000003" customHeight="1">
      <c r="A22" s="164" t="s">
        <v>55</v>
      </c>
      <c r="B22" s="165"/>
      <c r="C22" s="165"/>
      <c r="D22" s="165"/>
    </row>
    <row r="23" spans="1:4" s="26" customFormat="1" ht="39.950000000000003" customHeight="1">
      <c r="A23" s="40" t="s">
        <v>204</v>
      </c>
      <c r="B23" s="37" t="str">
        <f>სატენდერო!B40</f>
        <v>ღობის მოწყობის სამუშაოები</v>
      </c>
      <c r="C23" s="37"/>
      <c r="D23" s="31">
        <f>სატენდერო!H61</f>
        <v>0</v>
      </c>
    </row>
    <row r="24" spans="1:4" s="26" customFormat="1" ht="39.950000000000003" customHeight="1">
      <c r="A24" s="164" t="s">
        <v>56</v>
      </c>
      <c r="B24" s="165"/>
      <c r="C24" s="165"/>
      <c r="D24" s="165"/>
    </row>
    <row r="25" spans="1:4" s="26" customFormat="1" ht="39.950000000000003" customHeight="1">
      <c r="A25" s="40" t="s">
        <v>189</v>
      </c>
      <c r="B25" s="37" t="str">
        <f>სატენდერო!B62</f>
        <v>საგზაო სამოსი</v>
      </c>
      <c r="C25" s="37"/>
      <c r="D25" s="31">
        <f>სატენდერო!H73</f>
        <v>0</v>
      </c>
    </row>
    <row r="26" spans="1:4" s="26" customFormat="1" ht="39.950000000000003" customHeight="1">
      <c r="A26" s="164" t="s">
        <v>57</v>
      </c>
      <c r="B26" s="165"/>
      <c r="C26" s="165"/>
      <c r="D26" s="165"/>
    </row>
    <row r="27" spans="1:4" s="26" customFormat="1" ht="39.950000000000003" customHeight="1">
      <c r="A27" s="40" t="s">
        <v>205</v>
      </c>
      <c r="B27" s="37" t="str">
        <f>სატენდერო!B74</f>
        <v>მიერთებებისა და ადგილობრივი შესასვლელების მოწყობის სამუშაოები</v>
      </c>
      <c r="C27" s="37"/>
      <c r="D27" s="31">
        <f>სატენდერო!H87</f>
        <v>0</v>
      </c>
    </row>
    <row r="28" spans="1:4" s="27" customFormat="1" ht="39.950000000000003" customHeight="1">
      <c r="A28" s="43"/>
      <c r="B28" s="44" t="s">
        <v>4</v>
      </c>
      <c r="C28" s="29"/>
      <c r="D28" s="28">
        <f>ROUND(D19+D21+D25+D23+D27,2)</f>
        <v>0</v>
      </c>
    </row>
    <row r="29" spans="1:4" s="27" customFormat="1" ht="39.950000000000003" customHeight="1">
      <c r="A29" s="32"/>
      <c r="B29" s="43" t="s">
        <v>26</v>
      </c>
      <c r="C29" s="33">
        <v>0.05</v>
      </c>
      <c r="D29" s="29">
        <f>ROUND(D28*C29,2)</f>
        <v>0</v>
      </c>
    </row>
    <row r="30" spans="1:4" s="27" customFormat="1" ht="39.950000000000003" customHeight="1">
      <c r="A30" s="32"/>
      <c r="B30" s="43" t="s">
        <v>4</v>
      </c>
      <c r="C30" s="43"/>
      <c r="D30" s="28">
        <f>ROUND(SUM(D28:D29),2)</f>
        <v>0</v>
      </c>
    </row>
    <row r="31" spans="1:4" s="27" customFormat="1" ht="39.950000000000003" customHeight="1">
      <c r="A31" s="32"/>
      <c r="B31" s="43" t="s">
        <v>27</v>
      </c>
      <c r="C31" s="33">
        <v>0.18</v>
      </c>
      <c r="D31" s="28">
        <f>ROUND(D30*C31,2)</f>
        <v>0</v>
      </c>
    </row>
    <row r="32" spans="1:4" s="27" customFormat="1" ht="39.950000000000003" customHeight="1">
      <c r="A32" s="32"/>
      <c r="B32" s="43" t="s">
        <v>4</v>
      </c>
      <c r="C32" s="43"/>
      <c r="D32" s="30">
        <f>ROUND(SUM(D30:D31),2)</f>
        <v>0</v>
      </c>
    </row>
    <row r="33" spans="1:4" ht="39.950000000000003" customHeight="1">
      <c r="A33" s="3"/>
      <c r="B33" s="4"/>
      <c r="C33" s="47"/>
      <c r="D33" s="47"/>
    </row>
    <row r="34" spans="1:4" ht="39.950000000000003" customHeight="1">
      <c r="A34" s="3"/>
      <c r="B34" s="4"/>
      <c r="C34" s="47"/>
      <c r="D34" s="15"/>
    </row>
    <row r="35" spans="1:4" ht="39.950000000000003" customHeight="1">
      <c r="A35" s="3"/>
      <c r="B35" s="4"/>
      <c r="C35" s="47"/>
      <c r="D35" s="47"/>
    </row>
    <row r="36" spans="1:4" ht="39.950000000000003" customHeight="1">
      <c r="A36" s="3"/>
      <c r="B36" s="4"/>
      <c r="C36" s="47"/>
      <c r="D36" s="47"/>
    </row>
    <row r="37" spans="1:4" ht="39.950000000000003" customHeight="1">
      <c r="A37" s="3"/>
      <c r="B37" s="4"/>
      <c r="C37" s="47"/>
      <c r="D37" s="47"/>
    </row>
    <row r="38" spans="1:4" ht="39.950000000000003" customHeight="1">
      <c r="A38" s="3"/>
      <c r="B38" s="4"/>
      <c r="C38" s="47"/>
      <c r="D38" s="47"/>
    </row>
    <row r="39" spans="1:4" ht="39.950000000000003" customHeight="1">
      <c r="A39" s="3"/>
      <c r="B39" s="4"/>
      <c r="C39" s="47"/>
      <c r="D39" s="47"/>
    </row>
    <row r="40" spans="1:4" ht="39.950000000000003" customHeight="1">
      <c r="A40" s="3"/>
      <c r="B40" s="4"/>
      <c r="C40" s="47"/>
      <c r="D40" s="47"/>
    </row>
    <row r="41" spans="1:4" ht="39.950000000000003" customHeight="1">
      <c r="A41" s="3"/>
      <c r="B41" s="4"/>
      <c r="C41" s="47"/>
      <c r="D41" s="47"/>
    </row>
    <row r="42" spans="1:4" ht="39.950000000000003" customHeight="1">
      <c r="A42" s="3"/>
      <c r="B42" s="4"/>
      <c r="C42" s="47"/>
      <c r="D42" s="47"/>
    </row>
    <row r="43" spans="1:4" ht="39.950000000000003" customHeight="1">
      <c r="A43" s="3"/>
      <c r="B43" s="4"/>
      <c r="C43" s="47"/>
      <c r="D43" s="47"/>
    </row>
    <row r="44" spans="1:4" ht="39.950000000000003" customHeight="1">
      <c r="A44" s="3"/>
      <c r="B44" s="4"/>
      <c r="C44" s="47"/>
      <c r="D44" s="47"/>
    </row>
    <row r="45" spans="1:4" ht="39.950000000000003" customHeight="1">
      <c r="A45" s="3"/>
      <c r="B45" s="4"/>
      <c r="C45" s="47"/>
      <c r="D45" s="47"/>
    </row>
    <row r="46" spans="1:4" ht="39.950000000000003" customHeight="1">
      <c r="A46" s="3"/>
      <c r="B46" s="4"/>
      <c r="C46" s="47"/>
      <c r="D46" s="47"/>
    </row>
    <row r="47" spans="1:4" ht="39.950000000000003" customHeight="1">
      <c r="A47" s="3"/>
      <c r="B47" s="4"/>
      <c r="C47" s="47"/>
      <c r="D47" s="47"/>
    </row>
    <row r="48" spans="1:4" ht="39.950000000000003" customHeight="1">
      <c r="A48" s="3"/>
      <c r="B48" s="4"/>
      <c r="C48" s="47"/>
      <c r="D48" s="47"/>
    </row>
    <row r="49" spans="1:4" ht="39.950000000000003" customHeight="1">
      <c r="A49" s="3"/>
      <c r="B49" s="4"/>
      <c r="C49" s="47"/>
      <c r="D49" s="47"/>
    </row>
    <row r="50" spans="1:4" ht="39.950000000000003" customHeight="1">
      <c r="A50" s="3"/>
      <c r="B50" s="4"/>
      <c r="C50" s="47"/>
      <c r="D50" s="47"/>
    </row>
    <row r="51" spans="1:4" ht="39.950000000000003" customHeight="1">
      <c r="A51" s="3"/>
      <c r="B51" s="4"/>
      <c r="C51" s="47"/>
      <c r="D51" s="47"/>
    </row>
    <row r="52" spans="1:4" ht="39.950000000000003" customHeight="1">
      <c r="A52" s="3"/>
      <c r="B52" s="4"/>
      <c r="C52" s="47"/>
      <c r="D52" s="47"/>
    </row>
    <row r="53" spans="1:4" ht="39.950000000000003" customHeight="1">
      <c r="A53" s="3"/>
      <c r="B53" s="4"/>
      <c r="C53" s="47"/>
      <c r="D53" s="47"/>
    </row>
    <row r="54" spans="1:4" ht="39.950000000000003" customHeight="1">
      <c r="A54" s="3"/>
      <c r="B54" s="4"/>
      <c r="C54" s="47"/>
      <c r="D54" s="47"/>
    </row>
    <row r="55" spans="1:4" ht="39.950000000000003" customHeight="1">
      <c r="A55" s="3"/>
      <c r="B55" s="4"/>
      <c r="C55" s="47"/>
      <c r="D55" s="47"/>
    </row>
    <row r="56" spans="1:4" ht="39.950000000000003" customHeight="1">
      <c r="A56" s="3"/>
      <c r="B56" s="4"/>
      <c r="C56" s="47"/>
      <c r="D56" s="47"/>
    </row>
    <row r="57" spans="1:4" ht="39.950000000000003" customHeight="1">
      <c r="A57" s="3"/>
      <c r="B57" s="4"/>
      <c r="C57" s="47"/>
      <c r="D57" s="47"/>
    </row>
    <row r="58" spans="1:4" ht="39.950000000000003" customHeight="1">
      <c r="A58" s="3"/>
      <c r="B58" s="4"/>
      <c r="C58" s="47"/>
      <c r="D58" s="47"/>
    </row>
    <row r="59" spans="1:4" ht="39.950000000000003" customHeight="1">
      <c r="A59" s="3"/>
      <c r="B59" s="4"/>
      <c r="C59" s="47"/>
      <c r="D59" s="47"/>
    </row>
    <row r="60" spans="1:4" ht="39.950000000000003" customHeight="1">
      <c r="A60" s="3"/>
      <c r="B60" s="4"/>
      <c r="C60" s="47"/>
      <c r="D60" s="47"/>
    </row>
    <row r="61" spans="1:4" ht="39.950000000000003" customHeight="1">
      <c r="A61" s="3"/>
      <c r="B61" s="4"/>
      <c r="C61" s="47"/>
      <c r="D61" s="47"/>
    </row>
    <row r="62" spans="1:4" ht="39.950000000000003" customHeight="1">
      <c r="A62" s="3"/>
      <c r="B62" s="4"/>
      <c r="C62" s="47"/>
      <c r="D62" s="47"/>
    </row>
    <row r="63" spans="1:4" ht="39.950000000000003" customHeight="1">
      <c r="A63" s="3"/>
      <c r="B63" s="4"/>
      <c r="C63" s="47"/>
      <c r="D63" s="47"/>
    </row>
    <row r="64" spans="1:4" ht="39.950000000000003" customHeight="1">
      <c r="A64" s="3"/>
      <c r="B64" s="4"/>
      <c r="C64" s="47"/>
      <c r="D64" s="47"/>
    </row>
    <row r="65" spans="1:4" ht="39.950000000000003" customHeight="1">
      <c r="A65" s="3"/>
      <c r="B65" s="4"/>
      <c r="C65" s="47"/>
      <c r="D65" s="47"/>
    </row>
    <row r="66" spans="1:4" ht="39.950000000000003" customHeight="1">
      <c r="A66" s="3"/>
      <c r="B66" s="4"/>
      <c r="C66" s="47"/>
      <c r="D66" s="47"/>
    </row>
    <row r="67" spans="1:4" ht="39.950000000000003" customHeight="1">
      <c r="A67" s="3"/>
      <c r="B67" s="4"/>
      <c r="C67" s="47"/>
      <c r="D67" s="47"/>
    </row>
    <row r="68" spans="1:4" ht="39.950000000000003" customHeight="1">
      <c r="A68" s="3"/>
      <c r="B68" s="4"/>
      <c r="C68" s="47"/>
      <c r="D68" s="47"/>
    </row>
    <row r="69" spans="1:4">
      <c r="B69" s="1"/>
      <c r="C69" s="2"/>
      <c r="D69" s="2"/>
    </row>
    <row r="70" spans="1:4">
      <c r="B70" s="1"/>
      <c r="C70" s="2"/>
      <c r="D70" s="2"/>
    </row>
    <row r="71" spans="1:4">
      <c r="B71" s="1"/>
      <c r="C71" s="2"/>
      <c r="D71" s="2"/>
    </row>
    <row r="72" spans="1:4">
      <c r="B72" s="1"/>
      <c r="C72" s="2"/>
      <c r="D72" s="2"/>
    </row>
    <row r="73" spans="1:4">
      <c r="B73" s="1"/>
      <c r="C73" s="1"/>
      <c r="D73" s="1"/>
    </row>
    <row r="74" spans="1:4">
      <c r="B74" s="1"/>
      <c r="C74" s="1"/>
      <c r="D74" s="1"/>
    </row>
    <row r="75" spans="1:4">
      <c r="B75" s="1"/>
      <c r="C75" s="1"/>
      <c r="D75" s="1"/>
    </row>
    <row r="76" spans="1:4">
      <c r="B76" s="1"/>
      <c r="C76" s="1"/>
      <c r="D76" s="1"/>
    </row>
    <row r="77" spans="1:4">
      <c r="B77" s="1"/>
      <c r="C77" s="1"/>
      <c r="D77" s="1"/>
    </row>
    <row r="78" spans="1:4">
      <c r="B78" s="1"/>
      <c r="C78" s="1"/>
      <c r="D78" s="1"/>
    </row>
    <row r="79" spans="1:4">
      <c r="B79" s="1"/>
      <c r="C79" s="1"/>
      <c r="D79" s="1"/>
    </row>
    <row r="80" spans="1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</sheetData>
  <mergeCells count="16">
    <mergeCell ref="D3:D4"/>
    <mergeCell ref="D5:D6"/>
    <mergeCell ref="D7:D8"/>
    <mergeCell ref="D9:D10"/>
    <mergeCell ref="A11:B12"/>
    <mergeCell ref="D11:D12"/>
    <mergeCell ref="A20:D20"/>
    <mergeCell ref="A22:D22"/>
    <mergeCell ref="A24:D24"/>
    <mergeCell ref="A26:D26"/>
    <mergeCell ref="A13:D13"/>
    <mergeCell ref="A14:A16"/>
    <mergeCell ref="B14:B16"/>
    <mergeCell ref="C14:C16"/>
    <mergeCell ref="D14:D16"/>
    <mergeCell ref="A18:D18"/>
  </mergeCells>
  <pageMargins left="0.7" right="0.7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topLeftCell="A86" zoomScale="60" zoomScaleNormal="55" workbookViewId="0">
      <selection activeCell="J25" sqref="J25:J31"/>
    </sheetView>
  </sheetViews>
  <sheetFormatPr defaultRowHeight="15"/>
  <cols>
    <col min="1" max="1" width="15.7109375" customWidth="1"/>
    <col min="2" max="2" width="181.7109375" customWidth="1"/>
    <col min="3" max="4" width="15.7109375" hidden="1" customWidth="1"/>
    <col min="5" max="5" width="17.7109375" customWidth="1"/>
    <col min="6" max="6" width="15.7109375" customWidth="1"/>
    <col min="7" max="7" width="17.7109375" customWidth="1"/>
    <col min="8" max="8" width="21.28515625" style="16" bestFit="1" customWidth="1"/>
    <col min="9" max="11" width="20.7109375" customWidth="1"/>
  </cols>
  <sheetData>
    <row r="1" spans="1:9">
      <c r="A1" s="182"/>
      <c r="B1" s="182"/>
      <c r="C1" s="7"/>
      <c r="D1" s="7"/>
      <c r="E1" s="7"/>
      <c r="F1" s="7"/>
      <c r="G1" s="7"/>
      <c r="H1" s="14"/>
      <c r="I1" s="7"/>
    </row>
    <row r="2" spans="1:9">
      <c r="A2" s="182"/>
      <c r="B2" s="182"/>
      <c r="C2" s="7"/>
      <c r="D2" s="7"/>
      <c r="E2" s="7"/>
      <c r="F2" s="7"/>
      <c r="G2" s="7"/>
      <c r="H2" s="14"/>
      <c r="I2" s="7"/>
    </row>
    <row r="3" spans="1:9" ht="15" customHeight="1">
      <c r="A3" s="170">
        <f>'1-1'!A2:B2</f>
        <v>0</v>
      </c>
      <c r="B3" s="170"/>
      <c r="C3" s="7"/>
      <c r="D3" s="7"/>
      <c r="E3" s="174" t="s">
        <v>17</v>
      </c>
      <c r="F3" s="174"/>
      <c r="G3" s="174"/>
      <c r="H3" s="170"/>
      <c r="I3" s="170"/>
    </row>
    <row r="4" spans="1:9" ht="15" customHeight="1">
      <c r="A4" s="170"/>
      <c r="B4" s="170"/>
      <c r="C4" s="7"/>
      <c r="D4" s="7"/>
      <c r="E4" s="174"/>
      <c r="F4" s="174"/>
      <c r="G4" s="174"/>
      <c r="H4" s="170"/>
      <c r="I4" s="170"/>
    </row>
    <row r="5" spans="1:9" ht="15" customHeight="1">
      <c r="A5" s="170" t="s">
        <v>28</v>
      </c>
      <c r="B5" s="170"/>
      <c r="C5" s="7"/>
      <c r="D5" s="7"/>
      <c r="E5" s="174" t="s">
        <v>18</v>
      </c>
      <c r="F5" s="174"/>
      <c r="G5" s="174"/>
      <c r="H5" s="170"/>
      <c r="I5" s="170"/>
    </row>
    <row r="6" spans="1:9" ht="15" customHeight="1">
      <c r="A6" s="170"/>
      <c r="B6" s="170"/>
      <c r="C6" s="7"/>
      <c r="D6" s="7"/>
      <c r="E6" s="174"/>
      <c r="F6" s="174"/>
      <c r="G6" s="174"/>
      <c r="H6" s="170"/>
      <c r="I6" s="170"/>
    </row>
    <row r="7" spans="1:9" ht="15" customHeight="1">
      <c r="A7" s="170">
        <f>'1-1'!A4:B4</f>
        <v>0</v>
      </c>
      <c r="B7" s="170"/>
      <c r="C7" s="7"/>
      <c r="D7" s="7"/>
      <c r="E7" s="174" t="s">
        <v>59</v>
      </c>
      <c r="F7" s="174"/>
      <c r="G7" s="174"/>
      <c r="H7" s="170" t="s">
        <v>20</v>
      </c>
      <c r="I7" s="170"/>
    </row>
    <row r="8" spans="1:9" ht="15" customHeight="1">
      <c r="A8" s="170"/>
      <c r="B8" s="170"/>
      <c r="C8" s="7"/>
      <c r="D8" s="7"/>
      <c r="E8" s="174"/>
      <c r="F8" s="174"/>
      <c r="G8" s="174"/>
      <c r="H8" s="170"/>
      <c r="I8" s="170"/>
    </row>
    <row r="9" spans="1:9" ht="15" customHeight="1">
      <c r="A9" s="170" t="s">
        <v>29</v>
      </c>
      <c r="B9" s="170"/>
      <c r="C9" s="7"/>
      <c r="D9" s="7"/>
      <c r="E9" s="174" t="s">
        <v>19</v>
      </c>
      <c r="F9" s="174"/>
      <c r="G9" s="174"/>
      <c r="H9" s="170"/>
      <c r="I9" s="170"/>
    </row>
    <row r="10" spans="1:9" ht="15" customHeight="1">
      <c r="A10" s="170"/>
      <c r="B10" s="170"/>
      <c r="C10" s="7"/>
      <c r="D10" s="7"/>
      <c r="E10" s="174"/>
      <c r="F10" s="174"/>
      <c r="G10" s="174"/>
      <c r="H10" s="170"/>
      <c r="I10" s="170"/>
    </row>
    <row r="11" spans="1:9" ht="15" customHeight="1">
      <c r="A11" s="170"/>
      <c r="B11" s="170"/>
      <c r="C11" s="7"/>
      <c r="D11" s="174"/>
      <c r="E11" s="174"/>
      <c r="F11" s="174"/>
      <c r="G11" s="174"/>
      <c r="H11" s="170"/>
      <c r="I11" s="170"/>
    </row>
    <row r="12" spans="1:9" ht="15" customHeight="1">
      <c r="A12" s="170"/>
      <c r="B12" s="170"/>
      <c r="C12" s="7"/>
      <c r="D12" s="174"/>
      <c r="E12" s="174"/>
      <c r="F12" s="174"/>
      <c r="G12" s="174"/>
      <c r="H12" s="170"/>
      <c r="I12" s="170"/>
    </row>
    <row r="13" spans="1:9" ht="15" customHeight="1">
      <c r="A13" s="175" t="e">
        <f>'1-1'!A7:M8</f>
        <v>#VALUE!</v>
      </c>
      <c r="B13" s="175"/>
      <c r="C13" s="175"/>
      <c r="D13" s="175"/>
      <c r="E13" s="175"/>
      <c r="F13" s="175"/>
      <c r="G13" s="175"/>
      <c r="H13" s="175"/>
      <c r="I13" s="175"/>
    </row>
    <row r="14" spans="1:9" ht="15" customHeight="1">
      <c r="A14" s="175"/>
      <c r="B14" s="175"/>
      <c r="C14" s="175"/>
      <c r="D14" s="175"/>
      <c r="E14" s="175"/>
      <c r="F14" s="175"/>
      <c r="G14" s="175"/>
      <c r="H14" s="175"/>
      <c r="I14" s="175"/>
    </row>
    <row r="15" spans="1:9" ht="15" customHeight="1">
      <c r="A15" s="175"/>
      <c r="B15" s="175"/>
      <c r="C15" s="175"/>
      <c r="D15" s="175"/>
      <c r="E15" s="175"/>
      <c r="F15" s="175"/>
      <c r="G15" s="175"/>
      <c r="H15" s="175"/>
      <c r="I15" s="175"/>
    </row>
    <row r="16" spans="1:9" s="22" customFormat="1" ht="39.950000000000003" customHeight="1">
      <c r="A16" s="168" t="s">
        <v>2</v>
      </c>
      <c r="B16" s="176" t="s">
        <v>3</v>
      </c>
      <c r="C16" s="179" t="s">
        <v>7</v>
      </c>
      <c r="D16" s="179" t="s">
        <v>8</v>
      </c>
      <c r="E16" s="179" t="s">
        <v>7</v>
      </c>
      <c r="F16" s="179" t="s">
        <v>8</v>
      </c>
      <c r="G16" s="171" t="s">
        <v>271</v>
      </c>
      <c r="H16" s="168" t="s">
        <v>272</v>
      </c>
      <c r="I16" s="168" t="s">
        <v>5</v>
      </c>
    </row>
    <row r="17" spans="1:9" s="22" customFormat="1" ht="39.950000000000003" customHeight="1">
      <c r="A17" s="168"/>
      <c r="B17" s="177"/>
      <c r="C17" s="180"/>
      <c r="D17" s="180"/>
      <c r="E17" s="180"/>
      <c r="F17" s="180"/>
      <c r="G17" s="172"/>
      <c r="H17" s="168"/>
      <c r="I17" s="168"/>
    </row>
    <row r="18" spans="1:9" s="22" customFormat="1" ht="39.950000000000003" customHeight="1">
      <c r="A18" s="168"/>
      <c r="B18" s="178"/>
      <c r="C18" s="181"/>
      <c r="D18" s="181"/>
      <c r="E18" s="181"/>
      <c r="F18" s="181"/>
      <c r="G18" s="173"/>
      <c r="H18" s="168"/>
      <c r="I18" s="168"/>
    </row>
    <row r="19" spans="1:9" s="22" customFormat="1" ht="39.950000000000003" customHeight="1">
      <c r="A19" s="43">
        <v>1</v>
      </c>
      <c r="B19" s="43">
        <v>2</v>
      </c>
      <c r="C19" s="43">
        <v>3</v>
      </c>
      <c r="D19" s="43">
        <v>4</v>
      </c>
      <c r="E19" s="43">
        <v>3</v>
      </c>
      <c r="F19" s="43">
        <v>4</v>
      </c>
      <c r="G19" s="43">
        <v>5</v>
      </c>
      <c r="H19" s="43">
        <v>6</v>
      </c>
      <c r="I19" s="43">
        <v>7</v>
      </c>
    </row>
    <row r="20" spans="1:9" s="22" customFormat="1" ht="80.099999999999994" customHeight="1">
      <c r="A20" s="43"/>
      <c r="B20" s="44">
        <f>'1-1'!B13</f>
        <v>0</v>
      </c>
      <c r="C20" s="29"/>
      <c r="D20" s="29"/>
      <c r="E20" s="29"/>
      <c r="F20" s="29"/>
      <c r="G20" s="29"/>
      <c r="H20" s="28"/>
      <c r="I20" s="29"/>
    </row>
    <row r="21" spans="1:9" ht="39.950000000000003" customHeight="1">
      <c r="A21" s="6">
        <f>'1-1'!A14</f>
        <v>0</v>
      </c>
      <c r="B21" s="6">
        <f>'1-1'!B14</f>
        <v>0</v>
      </c>
      <c r="C21" s="6">
        <f>'1-1'!C14</f>
        <v>0</v>
      </c>
      <c r="D21" s="6">
        <f>'1-1'!E14</f>
        <v>0</v>
      </c>
      <c r="E21" s="9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10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9" t="e">
        <f t="shared" ref="G21" si="2">ROUND(H21/F21,2)</f>
        <v>#DIV/0!</v>
      </c>
      <c r="H21" s="6">
        <f>'1-1'!L14</f>
        <v>0</v>
      </c>
      <c r="I21" s="6">
        <f>'1-1'!M14</f>
        <v>0</v>
      </c>
    </row>
    <row r="22" spans="1:9" s="22" customFormat="1" ht="39.950000000000003" customHeight="1">
      <c r="A22" s="23"/>
      <c r="B22" s="36" t="s">
        <v>4</v>
      </c>
      <c r="C22" s="38"/>
      <c r="D22" s="24"/>
      <c r="E22" s="24"/>
      <c r="F22" s="39"/>
      <c r="G22" s="24"/>
      <c r="H22" s="24">
        <f>ROUND(SUM(H21:H21),2)</f>
        <v>0</v>
      </c>
      <c r="I22" s="25"/>
    </row>
    <row r="23" spans="1:9" s="22" customFormat="1" ht="39.950000000000003" customHeight="1">
      <c r="A23" s="23"/>
      <c r="B23" s="36" t="s">
        <v>10</v>
      </c>
      <c r="C23" s="38"/>
      <c r="D23" s="38"/>
      <c r="E23" s="48" t="s">
        <v>12</v>
      </c>
      <c r="F23" s="38">
        <v>10</v>
      </c>
      <c r="G23" s="38"/>
      <c r="H23" s="24">
        <f>ROUND(H22*F23%,2)</f>
        <v>0</v>
      </c>
      <c r="I23" s="25"/>
    </row>
    <row r="24" spans="1:9" s="22" customFormat="1" ht="39.950000000000003" customHeight="1">
      <c r="A24" s="23"/>
      <c r="B24" s="36" t="s">
        <v>4</v>
      </c>
      <c r="C24" s="38"/>
      <c r="D24" s="38"/>
      <c r="E24" s="39"/>
      <c r="F24" s="38"/>
      <c r="G24" s="39"/>
      <c r="H24" s="39">
        <f>ROUND(SUM(H22:H23),2)</f>
        <v>0</v>
      </c>
      <c r="I24" s="25"/>
    </row>
    <row r="25" spans="1:9" s="22" customFormat="1" ht="39.950000000000003" customHeight="1">
      <c r="A25" s="23"/>
      <c r="B25" s="36" t="s">
        <v>11</v>
      </c>
      <c r="C25" s="38"/>
      <c r="D25" s="38"/>
      <c r="E25" s="48" t="s">
        <v>12</v>
      </c>
      <c r="F25" s="38">
        <v>8</v>
      </c>
      <c r="G25" s="38"/>
      <c r="H25" s="24">
        <f>ROUND(H24*F25%,2)</f>
        <v>0</v>
      </c>
      <c r="I25" s="25"/>
    </row>
    <row r="26" spans="1:9" s="22" customFormat="1" ht="39.950000000000003" customHeight="1">
      <c r="A26" s="23"/>
      <c r="B26" s="36" t="s">
        <v>4</v>
      </c>
      <c r="C26" s="38"/>
      <c r="D26" s="38"/>
      <c r="E26" s="38"/>
      <c r="F26" s="38"/>
      <c r="G26" s="38"/>
      <c r="H26" s="24">
        <f>ROUND(SUM(H24:H25),2)</f>
        <v>0</v>
      </c>
      <c r="I26" s="25"/>
    </row>
    <row r="27" spans="1:9" s="22" customFormat="1" ht="80.099999999999994" customHeight="1">
      <c r="A27" s="43"/>
      <c r="B27" s="44" t="str">
        <f>'2-1'!C8</f>
        <v>მიწის ვაკისი</v>
      </c>
      <c r="C27" s="29"/>
      <c r="D27" s="29"/>
      <c r="E27" s="29"/>
      <c r="F27" s="29"/>
      <c r="G27" s="29"/>
      <c r="H27" s="28"/>
      <c r="I27" s="29"/>
    </row>
    <row r="28" spans="1:9" ht="39.950000000000003" customHeight="1">
      <c r="A28" s="6">
        <f>'2-1'!A11</f>
        <v>0</v>
      </c>
      <c r="B28" s="6">
        <f>'2-1'!C11</f>
        <v>0</v>
      </c>
      <c r="C28" s="6" t="str">
        <f>'2-1'!D11</f>
        <v>1000 მ3</v>
      </c>
      <c r="D28" s="6">
        <f>'2-1'!F11</f>
        <v>0.26900000000000002</v>
      </c>
      <c r="E28" s="9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9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9" t="e">
        <f t="shared" ref="G28" si="5">ROUND(H28/F28,2)</f>
        <v>#DIV/0!</v>
      </c>
      <c r="H28" s="6">
        <f>'2-1'!M11</f>
        <v>0</v>
      </c>
      <c r="I28" s="6">
        <f>'2-1'!B11</f>
        <v>0</v>
      </c>
    </row>
    <row r="29" spans="1:9" ht="39.950000000000003" customHeight="1">
      <c r="A29" s="6">
        <f>'2-1'!A17</f>
        <v>1.2</v>
      </c>
      <c r="B29" s="6" t="str">
        <f>'2-1'!C17</f>
        <v>ტვირთის ტრანსპორტირება ნაყარში 3 კმ მანძილზე</v>
      </c>
      <c r="C29" s="6" t="str">
        <f>'2-1'!D17</f>
        <v>ტ</v>
      </c>
      <c r="D29" s="6">
        <f>'2-1'!F17</f>
        <v>524.54999999999995</v>
      </c>
      <c r="E29" s="9" t="str">
        <f t="shared" ref="E29:E34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ტ</v>
      </c>
      <c r="F29" s="9">
        <f t="shared" ref="F29:F34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524.54999999999995</v>
      </c>
      <c r="G29" s="9">
        <f t="shared" ref="G29:G34" si="8">ROUND(H29/F29,2)</f>
        <v>0</v>
      </c>
      <c r="H29" s="6">
        <f>'2-1'!M17</f>
        <v>0</v>
      </c>
      <c r="I29" s="6" t="str">
        <f>'2-1'!B17</f>
        <v>15-ტრ-3</v>
      </c>
    </row>
    <row r="30" spans="1:9" ht="39.950000000000003" customHeight="1">
      <c r="A30" s="6">
        <f>'2-1'!A20</f>
        <v>0</v>
      </c>
      <c r="B30" s="6">
        <f>'2-1'!C20</f>
        <v>0</v>
      </c>
      <c r="C30" s="6" t="str">
        <f>'2-1'!D20</f>
        <v>1000 მ3</v>
      </c>
      <c r="D30" s="6">
        <f>'2-1'!F20</f>
        <v>0.26900000000000002</v>
      </c>
      <c r="E30" s="9" t="b">
        <f t="shared" si="6"/>
        <v>0</v>
      </c>
      <c r="F30" s="9" t="b">
        <f t="shared" si="7"/>
        <v>0</v>
      </c>
      <c r="G30" s="9" t="e">
        <f t="shared" si="8"/>
        <v>#DIV/0!</v>
      </c>
      <c r="H30" s="6">
        <f>'2-1'!M20</f>
        <v>0</v>
      </c>
      <c r="I30" s="6">
        <f>'2-1'!B20</f>
        <v>0</v>
      </c>
    </row>
    <row r="31" spans="1:9" ht="39.950000000000003" customHeight="1">
      <c r="A31" s="6">
        <f>'2-1'!A26</f>
        <v>1.4</v>
      </c>
      <c r="B31" s="6" t="str">
        <f>'2-1'!C26</f>
        <v xml:space="preserve">ხრეშოვანი გრუნტის დატვირთვა კარიერში ექსკავატორით ავტოთვითმცლელზე </v>
      </c>
      <c r="C31" s="6" t="str">
        <f>'2-1'!D26</f>
        <v>მ3</v>
      </c>
      <c r="D31" s="6">
        <f>'2-1'!F26</f>
        <v>6</v>
      </c>
      <c r="E31" s="9" t="b">
        <f t="shared" si="6"/>
        <v>0</v>
      </c>
      <c r="F31" s="9" t="b">
        <f t="shared" si="7"/>
        <v>0</v>
      </c>
      <c r="G31" s="9" t="e">
        <f t="shared" si="8"/>
        <v>#DIV/0!</v>
      </c>
      <c r="H31" s="6">
        <f>'2-1'!M26</f>
        <v>0</v>
      </c>
      <c r="I31" s="6" t="str">
        <f>'2-1'!B26</f>
        <v>1-22-15</v>
      </c>
    </row>
    <row r="32" spans="1:9" ht="39.950000000000003" customHeight="1">
      <c r="A32" s="6">
        <f>'2-1'!A33</f>
        <v>1.5</v>
      </c>
      <c r="B32" s="6" t="str">
        <f>'2-1'!C33</f>
        <v>გრუნტის ტრანსპორტირება კარიერიდან 15 კმ მანძილზე</v>
      </c>
      <c r="C32" s="6" t="str">
        <f>'2-1'!D33</f>
        <v>ტ</v>
      </c>
      <c r="D32" s="6">
        <f>'2-1'!F33</f>
        <v>11.7</v>
      </c>
      <c r="E32" s="9" t="str">
        <f t="shared" si="6"/>
        <v>ტ</v>
      </c>
      <c r="F32" s="9">
        <f t="shared" si="7"/>
        <v>11.7</v>
      </c>
      <c r="G32" s="9">
        <f t="shared" si="8"/>
        <v>0</v>
      </c>
      <c r="H32" s="6">
        <f>'2-1'!M33</f>
        <v>0</v>
      </c>
      <c r="I32" s="6" t="str">
        <f>'2-1'!B33</f>
        <v>15-ტრ-15</v>
      </c>
    </row>
    <row r="33" spans="1:10" ht="39.950000000000003" customHeight="1">
      <c r="A33" s="6">
        <f>'2-1'!A35</f>
        <v>1.6</v>
      </c>
      <c r="B33" s="6" t="str">
        <f>'2-1'!C35</f>
        <v>შემოტანილი გრუნტის მოსწორება ბულდოზერით</v>
      </c>
      <c r="C33" s="6" t="str">
        <f>'2-1'!D35</f>
        <v>მ3</v>
      </c>
      <c r="D33" s="6">
        <f>'2-1'!F35</f>
        <v>6</v>
      </c>
      <c r="E33" s="9" t="b">
        <f t="shared" si="6"/>
        <v>0</v>
      </c>
      <c r="F33" s="9" t="b">
        <f t="shared" si="7"/>
        <v>0</v>
      </c>
      <c r="G33" s="9" t="e">
        <f t="shared" si="8"/>
        <v>#DIV/0!</v>
      </c>
      <c r="H33" s="6">
        <f>'2-1'!M35</f>
        <v>0</v>
      </c>
      <c r="I33" s="6" t="str">
        <f>'2-1'!B35</f>
        <v>1-29-6  -10</v>
      </c>
      <c r="J33" s="12"/>
    </row>
    <row r="34" spans="1:10" ht="39.950000000000003" customHeight="1">
      <c r="A34" s="52">
        <f>'2-1'!A39</f>
        <v>1.7</v>
      </c>
      <c r="B34" s="6" t="str">
        <f>'2-1'!C39</f>
        <v>ტერიტორიის მოშანდაკება</v>
      </c>
      <c r="C34" s="6" t="str">
        <f>'2-1'!D39</f>
        <v>მ2</v>
      </c>
      <c r="D34" s="6">
        <f>'2-1'!F39</f>
        <v>1080</v>
      </c>
      <c r="E34" s="9" t="b">
        <f t="shared" si="6"/>
        <v>0</v>
      </c>
      <c r="F34" s="9" t="b">
        <f t="shared" si="7"/>
        <v>0</v>
      </c>
      <c r="G34" s="9" t="e">
        <f t="shared" si="8"/>
        <v>#DIV/0!</v>
      </c>
      <c r="H34" s="6">
        <f>'2-1'!M39</f>
        <v>0</v>
      </c>
      <c r="I34" s="6" t="str">
        <f>'2-1'!B39</f>
        <v>1-68-3</v>
      </c>
      <c r="J34" s="12"/>
    </row>
    <row r="35" spans="1:10" s="22" customFormat="1" ht="39.950000000000003" customHeight="1">
      <c r="A35" s="23"/>
      <c r="B35" s="36" t="s">
        <v>4</v>
      </c>
      <c r="C35" s="38"/>
      <c r="D35" s="24"/>
      <c r="E35" s="24"/>
      <c r="F35" s="39"/>
      <c r="G35" s="24"/>
      <c r="H35" s="24">
        <f>ROUND(SUM(H28:H34),2)</f>
        <v>0</v>
      </c>
      <c r="I35" s="25"/>
    </row>
    <row r="36" spans="1:10" s="22" customFormat="1" ht="39.950000000000003" customHeight="1">
      <c r="A36" s="23"/>
      <c r="B36" s="36" t="s">
        <v>10</v>
      </c>
      <c r="C36" s="38"/>
      <c r="D36" s="38"/>
      <c r="E36" s="48" t="s">
        <v>12</v>
      </c>
      <c r="F36" s="38">
        <v>10</v>
      </c>
      <c r="G36" s="38"/>
      <c r="H36" s="24">
        <f>ROUND(H35*F36%,2)</f>
        <v>0</v>
      </c>
      <c r="I36" s="25"/>
    </row>
    <row r="37" spans="1:10" s="22" customFormat="1" ht="39.950000000000003" customHeight="1">
      <c r="A37" s="23"/>
      <c r="B37" s="36" t="s">
        <v>4</v>
      </c>
      <c r="C37" s="38"/>
      <c r="D37" s="38"/>
      <c r="E37" s="39"/>
      <c r="F37" s="38"/>
      <c r="G37" s="39"/>
      <c r="H37" s="39">
        <f>ROUND(SUM(H35:H36),2)</f>
        <v>0</v>
      </c>
      <c r="I37" s="25"/>
    </row>
    <row r="38" spans="1:10" s="22" customFormat="1" ht="39.950000000000003" customHeight="1">
      <c r="A38" s="23"/>
      <c r="B38" s="36" t="s">
        <v>11</v>
      </c>
      <c r="C38" s="38"/>
      <c r="D38" s="38"/>
      <c r="E38" s="48" t="s">
        <v>12</v>
      </c>
      <c r="F38" s="38">
        <v>8</v>
      </c>
      <c r="G38" s="38"/>
      <c r="H38" s="24">
        <f>ROUND(H37*F38%,2)</f>
        <v>0</v>
      </c>
      <c r="I38" s="25"/>
    </row>
    <row r="39" spans="1:10" s="22" customFormat="1" ht="39.950000000000003" customHeight="1">
      <c r="A39" s="23"/>
      <c r="B39" s="36" t="s">
        <v>4</v>
      </c>
      <c r="C39" s="38"/>
      <c r="D39" s="38"/>
      <c r="E39" s="38"/>
      <c r="F39" s="38"/>
      <c r="G39" s="38"/>
      <c r="H39" s="24">
        <f>ROUND(SUM(H37:H38),2)</f>
        <v>0</v>
      </c>
      <c r="I39" s="25"/>
    </row>
    <row r="40" spans="1:10" s="22" customFormat="1" ht="80.099999999999994" customHeight="1">
      <c r="A40" s="43"/>
      <c r="B40" s="44" t="str">
        <f>'3-1'!C7</f>
        <v>ღობის მოწყობის სამუშაოები</v>
      </c>
      <c r="C40" s="29"/>
      <c r="D40" s="29"/>
      <c r="E40" s="29"/>
      <c r="F40" s="29"/>
      <c r="G40" s="29"/>
      <c r="H40" s="28"/>
      <c r="I40" s="29"/>
    </row>
    <row r="41" spans="1:10" ht="39.950000000000003" customHeight="1">
      <c r="A41" s="6">
        <f>'3-1'!A9</f>
        <v>1.1000000000000001</v>
      </c>
      <c r="B41" s="6" t="str">
        <f>'3-1'!C9</f>
        <v>არსებული ღობის დემონტაჟი</v>
      </c>
      <c r="C41" s="6" t="str">
        <f>'3-1'!D9</f>
        <v>მ</v>
      </c>
      <c r="D41" s="6">
        <f>'3-1'!F9</f>
        <v>345</v>
      </c>
      <c r="E41" s="9" t="str">
        <f t="shared" ref="E41" si="9">IF(C41="კმ","კმ",IF(C41="1 ჰა","1 ჰა",IF(C41="100 ც","ც",IF(C41="1 ც","ც",IF(C41="ც","ც",IF(C41="ტ","ტ",IF(C41="1 ტ","ტ",IF(C41="მ³","მ³",IF(C41="1 მ³","მ³",IF(C41="10 მ³","მ³",IF(C41="100 მ³","მ³",IF(C41="1000 მ³","მ³",IF(C41="1000 მ","მ",IF(C41="100 მ","მ",IF(C41="10 მ","მ",IF(C41="10 მ ","მ",IF(C41="მ","მ",IF(C41="1000 მ²","მ²",IF(C41="1000 მ² ","მ²",IF(C41="100 მ²","მ²",IF(C41="100 მ² ","მ²",IF(C41="10 მ²","მ²",IF(C41="მ² ","მ²",IF(C41="ლარი","ლარი",IF(C41="ხიდი","ლარი",IF(C41="100 მ","მ",IF(C41="გ.მ.","მ")))))))))))))))))))))))))))</f>
        <v>მ</v>
      </c>
      <c r="F41" s="9">
        <f t="shared" ref="F41" si="10">IF(C41="კმ",D41,IF(C41="1 ჰა",D41,IF(C41="100 ც",D41*100,IF(C41="1 ც",D41,IF(C41="ც",D41,IF(C41="ტ",D41,IF(C41="1 ტ",D41,IF(C41="მ³",D41,IF(C41="1 მ³",D41,IF(C41="10 მ³",D41*10,IF(C41="100 მ³",D41*100,IF(C41="1000 მ³",D41*1000,IF(C41="1000 მ",D41*1000,IF(C41="100 მ",D41*100,IF(C41="10 მ",D41*10,IF(C41="10 მ ",D41*10,IF(C41="მ",D41,IF(C41="1000 მ²",D41*1000,IF(C41="1000 მ² ",D41*1000,IF(C41="100 მ²",D41*100,IF(C41="100 მ² ",D41*100,IF(C41="10 მ²",D41*10,IF(C41="მ² ",D41,IF(C41="ლარი",D41,IF(C41="ხიდი",D41,IF(C41="100 მ",D41*100,IF(C41="გ.მ.",D41)))))))))))))))))))))))))))</f>
        <v>345</v>
      </c>
      <c r="G41" s="9">
        <f t="shared" ref="G41" si="11">ROUND(H41/F41,2)</f>
        <v>0</v>
      </c>
      <c r="H41" s="6">
        <f>'3-1'!M9</f>
        <v>0</v>
      </c>
      <c r="I41" s="6" t="str">
        <f>'3-1'!B9</f>
        <v>27-50-9</v>
      </c>
    </row>
    <row r="42" spans="1:10" ht="39.950000000000003" customHeight="1">
      <c r="A42" s="6">
        <f>'3-1'!A18</f>
        <v>0</v>
      </c>
      <c r="B42" s="6">
        <f>'3-1'!C18</f>
        <v>0</v>
      </c>
      <c r="C42" s="6" t="str">
        <f>'3-1'!D18</f>
        <v>1000 მ3</v>
      </c>
      <c r="D42" s="6">
        <f>'3-1'!F18</f>
        <v>0.48299999999999998</v>
      </c>
      <c r="E42" s="9" t="b">
        <f t="shared" ref="E42:E54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0</v>
      </c>
      <c r="F42" s="9" t="b">
        <f t="shared" ref="F42:F54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0</v>
      </c>
      <c r="G42" s="9" t="e">
        <f t="shared" ref="G42:G54" si="14">ROUND(H42/F42,2)</f>
        <v>#DIV/0!</v>
      </c>
      <c r="H42" s="6">
        <f>'3-1'!M18</f>
        <v>0</v>
      </c>
      <c r="I42" s="6">
        <f>'3-1'!B18</f>
        <v>0</v>
      </c>
    </row>
    <row r="43" spans="1:10" ht="39.950000000000003" customHeight="1">
      <c r="A43" s="6">
        <f>'3-1'!A24</f>
        <v>1.3</v>
      </c>
      <c r="B43" s="6" t="str">
        <f>'3-1'!C24</f>
        <v xml:space="preserve">მე-3 კატეგორიის გრუნტის ფენის დამუშავება ხელით, სიღრმით 2 მ-მდე </v>
      </c>
      <c r="C43" s="6" t="str">
        <f>'3-1'!D24</f>
        <v>მ3</v>
      </c>
      <c r="D43" s="6">
        <f>'3-1'!F24</f>
        <v>14.3</v>
      </c>
      <c r="E43" s="9" t="b">
        <f t="shared" si="12"/>
        <v>0</v>
      </c>
      <c r="F43" s="9" t="b">
        <f t="shared" si="13"/>
        <v>0</v>
      </c>
      <c r="G43" s="9" t="e">
        <f t="shared" si="14"/>
        <v>#DIV/0!</v>
      </c>
      <c r="H43" s="6">
        <f>'3-1'!M24</f>
        <v>0</v>
      </c>
      <c r="I43" s="6" t="str">
        <f>'3-1'!B24</f>
        <v>1-80-3</v>
      </c>
    </row>
    <row r="44" spans="1:10" ht="39.950000000000003" customHeight="1">
      <c r="A44" s="6">
        <f>'3-1'!A28</f>
        <v>1.4</v>
      </c>
      <c r="B44" s="6" t="str">
        <f>'3-1'!C28</f>
        <v xml:space="preserve">გრუნტის  დატვირთვა ავტოთვითმცლელზე ხელით </v>
      </c>
      <c r="C44" s="6" t="str">
        <f>'3-1'!D28</f>
        <v>ტ</v>
      </c>
      <c r="D44" s="6">
        <f>'3-1'!F28</f>
        <v>27.885000000000002</v>
      </c>
      <c r="E44" s="9" t="str">
        <f t="shared" si="12"/>
        <v>ტ</v>
      </c>
      <c r="F44" s="9">
        <f t="shared" si="13"/>
        <v>27.885000000000002</v>
      </c>
      <c r="G44" s="9">
        <f t="shared" si="14"/>
        <v>0</v>
      </c>
      <c r="H44" s="6">
        <f>'3-1'!M28</f>
        <v>0</v>
      </c>
      <c r="I44" s="6" t="str">
        <f>'3-1'!B28</f>
        <v>Е1-22/1-а</v>
      </c>
    </row>
    <row r="45" spans="1:10" ht="39.950000000000003" customHeight="1">
      <c r="A45" s="6">
        <f>'3-1'!A31</f>
        <v>1.5</v>
      </c>
      <c r="B45" s="6" t="str">
        <f>'3-1'!C31</f>
        <v>ტვირთის ტრანსპორტირება ნაყარში 3 კმ მანძილზე</v>
      </c>
      <c r="C45" s="6" t="str">
        <f>'3-1'!D31</f>
        <v>ტ</v>
      </c>
      <c r="D45" s="6">
        <f>'3-1'!F31</f>
        <v>969.73500000000001</v>
      </c>
      <c r="E45" s="9" t="str">
        <f t="shared" si="12"/>
        <v>ტ</v>
      </c>
      <c r="F45" s="9">
        <f t="shared" si="13"/>
        <v>969.73500000000001</v>
      </c>
      <c r="G45" s="9">
        <f t="shared" si="14"/>
        <v>0</v>
      </c>
      <c r="H45" s="6">
        <f>'3-1'!M31</f>
        <v>0</v>
      </c>
      <c r="I45" s="6" t="str">
        <f>'3-1'!B31</f>
        <v>15-ტრ-3</v>
      </c>
    </row>
    <row r="46" spans="1:10" ht="39.950000000000003" customHeight="1">
      <c r="A46" s="6">
        <f>'3-1'!A33</f>
        <v>1.6</v>
      </c>
      <c r="B46" s="6" t="str">
        <f>'3-1'!C33</f>
        <v>მე-3 კატეგორიის გრუნტის დამუშავება ნაყარში</v>
      </c>
      <c r="C46" s="6" t="str">
        <f>'3-1'!D33</f>
        <v>მ3</v>
      </c>
      <c r="D46" s="6">
        <f>'3-1'!F33</f>
        <v>497.3</v>
      </c>
      <c r="E46" s="9" t="b">
        <f t="shared" si="12"/>
        <v>0</v>
      </c>
      <c r="F46" s="9" t="b">
        <f t="shared" si="13"/>
        <v>0</v>
      </c>
      <c r="G46" s="9" t="e">
        <f t="shared" si="14"/>
        <v>#DIV/0!</v>
      </c>
      <c r="H46" s="6">
        <f>'3-1'!M33</f>
        <v>0</v>
      </c>
      <c r="I46" s="6" t="str">
        <f>'3-1'!B33</f>
        <v>1-25-2</v>
      </c>
    </row>
    <row r="47" spans="1:10" ht="39.950000000000003" customHeight="1">
      <c r="A47" s="6">
        <f>'3-1'!A40</f>
        <v>1.7</v>
      </c>
      <c r="B47" s="6" t="str">
        <f>'3-1'!C40</f>
        <v>ქვიშა-ხრეშოვანი ქვესაგები ფენის მოწყობა სისქით 20 სმ</v>
      </c>
      <c r="C47" s="6" t="str">
        <f>'3-1'!D40</f>
        <v>მ3</v>
      </c>
      <c r="D47" s="6">
        <f>'3-1'!F40</f>
        <v>69</v>
      </c>
      <c r="E47" s="9" t="b">
        <f t="shared" si="12"/>
        <v>0</v>
      </c>
      <c r="F47" s="9" t="b">
        <f t="shared" si="13"/>
        <v>0</v>
      </c>
      <c r="G47" s="9" t="e">
        <f t="shared" si="14"/>
        <v>#DIV/0!</v>
      </c>
      <c r="H47" s="6">
        <f>'3-1'!M40</f>
        <v>0</v>
      </c>
      <c r="I47" s="6" t="str">
        <f>'3-1'!B40</f>
        <v>8-3-2.</v>
      </c>
    </row>
    <row r="48" spans="1:10" ht="39.950000000000003" customHeight="1">
      <c r="A48" s="6">
        <f>'3-1'!A47</f>
        <v>1.8</v>
      </c>
      <c r="B48" s="6" t="str">
        <f>'3-1'!C47</f>
        <v>ბეტონის საგების  მომზადება სისქით 10 სმ</v>
      </c>
      <c r="C48" s="6" t="str">
        <f>'3-1'!D47</f>
        <v>მ3</v>
      </c>
      <c r="D48" s="6">
        <f>'3-1'!F47</f>
        <v>35</v>
      </c>
      <c r="E48" s="9" t="b">
        <f t="shared" si="12"/>
        <v>0</v>
      </c>
      <c r="F48" s="9" t="b">
        <f t="shared" si="13"/>
        <v>0</v>
      </c>
      <c r="G48" s="9" t="e">
        <f t="shared" si="14"/>
        <v>#DIV/0!</v>
      </c>
      <c r="H48" s="6">
        <f>'3-1'!M47</f>
        <v>0</v>
      </c>
      <c r="I48" s="6" t="str">
        <f>'3-1'!B47</f>
        <v>6-1-1.</v>
      </c>
    </row>
    <row r="49" spans="1:9" ht="39.950000000000003" customHeight="1">
      <c r="A49" s="6">
        <f>'3-1'!A54</f>
        <v>1.9</v>
      </c>
      <c r="B49" s="6" t="str">
        <f>'3-1'!C54</f>
        <v>რ/ბ საყრდენი კედლის მოწყობა</v>
      </c>
      <c r="C49" s="6" t="str">
        <f>'3-1'!D54</f>
        <v>მ3</v>
      </c>
      <c r="D49" s="6">
        <f>'3-1'!F54</f>
        <v>260</v>
      </c>
      <c r="E49" s="9" t="b">
        <f t="shared" si="12"/>
        <v>0</v>
      </c>
      <c r="F49" s="9" t="b">
        <f t="shared" si="13"/>
        <v>0</v>
      </c>
      <c r="G49" s="9" t="e">
        <f t="shared" si="14"/>
        <v>#DIV/0!</v>
      </c>
      <c r="H49" s="6">
        <f>'3-1'!M54</f>
        <v>0</v>
      </c>
      <c r="I49" s="6" t="str">
        <f>'3-1'!B54</f>
        <v>6-11-7.</v>
      </c>
    </row>
    <row r="50" spans="1:9" ht="39.950000000000003" customHeight="1">
      <c r="A50" s="17">
        <f>'3-1'!A70</f>
        <v>1.1000000000000001</v>
      </c>
      <c r="B50" s="6" t="str">
        <f>'3-1'!C70</f>
        <v>პოლიეთილენის სადრენაჟე მილის მონტაჟი</v>
      </c>
      <c r="C50" s="6" t="str">
        <f>'3-1'!D70</f>
        <v>მ</v>
      </c>
      <c r="D50" s="6">
        <f>'3-1'!F70</f>
        <v>53.55</v>
      </c>
      <c r="E50" s="9" t="str">
        <f t="shared" si="12"/>
        <v>მ</v>
      </c>
      <c r="F50" s="9">
        <f t="shared" si="13"/>
        <v>53.55</v>
      </c>
      <c r="G50" s="9">
        <f t="shared" si="14"/>
        <v>0</v>
      </c>
      <c r="H50" s="6">
        <f>'3-1'!M70</f>
        <v>0</v>
      </c>
      <c r="I50" s="6" t="str">
        <f>'3-1'!B70</f>
        <v>27-5-3.</v>
      </c>
    </row>
    <row r="51" spans="1:9" ht="39.950000000000003" customHeight="1">
      <c r="A51" s="6">
        <f>'3-1'!A77</f>
        <v>1.1100000000000001</v>
      </c>
      <c r="B51" s="6" t="str">
        <f>'3-1'!C77</f>
        <v>ქვაყრილის მოყრა</v>
      </c>
      <c r="C51" s="6" t="str">
        <f>'3-1'!D77</f>
        <v>მ3</v>
      </c>
      <c r="D51" s="6">
        <f>'3-1'!F77</f>
        <v>130</v>
      </c>
      <c r="E51" s="9" t="b">
        <f t="shared" si="12"/>
        <v>0</v>
      </c>
      <c r="F51" s="9" t="b">
        <f t="shared" si="13"/>
        <v>0</v>
      </c>
      <c r="G51" s="9" t="e">
        <f t="shared" si="14"/>
        <v>#DIV/0!</v>
      </c>
      <c r="H51" s="6">
        <f>'3-1'!M77</f>
        <v>0</v>
      </c>
      <c r="I51" s="6" t="str">
        <f>'3-1'!B77</f>
        <v>1-31-6; -16</v>
      </c>
    </row>
    <row r="52" spans="1:9" ht="39.950000000000003" customHeight="1">
      <c r="A52" s="6">
        <f>'3-1'!A82</f>
        <v>1.1200000000000001</v>
      </c>
      <c r="B52" s="6" t="str">
        <f>'3-1'!C82</f>
        <v>პოხიერი თიხის ბალიშის მოწყობა სისქით 20 სმ</v>
      </c>
      <c r="C52" s="6" t="str">
        <f>'3-1'!D82</f>
        <v>მ3</v>
      </c>
      <c r="D52" s="6">
        <f>'3-1'!F82</f>
        <v>82</v>
      </c>
      <c r="E52" s="9" t="b">
        <f t="shared" si="12"/>
        <v>0</v>
      </c>
      <c r="F52" s="9" t="b">
        <f t="shared" si="13"/>
        <v>0</v>
      </c>
      <c r="G52" s="9" t="e">
        <f t="shared" si="14"/>
        <v>#DIV/0!</v>
      </c>
      <c r="H52" s="6">
        <f>'3-1'!M82</f>
        <v>0</v>
      </c>
      <c r="I52" s="6" t="str">
        <f>'3-1'!B82</f>
        <v>8-4-8.</v>
      </c>
    </row>
    <row r="53" spans="1:9" ht="39.950000000000003" customHeight="1">
      <c r="A53" s="6">
        <f>'3-1'!A89</f>
        <v>1.1299999999999999</v>
      </c>
      <c r="B53" s="6" t="str">
        <f>'3-1'!C89</f>
        <v>დრენირებადი გრუნტის უკუჩაყრა</v>
      </c>
      <c r="C53" s="6" t="str">
        <f>'3-1'!D89</f>
        <v>მ3</v>
      </c>
      <c r="D53" s="6">
        <f>'3-1'!F89</f>
        <v>573</v>
      </c>
      <c r="E53" s="9" t="b">
        <f t="shared" si="12"/>
        <v>0</v>
      </c>
      <c r="F53" s="9" t="b">
        <f t="shared" si="13"/>
        <v>0</v>
      </c>
      <c r="G53" s="9" t="e">
        <f t="shared" si="14"/>
        <v>#DIV/0!</v>
      </c>
      <c r="H53" s="6">
        <f>'3-1'!M89</f>
        <v>0</v>
      </c>
      <c r="I53" s="6" t="str">
        <f>'3-1'!B89</f>
        <v>1-22-14</v>
      </c>
    </row>
    <row r="54" spans="1:9" ht="39.950000000000003" customHeight="1">
      <c r="A54" s="6">
        <f>'3-1'!A96</f>
        <v>1.1399999999999999</v>
      </c>
      <c r="B54" s="6" t="str">
        <f>'3-1'!C96</f>
        <v>წასაცხები ჰიდროიზოლაციის მოწყობა, 2 ფენა</v>
      </c>
      <c r="C54" s="6" t="str">
        <f>'3-1'!D96</f>
        <v>მ2</v>
      </c>
      <c r="D54" s="6">
        <f>'3-1'!F96</f>
        <v>1035</v>
      </c>
      <c r="E54" s="9" t="b">
        <f t="shared" si="12"/>
        <v>0</v>
      </c>
      <c r="F54" s="9" t="b">
        <f t="shared" si="13"/>
        <v>0</v>
      </c>
      <c r="G54" s="9" t="e">
        <f t="shared" si="14"/>
        <v>#DIV/0!</v>
      </c>
      <c r="H54" s="6">
        <f>'3-1'!M96</f>
        <v>0</v>
      </c>
      <c r="I54" s="6" t="str">
        <f>'3-1'!B96</f>
        <v>8-4-7.</v>
      </c>
    </row>
    <row r="55" spans="1:9" ht="39.950000000000003" customHeight="1">
      <c r="A55" s="6">
        <f>'3-1'!A104</f>
        <v>1.1499999999999999</v>
      </c>
      <c r="B55" s="6" t="str">
        <f>'3-1'!C104</f>
        <v>კედლის თავზე ღობის მოწყობა</v>
      </c>
      <c r="C55" s="6" t="str">
        <f>'3-1'!D104</f>
        <v>მ</v>
      </c>
      <c r="D55" s="6">
        <f>'3-1'!F104</f>
        <v>345</v>
      </c>
      <c r="E55" s="9" t="str">
        <f t="shared" ref="E55:E56" si="15">IF(C55="კმ","კმ",IF(C55="1 ჰა","1 ჰა",IF(C55="100 ც","ც",IF(C55="1 ც","ც",IF(C55="ც","ც",IF(C55="ტ","ტ",IF(C55="1 ტ","ტ",IF(C55="მ³","მ³",IF(C55="1 მ³","მ³",IF(C55="10 მ³","მ³",IF(C55="100 მ³","მ³",IF(C55="1000 მ³","მ³",IF(C55="1000 მ","მ",IF(C55="100 მ","მ",IF(C55="10 მ","მ",IF(C55="10 მ ","მ",IF(C55="მ","მ",IF(C55="1000 მ²","მ²",IF(C55="1000 მ² ","მ²",IF(C55="100 მ²","მ²",IF(C55="100 მ² ","მ²",IF(C55="10 მ²","მ²",IF(C55="მ² ","მ²",IF(C55="ლარი","ლარი",IF(C55="ხიდი","ლარი",IF(C55="100 მ","მ",IF(C55="გ.მ.","მ")))))))))))))))))))))))))))</f>
        <v>მ</v>
      </c>
      <c r="F55" s="9">
        <f t="shared" ref="F55:F56" si="16">IF(C55="კმ",D55,IF(C55="1 ჰა",D55,IF(C55="100 ც",D55*100,IF(C55="1 ც",D55,IF(C55="ც",D55,IF(C55="ტ",D55,IF(C55="1 ტ",D55,IF(C55="მ³",D55,IF(C55="1 მ³",D55,IF(C55="10 მ³",D55*10,IF(C55="100 მ³",D55*100,IF(C55="1000 მ³",D55*1000,IF(C55="1000 მ",D55*1000,IF(C55="100 მ",D55*100,IF(C55="10 მ",D55*10,IF(C55="10 მ ",D55*10,IF(C55="მ",D55,IF(C55="1000 მ²",D55*1000,IF(C55="1000 მ² ",D55*1000,IF(C55="100 მ²",D55*100,IF(C55="100 მ² ",D55*100,IF(C55="10 მ²",D55*10,IF(C55="მ² ",D55,IF(C55="ლარი",D55,IF(C55="ხიდი",D55,IF(C55="100 მ",D55*100,IF(C55="გ.მ.",D55)))))))))))))))))))))))))))</f>
        <v>345</v>
      </c>
      <c r="G55" s="9">
        <f t="shared" ref="G55:G56" si="17">ROUND(H55/F55,2)</f>
        <v>0</v>
      </c>
      <c r="H55" s="6">
        <f>'3-1'!M104</f>
        <v>0</v>
      </c>
      <c r="I55" s="6" t="str">
        <f>'3-1'!B104</f>
        <v>10-31-3.</v>
      </c>
    </row>
    <row r="56" spans="1:9" ht="39.950000000000003" customHeight="1">
      <c r="A56" s="6">
        <f>'3-1'!A117</f>
        <v>1.1599999999999999</v>
      </c>
      <c r="B56" s="6" t="str">
        <f>'3-1'!C117</f>
        <v>ხის ლაქით შეღებვა</v>
      </c>
      <c r="C56" s="6" t="str">
        <f>'3-1'!D117</f>
        <v>მ2</v>
      </c>
      <c r="D56" s="6">
        <f>'3-1'!F117</f>
        <v>1035</v>
      </c>
      <c r="E56" s="9" t="b">
        <f t="shared" si="15"/>
        <v>0</v>
      </c>
      <c r="F56" s="9" t="b">
        <f t="shared" si="16"/>
        <v>0</v>
      </c>
      <c r="G56" s="9" t="e">
        <f t="shared" si="17"/>
        <v>#DIV/0!</v>
      </c>
      <c r="H56" s="6">
        <f>'3-1'!M117</f>
        <v>0</v>
      </c>
      <c r="I56" s="6" t="str">
        <f>'3-1'!B117</f>
        <v>15-163-1.</v>
      </c>
    </row>
    <row r="57" spans="1:9" s="22" customFormat="1" ht="39.950000000000003" customHeight="1">
      <c r="A57" s="23"/>
      <c r="B57" s="36" t="s">
        <v>4</v>
      </c>
      <c r="C57" s="38"/>
      <c r="D57" s="24"/>
      <c r="E57" s="24"/>
      <c r="F57" s="39"/>
      <c r="G57" s="24"/>
      <c r="H57" s="24">
        <f>ROUND(SUM(H41:H56),2)</f>
        <v>0</v>
      </c>
      <c r="I57" s="25"/>
    </row>
    <row r="58" spans="1:9" s="22" customFormat="1" ht="39.950000000000003" customHeight="1">
      <c r="A58" s="23"/>
      <c r="B58" s="36" t="s">
        <v>10</v>
      </c>
      <c r="C58" s="38"/>
      <c r="D58" s="38"/>
      <c r="E58" s="48" t="s">
        <v>12</v>
      </c>
      <c r="F58" s="38">
        <v>10</v>
      </c>
      <c r="G58" s="38"/>
      <c r="H58" s="24">
        <f>ROUND(H57*F58%,2)</f>
        <v>0</v>
      </c>
      <c r="I58" s="25"/>
    </row>
    <row r="59" spans="1:9" s="22" customFormat="1" ht="39.950000000000003" customHeight="1">
      <c r="A59" s="23"/>
      <c r="B59" s="36" t="s">
        <v>4</v>
      </c>
      <c r="C59" s="38"/>
      <c r="D59" s="38"/>
      <c r="E59" s="39"/>
      <c r="F59" s="38"/>
      <c r="G59" s="39"/>
      <c r="H59" s="39">
        <f>ROUND(SUM(H57:H58),2)</f>
        <v>0</v>
      </c>
      <c r="I59" s="25"/>
    </row>
    <row r="60" spans="1:9" s="22" customFormat="1" ht="39.950000000000003" customHeight="1">
      <c r="A60" s="23"/>
      <c r="B60" s="36" t="s">
        <v>11</v>
      </c>
      <c r="C60" s="38"/>
      <c r="D60" s="38"/>
      <c r="E60" s="48" t="s">
        <v>12</v>
      </c>
      <c r="F60" s="38">
        <v>8</v>
      </c>
      <c r="G60" s="38"/>
      <c r="H60" s="24">
        <f>ROUND(H59*F60%,2)</f>
        <v>0</v>
      </c>
      <c r="I60" s="25"/>
    </row>
    <row r="61" spans="1:9" s="22" customFormat="1" ht="39.950000000000003" customHeight="1">
      <c r="A61" s="23"/>
      <c r="B61" s="36" t="s">
        <v>4</v>
      </c>
      <c r="C61" s="38"/>
      <c r="D61" s="38"/>
      <c r="E61" s="38"/>
      <c r="F61" s="38"/>
      <c r="G61" s="38"/>
      <c r="H61" s="24">
        <f>ROUND(SUM(H59:H60),2)</f>
        <v>0</v>
      </c>
      <c r="I61" s="25"/>
    </row>
    <row r="62" spans="1:9" s="22" customFormat="1" ht="80.099999999999994" customHeight="1">
      <c r="A62" s="43"/>
      <c r="B62" s="44" t="str">
        <f>'4-1'!C7</f>
        <v>საგზაო სამოსი</v>
      </c>
      <c r="C62" s="29"/>
      <c r="D62" s="29"/>
      <c r="E62" s="29"/>
      <c r="F62" s="29"/>
      <c r="G62" s="29"/>
      <c r="H62" s="28"/>
      <c r="I62" s="29"/>
    </row>
    <row r="63" spans="1:9" ht="39.950000000000003" customHeight="1">
      <c r="A63" s="6">
        <f>'4-1'!A8</f>
        <v>0</v>
      </c>
      <c r="B63" s="6">
        <f>'4-1'!C8</f>
        <v>0</v>
      </c>
      <c r="C63" s="6">
        <f>'4-1'!D8</f>
        <v>0</v>
      </c>
      <c r="D63" s="6">
        <f>'4-1'!F8</f>
        <v>0</v>
      </c>
      <c r="E63" s="9" t="b">
        <f t="shared" ref="E63" si="18">IF(C63="კმ","კმ",IF(C63="1 ჰა","1 ჰა",IF(C63="100 ც","ც",IF(C63="1 ც","ც",IF(C63="ც","ც",IF(C63="ტ","ტ",IF(C63="1 ტ","ტ",IF(C63="მ³","მ³",IF(C63="1 მ³","მ³",IF(C63="10 მ³","მ³",IF(C63="100 მ³","მ³",IF(C63="1000 მ³","მ³",IF(C63="1000 მ","მ",IF(C63="100 მ","მ",IF(C63="10 მ","მ",IF(C63="10 მ ","მ",IF(C63="მ","მ",IF(C63="1000 მ²","მ²",IF(C63="1000 მ² ","მ²",IF(C63="100 მ²","მ²",IF(C63="100 მ² ","მ²",IF(C63="10 მ²","მ²",IF(C63="მ² ","მ²",IF(C63="ლარი","ლარი",IF(C63="ხიდი","ლარი",IF(C63="100 მ","მ",IF(C63="გ.მ.","მ")))))))))))))))))))))))))))</f>
        <v>0</v>
      </c>
      <c r="F63" s="9" t="b">
        <f t="shared" ref="F63" si="19">IF(C63="კმ",D63,IF(C63="1 ჰა",D63,IF(C63="100 ც",D63*100,IF(C63="1 ც",D63,IF(C63="ც",D63,IF(C63="ტ",D63,IF(C63="1 ტ",D63,IF(C63="მ³",D63,IF(C63="1 მ³",D63,IF(C63="10 მ³",D63*10,IF(C63="100 მ³",D63*100,IF(C63="1000 მ³",D63*1000,IF(C63="1000 მ",D63*1000,IF(C63="100 მ",D63*100,IF(C63="10 მ",D63*10,IF(C63="10 მ ",D63*10,IF(C63="მ",D63,IF(C63="1000 მ²",D63*1000,IF(C63="1000 მ² ",D63*1000,IF(C63="100 მ²",D63*100,IF(C63="100 მ² ",D63*100,IF(C63="10 მ²",D63*10,IF(C63="მ² ",D63,IF(C63="ლარი",D63,IF(C63="ხიდი",D63,IF(C63="100 მ",D63*100,IF(C63="გ.მ.",D63)))))))))))))))))))))))))))</f>
        <v>0</v>
      </c>
      <c r="G63" s="9" t="e">
        <f t="shared" ref="G63" si="20">ROUND(H63/F63,2)</f>
        <v>#DIV/0!</v>
      </c>
      <c r="H63" s="6">
        <f>'4-1'!M8</f>
        <v>0</v>
      </c>
      <c r="I63" s="6">
        <f>'4-1'!B8</f>
        <v>0</v>
      </c>
    </row>
    <row r="64" spans="1:9" ht="39.950000000000003" customHeight="1">
      <c r="A64" s="6">
        <f>'4-1'!A9</f>
        <v>1.1000000000000001</v>
      </c>
      <c r="B64" s="6" t="str">
        <f>'4-1'!C9</f>
        <v>საფუძვლის ფენის მოწყობა ქვიშა-ღორღის ნარევით (ფრ. 0-40მმ), სისქით 18სმ.</v>
      </c>
      <c r="C64" s="6" t="str">
        <f>'4-1'!D9</f>
        <v>მ3</v>
      </c>
      <c r="D64" s="6">
        <f>'4-1'!F9</f>
        <v>167</v>
      </c>
      <c r="E64" s="9" t="b">
        <f t="shared" ref="E64:E67" si="21">IF(C64="კმ","კმ",IF(C64="1 ჰა","1 ჰა",IF(C64="100 ც","ც",IF(C64="1 ც","ც",IF(C64="ც","ც",IF(C64="ტ","ტ",IF(C64="1 ტ","ტ",IF(C64="მ³","მ³",IF(C64="1 მ³","მ³",IF(C64="10 მ³","მ³",IF(C64="100 მ³","მ³",IF(C64="1000 მ³","მ³",IF(C64="1000 მ","მ",IF(C64="100 მ","მ",IF(C64="10 მ","მ",IF(C64="10 მ ","მ",IF(C64="მ","მ",IF(C64="1000 მ²","მ²",IF(C64="1000 მ² ","მ²",IF(C64="100 მ²","მ²",IF(C64="100 მ² ","მ²",IF(C64="10 მ²","მ²",IF(C64="მ² ","მ²",IF(C64="ლარი","ლარი",IF(C64="ხიდი","ლარი",IF(C64="100 მ","მ",IF(C64="გ.მ.","მ")))))))))))))))))))))))))))</f>
        <v>0</v>
      </c>
      <c r="F64" s="9" t="b">
        <f t="shared" ref="F64:F67" si="22">IF(C64="კმ",D64,IF(C64="1 ჰა",D64,IF(C64="100 ც",D64*100,IF(C64="1 ც",D64,IF(C64="ც",D64,IF(C64="ტ",D64,IF(C64="1 ტ",D64,IF(C64="მ³",D64,IF(C64="1 მ³",D64,IF(C64="10 მ³",D64*10,IF(C64="100 მ³",D64*100,IF(C64="1000 მ³",D64*1000,IF(C64="1000 მ",D64*1000,IF(C64="100 მ",D64*100,IF(C64="10 მ",D64*10,IF(C64="10 მ ",D64*10,IF(C64="მ",D64,IF(C64="1000 მ²",D64*1000,IF(C64="1000 მ² ",D64*1000,IF(C64="100 მ²",D64*100,IF(C64="100 მ² ",D64*100,IF(C64="10 მ²",D64*10,IF(C64="მ² ",D64,IF(C64="ლარი",D64,IF(C64="ხიდი",D64,IF(C64="100 მ",D64*100,IF(C64="გ.მ.",D64)))))))))))))))))))))))))))</f>
        <v>0</v>
      </c>
      <c r="G64" s="9" t="e">
        <f t="shared" ref="G64:G67" si="23">ROUND(H64/F64,2)</f>
        <v>#DIV/0!</v>
      </c>
      <c r="H64" s="6">
        <f>'4-1'!M9</f>
        <v>0</v>
      </c>
      <c r="I64" s="6" t="str">
        <f>'4-1'!B9</f>
        <v>27-7-2.</v>
      </c>
    </row>
    <row r="65" spans="1:9" ht="39.950000000000003" customHeight="1">
      <c r="A65" s="6" t="str">
        <f>'4-1'!A12</f>
        <v>1.1.2</v>
      </c>
      <c r="B65" s="6" t="str">
        <f>'4-1'!C12</f>
        <v>ავტოგრეიდერი საშუალო ტიპის 79 კვტ (108 ც.ძ.)</v>
      </c>
      <c r="C65" s="6" t="str">
        <f>'4-1'!D12</f>
        <v>მანქ/სთ</v>
      </c>
      <c r="D65" s="6">
        <f>'4-1'!F12</f>
        <v>3.6072000000000002</v>
      </c>
      <c r="E65" s="9" t="b">
        <f t="shared" si="21"/>
        <v>0</v>
      </c>
      <c r="F65" s="9" t="b">
        <f t="shared" si="22"/>
        <v>0</v>
      </c>
      <c r="G65" s="9" t="e">
        <f t="shared" si="23"/>
        <v>#DIV/0!</v>
      </c>
      <c r="H65" s="6">
        <f>'4-1'!M12</f>
        <v>0</v>
      </c>
      <c r="I65" s="6" t="str">
        <f>'4-1'!B12</f>
        <v>14-1-200</v>
      </c>
    </row>
    <row r="66" spans="1:9" ht="39.950000000000003" customHeight="1">
      <c r="A66" s="6">
        <f>'4-1'!A20</f>
        <v>0</v>
      </c>
      <c r="B66" s="6">
        <f>'4-1'!C20</f>
        <v>0</v>
      </c>
      <c r="C66" s="6">
        <f>'4-1'!D20</f>
        <v>0</v>
      </c>
      <c r="D66" s="6">
        <f>'4-1'!F20</f>
        <v>0</v>
      </c>
      <c r="E66" s="9" t="b">
        <f t="shared" si="21"/>
        <v>0</v>
      </c>
      <c r="F66" s="9" t="b">
        <f t="shared" si="22"/>
        <v>0</v>
      </c>
      <c r="G66" s="9" t="e">
        <f t="shared" si="23"/>
        <v>#DIV/0!</v>
      </c>
      <c r="H66" s="6">
        <f>'4-1'!M20</f>
        <v>0</v>
      </c>
      <c r="I66" s="6">
        <f>'4-1'!B20</f>
        <v>0</v>
      </c>
    </row>
    <row r="67" spans="1:9" ht="39.950000000000003" customHeight="1">
      <c r="A67" s="6" t="str">
        <f>'4-1'!A23</f>
        <v>1.2.1</v>
      </c>
      <c r="B67" s="6" t="str">
        <f>'4-1'!C23</f>
        <v>ავტოგუდრონატორი 3500 ლ</v>
      </c>
      <c r="C67" s="6" t="str">
        <f>'4-1'!D23</f>
        <v>მანქ/სთ</v>
      </c>
      <c r="D67" s="6">
        <f>'4-1'!F23</f>
        <v>0.1</v>
      </c>
      <c r="E67" s="9" t="b">
        <f t="shared" si="21"/>
        <v>0</v>
      </c>
      <c r="F67" s="9" t="b">
        <f t="shared" si="22"/>
        <v>0</v>
      </c>
      <c r="G67" s="9" t="e">
        <f t="shared" si="23"/>
        <v>#DIV/0!</v>
      </c>
      <c r="H67" s="6">
        <f>'4-1'!M23</f>
        <v>0</v>
      </c>
      <c r="I67" s="6" t="str">
        <f>'4-1'!B23</f>
        <v>14-1-198</v>
      </c>
    </row>
    <row r="68" spans="1:9" ht="39.950000000000003" customHeight="1">
      <c r="A68" s="6">
        <f>'4-1'!A52</f>
        <v>0</v>
      </c>
      <c r="B68" s="6">
        <f>'4-1'!C52</f>
        <v>0</v>
      </c>
      <c r="C68" s="6" t="str">
        <f>'4-1'!D52</f>
        <v>1 მ3</v>
      </c>
      <c r="D68" s="6">
        <f>'4-1'!F52</f>
        <v>49.6</v>
      </c>
      <c r="E68" s="9" t="b">
        <f t="shared" ref="E68" si="24">IF(C68="კმ","კმ",IF(C68="1 ჰა","1 ჰა",IF(C68="100 ც","ც",IF(C68="1 ც","ც",IF(C68="ც","ც",IF(C68="ტ","ტ",IF(C68="1 ტ","ტ",IF(C68="მ³","მ³",IF(C68="1 მ³","მ³",IF(C68="10 მ³","მ³",IF(C68="100 მ³","მ³",IF(C68="1000 მ³","მ³",IF(C68="1000 მ","მ",IF(C68="100 მ","მ",IF(C68="10 მ","მ",IF(C68="10 მ ","მ",IF(C68="მ","მ",IF(C68="1000 მ²","მ²",IF(C68="1000 მ² ","მ²",IF(C68="100 მ²","მ²",IF(C68="100 მ² ","მ²",IF(C68="10 მ²","მ²",IF(C68="მ² ","მ²",IF(C68="ლარი","ლარი",IF(C68="ხიდი","ლარი",IF(C68="100 მ","მ",IF(C68="გ.მ.","მ")))))))))))))))))))))))))))</f>
        <v>0</v>
      </c>
      <c r="F68" s="9" t="b">
        <f t="shared" ref="F68" si="25">IF(C68="კმ",D68,IF(C68="1 ჰა",D68,IF(C68="100 ც",D68*100,IF(C68="1 ც",D68,IF(C68="ც",D68,IF(C68="ტ",D68,IF(C68="1 ტ",D68,IF(C68="მ³",D68,IF(C68="1 მ³",D68,IF(C68="10 მ³",D68*10,IF(C68="100 მ³",D68*100,IF(C68="1000 მ³",D68*1000,IF(C68="1000 მ",D68*1000,IF(C68="100 მ",D68*100,IF(C68="10 მ",D68*10,IF(C68="10 მ ",D68*10,IF(C68="მ",D68,IF(C68="1000 მ²",D68*1000,IF(C68="1000 მ² ",D68*1000,IF(C68="100 მ²",D68*100,IF(C68="100 მ² ",D68*100,IF(C68="10 მ²",D68*10,IF(C68="მ² ",D68,IF(C68="ლარი",D68,IF(C68="ხიდი",D68,IF(C68="100 მ",D68*100,IF(C68="გ.მ.",D68)))))))))))))))))))))))))))</f>
        <v>0</v>
      </c>
      <c r="G68" s="9" t="e">
        <f t="shared" ref="G68" si="26">ROUND(H68/F68,2)</f>
        <v>#DIV/0!</v>
      </c>
      <c r="H68" s="6">
        <f>'4-1'!M52</f>
        <v>0</v>
      </c>
      <c r="I68" s="6" t="str">
        <f>'4-1'!B52</f>
        <v>ГЭСН</v>
      </c>
    </row>
    <row r="69" spans="1:9" s="22" customFormat="1" ht="39.950000000000003" customHeight="1">
      <c r="A69" s="23"/>
      <c r="B69" s="36" t="s">
        <v>4</v>
      </c>
      <c r="C69" s="38"/>
      <c r="D69" s="24"/>
      <c r="E69" s="24"/>
      <c r="F69" s="39"/>
      <c r="G69" s="24"/>
      <c r="H69" s="24">
        <f>ROUND(SUM(H63:H68),2)</f>
        <v>0</v>
      </c>
      <c r="I69" s="25"/>
    </row>
    <row r="70" spans="1:9" s="22" customFormat="1" ht="39.950000000000003" customHeight="1">
      <c r="A70" s="23"/>
      <c r="B70" s="36" t="s">
        <v>10</v>
      </c>
      <c r="C70" s="38"/>
      <c r="D70" s="38"/>
      <c r="E70" s="48" t="s">
        <v>12</v>
      </c>
      <c r="F70" s="38">
        <v>10</v>
      </c>
      <c r="G70" s="38"/>
      <c r="H70" s="24">
        <f>ROUND(H69*F70%,2)</f>
        <v>0</v>
      </c>
      <c r="I70" s="25"/>
    </row>
    <row r="71" spans="1:9" s="22" customFormat="1" ht="39.950000000000003" customHeight="1">
      <c r="A71" s="23"/>
      <c r="B71" s="36" t="s">
        <v>4</v>
      </c>
      <c r="C71" s="38"/>
      <c r="D71" s="38"/>
      <c r="E71" s="39"/>
      <c r="F71" s="38"/>
      <c r="G71" s="39"/>
      <c r="H71" s="24">
        <f>ROUND(SUM(H69:H70),2)</f>
        <v>0</v>
      </c>
      <c r="I71" s="25"/>
    </row>
    <row r="72" spans="1:9" s="22" customFormat="1" ht="39.950000000000003" customHeight="1">
      <c r="A72" s="23"/>
      <c r="B72" s="36" t="s">
        <v>11</v>
      </c>
      <c r="C72" s="38"/>
      <c r="D72" s="38"/>
      <c r="E72" s="48" t="s">
        <v>12</v>
      </c>
      <c r="F72" s="38">
        <v>8</v>
      </c>
      <c r="G72" s="38"/>
      <c r="H72" s="24">
        <f>ROUND(H71*F72%,2)</f>
        <v>0</v>
      </c>
      <c r="I72" s="25"/>
    </row>
    <row r="73" spans="1:9" s="22" customFormat="1" ht="39.75" customHeight="1">
      <c r="A73" s="23"/>
      <c r="B73" s="36" t="s">
        <v>4</v>
      </c>
      <c r="C73" s="38"/>
      <c r="D73" s="38"/>
      <c r="E73" s="38"/>
      <c r="F73" s="38"/>
      <c r="G73" s="38"/>
      <c r="H73" s="24">
        <f>ROUND(SUM(H71:H72),2)</f>
        <v>0</v>
      </c>
      <c r="I73" s="25"/>
    </row>
    <row r="74" spans="1:9" s="22" customFormat="1" ht="79.5" customHeight="1">
      <c r="A74" s="43"/>
      <c r="B74" s="44" t="str">
        <f>'5-1'!C7</f>
        <v>მიერთებებისა და ადგილობრივი შესასვლელების მოწყობის სამუშაოები</v>
      </c>
      <c r="C74" s="29"/>
      <c r="D74" s="29"/>
      <c r="E74" s="29"/>
      <c r="F74" s="29"/>
      <c r="G74" s="29"/>
      <c r="H74" s="28"/>
      <c r="I74" s="29"/>
    </row>
    <row r="75" spans="1:9" ht="39.950000000000003" customHeight="1">
      <c r="A75" s="6">
        <f>'5-1'!A8</f>
        <v>0</v>
      </c>
      <c r="B75" s="6">
        <f>'5-1'!C8</f>
        <v>0</v>
      </c>
      <c r="C75" s="6">
        <f>'5-1'!D8</f>
        <v>0</v>
      </c>
      <c r="D75" s="6">
        <f>'5-1'!F8</f>
        <v>0</v>
      </c>
      <c r="E75" s="9" t="b">
        <f t="shared" ref="E75" si="27">IF(C75="კმ","კმ",IF(C75="1 ჰა","1 ჰა",IF(C75="100 ც","ც",IF(C75="1 ც","ც",IF(C75="ც","ც",IF(C75="ტ","ტ",IF(C75="1 ტ","ტ",IF(C75="მ³","მ³",IF(C75="1 მ³","მ³",IF(C75="10 მ³","მ³",IF(C75="100 მ³","მ³",IF(C75="1000 მ³","მ³",IF(C75="1000 მ","მ",IF(C75="100 მ","მ",IF(C75="10 მ","მ",IF(C75="10 მ ","მ",IF(C75="მ","მ",IF(C75="1000 მ²","მ²",IF(C75="1000 მ² ","მ²",IF(C75="100 მ²","მ²",IF(C75="100 მ² ","მ²",IF(C75="10 მ²","მ²",IF(C75="მ² ","მ²",IF(C75="ლარი","ლარი",IF(C75="ხიდი","ლარი",IF(C75="100 მ","მ",IF(C75="გ.მ.","მ")))))))))))))))))))))))))))</f>
        <v>0</v>
      </c>
      <c r="F75" s="9" t="b">
        <f t="shared" ref="F75" si="28">IF(C75="კმ",D75,IF(C75="1 ჰა",D75,IF(C75="100 ც",D75*100,IF(C75="1 ც",D75,IF(C75="ც",D75,IF(C75="ტ",D75,IF(C75="1 ტ",D75,IF(C75="მ³",D75,IF(C75="1 მ³",D75,IF(C75="10 მ³",D75*10,IF(C75="100 მ³",D75*100,IF(C75="1000 მ³",D75*1000,IF(C75="1000 მ",D75*1000,IF(C75="100 მ",D75*100,IF(C75="10 მ",D75*10,IF(C75="10 მ ",D75*10,IF(C75="მ",D75,IF(C75="1000 მ²",D75*1000,IF(C75="1000 მ² ",D75*1000,IF(C75="100 მ²",D75*100,IF(C75="100 მ² ",D75*100,IF(C75="10 მ²",D75*10,IF(C75="მ² ",D75,IF(C75="ლარი",D75,IF(C75="ხიდი",D75,IF(C75="100 მ",D75*100,IF(C75="გ.მ.",D75)))))))))))))))))))))))))))</f>
        <v>0</v>
      </c>
      <c r="G75" s="9" t="e">
        <f t="shared" ref="G75" si="29">ROUND(H75/F75,2)</f>
        <v>#DIV/0!</v>
      </c>
      <c r="H75" s="6">
        <f>'5-1'!M8</f>
        <v>0</v>
      </c>
      <c r="I75" s="6">
        <f>'5-1'!B8</f>
        <v>0</v>
      </c>
    </row>
    <row r="76" spans="1:9" ht="39.950000000000003" customHeight="1">
      <c r="A76" s="6" t="str">
        <f>'5-1'!A11</f>
        <v>1.1.1</v>
      </c>
      <c r="B76" s="6" t="str">
        <f>'5-1'!C11</f>
        <v>შრომითი დანახარჯები</v>
      </c>
      <c r="C76" s="6" t="str">
        <f>'5-1'!D11</f>
        <v>კაც/სთ</v>
      </c>
      <c r="D76" s="6">
        <f>'5-1'!F11</f>
        <v>8.9899999999999997E-3</v>
      </c>
      <c r="E76" s="9" t="b">
        <f t="shared" ref="E76:E82" si="30">IF(C76="კმ","კმ",IF(C76="1 ჰა","1 ჰა",IF(C76="100 ც","ც",IF(C76="1 ც","ც",IF(C76="ც","ც",IF(C76="ტ","ტ",IF(C76="1 ტ","ტ",IF(C76="მ³","მ³",IF(C76="1 მ³","მ³",IF(C76="10 მ³","მ³",IF(C76="100 მ³","მ³",IF(C76="1000 მ³","მ³",IF(C76="1000 მ","მ",IF(C76="100 მ","მ",IF(C76="10 მ","მ",IF(C76="10 მ ","მ",IF(C76="მ","მ",IF(C76="1000 მ²","მ²",IF(C76="1000 მ² ","მ²",IF(C76="100 მ²","მ²",IF(C76="100 მ² ","მ²",IF(C76="10 მ²","მ²",IF(C76="მ² ","მ²",IF(C76="ლარი","ლარი",IF(C76="ხიდი","ლარი",IF(C76="100 მ","მ",IF(C76="გ.მ.","მ")))))))))))))))))))))))))))</f>
        <v>0</v>
      </c>
      <c r="F76" s="9" t="b">
        <f t="shared" ref="F76:F82" si="31">IF(C76="კმ",D76,IF(C76="1 ჰა",D76,IF(C76="100 ც",D76*100,IF(C76="1 ც",D76,IF(C76="ც",D76,IF(C76="ტ",D76,IF(C76="1 ტ",D76,IF(C76="მ³",D76,IF(C76="1 მ³",D76,IF(C76="10 მ³",D76*10,IF(C76="100 მ³",D76*100,IF(C76="1000 მ³",D76*1000,IF(C76="1000 მ",D76*1000,IF(C76="100 მ",D76*100,IF(C76="10 მ",D76*10,IF(C76="10 მ ",D76*10,IF(C76="მ",D76,IF(C76="1000 მ²",D76*1000,IF(C76="1000 მ² ",D76*1000,IF(C76="100 მ²",D76*100,IF(C76="100 მ² ",D76*100,IF(C76="10 მ²",D76*10,IF(C76="მ² ",D76,IF(C76="ლარი",D76,IF(C76="ხიდი",D76,IF(C76="100 მ",D76*100,IF(C76="გ.მ.",D76)))))))))))))))))))))))))))</f>
        <v>0</v>
      </c>
      <c r="G76" s="9" t="e">
        <f t="shared" ref="G76:G82" si="32">ROUND(H76/F76,2)</f>
        <v>#DIV/0!</v>
      </c>
      <c r="H76" s="6">
        <f>'5-1'!M11</f>
        <v>0</v>
      </c>
      <c r="I76" s="6">
        <f>'5-1'!B11</f>
        <v>0</v>
      </c>
    </row>
    <row r="77" spans="1:9" ht="39.950000000000003" customHeight="1">
      <c r="A77" s="6" t="str">
        <f>'5-1'!A18</f>
        <v>1.2.3</v>
      </c>
      <c r="B77" s="6" t="str">
        <f>'5-1'!C18</f>
        <v>თვითმავალი სატკეპნი საგზაო, პნევმოსვლით 18 ტ</v>
      </c>
      <c r="C77" s="6" t="str">
        <f>'5-1'!D18</f>
        <v>მანქ/სთ</v>
      </c>
      <c r="D77" s="6">
        <f>'5-1'!F18</f>
        <v>0.60333000000000003</v>
      </c>
      <c r="E77" s="9" t="b">
        <f t="shared" si="30"/>
        <v>0</v>
      </c>
      <c r="F77" s="9" t="b">
        <f t="shared" si="31"/>
        <v>0</v>
      </c>
      <c r="G77" s="9" t="e">
        <f t="shared" si="32"/>
        <v>#DIV/0!</v>
      </c>
      <c r="H77" s="6">
        <f>'5-1'!M18</f>
        <v>0</v>
      </c>
      <c r="I77" s="6" t="str">
        <f>'5-1'!B18</f>
        <v>14-1-222</v>
      </c>
    </row>
    <row r="78" spans="1:9" ht="39.950000000000003" customHeight="1">
      <c r="A78" s="6" t="str">
        <f>'5-1'!A28</f>
        <v>1.3.4</v>
      </c>
      <c r="B78" s="6" t="str">
        <f>'5-1'!C28</f>
        <v xml:space="preserve">თვითმავალი სატკეპნი საგზაო 5 ტ </v>
      </c>
      <c r="C78" s="6" t="str">
        <f>'5-1'!D28</f>
        <v>მანქ/სთ</v>
      </c>
      <c r="D78" s="6">
        <f>'5-1'!F28</f>
        <v>3.0912000000000002</v>
      </c>
      <c r="E78" s="9" t="b">
        <f t="shared" si="30"/>
        <v>0</v>
      </c>
      <c r="F78" s="9" t="b">
        <f t="shared" si="31"/>
        <v>0</v>
      </c>
      <c r="G78" s="9" t="e">
        <f t="shared" si="32"/>
        <v>#DIV/0!</v>
      </c>
      <c r="H78" s="6">
        <f>'5-1'!M28</f>
        <v>0</v>
      </c>
      <c r="I78" s="6" t="str">
        <f>'5-1'!B28</f>
        <v>14-1-218</v>
      </c>
    </row>
    <row r="79" spans="1:9" ht="39.950000000000003" customHeight="1">
      <c r="A79" s="6" t="str">
        <f>'5-1'!A31</f>
        <v>1.3.7</v>
      </c>
      <c r="B79" s="6" t="str">
        <f>'5-1'!C31</f>
        <v>ქვის ნამტვრევების გამანაწილებელი მანქანა</v>
      </c>
      <c r="C79" s="6" t="str">
        <f>'5-1'!D31</f>
        <v>მანქ/სთ</v>
      </c>
      <c r="D79" s="6">
        <f>'5-1'!F31</f>
        <v>0.14628000000000002</v>
      </c>
      <c r="E79" s="9" t="b">
        <f t="shared" si="30"/>
        <v>0</v>
      </c>
      <c r="F79" s="9" t="b">
        <f t="shared" si="31"/>
        <v>0</v>
      </c>
      <c r="G79" s="9" t="e">
        <f t="shared" si="32"/>
        <v>#DIV/0!</v>
      </c>
      <c r="H79" s="6">
        <f>'5-1'!M31</f>
        <v>0</v>
      </c>
      <c r="I79" s="6" t="str">
        <f>'5-1'!B31</f>
        <v>14-1-229</v>
      </c>
    </row>
    <row r="80" spans="1:9" ht="39.950000000000003" customHeight="1">
      <c r="A80" s="6">
        <f>'5-1'!A39</f>
        <v>0</v>
      </c>
      <c r="B80" s="6">
        <f>'5-1'!C39</f>
        <v>0</v>
      </c>
      <c r="C80" s="6">
        <f>'5-1'!D39</f>
        <v>0</v>
      </c>
      <c r="D80" s="6">
        <f>'5-1'!F39</f>
        <v>0</v>
      </c>
      <c r="E80" s="9" t="b">
        <f t="shared" si="30"/>
        <v>0</v>
      </c>
      <c r="F80" s="9" t="b">
        <f t="shared" si="31"/>
        <v>0</v>
      </c>
      <c r="G80" s="9" t="e">
        <f t="shared" si="32"/>
        <v>#DIV/0!</v>
      </c>
      <c r="H80" s="6">
        <f>'5-1'!M39</f>
        <v>0</v>
      </c>
      <c r="I80" s="6">
        <f>'5-1'!B39</f>
        <v>0</v>
      </c>
    </row>
    <row r="81" spans="1:9" ht="39.950000000000003" customHeight="1">
      <c r="A81" s="6" t="str">
        <f>'5-1'!A42</f>
        <v>1.5.1</v>
      </c>
      <c r="B81" s="6" t="str">
        <f>'5-1'!C42</f>
        <v>შრომითი დანახარჯები</v>
      </c>
      <c r="C81" s="6" t="str">
        <f>'5-1'!D42</f>
        <v>კაც/სთ</v>
      </c>
      <c r="D81" s="6">
        <f>'5-1'!F42</f>
        <v>10.427280000000001</v>
      </c>
      <c r="E81" s="9" t="b">
        <f t="shared" si="30"/>
        <v>0</v>
      </c>
      <c r="F81" s="9" t="b">
        <f t="shared" si="31"/>
        <v>0</v>
      </c>
      <c r="G81" s="9" t="e">
        <f t="shared" si="32"/>
        <v>#DIV/0!</v>
      </c>
      <c r="H81" s="6">
        <f>'5-1'!M42</f>
        <v>0</v>
      </c>
      <c r="I81" s="6">
        <f>'5-1'!B42</f>
        <v>0</v>
      </c>
    </row>
    <row r="82" spans="1:9" ht="39.950000000000003" customHeight="1">
      <c r="A82" s="6">
        <f>'5-1'!A50</f>
        <v>1.6</v>
      </c>
      <c r="B82" s="6" t="str">
        <f>'5-1'!C50</f>
        <v>თხევადი ბიტუმის მოსხმა</v>
      </c>
      <c r="C82" s="6" t="str">
        <f>'5-1'!D50</f>
        <v>ტ</v>
      </c>
      <c r="D82" s="6">
        <f>'5-1'!F50</f>
        <v>0.96599999999999997</v>
      </c>
      <c r="E82" s="9" t="str">
        <f t="shared" si="30"/>
        <v>ტ</v>
      </c>
      <c r="F82" s="9">
        <f t="shared" si="31"/>
        <v>0.96599999999999997</v>
      </c>
      <c r="G82" s="9">
        <f t="shared" si="32"/>
        <v>0</v>
      </c>
      <c r="H82" s="6">
        <f>'5-1'!M50</f>
        <v>0</v>
      </c>
      <c r="I82" s="6" t="str">
        <f>'5-1'!B50</f>
        <v>27-63-1</v>
      </c>
    </row>
    <row r="83" spans="1:9" s="22" customFormat="1" ht="39.950000000000003" customHeight="1">
      <c r="A83" s="23"/>
      <c r="B83" s="36" t="s">
        <v>4</v>
      </c>
      <c r="C83" s="38"/>
      <c r="D83" s="24"/>
      <c r="E83" s="24"/>
      <c r="F83" s="39"/>
      <c r="G83" s="24"/>
      <c r="H83" s="24">
        <f>ROUND(SUM(H75:H82),2)</f>
        <v>0</v>
      </c>
      <c r="I83" s="25"/>
    </row>
    <row r="84" spans="1:9" s="22" customFormat="1" ht="39.950000000000003" customHeight="1">
      <c r="A84" s="23"/>
      <c r="B84" s="36" t="s">
        <v>10</v>
      </c>
      <c r="C84" s="38"/>
      <c r="D84" s="38"/>
      <c r="E84" s="48" t="s">
        <v>12</v>
      </c>
      <c r="F84" s="38">
        <v>10</v>
      </c>
      <c r="G84" s="38"/>
      <c r="H84" s="24">
        <f>ROUND(H83*F84%,2)</f>
        <v>0</v>
      </c>
      <c r="I84" s="25"/>
    </row>
    <row r="85" spans="1:9" s="22" customFormat="1" ht="39.950000000000003" customHeight="1">
      <c r="A85" s="23"/>
      <c r="B85" s="36" t="s">
        <v>4</v>
      </c>
      <c r="C85" s="38"/>
      <c r="D85" s="38"/>
      <c r="E85" s="39"/>
      <c r="F85" s="38"/>
      <c r="G85" s="39"/>
      <c r="H85" s="24">
        <f>ROUND(SUM(H83:H84),2)</f>
        <v>0</v>
      </c>
      <c r="I85" s="25"/>
    </row>
    <row r="86" spans="1:9" s="22" customFormat="1" ht="39.950000000000003" customHeight="1">
      <c r="A86" s="23"/>
      <c r="B86" s="36" t="s">
        <v>11</v>
      </c>
      <c r="C86" s="38"/>
      <c r="D86" s="38"/>
      <c r="E86" s="48" t="s">
        <v>12</v>
      </c>
      <c r="F86" s="38">
        <v>8</v>
      </c>
      <c r="G86" s="38"/>
      <c r="H86" s="24">
        <f>ROUND(H85*F86%,2)</f>
        <v>0</v>
      </c>
      <c r="I86" s="25"/>
    </row>
    <row r="87" spans="1:9" s="22" customFormat="1" ht="39.75" customHeight="1">
      <c r="A87" s="23"/>
      <c r="B87" s="36" t="s">
        <v>4</v>
      </c>
      <c r="C87" s="38"/>
      <c r="D87" s="38"/>
      <c r="E87" s="38"/>
      <c r="F87" s="38"/>
      <c r="G87" s="38"/>
      <c r="H87" s="24">
        <f>ROUND(SUM(H85:H86),2)</f>
        <v>0</v>
      </c>
      <c r="I87" s="25"/>
    </row>
  </sheetData>
  <mergeCells count="27">
    <mergeCell ref="A5:B6"/>
    <mergeCell ref="E5:G6"/>
    <mergeCell ref="H5:I6"/>
    <mergeCell ref="A1:B1"/>
    <mergeCell ref="A2:B2"/>
    <mergeCell ref="A3:B4"/>
    <mergeCell ref="E3:G4"/>
    <mergeCell ref="H3:I4"/>
    <mergeCell ref="A7:B8"/>
    <mergeCell ref="E7:G8"/>
    <mergeCell ref="H7:I8"/>
    <mergeCell ref="A9:B10"/>
    <mergeCell ref="E9:G10"/>
    <mergeCell ref="H9:I10"/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paperSize="9" scale="54" orientation="portrait" r:id="rId1"/>
  <rowBreaks count="1" manualBreakCount="1">
    <brk id="73" max="16383" man="1"/>
  </rowBreaks>
  <colBreaks count="2" manualBreakCount="2">
    <brk id="1" max="95" man="1"/>
    <brk id="2" max="9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topLeftCell="A40" zoomScale="55" zoomScaleNormal="55" zoomScaleSheetLayoutView="55" workbookViewId="0">
      <selection activeCell="J25" sqref="J25:J31"/>
    </sheetView>
  </sheetViews>
  <sheetFormatPr defaultRowHeight="19.5"/>
  <cols>
    <col min="1" max="1" width="15.7109375" customWidth="1"/>
    <col min="2" max="2" width="105.7109375" customWidth="1"/>
    <col min="3" max="4" width="12.7109375" customWidth="1"/>
    <col min="5" max="5" width="25.7109375" customWidth="1"/>
    <col min="6" max="7" width="20.7109375" customWidth="1"/>
    <col min="8" max="9" width="13.28515625" customWidth="1"/>
    <col min="10" max="15" width="20.7109375" customWidth="1"/>
    <col min="19" max="20" width="20.7109375" style="47" customWidth="1"/>
  </cols>
  <sheetData>
    <row r="1" spans="1:220">
      <c r="A1" s="182"/>
      <c r="B1" s="182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20">
      <c r="A2" s="182"/>
      <c r="B2" s="182"/>
      <c r="C2" s="7"/>
      <c r="D2" s="7"/>
      <c r="E2" s="7"/>
      <c r="F2" s="7"/>
      <c r="G2" s="7"/>
      <c r="H2" s="7"/>
      <c r="I2" s="7"/>
      <c r="J2" s="7"/>
      <c r="K2" s="7"/>
      <c r="L2" s="7"/>
      <c r="S2" s="186" t="s">
        <v>143</v>
      </c>
      <c r="T2" s="186"/>
      <c r="U2" s="47">
        <v>1</v>
      </c>
      <c r="V2" s="47">
        <v>2</v>
      </c>
      <c r="W2" s="47">
        <v>3</v>
      </c>
      <c r="X2" s="47">
        <v>4</v>
      </c>
      <c r="Y2" s="47">
        <v>5</v>
      </c>
      <c r="Z2" s="47">
        <v>6</v>
      </c>
      <c r="AA2" s="47">
        <v>7</v>
      </c>
      <c r="AB2" s="47">
        <v>8</v>
      </c>
      <c r="AC2" s="47">
        <v>9</v>
      </c>
      <c r="AD2" s="47">
        <v>10</v>
      </c>
      <c r="AE2" s="47">
        <v>11</v>
      </c>
      <c r="AF2" s="47">
        <v>12</v>
      </c>
      <c r="AG2" s="47">
        <v>13</v>
      </c>
      <c r="AH2" s="47">
        <v>14</v>
      </c>
      <c r="AI2" s="47">
        <v>15</v>
      </c>
      <c r="AJ2" s="47">
        <v>16</v>
      </c>
      <c r="AK2" s="47">
        <v>17</v>
      </c>
      <c r="AL2" s="47">
        <v>18</v>
      </c>
      <c r="AM2" s="47">
        <v>19</v>
      </c>
      <c r="AN2" s="47">
        <v>20</v>
      </c>
      <c r="AO2" s="47">
        <v>21</v>
      </c>
      <c r="AP2" s="47">
        <v>22</v>
      </c>
      <c r="AQ2" s="47">
        <v>23</v>
      </c>
      <c r="AR2" s="47">
        <v>24</v>
      </c>
      <c r="AS2" s="47">
        <v>25</v>
      </c>
      <c r="AT2" s="47">
        <v>26</v>
      </c>
      <c r="AU2" s="47">
        <v>27</v>
      </c>
      <c r="AV2" s="47">
        <v>28</v>
      </c>
      <c r="AW2" s="47">
        <v>29</v>
      </c>
      <c r="AX2" s="47">
        <v>30</v>
      </c>
      <c r="AY2" s="47">
        <v>31</v>
      </c>
      <c r="AZ2" s="47">
        <v>32</v>
      </c>
      <c r="BA2" s="47">
        <v>33</v>
      </c>
      <c r="BB2" s="47">
        <v>34</v>
      </c>
      <c r="BC2" s="47">
        <v>35</v>
      </c>
      <c r="BD2" s="47">
        <v>36</v>
      </c>
      <c r="BE2" s="47">
        <v>37</v>
      </c>
      <c r="BF2" s="47">
        <v>38</v>
      </c>
      <c r="BG2" s="47">
        <v>39</v>
      </c>
      <c r="BH2" s="47">
        <v>40</v>
      </c>
      <c r="BI2" s="47">
        <v>41</v>
      </c>
      <c r="BJ2" s="47">
        <v>42</v>
      </c>
      <c r="BK2" s="47">
        <v>43</v>
      </c>
      <c r="BL2" s="47">
        <v>44</v>
      </c>
      <c r="BM2" s="47">
        <v>45</v>
      </c>
      <c r="BN2" s="47">
        <v>46</v>
      </c>
      <c r="BO2" s="47">
        <v>47</v>
      </c>
      <c r="BP2" s="47">
        <v>48</v>
      </c>
      <c r="BQ2" s="47">
        <v>49</v>
      </c>
      <c r="BR2" s="47">
        <v>50</v>
      </c>
      <c r="BS2" s="47">
        <v>51</v>
      </c>
      <c r="BT2" s="47">
        <v>52</v>
      </c>
      <c r="BU2" s="47">
        <v>53</v>
      </c>
      <c r="BV2" s="47">
        <v>54</v>
      </c>
      <c r="BW2" s="47">
        <v>55</v>
      </c>
      <c r="BX2" s="47">
        <v>56</v>
      </c>
      <c r="BY2" s="47">
        <v>57</v>
      </c>
      <c r="BZ2" s="47">
        <v>58</v>
      </c>
      <c r="CA2" s="47">
        <v>59</v>
      </c>
      <c r="CB2" s="47">
        <v>60</v>
      </c>
      <c r="CC2" s="47">
        <v>61</v>
      </c>
      <c r="CD2" s="47">
        <v>62</v>
      </c>
      <c r="CE2" s="47">
        <v>63</v>
      </c>
      <c r="CF2" s="47">
        <v>64</v>
      </c>
      <c r="CG2" s="47">
        <v>65</v>
      </c>
      <c r="CH2" s="47">
        <v>66</v>
      </c>
      <c r="CI2" s="47">
        <v>67</v>
      </c>
      <c r="CJ2" s="47">
        <v>68</v>
      </c>
      <c r="CK2" s="47">
        <v>69</v>
      </c>
      <c r="CL2" s="47">
        <v>70</v>
      </c>
      <c r="CM2" s="47">
        <v>71</v>
      </c>
      <c r="CN2" s="47">
        <v>72</v>
      </c>
      <c r="CO2" s="47">
        <v>73</v>
      </c>
      <c r="CP2" s="47">
        <v>74</v>
      </c>
      <c r="CQ2" s="47">
        <v>75</v>
      </c>
      <c r="CR2" s="47">
        <v>76</v>
      </c>
      <c r="CS2" s="47">
        <v>77</v>
      </c>
      <c r="CT2" s="47">
        <v>78</v>
      </c>
      <c r="CU2" s="47">
        <v>79</v>
      </c>
      <c r="CV2" s="47">
        <v>80</v>
      </c>
      <c r="CW2" s="47">
        <v>81</v>
      </c>
      <c r="CX2" s="47">
        <v>82</v>
      </c>
      <c r="CY2" s="47">
        <v>83</v>
      </c>
      <c r="CZ2" s="47">
        <v>84</v>
      </c>
      <c r="DA2" s="47">
        <v>85</v>
      </c>
      <c r="DB2" s="47">
        <v>86</v>
      </c>
      <c r="DC2" s="47">
        <v>87</v>
      </c>
      <c r="DD2" s="47">
        <v>88</v>
      </c>
      <c r="DE2" s="47">
        <v>89</v>
      </c>
      <c r="DF2" s="47">
        <v>90</v>
      </c>
      <c r="DG2" s="47">
        <v>91</v>
      </c>
      <c r="DH2" s="47">
        <v>92</v>
      </c>
      <c r="DI2" s="47">
        <v>93</v>
      </c>
      <c r="DJ2" s="47">
        <v>94</v>
      </c>
      <c r="DK2" s="47">
        <v>95</v>
      </c>
      <c r="DL2" s="47">
        <v>96</v>
      </c>
      <c r="DM2" s="47">
        <v>97</v>
      </c>
      <c r="DN2" s="47">
        <v>98</v>
      </c>
      <c r="DO2" s="47">
        <v>99</v>
      </c>
      <c r="DP2" s="47">
        <v>100</v>
      </c>
      <c r="DQ2" s="47">
        <v>101</v>
      </c>
      <c r="DR2" s="47">
        <v>102</v>
      </c>
      <c r="DS2" s="47">
        <v>103</v>
      </c>
      <c r="DT2" s="47">
        <v>104</v>
      </c>
      <c r="DU2" s="47">
        <v>105</v>
      </c>
      <c r="DV2" s="47">
        <v>106</v>
      </c>
      <c r="DW2" s="47">
        <v>107</v>
      </c>
      <c r="DX2" s="47">
        <v>108</v>
      </c>
      <c r="DY2" s="47">
        <v>109</v>
      </c>
      <c r="DZ2" s="47">
        <v>110</v>
      </c>
      <c r="EA2" s="47">
        <v>111</v>
      </c>
      <c r="EB2" s="47">
        <v>112</v>
      </c>
      <c r="EC2" s="47">
        <v>113</v>
      </c>
      <c r="ED2" s="47">
        <v>114</v>
      </c>
      <c r="EE2" s="47">
        <v>115</v>
      </c>
      <c r="EF2" s="47">
        <v>116</v>
      </c>
      <c r="EG2" s="47">
        <v>117</v>
      </c>
      <c r="EH2" s="47">
        <v>118</v>
      </c>
      <c r="EI2" s="47">
        <v>119</v>
      </c>
      <c r="EJ2" s="47">
        <v>120</v>
      </c>
      <c r="EK2" s="47">
        <v>121</v>
      </c>
      <c r="EL2" s="47">
        <v>122</v>
      </c>
      <c r="EM2" s="47">
        <v>123</v>
      </c>
      <c r="EN2" s="47">
        <v>124</v>
      </c>
      <c r="EO2" s="47">
        <v>125</v>
      </c>
      <c r="EP2" s="47">
        <v>126</v>
      </c>
      <c r="EQ2" s="47">
        <v>127</v>
      </c>
      <c r="ER2" s="47">
        <v>128</v>
      </c>
      <c r="ES2" s="47">
        <v>129</v>
      </c>
      <c r="ET2" s="47">
        <v>130</v>
      </c>
      <c r="EU2" s="47">
        <v>131</v>
      </c>
      <c r="EV2" s="47">
        <v>132</v>
      </c>
      <c r="EW2" s="47">
        <v>133</v>
      </c>
      <c r="EX2" s="47">
        <v>134</v>
      </c>
      <c r="EY2" s="47">
        <v>135</v>
      </c>
      <c r="EZ2" s="47">
        <v>136</v>
      </c>
      <c r="FA2" s="47">
        <v>137</v>
      </c>
      <c r="FB2" s="47">
        <v>138</v>
      </c>
      <c r="FC2" s="47">
        <v>139</v>
      </c>
      <c r="FD2" s="47">
        <v>140</v>
      </c>
      <c r="FE2" s="47">
        <v>141</v>
      </c>
      <c r="FF2" s="47">
        <v>142</v>
      </c>
      <c r="FG2" s="47">
        <v>143</v>
      </c>
      <c r="FH2" s="47">
        <v>144</v>
      </c>
      <c r="FI2" s="47">
        <v>145</v>
      </c>
      <c r="FJ2" s="47">
        <v>146</v>
      </c>
      <c r="FK2" s="47">
        <v>147</v>
      </c>
      <c r="FL2" s="47">
        <v>148</v>
      </c>
      <c r="FM2" s="47">
        <v>149</v>
      </c>
      <c r="FN2" s="47">
        <v>150</v>
      </c>
      <c r="FO2" s="47">
        <v>151</v>
      </c>
      <c r="FP2" s="47">
        <v>152</v>
      </c>
      <c r="FQ2" s="47">
        <v>153</v>
      </c>
      <c r="FR2" s="47">
        <v>154</v>
      </c>
      <c r="FS2" s="47">
        <v>155</v>
      </c>
      <c r="FT2" s="47">
        <v>156</v>
      </c>
      <c r="FU2" s="47">
        <v>157</v>
      </c>
      <c r="FV2" s="47">
        <v>158</v>
      </c>
      <c r="FW2" s="47">
        <v>159</v>
      </c>
      <c r="FX2" s="47">
        <v>160</v>
      </c>
      <c r="FY2" s="47">
        <v>161</v>
      </c>
      <c r="FZ2" s="47">
        <v>162</v>
      </c>
      <c r="GA2" s="47">
        <v>163</v>
      </c>
      <c r="GB2" s="47">
        <v>164</v>
      </c>
      <c r="GC2" s="47">
        <v>165</v>
      </c>
      <c r="GD2" s="47">
        <v>166</v>
      </c>
      <c r="GE2" s="47">
        <v>167</v>
      </c>
      <c r="GF2" s="47">
        <v>168</v>
      </c>
      <c r="GG2" s="47">
        <v>169</v>
      </c>
      <c r="GH2" s="47">
        <v>170</v>
      </c>
      <c r="GI2" s="47">
        <v>171</v>
      </c>
      <c r="GJ2" s="47">
        <v>172</v>
      </c>
      <c r="GK2" s="47">
        <v>173</v>
      </c>
      <c r="GL2" s="47">
        <v>174</v>
      </c>
      <c r="GM2" s="47">
        <v>175</v>
      </c>
      <c r="GN2" s="47">
        <v>176</v>
      </c>
      <c r="GO2" s="47">
        <v>177</v>
      </c>
      <c r="GP2" s="47">
        <v>178</v>
      </c>
      <c r="GQ2" s="47">
        <v>179</v>
      </c>
      <c r="GR2" s="47">
        <v>180</v>
      </c>
      <c r="GS2" s="47">
        <v>181</v>
      </c>
      <c r="GT2" s="47">
        <v>182</v>
      </c>
      <c r="GU2" s="47">
        <v>183</v>
      </c>
      <c r="GV2" s="47">
        <v>184</v>
      </c>
      <c r="GW2" s="47">
        <v>185</v>
      </c>
      <c r="GX2" s="47">
        <v>186</v>
      </c>
      <c r="GY2" s="47">
        <v>187</v>
      </c>
      <c r="GZ2" s="47">
        <v>188</v>
      </c>
      <c r="HA2" s="47">
        <v>189</v>
      </c>
      <c r="HB2" s="47">
        <v>190</v>
      </c>
      <c r="HC2" s="47">
        <v>191</v>
      </c>
      <c r="HD2" s="47">
        <v>192</v>
      </c>
      <c r="HE2" s="47">
        <v>193</v>
      </c>
      <c r="HF2" s="47">
        <v>194</v>
      </c>
      <c r="HG2" s="47">
        <v>195</v>
      </c>
      <c r="HH2" s="47">
        <v>196</v>
      </c>
      <c r="HI2" s="47">
        <v>197</v>
      </c>
      <c r="HJ2" s="47">
        <v>198</v>
      </c>
      <c r="HK2" s="47">
        <v>199</v>
      </c>
      <c r="HL2" s="47">
        <v>200</v>
      </c>
    </row>
    <row r="3" spans="1:220" ht="15" customHeight="1">
      <c r="A3" s="170">
        <f>კრებსითი!A3</f>
        <v>0</v>
      </c>
      <c r="B3" s="170"/>
      <c r="C3" s="7"/>
      <c r="D3" s="7"/>
      <c r="E3" s="7"/>
      <c r="F3" s="7"/>
      <c r="G3" s="7"/>
      <c r="H3" s="7"/>
      <c r="I3" s="7"/>
      <c r="J3" s="7"/>
      <c r="K3" s="170"/>
      <c r="L3" s="170"/>
      <c r="S3" s="186" t="s">
        <v>144</v>
      </c>
      <c r="T3" s="186"/>
      <c r="U3" s="47">
        <v>1.55</v>
      </c>
      <c r="V3" s="47">
        <v>1.93</v>
      </c>
      <c r="W3" s="47">
        <v>2.42</v>
      </c>
      <c r="X3" s="47">
        <v>2.84</v>
      </c>
      <c r="Y3" s="47">
        <v>3.32</v>
      </c>
      <c r="Z3" s="47">
        <v>3.8</v>
      </c>
      <c r="AA3" s="47">
        <v>4.26</v>
      </c>
      <c r="AB3" s="47">
        <v>4.7</v>
      </c>
      <c r="AC3" s="47">
        <v>5.17</v>
      </c>
      <c r="AD3" s="47">
        <v>5.63</v>
      </c>
      <c r="AE3" s="47">
        <v>6.27</v>
      </c>
      <c r="AF3" s="47">
        <v>6.73</v>
      </c>
      <c r="AG3" s="47">
        <v>7.24</v>
      </c>
      <c r="AH3" s="47">
        <v>7.54</v>
      </c>
      <c r="AI3" s="47">
        <v>7.82</v>
      </c>
      <c r="AJ3" s="47">
        <v>8.18</v>
      </c>
      <c r="AK3" s="47">
        <v>8.5399999999999991</v>
      </c>
      <c r="AL3" s="47">
        <v>8.94</v>
      </c>
      <c r="AM3" s="47">
        <v>9.31</v>
      </c>
      <c r="AN3" s="47">
        <v>9.75</v>
      </c>
      <c r="AO3" s="47">
        <v>10.79</v>
      </c>
      <c r="AP3" s="47">
        <v>10.79</v>
      </c>
      <c r="AQ3" s="47">
        <v>10.79</v>
      </c>
      <c r="AR3" s="47">
        <v>10.79</v>
      </c>
      <c r="AS3" s="47">
        <v>10.79</v>
      </c>
      <c r="AT3" s="47">
        <v>12.31</v>
      </c>
      <c r="AU3" s="47">
        <v>12.31</v>
      </c>
      <c r="AV3" s="47">
        <v>12.31</v>
      </c>
      <c r="AW3" s="47">
        <v>12.31</v>
      </c>
      <c r="AX3" s="47">
        <v>12.31</v>
      </c>
      <c r="AY3" s="47">
        <v>13.26</v>
      </c>
      <c r="AZ3" s="47">
        <v>13.26</v>
      </c>
      <c r="BA3" s="47">
        <v>13.26</v>
      </c>
      <c r="BB3" s="47">
        <v>13.26</v>
      </c>
      <c r="BC3" s="47">
        <v>13.26</v>
      </c>
      <c r="BD3" s="47">
        <v>14.94</v>
      </c>
      <c r="BE3" s="47">
        <v>14.94</v>
      </c>
      <c r="BF3" s="47">
        <v>14.94</v>
      </c>
      <c r="BG3" s="47">
        <v>14.94</v>
      </c>
      <c r="BH3" s="47">
        <v>14.94</v>
      </c>
      <c r="BI3" s="47">
        <v>16.41</v>
      </c>
      <c r="BJ3" s="47">
        <v>16.41</v>
      </c>
      <c r="BK3" s="47">
        <v>16.41</v>
      </c>
      <c r="BL3" s="47">
        <v>16.41</v>
      </c>
      <c r="BM3" s="47">
        <v>16.41</v>
      </c>
      <c r="BN3" s="47">
        <v>18.14</v>
      </c>
      <c r="BO3" s="47">
        <v>18.14</v>
      </c>
      <c r="BP3" s="47">
        <v>18.14</v>
      </c>
      <c r="BQ3" s="47">
        <v>18.14</v>
      </c>
      <c r="BR3" s="47">
        <v>18.14</v>
      </c>
      <c r="BS3" s="47">
        <v>19.64</v>
      </c>
      <c r="BT3" s="47">
        <v>19.64</v>
      </c>
      <c r="BU3" s="47">
        <v>19.64</v>
      </c>
      <c r="BV3" s="47">
        <v>19.64</v>
      </c>
      <c r="BW3" s="47">
        <v>19.64</v>
      </c>
      <c r="BX3" s="47">
        <v>21.44</v>
      </c>
      <c r="BY3" s="47">
        <v>21.44</v>
      </c>
      <c r="BZ3" s="47">
        <v>21.44</v>
      </c>
      <c r="CA3" s="47">
        <v>21.44</v>
      </c>
      <c r="CB3" s="47">
        <v>21.44</v>
      </c>
      <c r="CC3" s="47">
        <v>22.41</v>
      </c>
      <c r="CD3" s="47">
        <v>22.41</v>
      </c>
      <c r="CE3" s="47">
        <v>22.41</v>
      </c>
      <c r="CF3" s="47">
        <v>22.41</v>
      </c>
      <c r="CG3" s="47">
        <v>22.41</v>
      </c>
      <c r="CH3" s="47">
        <v>23.66</v>
      </c>
      <c r="CI3" s="47">
        <v>23.66</v>
      </c>
      <c r="CJ3" s="47">
        <v>23.66</v>
      </c>
      <c r="CK3" s="47">
        <v>23.66</v>
      </c>
      <c r="CL3" s="47">
        <v>23.66</v>
      </c>
      <c r="CM3" s="47">
        <v>25.25</v>
      </c>
      <c r="CN3" s="47">
        <v>25.25</v>
      </c>
      <c r="CO3" s="47">
        <v>25.25</v>
      </c>
      <c r="CP3" s="47">
        <v>25.25</v>
      </c>
      <c r="CQ3" s="47">
        <v>25.25</v>
      </c>
      <c r="CR3" s="47">
        <v>26.59</v>
      </c>
      <c r="CS3" s="47">
        <v>26.59</v>
      </c>
      <c r="CT3" s="47">
        <v>26.59</v>
      </c>
      <c r="CU3" s="47">
        <v>26.59</v>
      </c>
      <c r="CV3" s="47">
        <v>26.59</v>
      </c>
      <c r="CW3" s="47">
        <v>27.25</v>
      </c>
      <c r="CX3" s="47">
        <v>27.25</v>
      </c>
      <c r="CY3" s="47">
        <v>27.25</v>
      </c>
      <c r="CZ3" s="47">
        <v>27.25</v>
      </c>
      <c r="DA3" s="47">
        <v>27.25</v>
      </c>
      <c r="DB3" s="47">
        <v>28.38</v>
      </c>
      <c r="DC3" s="47">
        <v>28.38</v>
      </c>
      <c r="DD3" s="47">
        <v>28.38</v>
      </c>
      <c r="DE3" s="47">
        <v>28.38</v>
      </c>
      <c r="DF3" s="47">
        <v>28.38</v>
      </c>
      <c r="DG3" s="47">
        <v>29.93</v>
      </c>
      <c r="DH3" s="47">
        <v>29.93</v>
      </c>
      <c r="DI3" s="47">
        <v>29.93</v>
      </c>
      <c r="DJ3" s="47">
        <v>29.93</v>
      </c>
      <c r="DK3" s="47">
        <v>29.93</v>
      </c>
      <c r="DL3" s="47">
        <v>31.25</v>
      </c>
      <c r="DM3" s="47">
        <v>31.25</v>
      </c>
      <c r="DN3" s="47">
        <v>31.25</v>
      </c>
      <c r="DO3" s="47">
        <v>31.25</v>
      </c>
      <c r="DP3" s="47">
        <v>31.25</v>
      </c>
      <c r="DQ3" s="47">
        <v>32.340000000000003</v>
      </c>
      <c r="DR3" s="47">
        <v>32.340000000000003</v>
      </c>
      <c r="DS3" s="47">
        <v>32.340000000000003</v>
      </c>
      <c r="DT3" s="47">
        <v>32.340000000000003</v>
      </c>
      <c r="DU3" s="47">
        <v>32.340000000000003</v>
      </c>
      <c r="DV3" s="47">
        <v>33.64</v>
      </c>
      <c r="DW3" s="47">
        <v>33.64</v>
      </c>
      <c r="DX3" s="47">
        <v>33.64</v>
      </c>
      <c r="DY3" s="47">
        <v>33.64</v>
      </c>
      <c r="DZ3" s="47">
        <v>33.64</v>
      </c>
      <c r="EA3" s="47">
        <v>34.840000000000003</v>
      </c>
      <c r="EB3" s="47">
        <v>34.840000000000003</v>
      </c>
      <c r="EC3" s="47">
        <v>34.840000000000003</v>
      </c>
      <c r="ED3" s="47">
        <v>34.840000000000003</v>
      </c>
      <c r="EE3" s="47">
        <v>34.840000000000003</v>
      </c>
      <c r="EF3" s="47">
        <v>36.14</v>
      </c>
      <c r="EG3" s="47">
        <v>36.14</v>
      </c>
      <c r="EH3" s="47">
        <v>36.14</v>
      </c>
      <c r="EI3" s="47">
        <v>36.14</v>
      </c>
      <c r="EJ3" s="47">
        <v>36.14</v>
      </c>
      <c r="EK3" s="47">
        <v>36.56</v>
      </c>
      <c r="EL3" s="47">
        <v>36.56</v>
      </c>
      <c r="EM3" s="47">
        <v>36.56</v>
      </c>
      <c r="EN3" s="47">
        <v>36.56</v>
      </c>
      <c r="EO3" s="47">
        <v>36.56</v>
      </c>
      <c r="EP3" s="47">
        <v>38.54</v>
      </c>
      <c r="EQ3" s="47">
        <v>38.54</v>
      </c>
      <c r="ER3" s="47">
        <v>38.54</v>
      </c>
      <c r="ES3" s="47">
        <v>38.54</v>
      </c>
      <c r="ET3" s="47">
        <v>38.54</v>
      </c>
      <c r="EU3" s="47">
        <v>39.47</v>
      </c>
      <c r="EV3" s="47">
        <v>39.47</v>
      </c>
      <c r="EW3" s="47">
        <v>39.47</v>
      </c>
      <c r="EX3" s="47">
        <v>39.47</v>
      </c>
      <c r="EY3" s="47">
        <v>39.47</v>
      </c>
      <c r="EZ3" s="47">
        <v>40.69</v>
      </c>
      <c r="FA3" s="47">
        <v>40.69</v>
      </c>
      <c r="FB3" s="47">
        <v>40.69</v>
      </c>
      <c r="FC3" s="47">
        <v>40.69</v>
      </c>
      <c r="FD3" s="47">
        <v>40.69</v>
      </c>
      <c r="FE3" s="47">
        <v>41.88</v>
      </c>
      <c r="FF3" s="47">
        <v>41.88</v>
      </c>
      <c r="FG3" s="47">
        <v>41.88</v>
      </c>
      <c r="FH3" s="47">
        <v>41.88</v>
      </c>
      <c r="FI3" s="47">
        <v>41.88</v>
      </c>
      <c r="FJ3" s="47">
        <v>43.37</v>
      </c>
      <c r="FK3" s="47">
        <v>43.37</v>
      </c>
      <c r="FL3" s="47">
        <v>43.37</v>
      </c>
      <c r="FM3" s="47">
        <v>43.37</v>
      </c>
      <c r="FN3" s="47">
        <v>43.37</v>
      </c>
      <c r="FO3" s="47">
        <v>44.39</v>
      </c>
      <c r="FP3" s="47">
        <v>44.39</v>
      </c>
      <c r="FQ3" s="47">
        <v>44.39</v>
      </c>
      <c r="FR3" s="47">
        <v>44.39</v>
      </c>
      <c r="FS3" s="47">
        <v>44.39</v>
      </c>
      <c r="FT3" s="47">
        <v>45.49</v>
      </c>
      <c r="FU3" s="47">
        <v>45.49</v>
      </c>
      <c r="FV3" s="47">
        <v>45.49</v>
      </c>
      <c r="FW3" s="47">
        <v>45.49</v>
      </c>
      <c r="FX3" s="47">
        <v>45.49</v>
      </c>
      <c r="FY3" s="47">
        <v>46.79</v>
      </c>
      <c r="FZ3" s="47">
        <v>46.79</v>
      </c>
      <c r="GA3" s="47">
        <v>46.79</v>
      </c>
      <c r="GB3" s="47">
        <v>46.79</v>
      </c>
      <c r="GC3" s="47">
        <v>46.79</v>
      </c>
      <c r="GD3" s="47">
        <v>48.52</v>
      </c>
      <c r="GE3" s="47">
        <v>48.52</v>
      </c>
      <c r="GF3" s="47">
        <v>48.52</v>
      </c>
      <c r="GG3" s="47">
        <v>48.52</v>
      </c>
      <c r="GH3" s="47">
        <v>48.52</v>
      </c>
      <c r="GI3" s="47">
        <v>49.72</v>
      </c>
      <c r="GJ3" s="47">
        <v>49.72</v>
      </c>
      <c r="GK3" s="47">
        <v>49.72</v>
      </c>
      <c r="GL3" s="47">
        <v>49.72</v>
      </c>
      <c r="GM3" s="47">
        <v>49.72</v>
      </c>
      <c r="GN3" s="47">
        <v>50.9</v>
      </c>
      <c r="GO3" s="47">
        <v>50.9</v>
      </c>
      <c r="GP3" s="47">
        <v>50.9</v>
      </c>
      <c r="GQ3" s="47">
        <v>50.9</v>
      </c>
      <c r="GR3" s="47">
        <v>50.9</v>
      </c>
      <c r="GS3" s="47">
        <v>52.22</v>
      </c>
      <c r="GT3" s="47">
        <v>52.22</v>
      </c>
      <c r="GU3" s="47">
        <v>52.22</v>
      </c>
      <c r="GV3" s="47">
        <v>52.22</v>
      </c>
      <c r="GW3" s="47">
        <v>52.22</v>
      </c>
      <c r="GX3" s="47">
        <v>53.42</v>
      </c>
      <c r="GY3" s="47">
        <v>53.42</v>
      </c>
      <c r="GZ3" s="47">
        <v>53.42</v>
      </c>
      <c r="HA3" s="47">
        <v>53.42</v>
      </c>
      <c r="HB3" s="47">
        <v>53.42</v>
      </c>
      <c r="HC3" s="47">
        <v>54.07</v>
      </c>
      <c r="HD3" s="47">
        <v>54.07</v>
      </c>
      <c r="HE3" s="47">
        <v>54.07</v>
      </c>
      <c r="HF3" s="47">
        <v>54.07</v>
      </c>
      <c r="HG3" s="47">
        <v>54.07</v>
      </c>
      <c r="HH3" s="47">
        <v>54.71</v>
      </c>
      <c r="HI3" s="47">
        <v>54.71</v>
      </c>
      <c r="HJ3" s="47">
        <v>54.71</v>
      </c>
      <c r="HK3" s="47">
        <v>54.71</v>
      </c>
      <c r="HL3" s="47">
        <v>54.71</v>
      </c>
    </row>
    <row r="4" spans="1:220" ht="15" customHeight="1">
      <c r="A4" s="170"/>
      <c r="B4" s="170"/>
      <c r="C4" s="7"/>
      <c r="D4" s="7"/>
      <c r="E4" s="7"/>
      <c r="F4" s="7"/>
      <c r="G4" s="7"/>
      <c r="H4" s="7"/>
      <c r="I4" s="7"/>
      <c r="J4" s="7"/>
      <c r="K4" s="170"/>
      <c r="L4" s="170"/>
    </row>
    <row r="5" spans="1:220" ht="15" customHeight="1">
      <c r="A5" s="170" t="s">
        <v>28</v>
      </c>
      <c r="B5" s="170"/>
      <c r="C5" s="7"/>
      <c r="D5" s="7"/>
      <c r="E5" s="7"/>
      <c r="F5" s="7"/>
      <c r="G5" s="7"/>
      <c r="H5" s="7"/>
      <c r="I5" s="7"/>
      <c r="J5" s="7"/>
      <c r="K5" s="170"/>
      <c r="L5" s="170"/>
    </row>
    <row r="6" spans="1:220" ht="15" customHeight="1">
      <c r="A6" s="170"/>
      <c r="B6" s="170"/>
      <c r="C6" s="7"/>
      <c r="D6" s="7"/>
      <c r="E6" s="7"/>
      <c r="F6" s="7"/>
      <c r="G6" s="7"/>
      <c r="H6" s="7"/>
      <c r="I6" s="7"/>
      <c r="J6" s="7"/>
      <c r="K6" s="170"/>
      <c r="L6" s="170"/>
    </row>
    <row r="7" spans="1:220" ht="15" customHeight="1">
      <c r="A7" s="170" t="e">
        <f>კრებსითი!#REF!</f>
        <v>#REF!</v>
      </c>
      <c r="B7" s="170"/>
      <c r="C7" s="7"/>
      <c r="D7" s="7"/>
      <c r="E7" s="7"/>
      <c r="F7" s="7"/>
      <c r="G7" s="7"/>
      <c r="H7" s="7"/>
      <c r="I7" s="7"/>
      <c r="J7" s="7"/>
      <c r="K7" s="170"/>
      <c r="L7" s="170"/>
      <c r="S7" s="183"/>
      <c r="T7" s="183"/>
    </row>
    <row r="8" spans="1:220" ht="15" customHeight="1">
      <c r="A8" s="170"/>
      <c r="B8" s="170"/>
      <c r="C8" s="7"/>
      <c r="D8" s="7"/>
      <c r="E8" s="7"/>
      <c r="F8" s="7"/>
      <c r="G8" s="7"/>
      <c r="H8" s="7"/>
      <c r="I8" s="7"/>
      <c r="J8" s="7"/>
      <c r="K8" s="170"/>
      <c r="L8" s="170"/>
      <c r="S8" s="183"/>
      <c r="T8" s="183"/>
    </row>
    <row r="9" spans="1:220" ht="15" customHeight="1">
      <c r="A9" s="170" t="s">
        <v>29</v>
      </c>
      <c r="B9" s="170"/>
      <c r="C9" s="7"/>
      <c r="D9" s="7"/>
      <c r="E9" s="7"/>
      <c r="F9" s="7"/>
      <c r="G9" s="7"/>
      <c r="H9" s="7"/>
      <c r="I9" s="7"/>
      <c r="J9" s="7"/>
      <c r="K9" s="170"/>
      <c r="L9" s="170"/>
      <c r="S9" s="183"/>
      <c r="T9" s="183"/>
    </row>
    <row r="10" spans="1:220" ht="15" customHeight="1">
      <c r="A10" s="170"/>
      <c r="B10" s="170"/>
      <c r="C10" s="8"/>
      <c r="D10" s="8"/>
      <c r="E10" s="8"/>
      <c r="F10" s="8"/>
      <c r="G10" s="7"/>
      <c r="H10" s="7"/>
      <c r="I10" s="7"/>
      <c r="J10" s="7"/>
      <c r="K10" s="170"/>
      <c r="L10" s="170"/>
      <c r="S10" s="183"/>
      <c r="T10" s="183"/>
    </row>
    <row r="11" spans="1:220" ht="15" customHeight="1">
      <c r="A11" s="170"/>
      <c r="B11" s="170"/>
      <c r="C11" s="7"/>
      <c r="D11" s="7"/>
      <c r="E11" s="7"/>
      <c r="F11" s="7"/>
      <c r="G11" s="7"/>
      <c r="H11" s="174"/>
      <c r="I11" s="42"/>
      <c r="J11" s="170"/>
      <c r="K11" s="170"/>
      <c r="L11" s="41"/>
      <c r="S11" s="183"/>
      <c r="T11" s="183"/>
    </row>
    <row r="12" spans="1:220" ht="15" customHeight="1">
      <c r="A12" s="170"/>
      <c r="B12" s="170"/>
      <c r="C12" s="7"/>
      <c r="D12" s="7"/>
      <c r="E12" s="7"/>
      <c r="F12" s="7"/>
      <c r="G12" s="7"/>
      <c r="H12" s="174"/>
      <c r="I12" s="42"/>
      <c r="J12" s="170"/>
      <c r="K12" s="170"/>
      <c r="L12" s="41"/>
      <c r="S12" s="183"/>
      <c r="T12" s="183"/>
    </row>
    <row r="13" spans="1:220" ht="15" customHeight="1">
      <c r="A13" s="184" t="s">
        <v>41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S13" s="183"/>
      <c r="T13" s="183"/>
    </row>
    <row r="14" spans="1:220" ht="1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S14" s="183"/>
      <c r="T14" s="183"/>
    </row>
    <row r="15" spans="1:220" ht="15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S15" s="183"/>
      <c r="T15" s="183"/>
    </row>
    <row r="16" spans="1:220" s="27" customFormat="1" ht="39.950000000000003" customHeight="1">
      <c r="A16" s="168" t="s">
        <v>2</v>
      </c>
      <c r="B16" s="168" t="s">
        <v>42</v>
      </c>
      <c r="C16" s="169" t="s">
        <v>7</v>
      </c>
      <c r="D16" s="169" t="s">
        <v>131</v>
      </c>
      <c r="E16" s="169" t="s">
        <v>132</v>
      </c>
      <c r="F16" s="169" t="s">
        <v>44</v>
      </c>
      <c r="G16" s="169" t="s">
        <v>145</v>
      </c>
      <c r="H16" s="169" t="s">
        <v>133</v>
      </c>
      <c r="I16" s="169"/>
      <c r="J16" s="169" t="s">
        <v>147</v>
      </c>
      <c r="K16" s="169" t="s">
        <v>154</v>
      </c>
      <c r="L16" s="179" t="s">
        <v>149</v>
      </c>
      <c r="S16" s="34"/>
      <c r="T16" s="34"/>
    </row>
    <row r="17" spans="1:20" s="27" customFormat="1" ht="39.950000000000003" customHeight="1">
      <c r="A17" s="168"/>
      <c r="B17" s="168"/>
      <c r="C17" s="169"/>
      <c r="D17" s="169"/>
      <c r="E17" s="169"/>
      <c r="F17" s="169"/>
      <c r="G17" s="169"/>
      <c r="H17" s="169" t="s">
        <v>134</v>
      </c>
      <c r="I17" s="169" t="s">
        <v>135</v>
      </c>
      <c r="J17" s="169"/>
      <c r="K17" s="169"/>
      <c r="L17" s="180"/>
      <c r="S17" s="34"/>
      <c r="T17" s="34"/>
    </row>
    <row r="18" spans="1:20" s="27" customFormat="1" ht="39.950000000000003" customHeight="1">
      <c r="A18" s="168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81"/>
      <c r="S18" s="34"/>
      <c r="T18" s="34"/>
    </row>
    <row r="19" spans="1:20" s="27" customFormat="1" ht="39.950000000000003" customHeight="1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7</v>
      </c>
      <c r="H19" s="43">
        <v>8</v>
      </c>
      <c r="I19" s="43">
        <v>9</v>
      </c>
      <c r="J19" s="43">
        <v>10</v>
      </c>
      <c r="K19" s="43">
        <v>11</v>
      </c>
      <c r="L19" s="43">
        <v>12</v>
      </c>
      <c r="S19" s="34"/>
      <c r="T19" s="34"/>
    </row>
    <row r="20" spans="1:20" s="27" customFormat="1" ht="80.099999999999994" customHeight="1">
      <c r="A20" s="43" t="s">
        <v>9</v>
      </c>
      <c r="B20" s="44" t="s">
        <v>43</v>
      </c>
      <c r="C20" s="29"/>
      <c r="D20" s="29"/>
      <c r="E20" s="29"/>
      <c r="F20" s="29"/>
      <c r="G20" s="35"/>
      <c r="H20" s="29"/>
      <c r="I20" s="29"/>
      <c r="J20" s="29"/>
      <c r="K20" s="29"/>
      <c r="L20" s="29"/>
      <c r="S20" s="34"/>
      <c r="T20" s="34"/>
    </row>
    <row r="21" spans="1:20" ht="39.950000000000003" customHeight="1">
      <c r="A21" s="19">
        <v>1.1000000000000001</v>
      </c>
      <c r="B21" s="6" t="s">
        <v>130</v>
      </c>
      <c r="C21" s="5" t="s">
        <v>111</v>
      </c>
      <c r="D21" s="10">
        <v>1.2</v>
      </c>
      <c r="E21" s="5" t="s">
        <v>176</v>
      </c>
      <c r="F21" s="5">
        <v>15</v>
      </c>
      <c r="G21" s="21">
        <f>IF(F21&lt;=200,HLOOKUP(F21,$U$2:$HL$3,2,TRUE),(((F21-200)*0.24)+54.71))</f>
        <v>7.82</v>
      </c>
      <c r="H21" s="9" t="s">
        <v>9</v>
      </c>
      <c r="I21" s="10">
        <v>1</v>
      </c>
      <c r="J21" s="5">
        <v>162</v>
      </c>
      <c r="K21" s="17">
        <f t="shared" ref="K21:K26" si="0">ROUND(D21*G21*I21,2)</f>
        <v>9.3800000000000008</v>
      </c>
      <c r="L21" s="46" t="s">
        <v>171</v>
      </c>
    </row>
    <row r="22" spans="1:20" ht="39.950000000000003" customHeight="1">
      <c r="A22" s="19">
        <f>A21+0.1</f>
        <v>1.2000000000000002</v>
      </c>
      <c r="B22" s="6" t="s">
        <v>113</v>
      </c>
      <c r="C22" s="5" t="s">
        <v>142</v>
      </c>
      <c r="D22" s="5">
        <v>2.2000000000000002</v>
      </c>
      <c r="E22" s="5" t="s">
        <v>176</v>
      </c>
      <c r="F22" s="5">
        <v>15</v>
      </c>
      <c r="G22" s="21">
        <f t="shared" ref="G22:G69" si="1">IF(F22&lt;=200,HLOOKUP(F22,$U$2:$HL$3,2,TRUE),(((F22-200)*0.24)+54.71))</f>
        <v>7.82</v>
      </c>
      <c r="H22" s="9" t="s">
        <v>9</v>
      </c>
      <c r="I22" s="9">
        <v>1</v>
      </c>
      <c r="J22" s="5">
        <v>95</v>
      </c>
      <c r="K22" s="17">
        <f t="shared" si="0"/>
        <v>17.2</v>
      </c>
      <c r="L22" s="5" t="s">
        <v>158</v>
      </c>
    </row>
    <row r="23" spans="1:20" ht="39.950000000000003" customHeight="1">
      <c r="A23" s="19">
        <v>1.3</v>
      </c>
      <c r="B23" s="6" t="s">
        <v>184</v>
      </c>
      <c r="C23" s="5" t="s">
        <v>142</v>
      </c>
      <c r="D23" s="5">
        <v>2.2000000000000002</v>
      </c>
      <c r="E23" s="5" t="s">
        <v>176</v>
      </c>
      <c r="F23" s="5">
        <v>15</v>
      </c>
      <c r="G23" s="21">
        <f t="shared" si="1"/>
        <v>7.82</v>
      </c>
      <c r="H23" s="9" t="s">
        <v>9</v>
      </c>
      <c r="I23" s="10">
        <v>1</v>
      </c>
      <c r="J23" s="5">
        <v>103</v>
      </c>
      <c r="K23" s="17">
        <f t="shared" si="0"/>
        <v>17.2</v>
      </c>
      <c r="L23" s="46" t="s">
        <v>187</v>
      </c>
    </row>
    <row r="24" spans="1:20" ht="39.950000000000003" customHeight="1">
      <c r="A24" s="11">
        <v>1.4</v>
      </c>
      <c r="B24" s="6" t="s">
        <v>114</v>
      </c>
      <c r="C24" s="5" t="s">
        <v>142</v>
      </c>
      <c r="D24" s="5">
        <v>2.2000000000000002</v>
      </c>
      <c r="E24" s="5" t="s">
        <v>176</v>
      </c>
      <c r="F24" s="5">
        <v>15</v>
      </c>
      <c r="G24" s="21">
        <f t="shared" si="1"/>
        <v>7.82</v>
      </c>
      <c r="H24" s="9" t="s">
        <v>9</v>
      </c>
      <c r="I24" s="10">
        <v>1</v>
      </c>
      <c r="J24" s="5">
        <v>92</v>
      </c>
      <c r="K24" s="17">
        <f t="shared" si="0"/>
        <v>17.2</v>
      </c>
      <c r="L24" s="46" t="s">
        <v>180</v>
      </c>
    </row>
    <row r="25" spans="1:20" ht="39.950000000000003" customHeight="1">
      <c r="A25" s="19">
        <v>1.5</v>
      </c>
      <c r="B25" s="6" t="s">
        <v>156</v>
      </c>
      <c r="C25" s="5" t="s">
        <v>142</v>
      </c>
      <c r="D25" s="5">
        <v>2.4</v>
      </c>
      <c r="E25" s="5" t="s">
        <v>176</v>
      </c>
      <c r="F25" s="5">
        <v>15</v>
      </c>
      <c r="G25" s="21">
        <f t="shared" si="1"/>
        <v>7.82</v>
      </c>
      <c r="H25" s="9" t="s">
        <v>9</v>
      </c>
      <c r="I25" s="9">
        <v>1</v>
      </c>
      <c r="J25" s="13">
        <v>89</v>
      </c>
      <c r="K25" s="17">
        <f t="shared" si="0"/>
        <v>18.77</v>
      </c>
      <c r="L25" s="17" t="s">
        <v>157</v>
      </c>
    </row>
    <row r="26" spans="1:20" ht="39.950000000000003" customHeight="1">
      <c r="A26" s="11">
        <v>1.6</v>
      </c>
      <c r="B26" s="6" t="s">
        <v>181</v>
      </c>
      <c r="C26" s="5" t="s">
        <v>142</v>
      </c>
      <c r="D26" s="5">
        <v>2.4</v>
      </c>
      <c r="E26" s="5" t="s">
        <v>176</v>
      </c>
      <c r="F26" s="5">
        <v>15</v>
      </c>
      <c r="G26" s="21">
        <f t="shared" si="1"/>
        <v>7.82</v>
      </c>
      <c r="H26" s="9" t="s">
        <v>9</v>
      </c>
      <c r="I26" s="10">
        <v>1</v>
      </c>
      <c r="J26" s="5">
        <v>97</v>
      </c>
      <c r="K26" s="17">
        <f t="shared" si="0"/>
        <v>18.77</v>
      </c>
      <c r="L26" s="46" t="s">
        <v>182</v>
      </c>
    </row>
    <row r="27" spans="1:20" ht="39.950000000000003" customHeight="1">
      <c r="A27" s="11">
        <v>1.8</v>
      </c>
      <c r="B27" s="6" t="s">
        <v>124</v>
      </c>
      <c r="C27" s="5" t="s">
        <v>142</v>
      </c>
      <c r="D27" s="5">
        <v>2.4</v>
      </c>
      <c r="E27" s="5" t="s">
        <v>176</v>
      </c>
      <c r="F27" s="5">
        <v>15</v>
      </c>
      <c r="G27" s="21">
        <f t="shared" si="1"/>
        <v>7.82</v>
      </c>
      <c r="H27" s="9" t="s">
        <v>9</v>
      </c>
      <c r="I27" s="9">
        <v>1</v>
      </c>
      <c r="J27" s="13">
        <f>106+13</f>
        <v>119</v>
      </c>
      <c r="K27" s="17">
        <f>ROUND(D27*G27*I27,2)</f>
        <v>18.77</v>
      </c>
      <c r="L27" s="17" t="s">
        <v>150</v>
      </c>
    </row>
    <row r="28" spans="1:20" ht="39.950000000000003" customHeight="1">
      <c r="A28" s="19">
        <v>1.7</v>
      </c>
      <c r="B28" s="6" t="s">
        <v>183</v>
      </c>
      <c r="C28" s="5" t="s">
        <v>142</v>
      </c>
      <c r="D28" s="5">
        <v>2.4</v>
      </c>
      <c r="E28" s="5" t="s">
        <v>176</v>
      </c>
      <c r="F28" s="5">
        <v>15</v>
      </c>
      <c r="G28" s="21">
        <f t="shared" si="1"/>
        <v>7.82</v>
      </c>
      <c r="H28" s="9" t="s">
        <v>9</v>
      </c>
      <c r="I28" s="9">
        <v>1</v>
      </c>
      <c r="J28" s="13">
        <f>108</f>
        <v>108</v>
      </c>
      <c r="K28" s="17">
        <f>ROUND(D28*G28*I28,2)</f>
        <v>18.77</v>
      </c>
      <c r="L28" s="17" t="s">
        <v>150</v>
      </c>
    </row>
    <row r="29" spans="1:20" ht="39.950000000000003" customHeight="1">
      <c r="A29" s="11">
        <v>1.8</v>
      </c>
      <c r="B29" s="6" t="s">
        <v>97</v>
      </c>
      <c r="C29" s="5" t="s">
        <v>142</v>
      </c>
      <c r="D29" s="5">
        <v>2.4</v>
      </c>
      <c r="E29" s="5" t="s">
        <v>176</v>
      </c>
      <c r="F29" s="5">
        <v>15</v>
      </c>
      <c r="G29" s="21">
        <f t="shared" si="1"/>
        <v>7.82</v>
      </c>
      <c r="H29" s="9" t="s">
        <v>9</v>
      </c>
      <c r="I29" s="9">
        <v>1</v>
      </c>
      <c r="J29" s="13">
        <f>108+13</f>
        <v>121</v>
      </c>
      <c r="K29" s="17">
        <f>ROUND(D29*G29*I29,2)</f>
        <v>18.77</v>
      </c>
      <c r="L29" s="17" t="s">
        <v>150</v>
      </c>
    </row>
    <row r="30" spans="1:20" ht="39.950000000000003" customHeight="1">
      <c r="A30" s="19">
        <v>1.9</v>
      </c>
      <c r="B30" s="6" t="s">
        <v>193</v>
      </c>
      <c r="C30" s="5" t="s">
        <v>142</v>
      </c>
      <c r="D30" s="5">
        <v>2.4</v>
      </c>
      <c r="E30" s="5" t="s">
        <v>176</v>
      </c>
      <c r="F30" s="5">
        <v>15</v>
      </c>
      <c r="G30" s="21">
        <f t="shared" si="1"/>
        <v>7.82</v>
      </c>
      <c r="H30" s="9" t="s">
        <v>9</v>
      </c>
      <c r="I30" s="9">
        <v>1</v>
      </c>
      <c r="J30" s="13">
        <v>113</v>
      </c>
      <c r="K30" s="17">
        <f>ROUND(D30*G30*I30,2)</f>
        <v>18.77</v>
      </c>
      <c r="L30" s="17" t="s">
        <v>150</v>
      </c>
    </row>
    <row r="31" spans="1:20" ht="39.950000000000003" customHeight="1">
      <c r="A31" s="18">
        <v>1.1000000000000001</v>
      </c>
      <c r="B31" s="6" t="s">
        <v>192</v>
      </c>
      <c r="C31" s="5" t="s">
        <v>142</v>
      </c>
      <c r="D31" s="5">
        <v>2.4</v>
      </c>
      <c r="E31" s="5" t="s">
        <v>176</v>
      </c>
      <c r="F31" s="5">
        <v>15</v>
      </c>
      <c r="G31" s="21">
        <f t="shared" si="1"/>
        <v>7.82</v>
      </c>
      <c r="H31" s="9" t="s">
        <v>9</v>
      </c>
      <c r="I31" s="9">
        <v>1</v>
      </c>
      <c r="J31" s="13">
        <f>113+13</f>
        <v>126</v>
      </c>
      <c r="K31" s="17">
        <f t="shared" ref="K31:K40" si="2">ROUND(D31*G31*I31,2)</f>
        <v>18.77</v>
      </c>
      <c r="L31" s="17" t="s">
        <v>150</v>
      </c>
    </row>
    <row r="32" spans="1:20" ht="39.950000000000003" customHeight="1">
      <c r="A32" s="18">
        <v>1.1100000000000001</v>
      </c>
      <c r="B32" s="6" t="s">
        <v>117</v>
      </c>
      <c r="C32" s="5" t="s">
        <v>161</v>
      </c>
      <c r="D32" s="5">
        <v>1</v>
      </c>
      <c r="E32" s="5" t="s">
        <v>274</v>
      </c>
      <c r="F32" s="5">
        <v>240</v>
      </c>
      <c r="G32" s="21">
        <f t="shared" si="1"/>
        <v>64.31</v>
      </c>
      <c r="H32" s="9" t="s">
        <v>9</v>
      </c>
      <c r="I32" s="9">
        <v>1</v>
      </c>
      <c r="J32" s="5">
        <v>1600</v>
      </c>
      <c r="K32" s="17">
        <f t="shared" si="2"/>
        <v>64.31</v>
      </c>
      <c r="L32" s="46" t="s">
        <v>177</v>
      </c>
    </row>
    <row r="33" spans="1:12" ht="39.950000000000003" customHeight="1">
      <c r="A33" s="18">
        <v>1.1200000000000001</v>
      </c>
      <c r="B33" s="6" t="s">
        <v>141</v>
      </c>
      <c r="C33" s="5" t="s">
        <v>161</v>
      </c>
      <c r="D33" s="5">
        <v>1</v>
      </c>
      <c r="E33" s="5" t="s">
        <v>274</v>
      </c>
      <c r="F33" s="5">
        <v>240</v>
      </c>
      <c r="G33" s="21">
        <f t="shared" si="1"/>
        <v>64.31</v>
      </c>
      <c r="H33" s="9" t="s">
        <v>9</v>
      </c>
      <c r="I33" s="9">
        <v>1</v>
      </c>
      <c r="J33" s="5">
        <v>1520</v>
      </c>
      <c r="K33" s="17">
        <f t="shared" si="2"/>
        <v>64.31</v>
      </c>
      <c r="L33" s="46" t="s">
        <v>162</v>
      </c>
    </row>
    <row r="34" spans="1:12" ht="39.950000000000003" customHeight="1">
      <c r="A34" s="18">
        <v>1.1299999999999999</v>
      </c>
      <c r="B34" s="6" t="s">
        <v>127</v>
      </c>
      <c r="C34" s="5" t="s">
        <v>111</v>
      </c>
      <c r="D34" s="5">
        <v>1</v>
      </c>
      <c r="E34" s="5" t="s">
        <v>273</v>
      </c>
      <c r="F34" s="5">
        <v>110</v>
      </c>
      <c r="G34" s="21">
        <f t="shared" si="1"/>
        <v>33.64</v>
      </c>
      <c r="H34" s="9" t="s">
        <v>9</v>
      </c>
      <c r="I34" s="10">
        <v>1</v>
      </c>
      <c r="J34" s="5">
        <v>101.7</v>
      </c>
      <c r="K34" s="17">
        <f t="shared" si="2"/>
        <v>33.64</v>
      </c>
      <c r="L34" s="46" t="s">
        <v>173</v>
      </c>
    </row>
    <row r="35" spans="1:12" ht="39.950000000000003" customHeight="1">
      <c r="A35" s="18">
        <v>1.1399999999999999</v>
      </c>
      <c r="B35" s="6" t="s">
        <v>128</v>
      </c>
      <c r="C35" s="5" t="s">
        <v>111</v>
      </c>
      <c r="D35" s="5">
        <v>1</v>
      </c>
      <c r="E35" s="5" t="s">
        <v>273</v>
      </c>
      <c r="F35" s="5">
        <v>110</v>
      </c>
      <c r="G35" s="21">
        <f t="shared" si="1"/>
        <v>33.64</v>
      </c>
      <c r="H35" s="9" t="s">
        <v>9</v>
      </c>
      <c r="I35" s="10">
        <v>1</v>
      </c>
      <c r="J35" s="5">
        <v>110.2</v>
      </c>
      <c r="K35" s="17">
        <f t="shared" si="2"/>
        <v>33.64</v>
      </c>
      <c r="L35" s="46" t="s">
        <v>174</v>
      </c>
    </row>
    <row r="36" spans="1:12" ht="39.950000000000003" customHeight="1">
      <c r="A36" s="18">
        <v>1.1499999999999999</v>
      </c>
      <c r="B36" s="6" t="s">
        <v>136</v>
      </c>
      <c r="C36" s="5" t="s">
        <v>142</v>
      </c>
      <c r="D36" s="5">
        <v>1.6</v>
      </c>
      <c r="E36" s="5" t="s">
        <v>167</v>
      </c>
      <c r="F36" s="5">
        <v>20</v>
      </c>
      <c r="G36" s="21">
        <f t="shared" si="1"/>
        <v>9.75</v>
      </c>
      <c r="H36" s="9" t="s">
        <v>9</v>
      </c>
      <c r="I36" s="9">
        <v>1</v>
      </c>
      <c r="J36" s="13">
        <v>17</v>
      </c>
      <c r="K36" s="17">
        <f t="shared" si="2"/>
        <v>15.6</v>
      </c>
      <c r="L36" s="17" t="s">
        <v>151</v>
      </c>
    </row>
    <row r="37" spans="1:12" ht="39.950000000000003" customHeight="1">
      <c r="A37" s="18">
        <v>1.1599999999999999</v>
      </c>
      <c r="B37" s="6" t="s">
        <v>104</v>
      </c>
      <c r="C37" s="5" t="s">
        <v>142</v>
      </c>
      <c r="D37" s="5">
        <v>1.55</v>
      </c>
      <c r="E37" s="5" t="s">
        <v>167</v>
      </c>
      <c r="F37" s="5">
        <v>20</v>
      </c>
      <c r="G37" s="21">
        <f t="shared" si="1"/>
        <v>9.75</v>
      </c>
      <c r="H37" s="9" t="s">
        <v>9</v>
      </c>
      <c r="I37" s="9">
        <v>1</v>
      </c>
      <c r="J37" s="5">
        <v>12.7</v>
      </c>
      <c r="K37" s="17">
        <f t="shared" si="2"/>
        <v>15.11</v>
      </c>
      <c r="L37" s="46" t="s">
        <v>164</v>
      </c>
    </row>
    <row r="38" spans="1:12" ht="39.950000000000003" customHeight="1">
      <c r="A38" s="18">
        <v>1.17</v>
      </c>
      <c r="B38" s="6" t="s">
        <v>137</v>
      </c>
      <c r="C38" s="5" t="s">
        <v>142</v>
      </c>
      <c r="D38" s="5">
        <v>1.5</v>
      </c>
      <c r="E38" s="5" t="s">
        <v>176</v>
      </c>
      <c r="F38" s="5">
        <v>15</v>
      </c>
      <c r="G38" s="21">
        <f t="shared" si="1"/>
        <v>7.82</v>
      </c>
      <c r="H38" s="9" t="s">
        <v>9</v>
      </c>
      <c r="I38" s="9">
        <v>1</v>
      </c>
      <c r="J38" s="5">
        <v>28</v>
      </c>
      <c r="K38" s="17">
        <f t="shared" si="2"/>
        <v>11.73</v>
      </c>
      <c r="L38" s="5" t="s">
        <v>155</v>
      </c>
    </row>
    <row r="39" spans="1:12" ht="39.950000000000003" customHeight="1">
      <c r="A39" s="18">
        <v>1.18</v>
      </c>
      <c r="B39" s="6" t="s">
        <v>185</v>
      </c>
      <c r="C39" s="5" t="s">
        <v>142</v>
      </c>
      <c r="D39" s="5">
        <v>1.5</v>
      </c>
      <c r="E39" s="5" t="s">
        <v>176</v>
      </c>
      <c r="F39" s="5">
        <v>15</v>
      </c>
      <c r="G39" s="21">
        <f t="shared" si="1"/>
        <v>7.82</v>
      </c>
      <c r="H39" s="9" t="s">
        <v>9</v>
      </c>
      <c r="I39" s="10">
        <v>1</v>
      </c>
      <c r="J39" s="5">
        <v>38</v>
      </c>
      <c r="K39" s="17">
        <f t="shared" si="2"/>
        <v>11.73</v>
      </c>
      <c r="L39" s="46" t="s">
        <v>186</v>
      </c>
    </row>
    <row r="40" spans="1:12" ht="39.950000000000003" customHeight="1">
      <c r="A40" s="18">
        <v>1.19</v>
      </c>
      <c r="B40" s="5" t="s">
        <v>165</v>
      </c>
      <c r="C40" s="5" t="s">
        <v>142</v>
      </c>
      <c r="D40" s="5">
        <v>2</v>
      </c>
      <c r="E40" s="5" t="s">
        <v>167</v>
      </c>
      <c r="F40" s="5">
        <v>20</v>
      </c>
      <c r="G40" s="21">
        <f t="shared" si="1"/>
        <v>9.75</v>
      </c>
      <c r="H40" s="9" t="s">
        <v>9</v>
      </c>
      <c r="I40" s="9">
        <v>1</v>
      </c>
      <c r="J40" s="5">
        <v>15</v>
      </c>
      <c r="K40" s="17">
        <f t="shared" si="2"/>
        <v>19.5</v>
      </c>
      <c r="L40" s="46" t="s">
        <v>166</v>
      </c>
    </row>
    <row r="41" spans="1:12" ht="39.950000000000003" customHeight="1">
      <c r="A41" s="18">
        <v>1.2</v>
      </c>
      <c r="B41" s="5" t="s">
        <v>249</v>
      </c>
      <c r="C41" s="5" t="s">
        <v>142</v>
      </c>
      <c r="D41" s="5">
        <v>2</v>
      </c>
      <c r="E41" s="5" t="s">
        <v>167</v>
      </c>
      <c r="F41" s="5">
        <v>20</v>
      </c>
      <c r="G41" s="21">
        <f t="shared" si="1"/>
        <v>9.75</v>
      </c>
      <c r="H41" s="9" t="s">
        <v>9</v>
      </c>
      <c r="I41" s="9">
        <v>1</v>
      </c>
      <c r="J41" s="5">
        <v>18</v>
      </c>
      <c r="K41" s="17">
        <f>ROUND(D41*G41*I41,2)</f>
        <v>19.5</v>
      </c>
      <c r="L41" s="46" t="s">
        <v>166</v>
      </c>
    </row>
    <row r="42" spans="1:12" ht="39.950000000000003" customHeight="1">
      <c r="A42" s="18">
        <v>1.21</v>
      </c>
      <c r="B42" s="6" t="s">
        <v>98</v>
      </c>
      <c r="C42" s="5" t="s">
        <v>148</v>
      </c>
      <c r="D42" s="5">
        <f>0.4*1*0.6</f>
        <v>0.24</v>
      </c>
      <c r="E42" s="5" t="s">
        <v>248</v>
      </c>
      <c r="F42" s="5">
        <v>130</v>
      </c>
      <c r="G42" s="21">
        <f t="shared" si="1"/>
        <v>38.54</v>
      </c>
      <c r="H42" s="9" t="s">
        <v>9</v>
      </c>
      <c r="I42" s="9">
        <v>1</v>
      </c>
      <c r="J42" s="13">
        <v>16</v>
      </c>
      <c r="K42" s="17">
        <f t="shared" ref="K42:K68" si="3">ROUND(D42*G42*I42,2)</f>
        <v>9.25</v>
      </c>
      <c r="L42" s="17" t="s">
        <v>152</v>
      </c>
    </row>
    <row r="43" spans="1:12" ht="39.950000000000003" customHeight="1">
      <c r="A43" s="18">
        <v>1.22</v>
      </c>
      <c r="B43" s="6" t="s">
        <v>140</v>
      </c>
      <c r="C43" s="5" t="s">
        <v>142</v>
      </c>
      <c r="D43" s="5">
        <v>0.6</v>
      </c>
      <c r="E43" s="5" t="s">
        <v>248</v>
      </c>
      <c r="F43" s="5">
        <v>130</v>
      </c>
      <c r="G43" s="21">
        <f t="shared" si="1"/>
        <v>38.54</v>
      </c>
      <c r="H43" s="9" t="s">
        <v>9</v>
      </c>
      <c r="I43" s="9">
        <v>1</v>
      </c>
      <c r="J43" s="13">
        <v>443</v>
      </c>
      <c r="K43" s="17">
        <f t="shared" si="3"/>
        <v>23.12</v>
      </c>
      <c r="L43" s="45" t="s">
        <v>160</v>
      </c>
    </row>
    <row r="44" spans="1:12" ht="39.950000000000003" customHeight="1">
      <c r="A44" s="18">
        <v>1.23</v>
      </c>
      <c r="B44" s="6" t="s">
        <v>99</v>
      </c>
      <c r="C44" s="5" t="s">
        <v>142</v>
      </c>
      <c r="D44" s="5">
        <v>0.6</v>
      </c>
      <c r="E44" s="5" t="s">
        <v>248</v>
      </c>
      <c r="F44" s="5">
        <v>130</v>
      </c>
      <c r="G44" s="21">
        <f t="shared" si="1"/>
        <v>38.54</v>
      </c>
      <c r="H44" s="9" t="s">
        <v>9</v>
      </c>
      <c r="I44" s="9">
        <v>1</v>
      </c>
      <c r="J44" s="13">
        <v>475</v>
      </c>
      <c r="K44" s="17">
        <f t="shared" si="3"/>
        <v>23.12</v>
      </c>
      <c r="L44" s="45" t="s">
        <v>153</v>
      </c>
    </row>
    <row r="45" spans="1:12" ht="39.950000000000003" customHeight="1">
      <c r="A45" s="18">
        <v>1.24</v>
      </c>
      <c r="B45" s="6" t="s">
        <v>191</v>
      </c>
      <c r="C45" s="5" t="s">
        <v>142</v>
      </c>
      <c r="D45" s="5">
        <v>0.6</v>
      </c>
      <c r="E45" s="5" t="s">
        <v>248</v>
      </c>
      <c r="F45" s="5">
        <v>130</v>
      </c>
      <c r="G45" s="21">
        <f t="shared" si="1"/>
        <v>38.54</v>
      </c>
      <c r="H45" s="9" t="s">
        <v>9</v>
      </c>
      <c r="I45" s="9">
        <v>1</v>
      </c>
      <c r="J45" s="9">
        <v>521</v>
      </c>
      <c r="K45" s="17">
        <f>ROUND(D45*G45*I45,2)</f>
        <v>23.12</v>
      </c>
      <c r="L45" s="45" t="s">
        <v>153</v>
      </c>
    </row>
    <row r="46" spans="1:12" ht="39.950000000000003" customHeight="1">
      <c r="A46" s="18">
        <v>1.25</v>
      </c>
      <c r="B46" s="5" t="s">
        <v>139</v>
      </c>
      <c r="C46" s="5" t="s">
        <v>142</v>
      </c>
      <c r="D46" s="5">
        <v>0.7</v>
      </c>
      <c r="E46" s="5" t="s">
        <v>248</v>
      </c>
      <c r="F46" s="5">
        <v>130</v>
      </c>
      <c r="G46" s="21">
        <f t="shared" si="1"/>
        <v>38.54</v>
      </c>
      <c r="H46" s="9" t="s">
        <v>9</v>
      </c>
      <c r="I46" s="9">
        <v>1</v>
      </c>
      <c r="J46" s="5">
        <v>280</v>
      </c>
      <c r="K46" s="17">
        <f t="shared" si="3"/>
        <v>26.98</v>
      </c>
      <c r="L46" s="46" t="s">
        <v>159</v>
      </c>
    </row>
    <row r="47" spans="1:12" ht="39.950000000000003" customHeight="1">
      <c r="A47" s="18">
        <v>1.26</v>
      </c>
      <c r="B47" s="6" t="s">
        <v>109</v>
      </c>
      <c r="C47" s="5" t="s">
        <v>161</v>
      </c>
      <c r="D47" s="5">
        <v>1</v>
      </c>
      <c r="E47" s="5" t="s">
        <v>176</v>
      </c>
      <c r="F47" s="5">
        <v>15</v>
      </c>
      <c r="G47" s="21">
        <f t="shared" si="1"/>
        <v>7.82</v>
      </c>
      <c r="H47" s="9" t="s">
        <v>9</v>
      </c>
      <c r="I47" s="9">
        <v>1</v>
      </c>
      <c r="J47" s="5">
        <v>995</v>
      </c>
      <c r="K47" s="17">
        <f>ROUND(D47*G47*I47,2)</f>
        <v>7.82</v>
      </c>
      <c r="L47" s="46" t="s">
        <v>163</v>
      </c>
    </row>
    <row r="48" spans="1:12" ht="39.950000000000003" customHeight="1">
      <c r="A48" s="18">
        <v>1.27</v>
      </c>
      <c r="B48" s="6" t="s">
        <v>94</v>
      </c>
      <c r="C48" s="5" t="s">
        <v>111</v>
      </c>
      <c r="D48" s="5">
        <v>1</v>
      </c>
      <c r="E48" s="5" t="s">
        <v>176</v>
      </c>
      <c r="F48" s="5">
        <v>15</v>
      </c>
      <c r="G48" s="21">
        <f t="shared" si="1"/>
        <v>7.82</v>
      </c>
      <c r="H48" s="9" t="s">
        <v>9</v>
      </c>
      <c r="I48" s="10">
        <v>1</v>
      </c>
      <c r="J48" s="5">
        <v>1250</v>
      </c>
      <c r="K48" s="17">
        <f>ROUND(D48*G48*I48,2)</f>
        <v>7.82</v>
      </c>
      <c r="L48" s="46" t="s">
        <v>172</v>
      </c>
    </row>
    <row r="49" spans="1:12" ht="39.950000000000003" customHeight="1">
      <c r="A49" s="18">
        <v>1.28</v>
      </c>
      <c r="B49" s="47" t="s">
        <v>129</v>
      </c>
      <c r="C49" s="5" t="s">
        <v>188</v>
      </c>
      <c r="D49" s="5">
        <v>3.5999999999999999E-3</v>
      </c>
      <c r="E49" s="5" t="s">
        <v>176</v>
      </c>
      <c r="F49" s="5">
        <v>15</v>
      </c>
      <c r="G49" s="21">
        <f t="shared" si="1"/>
        <v>7.82</v>
      </c>
      <c r="H49" s="9" t="s">
        <v>9</v>
      </c>
      <c r="I49" s="10">
        <v>1</v>
      </c>
      <c r="J49" s="5">
        <v>0.41</v>
      </c>
      <c r="K49" s="17">
        <f>ROUND(D49*G49*I49,2)</f>
        <v>0.03</v>
      </c>
      <c r="L49" s="46" t="s">
        <v>189</v>
      </c>
    </row>
    <row r="50" spans="1:12" ht="39.950000000000003" customHeight="1">
      <c r="A50" s="18">
        <v>1.29</v>
      </c>
      <c r="B50" s="6" t="s">
        <v>108</v>
      </c>
      <c r="C50" s="5" t="s">
        <v>111</v>
      </c>
      <c r="D50" s="5">
        <v>1</v>
      </c>
      <c r="E50" s="5" t="s">
        <v>274</v>
      </c>
      <c r="F50" s="5">
        <v>240</v>
      </c>
      <c r="G50" s="21">
        <f t="shared" si="1"/>
        <v>64.31</v>
      </c>
      <c r="H50" s="9" t="s">
        <v>9</v>
      </c>
      <c r="I50" s="10">
        <v>1</v>
      </c>
      <c r="J50" s="5">
        <v>1810</v>
      </c>
      <c r="K50" s="17">
        <f t="shared" si="3"/>
        <v>64.31</v>
      </c>
      <c r="L50" s="46" t="s">
        <v>175</v>
      </c>
    </row>
    <row r="51" spans="1:12" ht="39.950000000000003" customHeight="1">
      <c r="A51" s="18">
        <v>1.3</v>
      </c>
      <c r="B51" s="6" t="s">
        <v>112</v>
      </c>
      <c r="C51" s="5" t="s">
        <v>111</v>
      </c>
      <c r="D51" s="5">
        <v>1</v>
      </c>
      <c r="E51" s="5" t="s">
        <v>274</v>
      </c>
      <c r="F51" s="5">
        <v>240</v>
      </c>
      <c r="G51" s="21">
        <f t="shared" si="1"/>
        <v>64.31</v>
      </c>
      <c r="H51" s="9" t="s">
        <v>9</v>
      </c>
      <c r="I51" s="10">
        <v>1</v>
      </c>
      <c r="J51" s="5">
        <v>1830</v>
      </c>
      <c r="K51" s="17">
        <f t="shared" si="3"/>
        <v>64.31</v>
      </c>
      <c r="L51" s="46" t="s">
        <v>178</v>
      </c>
    </row>
    <row r="52" spans="1:12" ht="39.950000000000003" customHeight="1">
      <c r="A52" s="18">
        <v>1.31</v>
      </c>
      <c r="B52" s="6" t="s">
        <v>115</v>
      </c>
      <c r="C52" s="5" t="s">
        <v>111</v>
      </c>
      <c r="D52" s="5">
        <v>1</v>
      </c>
      <c r="E52" s="5" t="s">
        <v>274</v>
      </c>
      <c r="F52" s="5">
        <v>240</v>
      </c>
      <c r="G52" s="21">
        <f t="shared" si="1"/>
        <v>64.31</v>
      </c>
      <c r="H52" s="9" t="s">
        <v>9</v>
      </c>
      <c r="I52" s="10">
        <v>1</v>
      </c>
      <c r="J52" s="5">
        <v>2087</v>
      </c>
      <c r="K52" s="17">
        <f t="shared" si="3"/>
        <v>64.31</v>
      </c>
      <c r="L52" s="46" t="s">
        <v>175</v>
      </c>
    </row>
    <row r="53" spans="1:12" ht="39.950000000000003" customHeight="1">
      <c r="A53" s="18">
        <v>1.32</v>
      </c>
      <c r="B53" s="6" t="s">
        <v>116</v>
      </c>
      <c r="C53" s="5" t="s">
        <v>111</v>
      </c>
      <c r="D53" s="5">
        <v>1</v>
      </c>
      <c r="E53" s="5" t="s">
        <v>274</v>
      </c>
      <c r="F53" s="5">
        <v>240</v>
      </c>
      <c r="G53" s="21">
        <f t="shared" si="1"/>
        <v>64.31</v>
      </c>
      <c r="H53" s="9" t="s">
        <v>9</v>
      </c>
      <c r="I53" s="10">
        <v>1</v>
      </c>
      <c r="J53" s="5">
        <v>1920</v>
      </c>
      <c r="K53" s="17">
        <f t="shared" si="3"/>
        <v>64.31</v>
      </c>
      <c r="L53" s="46" t="s">
        <v>179</v>
      </c>
    </row>
    <row r="54" spans="1:12" ht="39.950000000000003" customHeight="1">
      <c r="A54" s="18">
        <v>1.33</v>
      </c>
      <c r="B54" s="6" t="s">
        <v>250</v>
      </c>
      <c r="C54" s="5" t="s">
        <v>188</v>
      </c>
      <c r="D54" s="5">
        <f>2.5*6.26/1000</f>
        <v>1.5649999999999997E-2</v>
      </c>
      <c r="E54" s="5" t="s">
        <v>274</v>
      </c>
      <c r="F54" s="5">
        <v>240</v>
      </c>
      <c r="G54" s="21">
        <f t="shared" si="1"/>
        <v>64.31</v>
      </c>
      <c r="H54" s="9" t="s">
        <v>9</v>
      </c>
      <c r="I54" s="10">
        <v>1</v>
      </c>
      <c r="J54" s="5">
        <f>11.6*2.5</f>
        <v>29</v>
      </c>
      <c r="K54" s="17">
        <f t="shared" si="3"/>
        <v>1.01</v>
      </c>
      <c r="L54" s="46" t="s">
        <v>190</v>
      </c>
    </row>
    <row r="55" spans="1:12" ht="39.950000000000003" customHeight="1">
      <c r="A55" s="18">
        <v>1.34</v>
      </c>
      <c r="B55" s="6" t="s">
        <v>251</v>
      </c>
      <c r="C55" s="5" t="s">
        <v>188</v>
      </c>
      <c r="D55" s="5">
        <f>3.5*9.77/1000</f>
        <v>3.4195000000000003E-2</v>
      </c>
      <c r="E55" s="5" t="s">
        <v>274</v>
      </c>
      <c r="F55" s="5">
        <v>240</v>
      </c>
      <c r="G55" s="21">
        <f t="shared" si="1"/>
        <v>64.31</v>
      </c>
      <c r="H55" s="9" t="s">
        <v>9</v>
      </c>
      <c r="I55" s="10">
        <v>1</v>
      </c>
      <c r="J55" s="5">
        <f>17.3*3.5</f>
        <v>60.550000000000004</v>
      </c>
      <c r="K55" s="17">
        <f t="shared" si="3"/>
        <v>2.2000000000000002</v>
      </c>
      <c r="L55" s="46" t="s">
        <v>190</v>
      </c>
    </row>
    <row r="56" spans="1:12" ht="39.950000000000003" customHeight="1">
      <c r="A56" s="18">
        <v>1.35</v>
      </c>
      <c r="B56" s="6" t="s">
        <v>252</v>
      </c>
      <c r="C56" s="5" t="s">
        <v>188</v>
      </c>
      <c r="D56" s="5">
        <f>4*10.85/1000</f>
        <v>4.3400000000000001E-2</v>
      </c>
      <c r="E56" s="5" t="s">
        <v>274</v>
      </c>
      <c r="F56" s="5">
        <v>240</v>
      </c>
      <c r="G56" s="21">
        <f t="shared" si="1"/>
        <v>64.31</v>
      </c>
      <c r="H56" s="9" t="s">
        <v>9</v>
      </c>
      <c r="I56" s="10">
        <v>1</v>
      </c>
      <c r="J56" s="5">
        <f>18.3*4</f>
        <v>73.2</v>
      </c>
      <c r="K56" s="17">
        <f t="shared" si="3"/>
        <v>2.79</v>
      </c>
      <c r="L56" s="46" t="s">
        <v>190</v>
      </c>
    </row>
    <row r="57" spans="1:12" ht="39.950000000000003" customHeight="1">
      <c r="A57" s="18">
        <v>1.36</v>
      </c>
      <c r="B57" s="6" t="s">
        <v>197</v>
      </c>
      <c r="C57" s="5" t="s">
        <v>111</v>
      </c>
      <c r="D57" s="5">
        <v>1</v>
      </c>
      <c r="E57" s="5" t="s">
        <v>274</v>
      </c>
      <c r="F57" s="5">
        <v>240</v>
      </c>
      <c r="G57" s="21">
        <f t="shared" si="1"/>
        <v>64.31</v>
      </c>
      <c r="H57" s="9" t="s">
        <v>9</v>
      </c>
      <c r="I57" s="10">
        <v>1</v>
      </c>
      <c r="J57" s="9">
        <v>1851</v>
      </c>
      <c r="K57" s="17">
        <f t="shared" si="3"/>
        <v>64.31</v>
      </c>
      <c r="L57" s="46" t="s">
        <v>190</v>
      </c>
    </row>
    <row r="58" spans="1:12" ht="39.950000000000003" customHeight="1">
      <c r="A58" s="18">
        <v>1.37</v>
      </c>
      <c r="B58" s="6" t="s">
        <v>253</v>
      </c>
      <c r="C58" s="5" t="s">
        <v>111</v>
      </c>
      <c r="D58" s="5">
        <v>1</v>
      </c>
      <c r="E58" s="5" t="s">
        <v>274</v>
      </c>
      <c r="F58" s="5">
        <v>240</v>
      </c>
      <c r="G58" s="21">
        <f t="shared" si="1"/>
        <v>64.31</v>
      </c>
      <c r="H58" s="9" t="s">
        <v>9</v>
      </c>
      <c r="I58" s="10">
        <v>1</v>
      </c>
      <c r="J58" s="9">
        <v>1870</v>
      </c>
      <c r="K58" s="17">
        <f t="shared" si="3"/>
        <v>64.31</v>
      </c>
      <c r="L58" s="46" t="s">
        <v>190</v>
      </c>
    </row>
    <row r="59" spans="1:12" ht="39.950000000000003" customHeight="1">
      <c r="A59" s="18">
        <v>1.38</v>
      </c>
      <c r="B59" s="6" t="s">
        <v>254</v>
      </c>
      <c r="C59" s="5" t="s">
        <v>111</v>
      </c>
      <c r="D59" s="5">
        <v>1</v>
      </c>
      <c r="E59" s="5" t="s">
        <v>274</v>
      </c>
      <c r="F59" s="5">
        <v>240</v>
      </c>
      <c r="G59" s="21">
        <f t="shared" si="1"/>
        <v>64.31</v>
      </c>
      <c r="H59" s="9" t="s">
        <v>9</v>
      </c>
      <c r="I59" s="10">
        <v>1</v>
      </c>
      <c r="J59" s="9">
        <v>1920</v>
      </c>
      <c r="K59" s="17">
        <f t="shared" si="3"/>
        <v>64.31</v>
      </c>
      <c r="L59" s="46" t="s">
        <v>190</v>
      </c>
    </row>
    <row r="60" spans="1:12" ht="39.950000000000003" customHeight="1">
      <c r="A60" s="18">
        <v>1.39</v>
      </c>
      <c r="B60" s="6" t="s">
        <v>255</v>
      </c>
      <c r="C60" s="5" t="s">
        <v>168</v>
      </c>
      <c r="D60" s="5">
        <v>1.41E-3</v>
      </c>
      <c r="E60" s="5" t="s">
        <v>274</v>
      </c>
      <c r="F60" s="5">
        <v>240</v>
      </c>
      <c r="G60" s="21">
        <f t="shared" si="1"/>
        <v>64.31</v>
      </c>
      <c r="H60" s="9" t="s">
        <v>9</v>
      </c>
      <c r="I60" s="10">
        <v>1</v>
      </c>
      <c r="J60" s="9">
        <v>4</v>
      </c>
      <c r="K60" s="17">
        <f t="shared" si="3"/>
        <v>0.09</v>
      </c>
      <c r="L60" s="46" t="s">
        <v>190</v>
      </c>
    </row>
    <row r="61" spans="1:12" ht="39.950000000000003" customHeight="1">
      <c r="A61" s="18">
        <v>1.4</v>
      </c>
      <c r="B61" s="6" t="s">
        <v>256</v>
      </c>
      <c r="C61" s="5" t="s">
        <v>188</v>
      </c>
      <c r="D61" s="5">
        <v>1.7500000000000002E-2</v>
      </c>
      <c r="E61" s="5" t="s">
        <v>274</v>
      </c>
      <c r="F61" s="5">
        <v>240</v>
      </c>
      <c r="G61" s="21">
        <f t="shared" si="1"/>
        <v>64.31</v>
      </c>
      <c r="H61" s="9" t="s">
        <v>9</v>
      </c>
      <c r="I61" s="10">
        <v>1</v>
      </c>
      <c r="J61" s="9">
        <v>72.900000000000006</v>
      </c>
      <c r="K61" s="17">
        <f t="shared" si="3"/>
        <v>1.1299999999999999</v>
      </c>
      <c r="L61" s="46" t="s">
        <v>257</v>
      </c>
    </row>
    <row r="62" spans="1:12" ht="39.950000000000003" customHeight="1">
      <c r="A62" s="18">
        <v>1.41</v>
      </c>
      <c r="B62" s="6" t="s">
        <v>258</v>
      </c>
      <c r="C62" s="5" t="s">
        <v>188</v>
      </c>
      <c r="D62" s="5">
        <v>1.32E-2</v>
      </c>
      <c r="E62" s="5" t="s">
        <v>274</v>
      </c>
      <c r="F62" s="5">
        <v>240</v>
      </c>
      <c r="G62" s="21">
        <f t="shared" si="1"/>
        <v>64.31</v>
      </c>
      <c r="H62" s="9" t="s">
        <v>9</v>
      </c>
      <c r="I62" s="10">
        <v>1</v>
      </c>
      <c r="J62" s="9">
        <v>56.8</v>
      </c>
      <c r="K62" s="17">
        <f t="shared" si="3"/>
        <v>0.85</v>
      </c>
      <c r="L62" s="46" t="s">
        <v>259</v>
      </c>
    </row>
    <row r="63" spans="1:12" ht="39.950000000000003" customHeight="1">
      <c r="A63" s="18">
        <v>1.42</v>
      </c>
      <c r="B63" s="6" t="s">
        <v>194</v>
      </c>
      <c r="C63" s="5" t="s">
        <v>111</v>
      </c>
      <c r="D63" s="5">
        <v>1</v>
      </c>
      <c r="E63" s="5" t="s">
        <v>274</v>
      </c>
      <c r="F63" s="5">
        <v>240</v>
      </c>
      <c r="G63" s="21">
        <f t="shared" si="1"/>
        <v>64.31</v>
      </c>
      <c r="H63" s="9" t="s">
        <v>9</v>
      </c>
      <c r="I63" s="10">
        <v>1</v>
      </c>
      <c r="J63" s="5">
        <v>3200</v>
      </c>
      <c r="K63" s="17">
        <f t="shared" si="3"/>
        <v>64.31</v>
      </c>
      <c r="L63" s="46" t="s">
        <v>190</v>
      </c>
    </row>
    <row r="64" spans="1:12" ht="39.950000000000003" customHeight="1">
      <c r="A64" s="18">
        <v>1.43</v>
      </c>
      <c r="B64" s="6" t="s">
        <v>195</v>
      </c>
      <c r="C64" s="5" t="s">
        <v>168</v>
      </c>
      <c r="D64" s="5">
        <f>(0.3*0.3*2400)/1000</f>
        <v>0.216</v>
      </c>
      <c r="E64" s="5" t="s">
        <v>274</v>
      </c>
      <c r="F64" s="5">
        <v>240</v>
      </c>
      <c r="G64" s="21">
        <f t="shared" si="1"/>
        <v>64.31</v>
      </c>
      <c r="H64" s="9" t="s">
        <v>9</v>
      </c>
      <c r="I64" s="10">
        <v>1</v>
      </c>
      <c r="J64" s="9">
        <v>97</v>
      </c>
      <c r="K64" s="17">
        <f t="shared" si="3"/>
        <v>13.89</v>
      </c>
      <c r="L64" s="46" t="s">
        <v>190</v>
      </c>
    </row>
    <row r="65" spans="1:20" ht="39.950000000000003" customHeight="1">
      <c r="A65" s="18">
        <v>1.44</v>
      </c>
      <c r="B65" s="6" t="s">
        <v>196</v>
      </c>
      <c r="C65" s="5" t="s">
        <v>142</v>
      </c>
      <c r="D65" s="5">
        <v>2.4</v>
      </c>
      <c r="E65" s="5" t="s">
        <v>176</v>
      </c>
      <c r="F65" s="5">
        <v>15</v>
      </c>
      <c r="G65" s="21">
        <f t="shared" si="1"/>
        <v>7.82</v>
      </c>
      <c r="H65" s="9" t="s">
        <v>9</v>
      </c>
      <c r="I65" s="10">
        <v>1</v>
      </c>
      <c r="J65" s="9">
        <v>308.8</v>
      </c>
      <c r="K65" s="17">
        <f t="shared" si="3"/>
        <v>18.77</v>
      </c>
      <c r="L65" s="46" t="s">
        <v>190</v>
      </c>
    </row>
    <row r="66" spans="1:20" ht="39.950000000000003" customHeight="1">
      <c r="A66" s="18">
        <v>1.45</v>
      </c>
      <c r="B66" s="6" t="s">
        <v>105</v>
      </c>
      <c r="C66" s="5" t="s">
        <v>168</v>
      </c>
      <c r="D66" s="10">
        <f>0.1*2.5</f>
        <v>0.25</v>
      </c>
      <c r="E66" s="5" t="s">
        <v>248</v>
      </c>
      <c r="F66" s="5">
        <v>130</v>
      </c>
      <c r="G66" s="21">
        <f t="shared" si="1"/>
        <v>38.54</v>
      </c>
      <c r="H66" s="9" t="s">
        <v>16</v>
      </c>
      <c r="I66" s="10">
        <v>1.25</v>
      </c>
      <c r="J66" s="5">
        <v>78.900000000000006</v>
      </c>
      <c r="K66" s="17">
        <f t="shared" si="3"/>
        <v>12.04</v>
      </c>
      <c r="L66" s="46" t="s">
        <v>169</v>
      </c>
    </row>
    <row r="67" spans="1:20" ht="39.950000000000003" customHeight="1">
      <c r="A67" s="18">
        <v>1.46</v>
      </c>
      <c r="B67" s="6" t="s">
        <v>260</v>
      </c>
      <c r="C67" s="5" t="s">
        <v>188</v>
      </c>
      <c r="D67" s="10">
        <f>1.75*2</f>
        <v>3.5</v>
      </c>
      <c r="E67" s="5" t="s">
        <v>248</v>
      </c>
      <c r="F67" s="5">
        <v>130</v>
      </c>
      <c r="G67" s="21">
        <f t="shared" si="1"/>
        <v>38.54</v>
      </c>
      <c r="H67" s="9" t="s">
        <v>16</v>
      </c>
      <c r="I67" s="10">
        <v>1.25</v>
      </c>
      <c r="J67" s="5">
        <f>136*2</f>
        <v>272</v>
      </c>
      <c r="K67" s="17">
        <f t="shared" si="3"/>
        <v>168.61</v>
      </c>
      <c r="L67" s="46" t="s">
        <v>169</v>
      </c>
    </row>
    <row r="68" spans="1:20" ht="39.950000000000003" customHeight="1">
      <c r="A68" s="18">
        <v>1.47</v>
      </c>
      <c r="B68" s="6" t="s">
        <v>261</v>
      </c>
      <c r="C68" s="5" t="s">
        <v>188</v>
      </c>
      <c r="D68" s="10">
        <v>1.75</v>
      </c>
      <c r="E68" s="5" t="s">
        <v>248</v>
      </c>
      <c r="F68" s="5">
        <v>130</v>
      </c>
      <c r="G68" s="21">
        <f t="shared" si="1"/>
        <v>38.54</v>
      </c>
      <c r="H68" s="9" t="s">
        <v>16</v>
      </c>
      <c r="I68" s="10">
        <v>1.25</v>
      </c>
      <c r="J68" s="5">
        <f>136</f>
        <v>136</v>
      </c>
      <c r="K68" s="17">
        <f t="shared" si="3"/>
        <v>84.31</v>
      </c>
      <c r="L68" s="46" t="s">
        <v>169</v>
      </c>
    </row>
    <row r="69" spans="1:20" ht="39.950000000000003" customHeight="1">
      <c r="A69" s="18">
        <v>1.48</v>
      </c>
      <c r="B69" s="6" t="s">
        <v>265</v>
      </c>
      <c r="C69" s="5" t="s">
        <v>188</v>
      </c>
      <c r="D69" s="9">
        <v>2.5</v>
      </c>
      <c r="E69" s="5" t="s">
        <v>248</v>
      </c>
      <c r="F69" s="5">
        <v>130</v>
      </c>
      <c r="G69" s="21">
        <f t="shared" si="1"/>
        <v>38.54</v>
      </c>
      <c r="H69" s="9" t="s">
        <v>16</v>
      </c>
      <c r="I69" s="10">
        <v>1.25</v>
      </c>
      <c r="J69" s="5">
        <v>153</v>
      </c>
      <c r="K69" s="17">
        <f t="shared" ref="K69" si="4">ROUND(D69*G69*I69,2)</f>
        <v>120.44</v>
      </c>
      <c r="L69" s="46" t="s">
        <v>169</v>
      </c>
    </row>
    <row r="70" spans="1:20" ht="39.950000000000003" customHeight="1">
      <c r="A70" s="18">
        <v>1.49</v>
      </c>
      <c r="B70" s="6" t="s">
        <v>278</v>
      </c>
      <c r="C70" s="5" t="s">
        <v>188</v>
      </c>
      <c r="D70" s="9">
        <v>5.0000000000000001E-3</v>
      </c>
      <c r="E70" s="5" t="s">
        <v>248</v>
      </c>
      <c r="F70" s="5">
        <v>130</v>
      </c>
      <c r="G70" s="21">
        <f t="shared" ref="G70" si="5">IF(F70&lt;=200,HLOOKUP(F70,$U$2:$HL$3,2,TRUE),(((F70-200)*0.24)+54.71))</f>
        <v>38.54</v>
      </c>
      <c r="H70" s="9" t="s">
        <v>9</v>
      </c>
      <c r="I70" s="10">
        <v>1</v>
      </c>
      <c r="J70" s="5">
        <v>17</v>
      </c>
      <c r="K70" s="17">
        <f t="shared" ref="K70" si="6">ROUND(D70*G70*I70,2)</f>
        <v>0.19</v>
      </c>
      <c r="L70" s="46" t="s">
        <v>169</v>
      </c>
      <c r="S70" s="51"/>
      <c r="T70" s="51"/>
    </row>
    <row r="71" spans="1:20" ht="39.950000000000003" customHeight="1">
      <c r="A71" s="3"/>
      <c r="B71" s="4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20" ht="39.950000000000003" customHeight="1">
      <c r="A72" s="3"/>
      <c r="B72" s="4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20" ht="39.950000000000003" customHeight="1">
      <c r="A73" s="3"/>
      <c r="B73" s="4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20" ht="39.950000000000003" customHeight="1">
      <c r="A74" s="3"/>
      <c r="B74" s="4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20" ht="39.950000000000003" customHeight="1">
      <c r="A75" s="3"/>
      <c r="B75" s="4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20" ht="39.950000000000003" customHeight="1">
      <c r="A76" s="3"/>
      <c r="B76" s="4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20" ht="39.950000000000003" customHeight="1">
      <c r="A77" s="3"/>
      <c r="B77" s="4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20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0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241" spans="3:211" ht="19.5" customHeight="1">
      <c r="C241" s="20"/>
      <c r="D241" s="20"/>
      <c r="E241" s="20"/>
      <c r="F241" s="20"/>
      <c r="G241" s="20"/>
      <c r="H241" s="20"/>
      <c r="I241" s="20"/>
      <c r="J241" s="20"/>
      <c r="K241" s="20"/>
      <c r="L241" s="47"/>
      <c r="M241" s="47"/>
      <c r="N241" s="47"/>
      <c r="O241" s="47"/>
      <c r="P241" s="47"/>
      <c r="Q241" s="47"/>
      <c r="R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</row>
    <row r="242" spans="3:211" ht="19.5" customHeight="1">
      <c r="C242" s="20"/>
      <c r="D242" s="20"/>
      <c r="E242" s="20"/>
      <c r="F242" s="20"/>
      <c r="G242" s="20"/>
      <c r="H242" s="20"/>
      <c r="I242" s="20"/>
      <c r="J242" s="20"/>
      <c r="K242" s="20"/>
      <c r="L242" s="47"/>
      <c r="M242" s="47"/>
      <c r="N242" s="47"/>
      <c r="O242" s="47"/>
      <c r="P242" s="47"/>
      <c r="Q242" s="47"/>
      <c r="R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</row>
  </sheetData>
  <mergeCells count="31">
    <mergeCell ref="A1:B1"/>
    <mergeCell ref="A2:B2"/>
    <mergeCell ref="S2:T2"/>
    <mergeCell ref="A3:B4"/>
    <mergeCell ref="K3:L4"/>
    <mergeCell ref="S3:T3"/>
    <mergeCell ref="T7:T15"/>
    <mergeCell ref="A9:B10"/>
    <mergeCell ref="K9:L10"/>
    <mergeCell ref="A11:B12"/>
    <mergeCell ref="H11:H12"/>
    <mergeCell ref="A5:B6"/>
    <mergeCell ref="K5:L6"/>
    <mergeCell ref="A7:B8"/>
    <mergeCell ref="K7:L8"/>
    <mergeCell ref="S7:S15"/>
    <mergeCell ref="J11:K12"/>
    <mergeCell ref="A13:L15"/>
    <mergeCell ref="A16:A18"/>
    <mergeCell ref="B16:B18"/>
    <mergeCell ref="C16:C18"/>
    <mergeCell ref="D16:D18"/>
    <mergeCell ref="E16:E18"/>
    <mergeCell ref="L16:L18"/>
    <mergeCell ref="H17:H18"/>
    <mergeCell ref="I17:I18"/>
    <mergeCell ref="F16:F18"/>
    <mergeCell ref="G16:G18"/>
    <mergeCell ref="H16:I16"/>
    <mergeCell ref="J16:J18"/>
    <mergeCell ref="K16:K18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109</vt:i4>
      </vt:variant>
    </vt:vector>
  </HeadingPairs>
  <TitlesOfParts>
    <vt:vector size="118" baseType="lpstr">
      <vt:lpstr>კრებსითი</vt:lpstr>
      <vt:lpstr>1-1</vt:lpstr>
      <vt:lpstr>2-1</vt:lpstr>
      <vt:lpstr>3-1</vt:lpstr>
      <vt:lpstr>4-1</vt:lpstr>
      <vt:lpstr>5-1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'4-1'!Область_печати</vt:lpstr>
      <vt:lpstr>'5-1'!Область_печати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2019-01-11T10:12:19Z</dcterms:modified>
</cp:coreProperties>
</file>