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6"/>
  </bookViews>
  <sheets>
    <sheet name="კრებსითი" sheetId="4" r:id="rId1"/>
    <sheet name="1-1" sheetId="5" r:id="rId2"/>
    <sheet name="2-1" sheetId="9" r:id="rId3"/>
    <sheet name="3-1" sheetId="11" r:id="rId4"/>
    <sheet name="3-2" sheetId="13" r:id="rId5"/>
    <sheet name="3-3" sheetId="14" r:id="rId6"/>
    <sheet name="4-1" sheetId="32" r:id="rId7"/>
    <sheet name="სატენდერო კრებსითი" sheetId="31" r:id="rId8"/>
    <sheet name="სატენდერო" sheetId="30" r:id="rId9"/>
    <sheet name="ტრანსპორტირება" sheetId="29" r:id="rId10"/>
  </sheets>
  <externalReferences>
    <externalReference r:id="rId11"/>
  </externalReferences>
  <definedNames>
    <definedName name="_xlnm._FilterDatabase" localSheetId="3" hidden="1">'3-1'!$A$1:$M$215</definedName>
    <definedName name="_xlnm._FilterDatabase" localSheetId="4" hidden="1">'3-2'!$A$1:$M$143</definedName>
    <definedName name="_xlnm._FilterDatabase" localSheetId="6" hidden="1">'4-1'!$A$1:$M$122</definedName>
    <definedName name="_xlnm.Print_Area" localSheetId="1">'1-1'!$A$1:$M$30</definedName>
    <definedName name="_xlnm.Print_Area" localSheetId="2">'2-1'!$A$1:$M$51</definedName>
    <definedName name="_xlnm.Print_Area" localSheetId="3">'3-1'!$A$2:$M$167</definedName>
    <definedName name="_xlnm.Print_Area" localSheetId="4">'3-2'!$A$2:$M$140</definedName>
    <definedName name="_xlnm.Print_Area" localSheetId="5">'3-3'!$A$1:$M$75</definedName>
    <definedName name="_xlnm.Print_Area" localSheetId="6">'4-1'!$A$2:$M$95</definedName>
    <definedName name="_xlnm.Print_Area" localSheetId="0">კრებსითი!$A$1:$G$40</definedName>
    <definedName name="_xlnm.Print_Area" localSheetId="8">სატენდერო!$A$1:$I$121</definedName>
    <definedName name="_xlnm.Print_Area" localSheetId="7">'სატენდერო კრებსითი'!$A$1:$D$36</definedName>
    <definedName name="_xlnm.Print_Area" localSheetId="9">ტრანსპორტირება!$A$1:$L$74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10">[1]ტრანსპორტირება!$J$71</definedName>
    <definedName name="დეკორატიულიქვა11">[1]ტრანსპორტირება!$K$71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/>
  <c r="E16"/>
  <c r="D16"/>
  <c r="F140" i="11"/>
  <c r="F139"/>
  <c r="E154"/>
  <c r="F154" s="1"/>
  <c r="F153"/>
  <c r="F149"/>
  <c r="F147"/>
  <c r="F146"/>
  <c r="F148" s="1"/>
  <c r="F136"/>
  <c r="F137"/>
  <c r="F138"/>
  <c r="F141"/>
  <c r="F142"/>
  <c r="F126"/>
  <c r="F123"/>
  <c r="F121"/>
  <c r="F120"/>
  <c r="F122" s="1"/>
  <c r="F112"/>
  <c r="F116" s="1"/>
  <c r="E106"/>
  <c r="F96"/>
  <c r="F97" s="1"/>
  <c r="F107" s="1"/>
  <c r="F150" l="1"/>
  <c r="F124"/>
  <c r="F115"/>
  <c r="F113"/>
  <c r="F117"/>
  <c r="F114"/>
  <c r="F99"/>
  <c r="F98"/>
  <c r="F104"/>
  <c r="F109"/>
  <c r="F106"/>
  <c r="F108"/>
  <c r="F101"/>
  <c r="F100"/>
  <c r="F103"/>
  <c r="F105"/>
  <c r="F90" l="1"/>
  <c r="F94" s="1"/>
  <c r="F83"/>
  <c r="F87" s="1"/>
  <c r="F71"/>
  <c r="F80" s="1"/>
  <c r="F63"/>
  <c r="F67" s="1"/>
  <c r="F60"/>
  <c r="F59"/>
  <c r="F91" l="1"/>
  <c r="F93"/>
  <c r="F92"/>
  <c r="F86"/>
  <c r="F85"/>
  <c r="F84"/>
  <c r="F66"/>
  <c r="F78"/>
  <c r="F79"/>
  <c r="F64"/>
  <c r="F68"/>
  <c r="F65"/>
  <c r="E54" l="1"/>
  <c r="F55"/>
  <c r="F45"/>
  <c r="F54" l="1"/>
  <c r="F31"/>
  <c r="F34" s="1"/>
  <c r="F35"/>
  <c r="F38"/>
  <c r="F23"/>
  <c r="F24" s="1"/>
  <c r="E19"/>
  <c r="F18"/>
  <c r="F15"/>
  <c r="F14"/>
  <c r="F13"/>
  <c r="F12"/>
  <c r="F20" i="4"/>
  <c r="E20"/>
  <c r="D20"/>
  <c r="F81" i="32"/>
  <c r="F80"/>
  <c r="F79"/>
  <c r="F78"/>
  <c r="F77"/>
  <c r="F76"/>
  <c r="F75"/>
  <c r="F71"/>
  <c r="E69"/>
  <c r="F67"/>
  <c r="F66"/>
  <c r="F72" s="1"/>
  <c r="F63"/>
  <c r="E63"/>
  <c r="F62"/>
  <c r="E62"/>
  <c r="F61"/>
  <c r="F56"/>
  <c r="F58" s="1"/>
  <c r="F53"/>
  <c r="F52"/>
  <c r="F51"/>
  <c r="F50"/>
  <c r="F47"/>
  <c r="F45"/>
  <c r="F43"/>
  <c r="F42"/>
  <c r="F39"/>
  <c r="F38"/>
  <c r="F40" s="1"/>
  <c r="F35"/>
  <c r="F34"/>
  <c r="F33"/>
  <c r="F32"/>
  <c r="F25"/>
  <c r="F24"/>
  <c r="F20"/>
  <c r="F28" s="1"/>
  <c r="F11"/>
  <c r="F15" s="1"/>
  <c r="F28" i="11" l="1"/>
  <c r="F27"/>
  <c r="F25"/>
  <c r="F26"/>
  <c r="F19"/>
  <c r="F59" i="32"/>
  <c r="F57"/>
  <c r="F60"/>
  <c r="F14"/>
  <c r="F22"/>
  <c r="F21"/>
  <c r="F27"/>
  <c r="F12"/>
  <c r="F16"/>
  <c r="F17"/>
  <c r="F29"/>
  <c r="F41"/>
  <c r="F44"/>
  <c r="F46"/>
  <c r="F70"/>
  <c r="F13"/>
  <c r="F23"/>
  <c r="F26"/>
  <c r="F68"/>
  <c r="F69"/>
  <c r="F17" i="4" l="1"/>
  <c r="E17"/>
  <c r="D17"/>
  <c r="F111" i="13"/>
  <c r="F98"/>
  <c r="F101" s="1"/>
  <c r="F118"/>
  <c r="F121" s="1"/>
  <c r="F115"/>
  <c r="F114"/>
  <c r="F113"/>
  <c r="F112"/>
  <c r="F110"/>
  <c r="F109"/>
  <c r="F108"/>
  <c r="F107"/>
  <c r="F103"/>
  <c r="F102"/>
  <c r="F100"/>
  <c r="F99"/>
  <c r="F91"/>
  <c r="F93" s="1"/>
  <c r="F84"/>
  <c r="F87" s="1"/>
  <c r="E80"/>
  <c r="F79"/>
  <c r="F81" s="1"/>
  <c r="F72"/>
  <c r="F74" s="1"/>
  <c r="F75"/>
  <c r="E66"/>
  <c r="F64"/>
  <c r="F57"/>
  <c r="F56"/>
  <c r="F58" s="1"/>
  <c r="F49"/>
  <c r="F51" s="1"/>
  <c r="F42"/>
  <c r="F44" s="1"/>
  <c r="F34"/>
  <c r="F35" s="1"/>
  <c r="F38" s="1"/>
  <c r="F32"/>
  <c r="F29"/>
  <c r="F30" s="1"/>
  <c r="E27"/>
  <c r="F26"/>
  <c r="F23"/>
  <c r="F22"/>
  <c r="F21"/>
  <c r="F20"/>
  <c r="E16"/>
  <c r="E15"/>
  <c r="E14"/>
  <c r="E12"/>
  <c r="F11"/>
  <c r="F12" s="1"/>
  <c r="F92" l="1"/>
  <c r="F95"/>
  <c r="F94"/>
  <c r="F80"/>
  <c r="F69"/>
  <c r="F66"/>
  <c r="F53"/>
  <c r="F50"/>
  <c r="F45"/>
  <c r="F43"/>
  <c r="F46"/>
  <c r="F27"/>
  <c r="F60"/>
  <c r="F68"/>
  <c r="F73"/>
  <c r="F85"/>
  <c r="F119"/>
  <c r="F123"/>
  <c r="F37"/>
  <c r="F88"/>
  <c r="F36"/>
  <c r="F13"/>
  <c r="F14"/>
  <c r="F15"/>
  <c r="F16"/>
  <c r="F39"/>
  <c r="F52"/>
  <c r="F59"/>
  <c r="F63"/>
  <c r="F65"/>
  <c r="F67"/>
  <c r="F76"/>
  <c r="F122"/>
  <c r="F86"/>
  <c r="F120"/>
  <c r="F18" i="4" l="1"/>
  <c r="E18"/>
  <c r="D18"/>
  <c r="F56" i="14"/>
  <c r="F49"/>
  <c r="F42"/>
  <c r="F16"/>
  <c r="F9"/>
  <c r="F57"/>
  <c r="F58" s="1"/>
  <c r="F52"/>
  <c r="F50"/>
  <c r="F54" s="1"/>
  <c r="F45"/>
  <c r="F43"/>
  <c r="F46" s="1"/>
  <c r="F40"/>
  <c r="F39"/>
  <c r="F33"/>
  <c r="F25"/>
  <c r="F26" s="1"/>
  <c r="F23"/>
  <c r="F20"/>
  <c r="F21" s="1"/>
  <c r="F18"/>
  <c r="E18"/>
  <c r="F17"/>
  <c r="F12"/>
  <c r="F11"/>
  <c r="F10"/>
  <c r="F14" s="1"/>
  <c r="F53" l="1"/>
  <c r="F51"/>
  <c r="F44"/>
  <c r="F47"/>
  <c r="F30"/>
  <c r="F27"/>
  <c r="F29"/>
  <c r="F28"/>
  <c r="F13"/>
  <c r="F14" i="4" l="1"/>
  <c r="E14"/>
  <c r="D14"/>
  <c r="F39" i="9"/>
  <c r="F40" s="1"/>
  <c r="F34"/>
  <c r="F35" s="1"/>
  <c r="F36" s="1"/>
  <c r="F32"/>
  <c r="F26"/>
  <c r="F27" s="1"/>
  <c r="F18"/>
  <c r="F19" s="1"/>
  <c r="F16"/>
  <c r="F10"/>
  <c r="F13" s="1"/>
  <c r="F21" l="1"/>
  <c r="F22"/>
  <c r="F23"/>
  <c r="F20"/>
  <c r="F30"/>
  <c r="F11"/>
  <c r="F29"/>
  <c r="F41"/>
  <c r="F12"/>
  <c r="F14"/>
  <c r="F28"/>
  <c r="F12" i="4" l="1"/>
  <c r="E12"/>
  <c r="G12" s="1"/>
  <c r="D12"/>
  <c r="E17" i="5"/>
  <c r="F17" s="1"/>
  <c r="G20" i="4"/>
  <c r="G18"/>
  <c r="G17"/>
  <c r="G16"/>
  <c r="G14"/>
  <c r="J31" i="29" l="1"/>
  <c r="J29"/>
  <c r="J28"/>
  <c r="J27"/>
  <c r="I106" i="30" l="1"/>
  <c r="I105"/>
  <c r="D106"/>
  <c r="D105"/>
  <c r="C106"/>
  <c r="E106" s="1"/>
  <c r="C105"/>
  <c r="E105" s="1"/>
  <c r="A106"/>
  <c r="A105"/>
  <c r="B106"/>
  <c r="B105"/>
  <c r="I95"/>
  <c r="I94"/>
  <c r="I93"/>
  <c r="I92"/>
  <c r="I91"/>
  <c r="I90"/>
  <c r="I89"/>
  <c r="I88"/>
  <c r="D95"/>
  <c r="D93"/>
  <c r="D89"/>
  <c r="D88"/>
  <c r="C95"/>
  <c r="E95" s="1"/>
  <c r="C94"/>
  <c r="C93"/>
  <c r="F93" s="1"/>
  <c r="C92"/>
  <c r="E92" s="1"/>
  <c r="C91"/>
  <c r="E91" s="1"/>
  <c r="C90"/>
  <c r="E90" s="1"/>
  <c r="C89"/>
  <c r="E89" s="1"/>
  <c r="C88"/>
  <c r="E88" s="1"/>
  <c r="A95"/>
  <c r="A94"/>
  <c r="A93"/>
  <c r="A92"/>
  <c r="A91"/>
  <c r="A90"/>
  <c r="A89"/>
  <c r="A88"/>
  <c r="B95"/>
  <c r="B94"/>
  <c r="B93"/>
  <c r="B92"/>
  <c r="B91"/>
  <c r="B90"/>
  <c r="B89"/>
  <c r="B88"/>
  <c r="I81"/>
  <c r="I80"/>
  <c r="D80"/>
  <c r="C81"/>
  <c r="E81" s="1"/>
  <c r="C80"/>
  <c r="E80" s="1"/>
  <c r="A81"/>
  <c r="A80"/>
  <c r="B81"/>
  <c r="B8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D59"/>
  <c r="D58"/>
  <c r="D57"/>
  <c r="D55"/>
  <c r="D54"/>
  <c r="D53"/>
  <c r="D52"/>
  <c r="D51"/>
  <c r="D50"/>
  <c r="D49"/>
  <c r="D48"/>
  <c r="D47"/>
  <c r="D46"/>
  <c r="D45"/>
  <c r="D42"/>
  <c r="D41"/>
  <c r="C59"/>
  <c r="E59" s="1"/>
  <c r="C58"/>
  <c r="E58" s="1"/>
  <c r="C57"/>
  <c r="E57" s="1"/>
  <c r="C56"/>
  <c r="E56" s="1"/>
  <c r="C55"/>
  <c r="E55" s="1"/>
  <c r="C54"/>
  <c r="E54" s="1"/>
  <c r="C53"/>
  <c r="E53" s="1"/>
  <c r="C52"/>
  <c r="C51"/>
  <c r="E51" s="1"/>
  <c r="C50"/>
  <c r="E50" s="1"/>
  <c r="C49"/>
  <c r="E49" s="1"/>
  <c r="C48"/>
  <c r="E48" s="1"/>
  <c r="C47"/>
  <c r="C46"/>
  <c r="E46" s="1"/>
  <c r="C45"/>
  <c r="E45" s="1"/>
  <c r="C44"/>
  <c r="E44" s="1"/>
  <c r="C43"/>
  <c r="E43" s="1"/>
  <c r="C42"/>
  <c r="E42" s="1"/>
  <c r="C41"/>
  <c r="E41" s="1"/>
  <c r="A59"/>
  <c r="A58"/>
  <c r="A57"/>
  <c r="A56"/>
  <c r="A55"/>
  <c r="A54"/>
  <c r="A53"/>
  <c r="A52"/>
  <c r="B59"/>
  <c r="B58"/>
  <c r="B57"/>
  <c r="B56"/>
  <c r="B55"/>
  <c r="B54"/>
  <c r="B53"/>
  <c r="B52"/>
  <c r="A51"/>
  <c r="A50"/>
  <c r="A49"/>
  <c r="A48"/>
  <c r="A47"/>
  <c r="A46"/>
  <c r="A45"/>
  <c r="A44"/>
  <c r="A43"/>
  <c r="A42"/>
  <c r="A41"/>
  <c r="B51"/>
  <c r="B50"/>
  <c r="B49"/>
  <c r="B48"/>
  <c r="B47"/>
  <c r="B46"/>
  <c r="B45"/>
  <c r="B44"/>
  <c r="B43"/>
  <c r="B42"/>
  <c r="B41"/>
  <c r="F106" l="1"/>
  <c r="F105"/>
  <c r="E94"/>
  <c r="F80"/>
  <c r="F88"/>
  <c r="F95"/>
  <c r="F52"/>
  <c r="F45"/>
  <c r="F53"/>
  <c r="E93"/>
  <c r="F89"/>
  <c r="F49"/>
  <c r="F57"/>
  <c r="F41"/>
  <c r="E52"/>
  <c r="F46"/>
  <c r="F58"/>
  <c r="F50"/>
  <c r="F47"/>
  <c r="F55"/>
  <c r="F48"/>
  <c r="F59"/>
  <c r="F54"/>
  <c r="F51"/>
  <c r="F42"/>
  <c r="E47"/>
  <c r="H95"/>
  <c r="H89"/>
  <c r="D94" l="1"/>
  <c r="F94" s="1"/>
  <c r="G89"/>
  <c r="G95"/>
  <c r="D90"/>
  <c r="F90" s="1"/>
  <c r="D92"/>
  <c r="F92" s="1"/>
  <c r="H106"/>
  <c r="G106" s="1"/>
  <c r="H90"/>
  <c r="H88"/>
  <c r="G88" s="1"/>
  <c r="H93"/>
  <c r="G93" s="1"/>
  <c r="G90" l="1"/>
  <c r="H91"/>
  <c r="D91"/>
  <c r="F91" s="1"/>
  <c r="H105"/>
  <c r="G105" s="1"/>
  <c r="H92"/>
  <c r="G92" s="1"/>
  <c r="H94"/>
  <c r="G94" s="1"/>
  <c r="G91" l="1"/>
  <c r="D81" l="1"/>
  <c r="F81" s="1"/>
  <c r="H81" l="1"/>
  <c r="G81" s="1"/>
  <c r="H80"/>
  <c r="G80" s="1"/>
  <c r="H59"/>
  <c r="G59" s="1"/>
  <c r="F143" i="11"/>
  <c r="F127"/>
  <c r="F77"/>
  <c r="F76"/>
  <c r="F75"/>
  <c r="F74"/>
  <c r="F73"/>
  <c r="F72"/>
  <c r="F56"/>
  <c r="F53"/>
  <c r="F52"/>
  <c r="F51"/>
  <c r="F49"/>
  <c r="F48"/>
  <c r="F47"/>
  <c r="F46"/>
  <c r="F42"/>
  <c r="F41"/>
  <c r="F40"/>
  <c r="F39"/>
  <c r="F33"/>
  <c r="F32"/>
  <c r="H42" i="30"/>
  <c r="G42" s="1"/>
  <c r="F21" i="11"/>
  <c r="F133" l="1"/>
  <c r="D56" i="30"/>
  <c r="F56" s="1"/>
  <c r="H43"/>
  <c r="D43"/>
  <c r="F43" s="1"/>
  <c r="D44"/>
  <c r="F44" s="1"/>
  <c r="H55"/>
  <c r="G55" s="1"/>
  <c r="H57"/>
  <c r="G57" s="1"/>
  <c r="H58"/>
  <c r="G58" s="1"/>
  <c r="H48"/>
  <c r="G48" s="1"/>
  <c r="F129" i="11"/>
  <c r="F130"/>
  <c r="F128"/>
  <c r="F131"/>
  <c r="H51" i="30" l="1"/>
  <c r="G51" s="1"/>
  <c r="H46"/>
  <c r="G46" s="1"/>
  <c r="H45"/>
  <c r="G45" s="1"/>
  <c r="G43"/>
  <c r="H52"/>
  <c r="G52" s="1"/>
  <c r="H41"/>
  <c r="G41" s="1"/>
  <c r="H49"/>
  <c r="G49" s="1"/>
  <c r="H54"/>
  <c r="G54" s="1"/>
  <c r="H56"/>
  <c r="G56" s="1"/>
  <c r="H53"/>
  <c r="G53" s="1"/>
  <c r="H47" l="1"/>
  <c r="G47" s="1"/>
  <c r="H50"/>
  <c r="G50" s="1"/>
  <c r="H44"/>
  <c r="G44" s="1"/>
  <c r="H60" l="1"/>
  <c r="I79"/>
  <c r="I78"/>
  <c r="I77"/>
  <c r="I76"/>
  <c r="I75"/>
  <c r="I74"/>
  <c r="I73"/>
  <c r="I72"/>
  <c r="I71"/>
  <c r="I70"/>
  <c r="I69"/>
  <c r="I68"/>
  <c r="I67"/>
  <c r="I66"/>
  <c r="D79"/>
  <c r="D78"/>
  <c r="D77"/>
  <c r="D76"/>
  <c r="D75"/>
  <c r="D74"/>
  <c r="D73"/>
  <c r="D72"/>
  <c r="D68"/>
  <c r="D67"/>
  <c r="D66"/>
  <c r="C79"/>
  <c r="C78"/>
  <c r="E78" s="1"/>
  <c r="C77"/>
  <c r="C76"/>
  <c r="E76" s="1"/>
  <c r="C75"/>
  <c r="E75" s="1"/>
  <c r="C74"/>
  <c r="C73"/>
  <c r="E73" s="1"/>
  <c r="C72"/>
  <c r="C71"/>
  <c r="E71" s="1"/>
  <c r="C70"/>
  <c r="E70" s="1"/>
  <c r="C69"/>
  <c r="E69" s="1"/>
  <c r="C68"/>
  <c r="E68" s="1"/>
  <c r="C67"/>
  <c r="E67" s="1"/>
  <c r="C66"/>
  <c r="A79"/>
  <c r="A78"/>
  <c r="A77"/>
  <c r="A76"/>
  <c r="A75"/>
  <c r="A74"/>
  <c r="A73"/>
  <c r="A72"/>
  <c r="A71"/>
  <c r="A70"/>
  <c r="A69"/>
  <c r="A68"/>
  <c r="A67"/>
  <c r="A66"/>
  <c r="B79"/>
  <c r="B78"/>
  <c r="B77"/>
  <c r="B76"/>
  <c r="B75"/>
  <c r="B74"/>
  <c r="B73"/>
  <c r="B72"/>
  <c r="B71"/>
  <c r="B70"/>
  <c r="B69"/>
  <c r="B68"/>
  <c r="B67"/>
  <c r="B66"/>
  <c r="H70"/>
  <c r="H68"/>
  <c r="F79" l="1"/>
  <c r="F74"/>
  <c r="D69"/>
  <c r="F69" s="1"/>
  <c r="H66"/>
  <c r="F66"/>
  <c r="D71"/>
  <c r="D70"/>
  <c r="F70" s="1"/>
  <c r="G70" s="1"/>
  <c r="F72"/>
  <c r="F77"/>
  <c r="E79"/>
  <c r="E74"/>
  <c r="E72"/>
  <c r="F75"/>
  <c r="F68"/>
  <c r="G68" s="1"/>
  <c r="E66"/>
  <c r="E77"/>
  <c r="F73"/>
  <c r="F71"/>
  <c r="F78"/>
  <c r="F76"/>
  <c r="F67"/>
  <c r="H77"/>
  <c r="H69"/>
  <c r="H75"/>
  <c r="H78"/>
  <c r="H72" l="1"/>
  <c r="G72" s="1"/>
  <c r="H76"/>
  <c r="G76" s="1"/>
  <c r="H73"/>
  <c r="G73" s="1"/>
  <c r="G66"/>
  <c r="H79"/>
  <c r="G79" s="1"/>
  <c r="G75"/>
  <c r="G78"/>
  <c r="G77"/>
  <c r="G69"/>
  <c r="H67"/>
  <c r="G67" s="1"/>
  <c r="H74" l="1"/>
  <c r="G74" s="1"/>
  <c r="H71"/>
  <c r="G71" s="1"/>
  <c r="H82" l="1"/>
  <c r="I109" l="1"/>
  <c r="I108"/>
  <c r="I107"/>
  <c r="I104"/>
  <c r="I103"/>
  <c r="I102"/>
  <c r="D109"/>
  <c r="D108"/>
  <c r="D107"/>
  <c r="D104"/>
  <c r="D103"/>
  <c r="D102"/>
  <c r="C109"/>
  <c r="E109" s="1"/>
  <c r="C108"/>
  <c r="C107"/>
  <c r="E107" s="1"/>
  <c r="C104"/>
  <c r="E104" s="1"/>
  <c r="C103"/>
  <c r="E103" s="1"/>
  <c r="C102"/>
  <c r="A109"/>
  <c r="A108"/>
  <c r="A107"/>
  <c r="A104"/>
  <c r="A103"/>
  <c r="A102"/>
  <c r="B109"/>
  <c r="B108"/>
  <c r="B107"/>
  <c r="B104"/>
  <c r="B103"/>
  <c r="B102"/>
  <c r="B101"/>
  <c r="B27" i="31" s="1"/>
  <c r="F102" i="30" l="1"/>
  <c r="F108"/>
  <c r="F104"/>
  <c r="F107"/>
  <c r="F109"/>
  <c r="E102"/>
  <c r="F103"/>
  <c r="E108"/>
  <c r="G70" i="29" l="1"/>
  <c r="K70" s="1"/>
  <c r="H108" i="30" l="1"/>
  <c r="G108" s="1"/>
  <c r="H109" l="1"/>
  <c r="G109" s="1"/>
  <c r="H107" l="1"/>
  <c r="G107" s="1"/>
  <c r="H104"/>
  <c r="G104" s="1"/>
  <c r="H103" l="1"/>
  <c r="G103" s="1"/>
  <c r="H102" l="1"/>
  <c r="G102" l="1"/>
  <c r="H110"/>
  <c r="H111" s="1"/>
  <c r="H112" s="1"/>
  <c r="H113" s="1"/>
  <c r="H114" s="1"/>
  <c r="D27" i="31" s="1"/>
  <c r="G69" i="2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B65" i="30" l="1"/>
  <c r="B24" i="31" s="1"/>
  <c r="B87" i="30"/>
  <c r="B25" i="31" s="1"/>
  <c r="B40" i="30"/>
  <c r="B23" i="31" s="1"/>
  <c r="I34" i="30"/>
  <c r="I33"/>
  <c r="I32"/>
  <c r="I31"/>
  <c r="I30"/>
  <c r="I29"/>
  <c r="I28"/>
  <c r="D34"/>
  <c r="D31"/>
  <c r="D28"/>
  <c r="C34"/>
  <c r="E34" s="1"/>
  <c r="C33"/>
  <c r="C32"/>
  <c r="C31"/>
  <c r="C30"/>
  <c r="E30" s="1"/>
  <c r="C29"/>
  <c r="E29" s="1"/>
  <c r="C28"/>
  <c r="A34"/>
  <c r="A33"/>
  <c r="A32"/>
  <c r="A31"/>
  <c r="A30"/>
  <c r="A29"/>
  <c r="A28"/>
  <c r="B34"/>
  <c r="B33"/>
  <c r="B32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31" i="30" l="1"/>
  <c r="E31"/>
  <c r="F34"/>
  <c r="F28"/>
  <c r="E33"/>
  <c r="E28"/>
  <c r="E32"/>
  <c r="F21"/>
  <c r="E21"/>
  <c r="K69" i="29" l="1"/>
  <c r="A22"/>
  <c r="H34" i="30" l="1"/>
  <c r="G34" s="1"/>
  <c r="D33" l="1"/>
  <c r="F33" s="1"/>
  <c r="D32"/>
  <c r="F32" s="1"/>
  <c r="D30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A3"/>
  <c r="H32" i="30" l="1"/>
  <c r="G32" s="1"/>
  <c r="H33"/>
  <c r="G33" s="1"/>
  <c r="H31"/>
  <c r="G31" s="1"/>
  <c r="A7" i="29"/>
  <c r="H96" i="30" l="1"/>
  <c r="H61" l="1"/>
  <c r="H62" s="1"/>
  <c r="H63" s="1"/>
  <c r="H64" s="1"/>
  <c r="D23" i="31" s="1"/>
  <c r="H83" i="30"/>
  <c r="H84" s="1"/>
  <c r="H85" s="1"/>
  <c r="H86" s="1"/>
  <c r="D24" i="31" s="1"/>
  <c r="H97" i="30"/>
  <c r="H98" s="1"/>
  <c r="H99" s="1"/>
  <c r="H100" s="1"/>
  <c r="D25" i="31" s="1"/>
  <c r="D29" i="30" l="1"/>
  <c r="F29" s="1"/>
  <c r="H29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5"/>
  <c r="H36" s="1"/>
  <c r="H37" s="1"/>
  <c r="H38" s="1"/>
  <c r="H39" s="1"/>
  <c r="D21" i="31" s="1"/>
  <c r="D28" l="1"/>
  <c r="D29" s="1"/>
  <c r="D30" s="1"/>
  <c r="D31" s="1"/>
  <c r="D32" s="1"/>
  <c r="G22" i="4" l="1"/>
  <c r="G24" s="1"/>
  <c r="G25" s="1"/>
  <c r="G26" s="1"/>
  <c r="G27" s="1"/>
  <c r="G28" s="1"/>
  <c r="G29" s="1"/>
  <c r="G30" s="1"/>
  <c r="G32" s="1"/>
</calcChain>
</file>

<file path=xl/sharedStrings.xml><?xml version="1.0" encoding="utf-8"?>
<sst xmlns="http://schemas.openxmlformats.org/spreadsheetml/2006/main" count="1665" uniqueCount="517">
  <si>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</si>
  <si>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</si>
  <si>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</si>
  <si>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</si>
  <si>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</si>
  <si>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</si>
  <si>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</si>
  <si>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</si>
  <si>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</si>
  <si>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</si>
  <si>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</si>
  <si>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</si>
  <si>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</si>
  <si>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</si>
  <si>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</si>
  <si>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</si>
  <si>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</si>
  <si>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</si>
  <si>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</si>
  <si>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</si>
  <si>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</si>
  <si>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</si>
  <si>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</si>
  <si>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</si>
  <si>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</si>
  <si>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</si>
  <si>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</si>
  <si>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</si>
  <si>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</si>
  <si>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</si>
  <si>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</si>
  <si>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</si>
  <si>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</si>
  <si>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</si>
  <si>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</si>
  <si>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</si>
  <si>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</si>
  <si>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</si>
  <si>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</si>
  <si>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</si>
  <si>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</si>
  <si>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</si>
  <si>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</si>
  <si>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</si>
  <si>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</si>
  <si>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</si>
  <si>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</si>
  <si>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</si>
  <si>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</si>
  <si>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</si>
  <si>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</si>
  <si>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</si>
  <si>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</si>
  <si>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</si>
  <si>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</si>
  <si>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</si>
  <si>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</si>
  <si>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მიწის ვაკისი</t>
  </si>
  <si>
    <t xml:space="preserve">ხარჯთაღმრიცხველი: </t>
  </si>
  <si>
    <t>1.6.1</t>
  </si>
  <si>
    <t>1.6.2</t>
  </si>
  <si>
    <t>1.7.1</t>
  </si>
  <si>
    <t>1.7.2</t>
  </si>
  <si>
    <t>1.8.1</t>
  </si>
  <si>
    <t>1.8.2</t>
  </si>
  <si>
    <t>1.9.1</t>
  </si>
  <si>
    <t>1.9.2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</si>
  <si>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</si>
  <si>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</si>
  <si>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</si>
  <si>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</si>
  <si>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</si>
  <si>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</si>
  <si>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</si>
  <si>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</si>
  <si>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>1.15.1</t>
  </si>
  <si>
    <t>1.15.2</t>
  </si>
  <si>
    <t>1.15.3</t>
  </si>
  <si>
    <t>1.15.4</t>
  </si>
  <si>
    <t>1.16.1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</si>
  <si>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</si>
  <si>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</si>
  <si>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</si>
  <si>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</si>
  <si>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</si>
  <si>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1-80-3                     კ=1.2</t>
  </si>
  <si>
    <t>თვითმავალი სატკეპნი საგზაო, პნევმოსვლით 18 ტ</t>
  </si>
  <si>
    <t>ბიტუმის ემულსია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</si>
  <si>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</si>
  <si>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</si>
  <si>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</si>
  <si>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ც</t>
  </si>
  <si>
    <t>საპრ.</t>
  </si>
  <si>
    <t>შრომითი დანახარჯი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</si>
  <si>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</si>
  <si>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</si>
  <si>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</si>
  <si>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</si>
  <si>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</si>
  <si>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</si>
  <si>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</si>
  <si>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</si>
  <si>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</si>
  <si>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</si>
  <si>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</si>
  <si>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</si>
  <si>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</si>
  <si>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</si>
  <si>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</si>
  <si>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</si>
  <si>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</si>
  <si>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</si>
  <si>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</si>
  <si>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</si>
  <si>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</si>
  <si>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</si>
  <si>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</si>
  <si>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</si>
  <si>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</si>
  <si>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</si>
  <si>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</si>
  <si>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</si>
  <si>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</si>
  <si>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ამწე მუხლუხა სვლაზე 10 ტ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</si>
  <si>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</si>
  <si>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</si>
  <si>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</si>
  <si>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</si>
  <si>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</si>
  <si>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</si>
  <si>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</si>
  <si>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</si>
  <si>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</si>
  <si>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</si>
  <si>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</si>
  <si>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</si>
  <si>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</si>
  <si>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</si>
  <si>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</si>
  <si>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</si>
  <si>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</si>
  <si>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</si>
  <si>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</si>
  <si>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</si>
  <si>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</si>
  <si>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</si>
  <si>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</si>
  <si>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</si>
  <si>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</si>
  <si>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</si>
  <si>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</si>
  <si>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</si>
  <si>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</si>
  <si>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</si>
  <si>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</si>
  <si>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</si>
  <si>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</si>
  <si>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</si>
  <si>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</si>
  <si>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</si>
  <si>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</si>
  <si>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</si>
  <si>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</si>
  <si>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</si>
  <si>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</si>
  <si>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</si>
  <si>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</si>
  <si>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</si>
  <si>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</si>
  <si>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</si>
  <si>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</si>
  <si>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</si>
  <si>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</si>
  <si>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</si>
  <si>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</si>
  <si>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</si>
  <si>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</si>
  <si>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</si>
  <si>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</si>
  <si>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</si>
  <si>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</si>
  <si>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</si>
  <si>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გრუნტის ტრანსპორტირება კარიერიდან 15 კმ მანძილზე</t>
  </si>
  <si>
    <t>1-22-14</t>
  </si>
  <si>
    <t xml:space="preserve">ხრეშოვანი გრუნტის დატვირთვა კარიერში ექსკავატორით ავტოთვითმცლელზე </t>
  </si>
  <si>
    <t>შემოტანილი გრუნტის მოსწორება ბულდოზერით</t>
  </si>
  <si>
    <t>1.16.2</t>
  </si>
  <si>
    <t>1.16.3</t>
  </si>
  <si>
    <t>1.17.1</t>
  </si>
  <si>
    <t>3-1</t>
  </si>
  <si>
    <t>3-2</t>
  </si>
  <si>
    <t>3-3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</si>
  <si>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</si>
  <si>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</si>
  <si>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</si>
  <si>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</si>
  <si>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</si>
  <si>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</si>
  <si>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</si>
  <si>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</si>
  <si>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</si>
  <si>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1.7.3</t>
  </si>
  <si>
    <t>1.7.4</t>
  </si>
  <si>
    <t>1.7.5</t>
  </si>
  <si>
    <t>1.7.6</t>
  </si>
  <si>
    <t>1.7.7</t>
  </si>
  <si>
    <t>1.11.2</t>
  </si>
  <si>
    <t>1.14.1</t>
  </si>
  <si>
    <t>1.6.3</t>
  </si>
  <si>
    <t>1.6.4</t>
  </si>
  <si>
    <t>1.6.5</t>
  </si>
  <si>
    <t>1.6.6</t>
  </si>
  <si>
    <t>1.6.7</t>
  </si>
  <si>
    <t>1.8.3</t>
  </si>
  <si>
    <t>1.8.4</t>
  </si>
  <si>
    <t>1.8.5</t>
  </si>
  <si>
    <t>1.9.3</t>
  </si>
  <si>
    <t>1.9.4</t>
  </si>
  <si>
    <t>1.9.5</t>
  </si>
  <si>
    <t>1.9.6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</si>
  <si>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</si>
  <si>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</si>
  <si>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</si>
  <si>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</si>
  <si>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</si>
  <si>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</si>
  <si>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</si>
  <si>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</si>
  <si>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1.2.7</t>
  </si>
  <si>
    <t>1.4.5</t>
  </si>
  <si>
    <t>1.4.6</t>
  </si>
  <si>
    <t>1.4.7</t>
  </si>
  <si>
    <t>1.9.7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</si>
  <si>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</si>
  <si>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</si>
  <si>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</si>
  <si>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</si>
  <si>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</si>
  <si>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</si>
  <si>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</si>
  <si>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</si>
  <si>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</si>
  <si>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</si>
  <si>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</si>
  <si>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</si>
  <si>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</si>
  <si>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</si>
  <si>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</si>
  <si>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</si>
  <si>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</si>
  <si>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რკინაბეტონის ანაკრები მილი d-1500 მმ L-1000 მმ</t>
  </si>
  <si>
    <t>1.8.6</t>
  </si>
  <si>
    <t>ერთ. ფასი</t>
  </si>
  <si>
    <t>სულ</t>
  </si>
  <si>
    <t>ქარხანა</t>
  </si>
  <si>
    <t>ქუთაისი</t>
  </si>
  <si>
    <t>1.10.5</t>
  </si>
  <si>
    <t>1.12.3</t>
  </si>
  <si>
    <t>1.12.4</t>
  </si>
  <si>
    <t>ბეტონი M200</t>
  </si>
  <si>
    <t>რ/ბ  სარტყელის  მოწყობა</t>
  </si>
  <si>
    <t>რ/ბ სარტყელის   მონტაჟი</t>
  </si>
  <si>
    <t>საფუძვლის ფენის მოწყობა ქვიშა-ცემენტის 5% ნარევით</t>
  </si>
  <si>
    <t>ცემენტი მ400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</si>
  <si>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</si>
  <si>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</si>
  <si>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</si>
  <si>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ქვიშა-ცემენტის 5% ნარევის მოყრა და ჩასოლვა ქვაფენილის ზედაპირზე</t>
  </si>
  <si>
    <t>ქვიშა შავი</t>
  </si>
  <si>
    <t xml:space="preserve">ქვესაგები ფენის მოწყობა ქვიშახრეშოვანი ნარევით </t>
  </si>
  <si>
    <t>1.10.6</t>
  </si>
  <si>
    <t>1.13.3</t>
  </si>
  <si>
    <t>1.13.4</t>
  </si>
  <si>
    <t>1.16.4</t>
  </si>
  <si>
    <t>1.17.2</t>
  </si>
  <si>
    <t>1.17.3</t>
  </si>
  <si>
    <t>1.18.1</t>
  </si>
  <si>
    <t>1.18.2</t>
  </si>
  <si>
    <t>1.19.1</t>
  </si>
  <si>
    <t>არსებული ღობის დემონტაჟი</t>
  </si>
  <si>
    <t>ავტოამწე საბურღი მოწყობილობით</t>
  </si>
  <si>
    <t>ამწე საავტომობილო სვლაზე 6,3ტ</t>
  </si>
  <si>
    <t>სხვა მანქამები</t>
  </si>
  <si>
    <t xml:space="preserve">მე-3 კატეგორიის გრუნტის ფენის დამუშავება ხელით </t>
  </si>
  <si>
    <t>1.9.8</t>
  </si>
  <si>
    <t>1.9.9</t>
  </si>
  <si>
    <t>ქვაყრილის მოყრა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</si>
  <si>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</si>
  <si>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</si>
  <si>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</si>
  <si>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 xml:space="preserve"> წასაცხები ჰიდროიზოლაციის მოწყობა, 2 ფენა</t>
  </si>
  <si>
    <t>1.14.3</t>
  </si>
  <si>
    <t>1.14.4</t>
  </si>
  <si>
    <t>1.14.5</t>
  </si>
  <si>
    <t>ღობის მოწყობის სამუშაოები</t>
  </si>
  <si>
    <t>დაბა მესტიაში მ.გვარლიანის ქუჩის სარეაბილიტაციო სამუშაოების ლოკალურ-რესურსული ხარჯთაღრიცხვა</t>
  </si>
  <si>
    <t>კგ</t>
  </si>
  <si>
    <t>მე-3 კატეგორიის გრუნტის ფენის დამუშავება ხელით ადგილზე მოსწორებით</t>
  </si>
  <si>
    <t xml:space="preserve">ქვიშა-ხრეშოვანი ქვესაგები ფენის მოწყობა სისქით </t>
  </si>
  <si>
    <t xml:space="preserve">ბეტონის საგების  მომზადება </t>
  </si>
  <si>
    <t>ბეტონის მილის მოწყობა</t>
  </si>
  <si>
    <t>1.16.5</t>
  </si>
  <si>
    <t>1.16.6</t>
  </si>
  <si>
    <t xml:space="preserve">წასაცხები ჰიდროიზოლაციის მოწყობა </t>
  </si>
  <si>
    <t>1.18.3</t>
  </si>
  <si>
    <t>1.18.4</t>
  </si>
  <si>
    <t>ასაკრავი ჰიდროიზოლაციის მოწყობა</t>
  </si>
  <si>
    <t>ჯუტის ქსოვილი</t>
  </si>
  <si>
    <t>ქვაბულის დარჩენილი სივრცის შევსება ქვიშა-ხრეშოვანი გრუნტით</t>
  </si>
  <si>
    <t>რკინაბეტონის ანაკრები პარაპეტის მოწყობა</t>
  </si>
  <si>
    <t>27-50-1</t>
  </si>
  <si>
    <t>ბეტონის სპეცპროფილის პარაპეტი</t>
  </si>
  <si>
    <t>სპეცპროფილის პარაპეტის შეღებვა პერქლორვინილიანი საღებავით</t>
  </si>
  <si>
    <t>15-156-4</t>
  </si>
  <si>
    <t>საღებავი პერქლორვინილიანი</t>
  </si>
  <si>
    <t xml:space="preserve">გამხსნელი სინთეტიკური </t>
  </si>
  <si>
    <t>კალაპოტის ფორმირება მექანიზმებით დატვირთვა ავტოთვითმცვლელზე</t>
  </si>
  <si>
    <t>კალაპოტის ფორმირება ხელით ადგილზე მოსწორებით</t>
  </si>
  <si>
    <t>1.7.8</t>
  </si>
  <si>
    <t>1.7.9</t>
  </si>
  <si>
    <t>1.13.5</t>
  </si>
  <si>
    <t>1.13.6</t>
  </si>
  <si>
    <t>1.13.7</t>
  </si>
  <si>
    <t>1.13.8</t>
  </si>
  <si>
    <t>1.13.9</t>
  </si>
  <si>
    <t>1.17.4</t>
  </si>
  <si>
    <t>1.17.5</t>
  </si>
  <si>
    <t>კედლის თავზე ღობის მოწყობა</t>
  </si>
  <si>
    <t>1.15.5</t>
  </si>
  <si>
    <t>ლითონის მილი d-40 მმ t=3 მმ</t>
  </si>
  <si>
    <t>1.15.6</t>
  </si>
  <si>
    <t>1.15.7</t>
  </si>
  <si>
    <t>მავთული 4მმ</t>
  </si>
  <si>
    <t>1.15.8</t>
  </si>
  <si>
    <t>ოლიფა</t>
  </si>
  <si>
    <t>საღებავი ზეთოვანი</t>
  </si>
  <si>
    <t>უჟანგავი გაბიონის ყუთების მოწყობა</t>
  </si>
  <si>
    <t>ЕНиР 61г №13-15 а1 а4009</t>
  </si>
  <si>
    <t>შესაკრავი მავთული</t>
  </si>
  <si>
    <t xml:space="preserve">უჟანგავი გაბიონის ყუთების შევსება ფლეთილი ქვით </t>
  </si>
  <si>
    <t>კედლის უკანა სივრცის შევსება ადგილობრივი ხრეშოვანი გრუნტით ხელით</t>
  </si>
  <si>
    <t>გაბიონის ყუთების მოწყობის სამუშაოები</t>
  </si>
  <si>
    <t>რ/ბ  ღარის  მოწყობა</t>
  </si>
  <si>
    <t>რ/ბ ღარის   მონტაჟი</t>
  </si>
  <si>
    <t>1.8.7</t>
  </si>
  <si>
    <t>საგზაო სამოსი</t>
  </si>
  <si>
    <t>წყალგამტარი მილების კვეთით 6.0x3.0 მ მოწყობის სამუშაოები</t>
  </si>
  <si>
    <t>პროექტის კოდი: GVAR-BoQ</t>
  </si>
  <si>
    <t xml:space="preserve">ფასთა კრებული: 2017 წლის მე-4 კვარტალი </t>
  </si>
  <si>
    <t>შესრულების თარიღი: 13/06/2018</t>
  </si>
  <si>
    <t>ვალუტა: ლარი ₾</t>
  </si>
  <si>
    <t>შესრულების თარიღი: 13/06/2019</t>
  </si>
  <si>
    <t xml:space="preserve">ფასთა კრებული: 2018 წლის II კვარტალი 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</si>
  <si>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</si>
  <si>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</si>
  <si>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</si>
  <si>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</si>
  <si>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</si>
  <si>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</si>
  <si>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</si>
  <si>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</si>
  <si>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</si>
  <si>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მ3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</si>
  <si>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</si>
  <si>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</si>
  <si>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</si>
  <si>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</si>
  <si>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</si>
  <si>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15-ტრ-3</t>
  </si>
  <si>
    <t>14-1-142</t>
  </si>
  <si>
    <t>15-ტრ15</t>
  </si>
  <si>
    <t>14-1-143</t>
  </si>
  <si>
    <t>ბულდოზერი 96 კვტ (130 ც.ძ.)</t>
  </si>
  <si>
    <t>მ2</t>
  </si>
  <si>
    <t>10 000 მ2</t>
  </si>
  <si>
    <t>14-1-200</t>
  </si>
  <si>
    <t>მ³</t>
  </si>
  <si>
    <t>100 მ³</t>
  </si>
  <si>
    <t>1-80-3</t>
  </si>
  <si>
    <t xml:space="preserve">მე-3 კატ. გრუნტის ფენის დამუშავება ხელით, სიღრმით 2 მ-მდე </t>
  </si>
  <si>
    <r>
      <rPr>
        <b/>
        <sz val="10"/>
        <color rgb="FFFF0000"/>
        <rFont val="Arial"/>
        <family val="2"/>
        <charset val="204"/>
      </rPr>
      <t>პ.3-107</t>
    </r>
    <r>
      <rPr>
        <sz val="10"/>
        <color theme="1"/>
        <rFont val="Arial"/>
        <family val="2"/>
        <charset val="204"/>
      </rPr>
      <t>, კ=1.2</t>
    </r>
  </si>
  <si>
    <t>100 მ3</t>
  </si>
  <si>
    <t>Е1-22/1-а</t>
  </si>
  <si>
    <t>ЕНиР</t>
  </si>
  <si>
    <t>В13-1-19/3-в</t>
  </si>
  <si>
    <t>გაბიონის საყრდენი კედლის მოწყობა კალათებით ზომით 2x1x1 მ</t>
  </si>
  <si>
    <t>ВНиР</t>
  </si>
  <si>
    <t>1-8-006</t>
  </si>
  <si>
    <t>გაბიონის კალათა უჯრედით 8x10სმ, ზომით 2x1x1 მ, მოთუთიებული მავთულის სისქე Ø2.7 მმ</t>
  </si>
  <si>
    <t>პროექტი</t>
  </si>
  <si>
    <t>1-8-028</t>
  </si>
  <si>
    <t>გაბიონის სამონტაჟო მავთული Ø2.2 მმ</t>
  </si>
  <si>
    <t>4-1-231</t>
  </si>
  <si>
    <t>ფლეთილი ქვა გაბნიონებისათვის</t>
  </si>
  <si>
    <t>В13-1-19/3-б</t>
  </si>
  <si>
    <t>გაბიონის საყრდენი კედლის მოწყობა კალათებით ზომით 1.5x1x1 მ</t>
  </si>
  <si>
    <t>1-8-005</t>
  </si>
  <si>
    <t>გაბიონის კალათა უჯრედით 8x10სმ, ზომით 1.5x1x1 მ, მოთუთიებული მავთულის სისქე Ø2.7 მმ</t>
  </si>
  <si>
    <t>27-50-9.</t>
  </si>
  <si>
    <t>ტ.ნ. პ. 2.6</t>
  </si>
  <si>
    <t>კ=0.6</t>
  </si>
  <si>
    <t>14-1-299</t>
  </si>
  <si>
    <t>14-1-043</t>
  </si>
  <si>
    <t>კ=0.7</t>
  </si>
  <si>
    <t>კ=0.5</t>
  </si>
  <si>
    <t>პ. 3.105</t>
  </si>
  <si>
    <t>კ=1.2</t>
  </si>
  <si>
    <t>8-3-2.</t>
  </si>
  <si>
    <t>1 მ3</t>
  </si>
  <si>
    <t>4-1-228</t>
  </si>
  <si>
    <t>6-1-1.</t>
  </si>
  <si>
    <t>4-1-339</t>
  </si>
  <si>
    <t>ბეტონი B 7.5</t>
  </si>
  <si>
    <t>6-11-7.</t>
  </si>
  <si>
    <r>
      <t xml:space="preserve">სხვა </t>
    </r>
    <r>
      <rPr>
        <b/>
        <strike/>
        <sz val="10"/>
        <color rgb="FFFF0000"/>
        <rFont val="Arial"/>
        <family val="2"/>
        <charset val="204"/>
      </rPr>
      <t>მასალები</t>
    </r>
    <r>
      <rPr>
        <sz val="10"/>
        <color theme="1"/>
        <rFont val="Arial"/>
        <family val="2"/>
        <charset val="204"/>
      </rPr>
      <t xml:space="preserve"> მანქანები</t>
    </r>
  </si>
  <si>
    <t>4-1-357</t>
  </si>
  <si>
    <t>1-1-010</t>
  </si>
  <si>
    <t>არმატურა A-I კლასი</t>
  </si>
  <si>
    <t>1-1-012</t>
  </si>
  <si>
    <t>5-1-132</t>
  </si>
  <si>
    <t>ფარი ყალიბის სისქით 18 მმ</t>
  </si>
  <si>
    <t>5-1-022</t>
  </si>
  <si>
    <r>
      <t xml:space="preserve">ფიცარი ჩამოგანილი სისქით </t>
    </r>
    <r>
      <rPr>
        <strike/>
        <sz val="10"/>
        <color rgb="FFFF0000"/>
        <rFont val="Arial"/>
        <family val="2"/>
        <charset val="204"/>
      </rPr>
      <t>25-32</t>
    </r>
    <r>
      <rPr>
        <sz val="10"/>
        <color theme="1"/>
        <rFont val="Arial"/>
        <family val="2"/>
        <charset val="204"/>
      </rPr>
      <t xml:space="preserve">  40-60 მმ, III ხარისხის</t>
    </r>
  </si>
  <si>
    <t>1.9.10</t>
  </si>
  <si>
    <t>1-10-014</t>
  </si>
  <si>
    <t>ელექტროდი შედუღების</t>
  </si>
  <si>
    <t>1.9.11</t>
  </si>
  <si>
    <t>1-10-017</t>
  </si>
  <si>
    <t>სამშენებლო ჭანჭიკი</t>
  </si>
  <si>
    <t>1.9.12</t>
  </si>
  <si>
    <t>27-5-3.</t>
  </si>
  <si>
    <t>2-11-111</t>
  </si>
  <si>
    <t>გოფრირებული მილი სადრენაჟო Ø100 მმ</t>
  </si>
  <si>
    <t>1-31-6; -16</t>
  </si>
  <si>
    <t>4-1-232</t>
  </si>
  <si>
    <t>8-4-8.</t>
  </si>
  <si>
    <t>4-1-216</t>
  </si>
  <si>
    <t>8-4-7.</t>
  </si>
  <si>
    <t>100 მ2</t>
  </si>
  <si>
    <t>4-1-539</t>
  </si>
  <si>
    <t>მასტიკა ბიტუმ-ზეთოვანი</t>
  </si>
  <si>
    <t>7-21-8.</t>
  </si>
  <si>
    <t>2-1-001</t>
  </si>
  <si>
    <t>1-9-017</t>
  </si>
  <si>
    <t>მავთულბადე სიმაღლით 1.5 მ, უჯრედის ზომით 65x65 მმ, ავთულის სისქე Ø.8 მმ</t>
  </si>
  <si>
    <t>1-9-068</t>
  </si>
  <si>
    <t>ნაკეთობა სამონტაჟი</t>
  </si>
  <si>
    <t>1.15.9</t>
  </si>
  <si>
    <t>15-164-8</t>
  </si>
  <si>
    <t>4-2-016</t>
  </si>
  <si>
    <t>4-2-026</t>
  </si>
  <si>
    <t>27-7-2.</t>
  </si>
  <si>
    <t>14-1-222</t>
  </si>
  <si>
    <t>14-1-228</t>
  </si>
  <si>
    <t>6-15-9.</t>
  </si>
  <si>
    <t>4-1-355</t>
  </si>
  <si>
    <t>27-19-2.</t>
  </si>
  <si>
    <t>4-1-226</t>
  </si>
  <si>
    <t>4-1-177</t>
  </si>
  <si>
    <t>27-20-3.</t>
  </si>
  <si>
    <t>1000 მ2</t>
  </si>
  <si>
    <t>4-1-071</t>
  </si>
  <si>
    <t>ბეტონის ქვაფენილი 20x10x5.5 სმ</t>
  </si>
  <si>
    <t>4-1-378</t>
  </si>
  <si>
    <t>ქვიშა</t>
  </si>
  <si>
    <t>1.2.8</t>
  </si>
  <si>
    <t>1.2.9</t>
  </si>
  <si>
    <t>1.4.8</t>
  </si>
  <si>
    <t>1.4.9</t>
  </si>
  <si>
    <t>4-1-341</t>
  </si>
  <si>
    <t>6-26-4.</t>
  </si>
  <si>
    <t xml:space="preserve">სხვა მანქანები </t>
  </si>
  <si>
    <t>არმატურა A-III</t>
  </si>
  <si>
    <t>1-10-012</t>
  </si>
  <si>
    <t>5-1-019</t>
  </si>
  <si>
    <t>5-1-138</t>
  </si>
  <si>
    <t>ფარი ფიცრის ყალიბის</t>
  </si>
  <si>
    <t>1.7.10</t>
  </si>
  <si>
    <t>1.7.11</t>
  </si>
  <si>
    <t>საბაზრო</t>
  </si>
  <si>
    <t>სადეფორმაციო ნაკერების მოწყობა პენოპლასტით</t>
  </si>
  <si>
    <t>პენოპლასტი 3 სმ</t>
  </si>
  <si>
    <t>4-1-493</t>
  </si>
  <si>
    <t>ГЭСН</t>
  </si>
  <si>
    <t>14-1-340</t>
  </si>
  <si>
    <t>ავტომობილი ბორტიანი 5 ტ-მდე</t>
  </si>
  <si>
    <t>12-01-002-10</t>
  </si>
  <si>
    <t>ბუტან-პროპანი ტექნიკური ნარევი</t>
  </si>
  <si>
    <t>4-1-400</t>
  </si>
  <si>
    <t>ლინოკრომი (ТПК)</t>
  </si>
  <si>
    <t>1.10.7</t>
  </si>
  <si>
    <t>1.10.8</t>
  </si>
  <si>
    <t>1.10.9</t>
  </si>
  <si>
    <t>1.11.3</t>
  </si>
  <si>
    <t>1.11.4</t>
  </si>
  <si>
    <r>
      <rPr>
        <b/>
        <sz val="10"/>
        <color rgb="FFFF0000"/>
        <rFont val="Arial"/>
        <family val="2"/>
        <charset val="204"/>
      </rPr>
      <t>რკ.-</t>
    </r>
    <r>
      <rPr>
        <sz val="10"/>
        <color theme="1"/>
        <rFont val="Arial"/>
        <family val="2"/>
        <charset val="204"/>
      </rPr>
      <t>ბეტონის სათავისის მოწყობა</t>
    </r>
  </si>
  <si>
    <t>1.13.10</t>
  </si>
  <si>
    <t>1.13.11</t>
  </si>
  <si>
    <t>1.13.12</t>
  </si>
  <si>
    <t>ამწე საავტომობილო სვლაზე 6.3 ტ</t>
  </si>
  <si>
    <r>
      <t xml:space="preserve">ავტოამწე საბურღი </t>
    </r>
    <r>
      <rPr>
        <b/>
        <sz val="10"/>
        <color rgb="FF00B050"/>
        <rFont val="Arial"/>
        <family val="2"/>
        <charset val="204"/>
      </rPr>
      <t>მოწყობილობით</t>
    </r>
  </si>
  <si>
    <t>4-1-173</t>
  </si>
  <si>
    <t xml:space="preserve">                                                                                                                                                                                                      </t>
  </si>
  <si>
    <t>1.17.6</t>
  </si>
  <si>
    <t>1.17.7</t>
  </si>
  <si>
    <t>4-1-087</t>
  </si>
  <si>
    <t>4-2-105</t>
  </si>
  <si>
    <t>საფითხნი პერქლორვინილის</t>
  </si>
  <si>
    <t>გრუნტი პერქლორვინილიანი</t>
  </si>
  <si>
    <r>
      <t xml:space="preserve">1-29-6 </t>
    </r>
    <r>
      <rPr>
        <b/>
        <strike/>
        <sz val="10"/>
        <rFont val="Arial"/>
        <family val="2"/>
        <charset val="204"/>
      </rPr>
      <t xml:space="preserve"> -10</t>
    </r>
  </si>
  <si>
    <r>
      <rPr>
        <b/>
        <sz val="10"/>
        <rFont val="Arial"/>
        <family val="2"/>
        <charset val="204"/>
      </rPr>
      <t>პ.3-107</t>
    </r>
    <r>
      <rPr>
        <sz val="10"/>
        <rFont val="Arial"/>
        <family val="2"/>
        <charset val="204"/>
      </rPr>
      <t>, კ=1.2</t>
    </r>
  </si>
  <si>
    <r>
      <t xml:space="preserve">სხვა </t>
    </r>
    <r>
      <rPr>
        <b/>
        <strike/>
        <sz val="10"/>
        <rFont val="Arial"/>
        <family val="2"/>
        <charset val="204"/>
      </rPr>
      <t>მასალები</t>
    </r>
    <r>
      <rPr>
        <sz val="10"/>
        <rFont val="Arial"/>
        <family val="2"/>
        <charset val="204"/>
      </rPr>
      <t xml:space="preserve"> მანქანები</t>
    </r>
  </si>
  <si>
    <r>
      <t xml:space="preserve">ფიცარი ჩამოგანილი სისქით </t>
    </r>
    <r>
      <rPr>
        <strike/>
        <sz val="10"/>
        <rFont val="Arial"/>
        <family val="2"/>
        <charset val="204"/>
      </rPr>
      <t>25-32</t>
    </r>
    <r>
      <rPr>
        <sz val="10"/>
        <rFont val="Arial"/>
        <family val="2"/>
        <charset val="204"/>
      </rPr>
      <t xml:space="preserve">  40-60 მმ, III ხარისხის</t>
    </r>
  </si>
  <si>
    <r>
      <t xml:space="preserve">რ/ბ </t>
    </r>
    <r>
      <rPr>
        <b/>
        <sz val="10"/>
        <rFont val="Arial"/>
        <family val="2"/>
        <charset val="204"/>
      </rPr>
      <t>საყრდენი</t>
    </r>
    <r>
      <rPr>
        <sz val="10"/>
        <rFont val="Arial"/>
        <family val="2"/>
        <charset val="204"/>
      </rPr>
      <t xml:space="preserve"> კედლის მოწყობა</t>
    </r>
  </si>
  <si>
    <r>
      <t xml:space="preserve">პოლიეთილენის </t>
    </r>
    <r>
      <rPr>
        <b/>
        <sz val="10"/>
        <rFont val="Arial"/>
        <family val="2"/>
        <charset val="204"/>
      </rPr>
      <t>სადრენაჟე</t>
    </r>
    <r>
      <rPr>
        <sz val="10"/>
        <rFont val="Arial"/>
        <family val="2"/>
        <charset val="204"/>
      </rPr>
      <t xml:space="preserve"> მილის მონტაჟი</t>
    </r>
  </si>
  <si>
    <r>
      <t xml:space="preserve">ღობის </t>
    </r>
    <r>
      <rPr>
        <b/>
        <sz val="10"/>
        <rFont val="Arial"/>
        <family val="2"/>
        <charset val="204"/>
      </rPr>
      <t xml:space="preserve">ბოძების </t>
    </r>
    <r>
      <rPr>
        <sz val="10"/>
        <rFont val="Arial"/>
        <family val="2"/>
        <charset val="204"/>
      </rPr>
      <t>შეღებვა</t>
    </r>
  </si>
  <si>
    <r>
      <t>1-81</t>
    </r>
    <r>
      <rPr>
        <strike/>
        <sz val="10"/>
        <rFont val="Arial"/>
        <family val="2"/>
        <charset val="204"/>
      </rPr>
      <t>-3</t>
    </r>
    <r>
      <rPr>
        <b/>
        <sz val="10"/>
        <rFont val="Arial"/>
        <family val="2"/>
        <charset val="204"/>
      </rPr>
      <t>-2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</si>
</sst>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trike/>
      <sz val="10"/>
      <color theme="1"/>
      <name val="Arial"/>
      <family val="2"/>
      <charset val="204"/>
    </font>
    <font>
      <strike/>
      <sz val="10"/>
      <color rgb="FFFF0000"/>
      <name val="Arial"/>
      <family val="2"/>
      <charset val="204"/>
    </font>
    <font>
      <strike/>
      <sz val="1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14" fillId="0" borderId="0"/>
    <xf numFmtId="0" fontId="15" fillId="0" borderId="0"/>
    <xf numFmtId="43" fontId="12" fillId="0" borderId="0" applyFont="0" applyFill="0" applyBorder="0" applyAlignment="0" applyProtection="0"/>
    <xf numFmtId="0" fontId="16" fillId="0" borderId="0"/>
    <xf numFmtId="0" fontId="17" fillId="0" borderId="0"/>
    <xf numFmtId="164" fontId="12" fillId="0" borderId="0" applyFont="0" applyFill="0" applyBorder="0" applyAlignment="0" applyProtection="0"/>
    <xf numFmtId="0" fontId="17" fillId="0" borderId="0"/>
    <xf numFmtId="0" fontId="15" fillId="0" borderId="0"/>
  </cellStyleXfs>
  <cellXfs count="237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9" fontId="8" fillId="0" borderId="1" xfId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Border="1"/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0" fillId="0" borderId="0" xfId="0" applyNumberFormat="1" applyFill="1"/>
    <xf numFmtId="9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4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inden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9" fontId="6" fillId="4" borderId="1" xfId="1" applyNumberFormat="1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Border="1"/>
    <xf numFmtId="0" fontId="6" fillId="3" borderId="0" xfId="0" applyFont="1" applyFill="1"/>
    <xf numFmtId="0" fontId="6" fillId="2" borderId="0" xfId="0" applyFont="1" applyFill="1"/>
    <xf numFmtId="0" fontId="19" fillId="0" borderId="1" xfId="7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1" xfId="8" applyNumberFormat="1" applyFont="1" applyFill="1" applyBorder="1" applyAlignment="1" applyProtection="1">
      <alignment horizontal="center" vertical="center"/>
    </xf>
    <xf numFmtId="166" fontId="15" fillId="0" borderId="1" xfId="9" applyNumberFormat="1" applyFont="1" applyFill="1" applyBorder="1" applyAlignment="1">
      <alignment horizontal="center" vertical="center"/>
    </xf>
    <xf numFmtId="0" fontId="5" fillId="0" borderId="0" xfId="0" applyFont="1"/>
    <xf numFmtId="0" fontId="5" fillId="3" borderId="0" xfId="0" applyFont="1" applyFill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3" borderId="0" xfId="0" applyFont="1" applyFill="1"/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Border="1"/>
    <xf numFmtId="1" fontId="1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6" fontId="15" fillId="0" borderId="1" xfId="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indent="1"/>
    </xf>
    <xf numFmtId="49" fontId="19" fillId="0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0" fontId="15" fillId="0" borderId="0" xfId="0" applyFont="1" applyFill="1"/>
    <xf numFmtId="2" fontId="15" fillId="0" borderId="0" xfId="0" applyNumberFormat="1" applyFont="1" applyFill="1"/>
    <xf numFmtId="0" fontId="19" fillId="0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 wrapText="1"/>
    </xf>
    <xf numFmtId="4" fontId="15" fillId="0" borderId="1" xfId="2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6" fontId="15" fillId="0" borderId="1" xfId="2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 wrapText="1"/>
    </xf>
    <xf numFmtId="4" fontId="25" fillId="0" borderId="1" xfId="2" applyNumberFormat="1" applyFont="1" applyFill="1" applyBorder="1" applyAlignment="1">
      <alignment horizontal="center" vertical="center"/>
    </xf>
    <xf numFmtId="4" fontId="25" fillId="0" borderId="1" xfId="3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2" fontId="15" fillId="0" borderId="1" xfId="0" applyNumberFormat="1" applyFont="1" applyFill="1" applyBorder="1"/>
    <xf numFmtId="0" fontId="15" fillId="0" borderId="1" xfId="0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0df0e3fdb395e79/Projects/Absolute%20Service/1.%20&#4307;&#4304;&#4305;&#4304;%20&#4315;&#4308;&#4321;&#4322;&#4312;&#4304;/BoQ/&#4305;.&#4334;&#4308;&#4320;&#4306;&#4312;&#4304;&#4316;&#4312;&#4321;%20&#4325;&#4323;&#4329;&#4304;-Bo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4-1"/>
      <sheetName val="სატენდერო კრებსითი"/>
      <sheetName val="სატენდერო"/>
      <sheetName val="ტრანსპორტირებ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J71">
            <v>27</v>
          </cell>
          <cell r="K71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6"/>
  <sheetViews>
    <sheetView view="pageBreakPreview" topLeftCell="A13" zoomScaleNormal="55" zoomScaleSheetLayoutView="100" workbookViewId="0">
      <selection activeCell="M16" sqref="M16"/>
    </sheetView>
  </sheetViews>
  <sheetFormatPr defaultRowHeight="12.75"/>
  <cols>
    <col min="1" max="1" width="4.85546875" style="48" customWidth="1"/>
    <col min="2" max="2" width="69" style="48" bestFit="1" customWidth="1"/>
    <col min="3" max="3" width="5.28515625" style="48" bestFit="1" customWidth="1"/>
    <col min="4" max="4" width="24.28515625" style="48" customWidth="1"/>
    <col min="5" max="5" width="20.85546875" style="48" customWidth="1"/>
    <col min="6" max="6" width="21.140625" style="48" customWidth="1"/>
    <col min="7" max="7" width="21.28515625" style="48" customWidth="1"/>
    <col min="8" max="10" width="20.7109375" style="51" customWidth="1"/>
    <col min="11" max="16384" width="9.140625" style="51"/>
  </cols>
  <sheetData>
    <row r="1" spans="1:7">
      <c r="A1" s="50"/>
      <c r="B1" s="50" t="s">
        <v>347</v>
      </c>
      <c r="C1" s="50"/>
      <c r="D1" s="50"/>
      <c r="E1" s="50"/>
      <c r="F1" s="50" t="s">
        <v>17</v>
      </c>
      <c r="G1" s="50"/>
    </row>
    <row r="2" spans="1:7">
      <c r="A2" s="50"/>
      <c r="B2" s="50" t="s">
        <v>352</v>
      </c>
      <c r="C2" s="50"/>
      <c r="D2" s="50"/>
      <c r="E2" s="50"/>
      <c r="F2" s="50" t="s">
        <v>18</v>
      </c>
      <c r="G2" s="50"/>
    </row>
    <row r="3" spans="1:7">
      <c r="A3" s="50"/>
      <c r="B3" s="50" t="s">
        <v>349</v>
      </c>
      <c r="C3" s="50"/>
      <c r="D3" s="50"/>
      <c r="E3" s="50"/>
      <c r="F3" s="50" t="s">
        <v>58</v>
      </c>
      <c r="G3" s="50" t="s">
        <v>20</v>
      </c>
    </row>
    <row r="4" spans="1:7">
      <c r="A4" s="50"/>
      <c r="B4" s="50" t="s">
        <v>350</v>
      </c>
      <c r="C4" s="50"/>
      <c r="D4" s="50"/>
      <c r="E4" s="50"/>
      <c r="F4" s="50" t="s">
        <v>19</v>
      </c>
      <c r="G4" s="50"/>
    </row>
    <row r="5" spans="1:7">
      <c r="A5" s="50"/>
      <c r="B5" s="50"/>
      <c r="C5" s="50"/>
      <c r="D5" s="50"/>
      <c r="E5" s="50"/>
      <c r="F5" s="50"/>
      <c r="G5" s="50"/>
    </row>
    <row r="6" spans="1:7" s="50" customFormat="1">
      <c r="A6" s="203" t="s">
        <v>48</v>
      </c>
      <c r="B6" s="203"/>
      <c r="C6" s="203"/>
      <c r="D6" s="203"/>
      <c r="E6" s="203"/>
      <c r="F6" s="203"/>
      <c r="G6" s="203"/>
    </row>
    <row r="7" spans="1:7" s="48" customFormat="1">
      <c r="A7" s="57"/>
      <c r="B7" s="58"/>
      <c r="C7" s="58"/>
      <c r="D7" s="58"/>
      <c r="E7" s="58"/>
      <c r="F7" s="58"/>
      <c r="G7" s="58"/>
    </row>
    <row r="8" spans="1:7" s="48" customFormat="1">
      <c r="A8" s="204" t="s">
        <v>2</v>
      </c>
      <c r="B8" s="204" t="s">
        <v>3</v>
      </c>
      <c r="C8" s="204" t="s">
        <v>12</v>
      </c>
      <c r="D8" s="205" t="s">
        <v>49</v>
      </c>
      <c r="E8" s="205" t="s">
        <v>50</v>
      </c>
      <c r="F8" s="205" t="s">
        <v>51</v>
      </c>
      <c r="G8" s="205" t="s">
        <v>52</v>
      </c>
    </row>
    <row r="9" spans="1:7" s="48" customFormat="1">
      <c r="A9" s="204"/>
      <c r="B9" s="204"/>
      <c r="C9" s="204"/>
      <c r="D9" s="205"/>
      <c r="E9" s="205"/>
      <c r="F9" s="205"/>
      <c r="G9" s="205"/>
    </row>
    <row r="10" spans="1:7" s="48" customForma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</row>
    <row r="11" spans="1:7" s="48" customFormat="1">
      <c r="A11" s="47"/>
      <c r="B11" s="44" t="s">
        <v>53</v>
      </c>
      <c r="C11" s="47"/>
      <c r="D11" s="54"/>
      <c r="E11" s="54"/>
      <c r="F11" s="54"/>
      <c r="G11" s="54"/>
    </row>
    <row r="12" spans="1:7" s="48" customFormat="1">
      <c r="A12" s="52" t="s">
        <v>146</v>
      </c>
      <c r="B12" s="53" t="s">
        <v>32</v>
      </c>
      <c r="C12" s="44"/>
      <c r="D12" s="55">
        <f>'1-1'!H19</f>
        <v>0</v>
      </c>
      <c r="E12" s="55">
        <f>'1-1'!J19</f>
        <v>0</v>
      </c>
      <c r="F12" s="55">
        <f>'1-1'!L19</f>
        <v>0</v>
      </c>
      <c r="G12" s="69">
        <f>SUM(D12:F12)</f>
        <v>0</v>
      </c>
    </row>
    <row r="13" spans="1:7" s="48" customFormat="1">
      <c r="A13" s="47"/>
      <c r="B13" s="44" t="s">
        <v>54</v>
      </c>
      <c r="C13" s="47"/>
      <c r="D13" s="54"/>
      <c r="E13" s="54"/>
      <c r="F13" s="54"/>
      <c r="G13" s="54"/>
    </row>
    <row r="14" spans="1:7" s="48" customFormat="1">
      <c r="A14" s="52" t="s">
        <v>159</v>
      </c>
      <c r="B14" s="53" t="s">
        <v>57</v>
      </c>
      <c r="C14" s="44"/>
      <c r="D14" s="55">
        <f>'2-1'!H43</f>
        <v>0</v>
      </c>
      <c r="E14" s="55">
        <f>'2-1'!J43</f>
        <v>0</v>
      </c>
      <c r="F14" s="55">
        <f>'2-1'!L43</f>
        <v>0</v>
      </c>
      <c r="G14" s="69">
        <f>SUM(D14:F14)</f>
        <v>0</v>
      </c>
    </row>
    <row r="15" spans="1:7" s="48" customFormat="1">
      <c r="A15" s="47"/>
      <c r="B15" s="44" t="s">
        <v>55</v>
      </c>
      <c r="C15" s="47"/>
      <c r="D15" s="54"/>
      <c r="E15" s="54"/>
      <c r="F15" s="54"/>
      <c r="G15" s="54"/>
    </row>
    <row r="16" spans="1:7" s="48" customFormat="1">
      <c r="A16" s="52" t="s">
        <v>189</v>
      </c>
      <c r="B16" s="53" t="s">
        <v>346</v>
      </c>
      <c r="C16" s="44"/>
      <c r="D16" s="55">
        <f>'3-1'!H156</f>
        <v>0</v>
      </c>
      <c r="E16" s="55">
        <f>'3-1'!J156</f>
        <v>0</v>
      </c>
      <c r="F16" s="55">
        <f>'3-1'!L156</f>
        <v>0</v>
      </c>
      <c r="G16" s="69">
        <f t="shared" ref="G16:G18" si="0">SUM(D16:F16)</f>
        <v>0</v>
      </c>
    </row>
    <row r="17" spans="1:7" s="48" customFormat="1">
      <c r="A17" s="52" t="s">
        <v>190</v>
      </c>
      <c r="B17" s="53" t="s">
        <v>294</v>
      </c>
      <c r="C17" s="44"/>
      <c r="D17" s="55">
        <f>'3-2'!H125</f>
        <v>0</v>
      </c>
      <c r="E17" s="55">
        <f>'3-2'!J125</f>
        <v>0</v>
      </c>
      <c r="F17" s="55">
        <f>'3-2'!L125</f>
        <v>0</v>
      </c>
      <c r="G17" s="69">
        <f t="shared" si="0"/>
        <v>0</v>
      </c>
    </row>
    <row r="18" spans="1:7" s="48" customFormat="1">
      <c r="A18" s="52" t="s">
        <v>191</v>
      </c>
      <c r="B18" s="53" t="s">
        <v>341</v>
      </c>
      <c r="C18" s="44"/>
      <c r="D18" s="55">
        <f>'3-3'!H60</f>
        <v>0</v>
      </c>
      <c r="E18" s="55">
        <f>'3-3'!J60</f>
        <v>0</v>
      </c>
      <c r="F18" s="55">
        <f>'3-3'!L60</f>
        <v>0</v>
      </c>
      <c r="G18" s="69">
        <f t="shared" si="0"/>
        <v>0</v>
      </c>
    </row>
    <row r="19" spans="1:7" s="48" customFormat="1">
      <c r="A19" s="47"/>
      <c r="B19" s="44" t="s">
        <v>56</v>
      </c>
      <c r="C19" s="47"/>
      <c r="D19" s="54"/>
      <c r="E19" s="54"/>
      <c r="F19" s="54"/>
      <c r="G19" s="54"/>
    </row>
    <row r="20" spans="1:7" s="48" customFormat="1">
      <c r="A20" s="45" t="s">
        <v>173</v>
      </c>
      <c r="B20" s="53" t="s">
        <v>345</v>
      </c>
      <c r="C20" s="46"/>
      <c r="D20" s="56">
        <f>'4-1'!H83</f>
        <v>0</v>
      </c>
      <c r="E20" s="56">
        <f>'4-1'!J83</f>
        <v>0</v>
      </c>
      <c r="F20" s="56">
        <f>'4-1'!L83</f>
        <v>0</v>
      </c>
      <c r="G20" s="69">
        <f>SUM(D20:F20)</f>
        <v>0</v>
      </c>
    </row>
    <row r="21" spans="1:7" s="48" customFormat="1">
      <c r="A21" s="45"/>
      <c r="B21" s="53"/>
      <c r="C21" s="46"/>
      <c r="D21" s="56"/>
      <c r="E21" s="56"/>
      <c r="F21" s="56"/>
      <c r="G21" s="56"/>
    </row>
    <row r="22" spans="1:7" s="70" customFormat="1">
      <c r="A22" s="44"/>
      <c r="B22" s="46" t="s">
        <v>4</v>
      </c>
      <c r="C22" s="44"/>
      <c r="D22" s="55"/>
      <c r="E22" s="55"/>
      <c r="F22" s="55"/>
      <c r="G22" s="55">
        <f>ROUND(G12+G14+G20+G16+G17+G18,2)</f>
        <v>0</v>
      </c>
    </row>
    <row r="23" spans="1:7" s="48" customFormat="1">
      <c r="A23" s="59"/>
      <c r="B23" s="60"/>
      <c r="C23" s="61"/>
      <c r="D23" s="62"/>
      <c r="E23" s="62"/>
      <c r="F23" s="62"/>
      <c r="G23" s="62"/>
    </row>
    <row r="24" spans="1:7" s="48" customFormat="1">
      <c r="A24" s="59"/>
      <c r="B24" s="60" t="s">
        <v>10</v>
      </c>
      <c r="C24" s="61">
        <v>0.1</v>
      </c>
      <c r="D24" s="62"/>
      <c r="E24" s="62"/>
      <c r="F24" s="62"/>
      <c r="G24" s="62">
        <f>G22*C24</f>
        <v>0</v>
      </c>
    </row>
    <row r="25" spans="1:7" s="48" customFormat="1">
      <c r="A25" s="59"/>
      <c r="B25" s="63" t="s">
        <v>4</v>
      </c>
      <c r="C25" s="61"/>
      <c r="D25" s="62"/>
      <c r="E25" s="62"/>
      <c r="F25" s="62"/>
      <c r="G25" s="62">
        <f>SUM(G22:G24)</f>
        <v>0</v>
      </c>
    </row>
    <row r="26" spans="1:7" s="48" customFormat="1">
      <c r="A26" s="59"/>
      <c r="B26" s="60" t="s">
        <v>11</v>
      </c>
      <c r="C26" s="61">
        <v>0.08</v>
      </c>
      <c r="D26" s="62"/>
      <c r="E26" s="62"/>
      <c r="F26" s="62"/>
      <c r="G26" s="62">
        <f>G25*C26</f>
        <v>0</v>
      </c>
    </row>
    <row r="27" spans="1:7">
      <c r="A27" s="64"/>
      <c r="B27" s="63" t="s">
        <v>4</v>
      </c>
      <c r="C27" s="61"/>
      <c r="D27" s="62"/>
      <c r="E27" s="62"/>
      <c r="F27" s="62"/>
      <c r="G27" s="62">
        <f>SUM(G25:G26)</f>
        <v>0</v>
      </c>
    </row>
    <row r="28" spans="1:7">
      <c r="A28" s="65"/>
      <c r="B28" s="60" t="s">
        <v>26</v>
      </c>
      <c r="C28" s="66">
        <v>0.05</v>
      </c>
      <c r="D28" s="62"/>
      <c r="E28" s="62"/>
      <c r="F28" s="62"/>
      <c r="G28" s="62">
        <f>G27*C28</f>
        <v>0</v>
      </c>
    </row>
    <row r="29" spans="1:7">
      <c r="A29" s="65"/>
      <c r="B29" s="63" t="s">
        <v>4</v>
      </c>
      <c r="C29" s="61"/>
      <c r="D29" s="62"/>
      <c r="E29" s="62"/>
      <c r="F29" s="62"/>
      <c r="G29" s="62">
        <f>SUM(G27:G28)</f>
        <v>0</v>
      </c>
    </row>
    <row r="30" spans="1:7">
      <c r="A30" s="65"/>
      <c r="B30" s="60" t="s">
        <v>27</v>
      </c>
      <c r="C30" s="66">
        <v>0.18</v>
      </c>
      <c r="D30" s="62"/>
      <c r="E30" s="62"/>
      <c r="F30" s="62"/>
      <c r="G30" s="62">
        <f>G29*C30</f>
        <v>0</v>
      </c>
    </row>
    <row r="31" spans="1:7">
      <c r="A31" s="65"/>
      <c r="B31" s="60"/>
      <c r="C31" s="67"/>
      <c r="D31" s="62"/>
      <c r="E31" s="62"/>
      <c r="F31" s="62"/>
      <c r="G31" s="62"/>
    </row>
    <row r="32" spans="1:7">
      <c r="A32" s="68"/>
      <c r="B32" s="68" t="s">
        <v>4</v>
      </c>
      <c r="C32" s="68"/>
      <c r="D32" s="69"/>
      <c r="E32" s="69"/>
      <c r="F32" s="69"/>
      <c r="G32" s="69">
        <f>SUM(G29:G31)</f>
        <v>0</v>
      </c>
    </row>
    <row r="33" spans="3:7">
      <c r="C33" s="49"/>
      <c r="D33" s="49"/>
      <c r="E33" s="49"/>
      <c r="F33" s="49"/>
      <c r="G33" s="49"/>
    </row>
    <row r="34" spans="3:7">
      <c r="C34" s="49"/>
      <c r="D34" s="49"/>
      <c r="E34" s="49"/>
      <c r="F34" s="49"/>
      <c r="G34" s="49"/>
    </row>
    <row r="35" spans="3:7">
      <c r="C35" s="49"/>
      <c r="D35" s="49"/>
      <c r="E35" s="49"/>
      <c r="F35" s="49"/>
      <c r="G35" s="49"/>
    </row>
    <row r="36" spans="3:7">
      <c r="C36" s="49"/>
      <c r="D36" s="49"/>
      <c r="E36" s="49"/>
      <c r="F36" s="49"/>
      <c r="G36" s="49"/>
    </row>
    <row r="37" spans="3:7">
      <c r="C37" s="49"/>
      <c r="D37" s="49"/>
      <c r="E37" s="49"/>
      <c r="F37" s="49"/>
      <c r="G37" s="49"/>
    </row>
    <row r="38" spans="3:7">
      <c r="C38" s="49"/>
      <c r="D38" s="49"/>
      <c r="E38" s="49"/>
      <c r="F38" s="49"/>
      <c r="G38" s="49"/>
    </row>
    <row r="39" spans="3:7">
      <c r="C39" s="49"/>
      <c r="D39" s="49"/>
      <c r="E39" s="49"/>
      <c r="F39" s="49"/>
      <c r="G39" s="49"/>
    </row>
    <row r="40" spans="3:7">
      <c r="C40" s="49"/>
      <c r="D40" s="49"/>
      <c r="E40" s="49"/>
      <c r="F40" s="49"/>
      <c r="G40" s="49"/>
    </row>
    <row r="41" spans="3:7">
      <c r="C41" s="49"/>
      <c r="D41" s="49"/>
      <c r="E41" s="49"/>
      <c r="F41" s="49"/>
      <c r="G41" s="49"/>
    </row>
    <row r="42" spans="3:7">
      <c r="C42" s="49"/>
      <c r="D42" s="49"/>
      <c r="E42" s="49"/>
      <c r="F42" s="49"/>
      <c r="G42" s="49"/>
    </row>
    <row r="43" spans="3:7">
      <c r="C43" s="49"/>
      <c r="D43" s="49"/>
      <c r="E43" s="49"/>
      <c r="F43" s="49"/>
      <c r="G43" s="49"/>
    </row>
    <row r="44" spans="3:7">
      <c r="C44" s="49"/>
      <c r="D44" s="49"/>
      <c r="E44" s="49"/>
      <c r="F44" s="49"/>
      <c r="G44" s="49"/>
    </row>
    <row r="45" spans="3:7">
      <c r="C45" s="49"/>
      <c r="D45" s="49"/>
      <c r="E45" s="49"/>
      <c r="F45" s="49"/>
      <c r="G45" s="49"/>
    </row>
    <row r="46" spans="3:7">
      <c r="C46" s="49"/>
      <c r="D46" s="49"/>
      <c r="E46" s="49"/>
      <c r="F46" s="49"/>
      <c r="G46" s="49"/>
    </row>
    <row r="47" spans="3:7">
      <c r="C47" s="49"/>
      <c r="D47" s="49"/>
      <c r="E47" s="49"/>
      <c r="F47" s="49"/>
      <c r="G47" s="49"/>
    </row>
    <row r="48" spans="3:7">
      <c r="C48" s="49"/>
      <c r="D48" s="49"/>
      <c r="E48" s="49"/>
      <c r="F48" s="49"/>
      <c r="G48" s="49"/>
    </row>
    <row r="49" spans="3:7">
      <c r="C49" s="49"/>
      <c r="D49" s="49"/>
      <c r="E49" s="49"/>
      <c r="F49" s="49"/>
      <c r="G49" s="49"/>
    </row>
    <row r="50" spans="3:7">
      <c r="C50" s="49"/>
      <c r="D50" s="49"/>
      <c r="E50" s="49"/>
      <c r="F50" s="49"/>
      <c r="G50" s="49"/>
    </row>
    <row r="51" spans="3:7">
      <c r="C51" s="49"/>
      <c r="D51" s="49"/>
      <c r="E51" s="49"/>
      <c r="F51" s="49"/>
      <c r="G51" s="49"/>
    </row>
    <row r="52" spans="3:7">
      <c r="C52" s="49"/>
      <c r="D52" s="49"/>
      <c r="E52" s="49"/>
      <c r="F52" s="49"/>
      <c r="G52" s="49"/>
    </row>
    <row r="53" spans="3:7">
      <c r="C53" s="49"/>
      <c r="D53" s="49"/>
      <c r="E53" s="49"/>
      <c r="F53" s="49"/>
      <c r="G53" s="49"/>
    </row>
    <row r="54" spans="3:7">
      <c r="C54" s="49"/>
      <c r="D54" s="49"/>
      <c r="E54" s="49"/>
      <c r="F54" s="49"/>
      <c r="G54" s="49"/>
    </row>
    <row r="55" spans="3:7">
      <c r="C55" s="49"/>
      <c r="D55" s="49"/>
      <c r="E55" s="49"/>
      <c r="F55" s="49"/>
      <c r="G55" s="49"/>
    </row>
    <row r="56" spans="3:7">
      <c r="C56" s="49"/>
      <c r="D56" s="49"/>
      <c r="E56" s="49"/>
      <c r="F56" s="49"/>
      <c r="G56" s="49"/>
    </row>
    <row r="57" spans="3:7">
      <c r="C57" s="49"/>
      <c r="D57" s="49"/>
      <c r="E57" s="49"/>
      <c r="F57" s="49"/>
      <c r="G57" s="49"/>
    </row>
    <row r="58" spans="3:7">
      <c r="C58" s="49"/>
      <c r="D58" s="49"/>
      <c r="E58" s="49"/>
      <c r="F58" s="49"/>
      <c r="G58" s="49"/>
    </row>
    <row r="59" spans="3:7">
      <c r="C59" s="49"/>
      <c r="D59" s="49"/>
      <c r="E59" s="49"/>
      <c r="F59" s="49"/>
      <c r="G59" s="49"/>
    </row>
    <row r="60" spans="3:7">
      <c r="C60" s="49"/>
      <c r="D60" s="49"/>
      <c r="E60" s="49"/>
      <c r="F60" s="49"/>
      <c r="G60" s="49"/>
    </row>
    <row r="61" spans="3:7">
      <c r="C61" s="49"/>
      <c r="D61" s="49"/>
      <c r="E61" s="49"/>
      <c r="F61" s="49"/>
      <c r="G61" s="49"/>
    </row>
    <row r="62" spans="3:7">
      <c r="C62" s="49"/>
      <c r="D62" s="49"/>
      <c r="E62" s="49"/>
      <c r="F62" s="49"/>
      <c r="G62" s="49"/>
    </row>
    <row r="63" spans="3:7">
      <c r="C63" s="49"/>
      <c r="D63" s="49"/>
      <c r="E63" s="49"/>
      <c r="F63" s="49"/>
      <c r="G63" s="49"/>
    </row>
    <row r="64" spans="3:7">
      <c r="C64" s="49"/>
      <c r="D64" s="49"/>
      <c r="E64" s="49"/>
      <c r="F64" s="49"/>
      <c r="G64" s="49"/>
    </row>
    <row r="65" spans="3:7">
      <c r="C65" s="49"/>
      <c r="D65" s="49"/>
      <c r="E65" s="49"/>
      <c r="F65" s="49"/>
      <c r="G65" s="49"/>
    </row>
    <row r="66" spans="3:7">
      <c r="C66" s="49"/>
      <c r="D66" s="49"/>
      <c r="E66" s="49"/>
      <c r="F66" s="49"/>
      <c r="G66" s="49"/>
    </row>
  </sheetData>
  <mergeCells count="8">
    <mergeCell ref="A6:G6"/>
    <mergeCell ref="A8:A9"/>
    <mergeCell ref="B8:B9"/>
    <mergeCell ref="C8:C9"/>
    <mergeCell ref="D8:D9"/>
    <mergeCell ref="E8:E9"/>
    <mergeCell ref="F8:F9"/>
    <mergeCell ref="G8:G9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  <ignoredErrors>
    <ignoredError sqref="G27:G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zoomScale="55" zoomScaleNormal="55" zoomScaleSheetLayoutView="55" workbookViewId="0">
      <selection activeCell="B79" sqref="B79"/>
    </sheetView>
  </sheetViews>
  <sheetFormatPr defaultRowHeight="19.5"/>
  <cols>
    <col min="1" max="1" width="15.7109375" style="5" customWidth="1"/>
    <col min="2" max="2" width="105.7109375" style="5" customWidth="1"/>
    <col min="3" max="4" width="12.7109375" style="5" customWidth="1"/>
    <col min="5" max="5" width="25.7109375" style="5" customWidth="1"/>
    <col min="6" max="7" width="20.7109375" style="5" customWidth="1"/>
    <col min="8" max="9" width="13.28515625" style="5" customWidth="1"/>
    <col min="10" max="12" width="20.7109375" style="5" customWidth="1"/>
    <col min="13" max="15" width="20.7109375" customWidth="1"/>
    <col min="19" max="20" width="20.7109375" style="9" customWidth="1"/>
  </cols>
  <sheetData>
    <row r="1" spans="1:220">
      <c r="A1" s="232"/>
      <c r="B1" s="232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20">
      <c r="A2" s="232"/>
      <c r="B2" s="232"/>
      <c r="C2" s="11"/>
      <c r="D2" s="11"/>
      <c r="E2" s="11"/>
      <c r="F2" s="11"/>
      <c r="G2" s="11"/>
      <c r="H2" s="11"/>
      <c r="I2" s="11"/>
      <c r="J2" s="11"/>
      <c r="K2" s="11"/>
      <c r="L2" s="11"/>
      <c r="S2" s="236" t="s">
        <v>128</v>
      </c>
      <c r="T2" s="236"/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10</v>
      </c>
      <c r="AE2" s="9">
        <v>11</v>
      </c>
      <c r="AF2" s="9">
        <v>12</v>
      </c>
      <c r="AG2" s="9">
        <v>13</v>
      </c>
      <c r="AH2" s="9">
        <v>14</v>
      </c>
      <c r="AI2" s="9">
        <v>15</v>
      </c>
      <c r="AJ2" s="9">
        <v>16</v>
      </c>
      <c r="AK2" s="9">
        <v>17</v>
      </c>
      <c r="AL2" s="9">
        <v>18</v>
      </c>
      <c r="AM2" s="9">
        <v>19</v>
      </c>
      <c r="AN2" s="9">
        <v>20</v>
      </c>
      <c r="AO2" s="9">
        <v>21</v>
      </c>
      <c r="AP2" s="9">
        <v>22</v>
      </c>
      <c r="AQ2" s="9">
        <v>23</v>
      </c>
      <c r="AR2" s="9">
        <v>24</v>
      </c>
      <c r="AS2" s="9">
        <v>25</v>
      </c>
      <c r="AT2" s="9">
        <v>26</v>
      </c>
      <c r="AU2" s="9">
        <v>27</v>
      </c>
      <c r="AV2" s="9">
        <v>28</v>
      </c>
      <c r="AW2" s="9">
        <v>29</v>
      </c>
      <c r="AX2" s="9">
        <v>30</v>
      </c>
      <c r="AY2" s="9">
        <v>31</v>
      </c>
      <c r="AZ2" s="9">
        <v>32</v>
      </c>
      <c r="BA2" s="9">
        <v>33</v>
      </c>
      <c r="BB2" s="9">
        <v>34</v>
      </c>
      <c r="BC2" s="9">
        <v>35</v>
      </c>
      <c r="BD2" s="9">
        <v>36</v>
      </c>
      <c r="BE2" s="9">
        <v>37</v>
      </c>
      <c r="BF2" s="9">
        <v>38</v>
      </c>
      <c r="BG2" s="9">
        <v>39</v>
      </c>
      <c r="BH2" s="9">
        <v>40</v>
      </c>
      <c r="BI2" s="9">
        <v>41</v>
      </c>
      <c r="BJ2" s="9">
        <v>42</v>
      </c>
      <c r="BK2" s="9">
        <v>43</v>
      </c>
      <c r="BL2" s="9">
        <v>44</v>
      </c>
      <c r="BM2" s="9">
        <v>45</v>
      </c>
      <c r="BN2" s="9">
        <v>46</v>
      </c>
      <c r="BO2" s="9">
        <v>47</v>
      </c>
      <c r="BP2" s="9">
        <v>48</v>
      </c>
      <c r="BQ2" s="9">
        <v>49</v>
      </c>
      <c r="BR2" s="9">
        <v>50</v>
      </c>
      <c r="BS2" s="9">
        <v>51</v>
      </c>
      <c r="BT2" s="9">
        <v>52</v>
      </c>
      <c r="BU2" s="9">
        <v>53</v>
      </c>
      <c r="BV2" s="9">
        <v>54</v>
      </c>
      <c r="BW2" s="9">
        <v>55</v>
      </c>
      <c r="BX2" s="9">
        <v>56</v>
      </c>
      <c r="BY2" s="9">
        <v>57</v>
      </c>
      <c r="BZ2" s="9">
        <v>58</v>
      </c>
      <c r="CA2" s="9">
        <v>59</v>
      </c>
      <c r="CB2" s="9">
        <v>60</v>
      </c>
      <c r="CC2" s="9">
        <v>61</v>
      </c>
      <c r="CD2" s="9">
        <v>62</v>
      </c>
      <c r="CE2" s="9">
        <v>63</v>
      </c>
      <c r="CF2" s="9">
        <v>64</v>
      </c>
      <c r="CG2" s="9">
        <v>65</v>
      </c>
      <c r="CH2" s="9">
        <v>66</v>
      </c>
      <c r="CI2" s="9">
        <v>67</v>
      </c>
      <c r="CJ2" s="9">
        <v>68</v>
      </c>
      <c r="CK2" s="9">
        <v>69</v>
      </c>
      <c r="CL2" s="9">
        <v>70</v>
      </c>
      <c r="CM2" s="9">
        <v>71</v>
      </c>
      <c r="CN2" s="9">
        <v>72</v>
      </c>
      <c r="CO2" s="9">
        <v>73</v>
      </c>
      <c r="CP2" s="9">
        <v>74</v>
      </c>
      <c r="CQ2" s="9">
        <v>75</v>
      </c>
      <c r="CR2" s="9">
        <v>76</v>
      </c>
      <c r="CS2" s="9">
        <v>77</v>
      </c>
      <c r="CT2" s="9">
        <v>78</v>
      </c>
      <c r="CU2" s="9">
        <v>79</v>
      </c>
      <c r="CV2" s="9">
        <v>80</v>
      </c>
      <c r="CW2" s="9">
        <v>81</v>
      </c>
      <c r="CX2" s="9">
        <v>82</v>
      </c>
      <c r="CY2" s="9">
        <v>83</v>
      </c>
      <c r="CZ2" s="9">
        <v>84</v>
      </c>
      <c r="DA2" s="9">
        <v>85</v>
      </c>
      <c r="DB2" s="9">
        <v>86</v>
      </c>
      <c r="DC2" s="9">
        <v>87</v>
      </c>
      <c r="DD2" s="9">
        <v>88</v>
      </c>
      <c r="DE2" s="9">
        <v>89</v>
      </c>
      <c r="DF2" s="9">
        <v>90</v>
      </c>
      <c r="DG2" s="9">
        <v>91</v>
      </c>
      <c r="DH2" s="9">
        <v>92</v>
      </c>
      <c r="DI2" s="9">
        <v>93</v>
      </c>
      <c r="DJ2" s="9">
        <v>94</v>
      </c>
      <c r="DK2" s="9">
        <v>95</v>
      </c>
      <c r="DL2" s="9">
        <v>96</v>
      </c>
      <c r="DM2" s="9">
        <v>97</v>
      </c>
      <c r="DN2" s="9">
        <v>98</v>
      </c>
      <c r="DO2" s="9">
        <v>99</v>
      </c>
      <c r="DP2" s="9">
        <v>100</v>
      </c>
      <c r="DQ2" s="9">
        <v>101</v>
      </c>
      <c r="DR2" s="9">
        <v>102</v>
      </c>
      <c r="DS2" s="9">
        <v>103</v>
      </c>
      <c r="DT2" s="9">
        <v>104</v>
      </c>
      <c r="DU2" s="9">
        <v>105</v>
      </c>
      <c r="DV2" s="9">
        <v>106</v>
      </c>
      <c r="DW2" s="9">
        <v>107</v>
      </c>
      <c r="DX2" s="9">
        <v>108</v>
      </c>
      <c r="DY2" s="9">
        <v>109</v>
      </c>
      <c r="DZ2" s="9">
        <v>110</v>
      </c>
      <c r="EA2" s="9">
        <v>111</v>
      </c>
      <c r="EB2" s="9">
        <v>112</v>
      </c>
      <c r="EC2" s="9">
        <v>113</v>
      </c>
      <c r="ED2" s="9">
        <v>114</v>
      </c>
      <c r="EE2" s="9">
        <v>115</v>
      </c>
      <c r="EF2" s="9">
        <v>116</v>
      </c>
      <c r="EG2" s="9">
        <v>117</v>
      </c>
      <c r="EH2" s="9">
        <v>118</v>
      </c>
      <c r="EI2" s="9">
        <v>119</v>
      </c>
      <c r="EJ2" s="9">
        <v>120</v>
      </c>
      <c r="EK2" s="9">
        <v>121</v>
      </c>
      <c r="EL2" s="9">
        <v>122</v>
      </c>
      <c r="EM2" s="9">
        <v>123</v>
      </c>
      <c r="EN2" s="9">
        <v>124</v>
      </c>
      <c r="EO2" s="9">
        <v>125</v>
      </c>
      <c r="EP2" s="9">
        <v>126</v>
      </c>
      <c r="EQ2" s="9">
        <v>127</v>
      </c>
      <c r="ER2" s="9">
        <v>128</v>
      </c>
      <c r="ES2" s="9">
        <v>129</v>
      </c>
      <c r="ET2" s="9">
        <v>130</v>
      </c>
      <c r="EU2" s="9">
        <v>131</v>
      </c>
      <c r="EV2" s="9">
        <v>132</v>
      </c>
      <c r="EW2" s="9">
        <v>133</v>
      </c>
      <c r="EX2" s="9">
        <v>134</v>
      </c>
      <c r="EY2" s="9">
        <v>135</v>
      </c>
      <c r="EZ2" s="9">
        <v>136</v>
      </c>
      <c r="FA2" s="9">
        <v>137</v>
      </c>
      <c r="FB2" s="9">
        <v>138</v>
      </c>
      <c r="FC2" s="9">
        <v>139</v>
      </c>
      <c r="FD2" s="9">
        <v>140</v>
      </c>
      <c r="FE2" s="9">
        <v>141</v>
      </c>
      <c r="FF2" s="9">
        <v>142</v>
      </c>
      <c r="FG2" s="9">
        <v>143</v>
      </c>
      <c r="FH2" s="9">
        <v>144</v>
      </c>
      <c r="FI2" s="9">
        <v>145</v>
      </c>
      <c r="FJ2" s="9">
        <v>146</v>
      </c>
      <c r="FK2" s="9">
        <v>147</v>
      </c>
      <c r="FL2" s="9">
        <v>148</v>
      </c>
      <c r="FM2" s="9">
        <v>149</v>
      </c>
      <c r="FN2" s="9">
        <v>150</v>
      </c>
      <c r="FO2" s="9">
        <v>151</v>
      </c>
      <c r="FP2" s="9">
        <v>152</v>
      </c>
      <c r="FQ2" s="9">
        <v>153</v>
      </c>
      <c r="FR2" s="9">
        <v>154</v>
      </c>
      <c r="FS2" s="9">
        <v>155</v>
      </c>
      <c r="FT2" s="9">
        <v>156</v>
      </c>
      <c r="FU2" s="9">
        <v>157</v>
      </c>
      <c r="FV2" s="9">
        <v>158</v>
      </c>
      <c r="FW2" s="9">
        <v>159</v>
      </c>
      <c r="FX2" s="9">
        <v>160</v>
      </c>
      <c r="FY2" s="9">
        <v>161</v>
      </c>
      <c r="FZ2" s="9">
        <v>162</v>
      </c>
      <c r="GA2" s="9">
        <v>163</v>
      </c>
      <c r="GB2" s="9">
        <v>164</v>
      </c>
      <c r="GC2" s="9">
        <v>165</v>
      </c>
      <c r="GD2" s="9">
        <v>166</v>
      </c>
      <c r="GE2" s="9">
        <v>167</v>
      </c>
      <c r="GF2" s="9">
        <v>168</v>
      </c>
      <c r="GG2" s="9">
        <v>169</v>
      </c>
      <c r="GH2" s="9">
        <v>170</v>
      </c>
      <c r="GI2" s="9">
        <v>171</v>
      </c>
      <c r="GJ2" s="9">
        <v>172</v>
      </c>
      <c r="GK2" s="9">
        <v>173</v>
      </c>
      <c r="GL2" s="9">
        <v>174</v>
      </c>
      <c r="GM2" s="9">
        <v>175</v>
      </c>
      <c r="GN2" s="9">
        <v>176</v>
      </c>
      <c r="GO2" s="9">
        <v>177</v>
      </c>
      <c r="GP2" s="9">
        <v>178</v>
      </c>
      <c r="GQ2" s="9">
        <v>179</v>
      </c>
      <c r="GR2" s="9">
        <v>180</v>
      </c>
      <c r="GS2" s="9">
        <v>181</v>
      </c>
      <c r="GT2" s="9">
        <v>182</v>
      </c>
      <c r="GU2" s="9">
        <v>183</v>
      </c>
      <c r="GV2" s="9">
        <v>184</v>
      </c>
      <c r="GW2" s="9">
        <v>185</v>
      </c>
      <c r="GX2" s="9">
        <v>186</v>
      </c>
      <c r="GY2" s="9">
        <v>187</v>
      </c>
      <c r="GZ2" s="9">
        <v>188</v>
      </c>
      <c r="HA2" s="9">
        <v>189</v>
      </c>
      <c r="HB2" s="9">
        <v>190</v>
      </c>
      <c r="HC2" s="9">
        <v>191</v>
      </c>
      <c r="HD2" s="9">
        <v>192</v>
      </c>
      <c r="HE2" s="9">
        <v>193</v>
      </c>
      <c r="HF2" s="9">
        <v>194</v>
      </c>
      <c r="HG2" s="9">
        <v>195</v>
      </c>
      <c r="HH2" s="9">
        <v>196</v>
      </c>
      <c r="HI2" s="9">
        <v>197</v>
      </c>
      <c r="HJ2" s="9">
        <v>198</v>
      </c>
      <c r="HK2" s="9">
        <v>199</v>
      </c>
      <c r="HL2" s="9">
        <v>200</v>
      </c>
    </row>
    <row r="3" spans="1:220" ht="15" customHeight="1">
      <c r="A3" s="220">
        <f>კრებსითი!A1</f>
        <v>0</v>
      </c>
      <c r="B3" s="220"/>
      <c r="C3" s="11"/>
      <c r="D3" s="11"/>
      <c r="E3" s="11"/>
      <c r="F3" s="11"/>
      <c r="G3" s="11"/>
      <c r="H3" s="11"/>
      <c r="I3" s="11"/>
      <c r="J3" s="11"/>
      <c r="K3" s="220"/>
      <c r="L3" s="220"/>
      <c r="S3" s="236" t="s">
        <v>129</v>
      </c>
      <c r="T3" s="236"/>
      <c r="U3" s="9">
        <v>1.55</v>
      </c>
      <c r="V3" s="9">
        <v>1.93</v>
      </c>
      <c r="W3" s="9">
        <v>2.42</v>
      </c>
      <c r="X3" s="9">
        <v>2.84</v>
      </c>
      <c r="Y3" s="9">
        <v>3.32</v>
      </c>
      <c r="Z3" s="9">
        <v>3.8</v>
      </c>
      <c r="AA3" s="9">
        <v>4.26</v>
      </c>
      <c r="AB3" s="9">
        <v>4.7</v>
      </c>
      <c r="AC3" s="9">
        <v>5.17</v>
      </c>
      <c r="AD3" s="9">
        <v>5.63</v>
      </c>
      <c r="AE3" s="9">
        <v>6.27</v>
      </c>
      <c r="AF3" s="9">
        <v>6.73</v>
      </c>
      <c r="AG3" s="9">
        <v>7.24</v>
      </c>
      <c r="AH3" s="9">
        <v>7.54</v>
      </c>
      <c r="AI3" s="9">
        <v>7.82</v>
      </c>
      <c r="AJ3" s="9">
        <v>8.18</v>
      </c>
      <c r="AK3" s="9">
        <v>8.5399999999999991</v>
      </c>
      <c r="AL3" s="9">
        <v>8.94</v>
      </c>
      <c r="AM3" s="9">
        <v>9.31</v>
      </c>
      <c r="AN3" s="9">
        <v>9.75</v>
      </c>
      <c r="AO3" s="9">
        <v>10.79</v>
      </c>
      <c r="AP3" s="9">
        <v>10.79</v>
      </c>
      <c r="AQ3" s="9">
        <v>10.79</v>
      </c>
      <c r="AR3" s="9">
        <v>10.79</v>
      </c>
      <c r="AS3" s="9">
        <v>10.79</v>
      </c>
      <c r="AT3" s="9">
        <v>12.31</v>
      </c>
      <c r="AU3" s="9">
        <v>12.31</v>
      </c>
      <c r="AV3" s="9">
        <v>12.31</v>
      </c>
      <c r="AW3" s="9">
        <v>12.31</v>
      </c>
      <c r="AX3" s="9">
        <v>12.31</v>
      </c>
      <c r="AY3" s="9">
        <v>13.26</v>
      </c>
      <c r="AZ3" s="9">
        <v>13.26</v>
      </c>
      <c r="BA3" s="9">
        <v>13.26</v>
      </c>
      <c r="BB3" s="9">
        <v>13.26</v>
      </c>
      <c r="BC3" s="9">
        <v>13.26</v>
      </c>
      <c r="BD3" s="9">
        <v>14.94</v>
      </c>
      <c r="BE3" s="9">
        <v>14.94</v>
      </c>
      <c r="BF3" s="9">
        <v>14.94</v>
      </c>
      <c r="BG3" s="9">
        <v>14.94</v>
      </c>
      <c r="BH3" s="9">
        <v>14.94</v>
      </c>
      <c r="BI3" s="9">
        <v>16.41</v>
      </c>
      <c r="BJ3" s="9">
        <v>16.41</v>
      </c>
      <c r="BK3" s="9">
        <v>16.41</v>
      </c>
      <c r="BL3" s="9">
        <v>16.41</v>
      </c>
      <c r="BM3" s="9">
        <v>16.41</v>
      </c>
      <c r="BN3" s="9">
        <v>18.14</v>
      </c>
      <c r="BO3" s="9">
        <v>18.14</v>
      </c>
      <c r="BP3" s="9">
        <v>18.14</v>
      </c>
      <c r="BQ3" s="9">
        <v>18.14</v>
      </c>
      <c r="BR3" s="9">
        <v>18.14</v>
      </c>
      <c r="BS3" s="9">
        <v>19.64</v>
      </c>
      <c r="BT3" s="9">
        <v>19.64</v>
      </c>
      <c r="BU3" s="9">
        <v>19.64</v>
      </c>
      <c r="BV3" s="9">
        <v>19.64</v>
      </c>
      <c r="BW3" s="9">
        <v>19.64</v>
      </c>
      <c r="BX3" s="9">
        <v>21.44</v>
      </c>
      <c r="BY3" s="9">
        <v>21.44</v>
      </c>
      <c r="BZ3" s="9">
        <v>21.44</v>
      </c>
      <c r="CA3" s="9">
        <v>21.44</v>
      </c>
      <c r="CB3" s="9">
        <v>21.44</v>
      </c>
      <c r="CC3" s="9">
        <v>22.41</v>
      </c>
      <c r="CD3" s="9">
        <v>22.41</v>
      </c>
      <c r="CE3" s="9">
        <v>22.41</v>
      </c>
      <c r="CF3" s="9">
        <v>22.41</v>
      </c>
      <c r="CG3" s="9">
        <v>22.41</v>
      </c>
      <c r="CH3" s="9">
        <v>23.66</v>
      </c>
      <c r="CI3" s="9">
        <v>23.66</v>
      </c>
      <c r="CJ3" s="9">
        <v>23.66</v>
      </c>
      <c r="CK3" s="9">
        <v>23.66</v>
      </c>
      <c r="CL3" s="9">
        <v>23.66</v>
      </c>
      <c r="CM3" s="9">
        <v>25.25</v>
      </c>
      <c r="CN3" s="9">
        <v>25.25</v>
      </c>
      <c r="CO3" s="9">
        <v>25.25</v>
      </c>
      <c r="CP3" s="9">
        <v>25.25</v>
      </c>
      <c r="CQ3" s="9">
        <v>25.25</v>
      </c>
      <c r="CR3" s="9">
        <v>26.59</v>
      </c>
      <c r="CS3" s="9">
        <v>26.59</v>
      </c>
      <c r="CT3" s="9">
        <v>26.59</v>
      </c>
      <c r="CU3" s="9">
        <v>26.59</v>
      </c>
      <c r="CV3" s="9">
        <v>26.59</v>
      </c>
      <c r="CW3" s="9">
        <v>27.25</v>
      </c>
      <c r="CX3" s="9">
        <v>27.25</v>
      </c>
      <c r="CY3" s="9">
        <v>27.25</v>
      </c>
      <c r="CZ3" s="9">
        <v>27.25</v>
      </c>
      <c r="DA3" s="9">
        <v>27.25</v>
      </c>
      <c r="DB3" s="9">
        <v>28.38</v>
      </c>
      <c r="DC3" s="9">
        <v>28.38</v>
      </c>
      <c r="DD3" s="9">
        <v>28.38</v>
      </c>
      <c r="DE3" s="9">
        <v>28.38</v>
      </c>
      <c r="DF3" s="9">
        <v>28.38</v>
      </c>
      <c r="DG3" s="9">
        <v>29.93</v>
      </c>
      <c r="DH3" s="9">
        <v>29.93</v>
      </c>
      <c r="DI3" s="9">
        <v>29.93</v>
      </c>
      <c r="DJ3" s="9">
        <v>29.93</v>
      </c>
      <c r="DK3" s="9">
        <v>29.93</v>
      </c>
      <c r="DL3" s="9">
        <v>31.25</v>
      </c>
      <c r="DM3" s="9">
        <v>31.25</v>
      </c>
      <c r="DN3" s="9">
        <v>31.25</v>
      </c>
      <c r="DO3" s="9">
        <v>31.25</v>
      </c>
      <c r="DP3" s="9">
        <v>31.25</v>
      </c>
      <c r="DQ3" s="9">
        <v>32.340000000000003</v>
      </c>
      <c r="DR3" s="9">
        <v>32.340000000000003</v>
      </c>
      <c r="DS3" s="9">
        <v>32.340000000000003</v>
      </c>
      <c r="DT3" s="9">
        <v>32.340000000000003</v>
      </c>
      <c r="DU3" s="9">
        <v>32.340000000000003</v>
      </c>
      <c r="DV3" s="9">
        <v>33.64</v>
      </c>
      <c r="DW3" s="9">
        <v>33.64</v>
      </c>
      <c r="DX3" s="9">
        <v>33.64</v>
      </c>
      <c r="DY3" s="9">
        <v>33.64</v>
      </c>
      <c r="DZ3" s="9">
        <v>33.64</v>
      </c>
      <c r="EA3" s="9">
        <v>34.840000000000003</v>
      </c>
      <c r="EB3" s="9">
        <v>34.840000000000003</v>
      </c>
      <c r="EC3" s="9">
        <v>34.840000000000003</v>
      </c>
      <c r="ED3" s="9">
        <v>34.840000000000003</v>
      </c>
      <c r="EE3" s="9">
        <v>34.840000000000003</v>
      </c>
      <c r="EF3" s="9">
        <v>36.14</v>
      </c>
      <c r="EG3" s="9">
        <v>36.14</v>
      </c>
      <c r="EH3" s="9">
        <v>36.14</v>
      </c>
      <c r="EI3" s="9">
        <v>36.14</v>
      </c>
      <c r="EJ3" s="9">
        <v>36.14</v>
      </c>
      <c r="EK3" s="9">
        <v>36.56</v>
      </c>
      <c r="EL3" s="9">
        <v>36.56</v>
      </c>
      <c r="EM3" s="9">
        <v>36.56</v>
      </c>
      <c r="EN3" s="9">
        <v>36.56</v>
      </c>
      <c r="EO3" s="9">
        <v>36.56</v>
      </c>
      <c r="EP3" s="9">
        <v>38.54</v>
      </c>
      <c r="EQ3" s="9">
        <v>38.54</v>
      </c>
      <c r="ER3" s="9">
        <v>38.54</v>
      </c>
      <c r="ES3" s="9">
        <v>38.54</v>
      </c>
      <c r="ET3" s="9">
        <v>38.54</v>
      </c>
      <c r="EU3" s="9">
        <v>39.47</v>
      </c>
      <c r="EV3" s="9">
        <v>39.47</v>
      </c>
      <c r="EW3" s="9">
        <v>39.47</v>
      </c>
      <c r="EX3" s="9">
        <v>39.47</v>
      </c>
      <c r="EY3" s="9">
        <v>39.47</v>
      </c>
      <c r="EZ3" s="9">
        <v>40.69</v>
      </c>
      <c r="FA3" s="9">
        <v>40.69</v>
      </c>
      <c r="FB3" s="9">
        <v>40.69</v>
      </c>
      <c r="FC3" s="9">
        <v>40.69</v>
      </c>
      <c r="FD3" s="9">
        <v>40.69</v>
      </c>
      <c r="FE3" s="9">
        <v>41.88</v>
      </c>
      <c r="FF3" s="9">
        <v>41.88</v>
      </c>
      <c r="FG3" s="9">
        <v>41.88</v>
      </c>
      <c r="FH3" s="9">
        <v>41.88</v>
      </c>
      <c r="FI3" s="9">
        <v>41.88</v>
      </c>
      <c r="FJ3" s="9">
        <v>43.37</v>
      </c>
      <c r="FK3" s="9">
        <v>43.37</v>
      </c>
      <c r="FL3" s="9">
        <v>43.37</v>
      </c>
      <c r="FM3" s="9">
        <v>43.37</v>
      </c>
      <c r="FN3" s="9">
        <v>43.37</v>
      </c>
      <c r="FO3" s="9">
        <v>44.39</v>
      </c>
      <c r="FP3" s="9">
        <v>44.39</v>
      </c>
      <c r="FQ3" s="9">
        <v>44.39</v>
      </c>
      <c r="FR3" s="9">
        <v>44.39</v>
      </c>
      <c r="FS3" s="9">
        <v>44.39</v>
      </c>
      <c r="FT3" s="9">
        <v>45.49</v>
      </c>
      <c r="FU3" s="9">
        <v>45.49</v>
      </c>
      <c r="FV3" s="9">
        <v>45.49</v>
      </c>
      <c r="FW3" s="9">
        <v>45.49</v>
      </c>
      <c r="FX3" s="9">
        <v>45.49</v>
      </c>
      <c r="FY3" s="9">
        <v>46.79</v>
      </c>
      <c r="FZ3" s="9">
        <v>46.79</v>
      </c>
      <c r="GA3" s="9">
        <v>46.79</v>
      </c>
      <c r="GB3" s="9">
        <v>46.79</v>
      </c>
      <c r="GC3" s="9">
        <v>46.79</v>
      </c>
      <c r="GD3" s="9">
        <v>48.52</v>
      </c>
      <c r="GE3" s="9">
        <v>48.52</v>
      </c>
      <c r="GF3" s="9">
        <v>48.52</v>
      </c>
      <c r="GG3" s="9">
        <v>48.52</v>
      </c>
      <c r="GH3" s="9">
        <v>48.52</v>
      </c>
      <c r="GI3" s="9">
        <v>49.72</v>
      </c>
      <c r="GJ3" s="9">
        <v>49.72</v>
      </c>
      <c r="GK3" s="9">
        <v>49.72</v>
      </c>
      <c r="GL3" s="9">
        <v>49.72</v>
      </c>
      <c r="GM3" s="9">
        <v>49.72</v>
      </c>
      <c r="GN3" s="9">
        <v>50.9</v>
      </c>
      <c r="GO3" s="9">
        <v>50.9</v>
      </c>
      <c r="GP3" s="9">
        <v>50.9</v>
      </c>
      <c r="GQ3" s="9">
        <v>50.9</v>
      </c>
      <c r="GR3" s="9">
        <v>50.9</v>
      </c>
      <c r="GS3" s="9">
        <v>52.22</v>
      </c>
      <c r="GT3" s="9">
        <v>52.22</v>
      </c>
      <c r="GU3" s="9">
        <v>52.22</v>
      </c>
      <c r="GV3" s="9">
        <v>52.22</v>
      </c>
      <c r="GW3" s="9">
        <v>52.22</v>
      </c>
      <c r="GX3" s="9">
        <v>53.42</v>
      </c>
      <c r="GY3" s="9">
        <v>53.42</v>
      </c>
      <c r="GZ3" s="9">
        <v>53.42</v>
      </c>
      <c r="HA3" s="9">
        <v>53.42</v>
      </c>
      <c r="HB3" s="9">
        <v>53.42</v>
      </c>
      <c r="HC3" s="9">
        <v>54.07</v>
      </c>
      <c r="HD3" s="9">
        <v>54.07</v>
      </c>
      <c r="HE3" s="9">
        <v>54.07</v>
      </c>
      <c r="HF3" s="9">
        <v>54.07</v>
      </c>
      <c r="HG3" s="9">
        <v>54.07</v>
      </c>
      <c r="HH3" s="9">
        <v>54.71</v>
      </c>
      <c r="HI3" s="9">
        <v>54.71</v>
      </c>
      <c r="HJ3" s="9">
        <v>54.71</v>
      </c>
      <c r="HK3" s="9">
        <v>54.71</v>
      </c>
      <c r="HL3" s="9">
        <v>54.71</v>
      </c>
    </row>
    <row r="4" spans="1:220" ht="15" customHeight="1">
      <c r="A4" s="220"/>
      <c r="B4" s="220"/>
      <c r="C4" s="11"/>
      <c r="D4" s="11"/>
      <c r="E4" s="11"/>
      <c r="F4" s="11"/>
      <c r="G4" s="11"/>
      <c r="H4" s="11"/>
      <c r="I4" s="11"/>
      <c r="J4" s="11"/>
      <c r="K4" s="220"/>
      <c r="L4" s="220"/>
    </row>
    <row r="5" spans="1:220" ht="15" customHeight="1">
      <c r="A5" s="220" t="s">
        <v>28</v>
      </c>
      <c r="B5" s="220"/>
      <c r="C5" s="11"/>
      <c r="D5" s="11"/>
      <c r="E5" s="11"/>
      <c r="F5" s="11"/>
      <c r="G5" s="11"/>
      <c r="H5" s="11"/>
      <c r="I5" s="11"/>
      <c r="J5" s="11"/>
      <c r="K5" s="220"/>
      <c r="L5" s="220"/>
    </row>
    <row r="6" spans="1:220" ht="15" customHeight="1">
      <c r="A6" s="220"/>
      <c r="B6" s="220"/>
      <c r="C6" s="11"/>
      <c r="D6" s="11"/>
      <c r="E6" s="11"/>
      <c r="F6" s="11"/>
      <c r="G6" s="11"/>
      <c r="H6" s="11"/>
      <c r="I6" s="11"/>
      <c r="J6" s="11"/>
      <c r="K6" s="220"/>
      <c r="L6" s="220"/>
    </row>
    <row r="7" spans="1:220" ht="15" customHeight="1">
      <c r="A7" s="220">
        <f>კრებსითი!A3</f>
        <v>0</v>
      </c>
      <c r="B7" s="220"/>
      <c r="C7" s="11"/>
      <c r="D7" s="11"/>
      <c r="E7" s="11"/>
      <c r="F7" s="11"/>
      <c r="G7" s="11"/>
      <c r="H7" s="11"/>
      <c r="I7" s="11"/>
      <c r="J7" s="11"/>
      <c r="K7" s="220"/>
      <c r="L7" s="220"/>
      <c r="S7" s="233"/>
      <c r="T7" s="233"/>
    </row>
    <row r="8" spans="1:220" ht="15" customHeight="1">
      <c r="A8" s="220"/>
      <c r="B8" s="220"/>
      <c r="C8" s="11"/>
      <c r="D8" s="11"/>
      <c r="E8" s="11"/>
      <c r="F8" s="11"/>
      <c r="G8" s="11"/>
      <c r="H8" s="11"/>
      <c r="I8" s="11"/>
      <c r="J8" s="11"/>
      <c r="K8" s="220"/>
      <c r="L8" s="220"/>
      <c r="S8" s="233"/>
      <c r="T8" s="233"/>
    </row>
    <row r="9" spans="1:220" ht="15" customHeight="1">
      <c r="A9" s="220" t="s">
        <v>29</v>
      </c>
      <c r="B9" s="220"/>
      <c r="C9" s="11"/>
      <c r="D9" s="11"/>
      <c r="E9" s="11"/>
      <c r="F9" s="11"/>
      <c r="G9" s="11"/>
      <c r="H9" s="11"/>
      <c r="I9" s="11"/>
      <c r="J9" s="11"/>
      <c r="K9" s="220"/>
      <c r="L9" s="220"/>
      <c r="S9" s="233"/>
      <c r="T9" s="233"/>
    </row>
    <row r="10" spans="1:220" ht="15" customHeight="1">
      <c r="A10" s="220"/>
      <c r="B10" s="220"/>
      <c r="C10" s="12"/>
      <c r="D10" s="12"/>
      <c r="E10" s="12"/>
      <c r="F10" s="12"/>
      <c r="G10" s="11"/>
      <c r="H10" s="11"/>
      <c r="I10" s="11"/>
      <c r="J10" s="11"/>
      <c r="K10" s="220"/>
      <c r="L10" s="220"/>
      <c r="S10" s="233"/>
      <c r="T10" s="233"/>
    </row>
    <row r="11" spans="1:220" ht="15" customHeight="1">
      <c r="A11" s="220"/>
      <c r="B11" s="220"/>
      <c r="C11" s="11"/>
      <c r="D11" s="11"/>
      <c r="E11" s="11"/>
      <c r="F11" s="11"/>
      <c r="G11" s="11"/>
      <c r="H11" s="224"/>
      <c r="I11" s="35"/>
      <c r="J11" s="220"/>
      <c r="K11" s="220"/>
      <c r="L11" s="36"/>
      <c r="S11" s="233"/>
      <c r="T11" s="233"/>
    </row>
    <row r="12" spans="1:220" ht="15" customHeight="1">
      <c r="A12" s="220"/>
      <c r="B12" s="220"/>
      <c r="C12" s="11"/>
      <c r="D12" s="11"/>
      <c r="E12" s="11"/>
      <c r="F12" s="11"/>
      <c r="G12" s="11"/>
      <c r="H12" s="224"/>
      <c r="I12" s="35"/>
      <c r="J12" s="220"/>
      <c r="K12" s="220"/>
      <c r="L12" s="36"/>
      <c r="S12" s="233"/>
      <c r="T12" s="233"/>
    </row>
    <row r="13" spans="1:220" ht="15" customHeight="1">
      <c r="A13" s="234" t="s">
        <v>41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S13" s="233"/>
      <c r="T13" s="233"/>
    </row>
    <row r="14" spans="1:220" ht="15" customHeight="1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S14" s="233"/>
      <c r="T14" s="233"/>
    </row>
    <row r="15" spans="1:220" ht="15" customHeight="1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S15" s="233"/>
      <c r="T15" s="233"/>
    </row>
    <row r="16" spans="1:220" s="7" customFormat="1" ht="39.950000000000003" customHeight="1">
      <c r="A16" s="218" t="s">
        <v>2</v>
      </c>
      <c r="B16" s="218" t="s">
        <v>42</v>
      </c>
      <c r="C16" s="219" t="s">
        <v>7</v>
      </c>
      <c r="D16" s="219" t="s">
        <v>116</v>
      </c>
      <c r="E16" s="219" t="s">
        <v>117</v>
      </c>
      <c r="F16" s="219" t="s">
        <v>44</v>
      </c>
      <c r="G16" s="219" t="s">
        <v>130</v>
      </c>
      <c r="H16" s="219" t="s">
        <v>118</v>
      </c>
      <c r="I16" s="219"/>
      <c r="J16" s="219" t="s">
        <v>131</v>
      </c>
      <c r="K16" s="219" t="s">
        <v>138</v>
      </c>
      <c r="L16" s="229" t="s">
        <v>133</v>
      </c>
      <c r="S16" s="8"/>
      <c r="T16" s="8"/>
    </row>
    <row r="17" spans="1:20" s="7" customFormat="1" ht="39.950000000000003" customHeight="1">
      <c r="A17" s="218"/>
      <c r="B17" s="218"/>
      <c r="C17" s="219"/>
      <c r="D17" s="219"/>
      <c r="E17" s="219"/>
      <c r="F17" s="219"/>
      <c r="G17" s="219"/>
      <c r="H17" s="219" t="s">
        <v>119</v>
      </c>
      <c r="I17" s="219" t="s">
        <v>120</v>
      </c>
      <c r="J17" s="219"/>
      <c r="K17" s="219"/>
      <c r="L17" s="230"/>
      <c r="S17" s="8"/>
      <c r="T17" s="8"/>
    </row>
    <row r="18" spans="1:20" s="7" customFormat="1" ht="39.950000000000003" customHeight="1">
      <c r="A18" s="218"/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31"/>
      <c r="S18" s="8"/>
      <c r="T18" s="8"/>
    </row>
    <row r="19" spans="1:20" s="7" customFormat="1" ht="39.950000000000003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S19" s="8"/>
      <c r="T19" s="8"/>
    </row>
    <row r="20" spans="1:20" s="7" customFormat="1" ht="80.099999999999994" customHeight="1">
      <c r="A20" s="13" t="s">
        <v>9</v>
      </c>
      <c r="B20" s="15" t="s">
        <v>43</v>
      </c>
      <c r="C20" s="1"/>
      <c r="D20" s="1"/>
      <c r="E20" s="1"/>
      <c r="F20" s="1"/>
      <c r="G20" s="37"/>
      <c r="H20" s="1"/>
      <c r="I20" s="1"/>
      <c r="J20" s="1"/>
      <c r="K20" s="1"/>
      <c r="L20" s="1"/>
      <c r="S20" s="8"/>
      <c r="T20" s="8"/>
    </row>
    <row r="21" spans="1:20" ht="39.950000000000003" customHeight="1">
      <c r="A21" s="4">
        <v>1.1000000000000001</v>
      </c>
      <c r="B21" s="26" t="s">
        <v>115</v>
      </c>
      <c r="C21" s="1" t="s">
        <v>102</v>
      </c>
      <c r="D21" s="3">
        <v>1.2</v>
      </c>
      <c r="E21" s="1" t="s">
        <v>160</v>
      </c>
      <c r="F21" s="1">
        <v>15</v>
      </c>
      <c r="G21" s="37">
        <f>IF(F21&lt;=200,HLOOKUP(F21,$U$2:$HL$3,2,TRUE),(((F21-200)*0.24)+54.71))</f>
        <v>7.82</v>
      </c>
      <c r="H21" s="4" t="s">
        <v>9</v>
      </c>
      <c r="I21" s="3">
        <v>1</v>
      </c>
      <c r="J21" s="1">
        <v>162</v>
      </c>
      <c r="K21" s="34">
        <f t="shared" ref="K21:K26" si="0">ROUND(D21*G21*I21,2)</f>
        <v>9.3800000000000008</v>
      </c>
      <c r="L21" s="27" t="s">
        <v>155</v>
      </c>
    </row>
    <row r="22" spans="1:20" ht="39.950000000000003" customHeight="1">
      <c r="A22" s="4">
        <f>A21+0.1</f>
        <v>1.2000000000000002</v>
      </c>
      <c r="B22" s="26" t="s">
        <v>104</v>
      </c>
      <c r="C22" s="1" t="s">
        <v>127</v>
      </c>
      <c r="D22" s="1">
        <v>2.2000000000000002</v>
      </c>
      <c r="E22" s="1" t="s">
        <v>160</v>
      </c>
      <c r="F22" s="1">
        <v>15</v>
      </c>
      <c r="G22" s="37">
        <f t="shared" ref="G22:G69" si="1">IF(F22&lt;=200,HLOOKUP(F22,$U$2:$HL$3,2,TRUE),(((F22-200)*0.24)+54.71))</f>
        <v>7.82</v>
      </c>
      <c r="H22" s="4" t="s">
        <v>9</v>
      </c>
      <c r="I22" s="4">
        <v>1</v>
      </c>
      <c r="J22" s="1">
        <v>95</v>
      </c>
      <c r="K22" s="34">
        <f t="shared" si="0"/>
        <v>17.2</v>
      </c>
      <c r="L22" s="1" t="s">
        <v>142</v>
      </c>
    </row>
    <row r="23" spans="1:20" ht="39.950000000000003" customHeight="1">
      <c r="A23" s="4">
        <v>1.3</v>
      </c>
      <c r="B23" s="26" t="s">
        <v>168</v>
      </c>
      <c r="C23" s="1" t="s">
        <v>127</v>
      </c>
      <c r="D23" s="1">
        <v>2.2000000000000002</v>
      </c>
      <c r="E23" s="1" t="s">
        <v>160</v>
      </c>
      <c r="F23" s="1">
        <v>15</v>
      </c>
      <c r="G23" s="37">
        <f t="shared" si="1"/>
        <v>7.82</v>
      </c>
      <c r="H23" s="4" t="s">
        <v>9</v>
      </c>
      <c r="I23" s="3">
        <v>1</v>
      </c>
      <c r="J23" s="1">
        <v>103</v>
      </c>
      <c r="K23" s="34">
        <f t="shared" si="0"/>
        <v>17.2</v>
      </c>
      <c r="L23" s="27" t="s">
        <v>171</v>
      </c>
    </row>
    <row r="24" spans="1:20" ht="39.950000000000003" customHeight="1">
      <c r="A24" s="1">
        <v>1.4</v>
      </c>
      <c r="B24" s="26" t="s">
        <v>105</v>
      </c>
      <c r="C24" s="1" t="s">
        <v>127</v>
      </c>
      <c r="D24" s="1">
        <v>2.2000000000000002</v>
      </c>
      <c r="E24" s="1" t="s">
        <v>160</v>
      </c>
      <c r="F24" s="1">
        <v>15</v>
      </c>
      <c r="G24" s="37">
        <f t="shared" si="1"/>
        <v>7.82</v>
      </c>
      <c r="H24" s="4" t="s">
        <v>9</v>
      </c>
      <c r="I24" s="3">
        <v>1</v>
      </c>
      <c r="J24" s="1">
        <v>92</v>
      </c>
      <c r="K24" s="34">
        <f t="shared" si="0"/>
        <v>17.2</v>
      </c>
      <c r="L24" s="27" t="s">
        <v>164</v>
      </c>
    </row>
    <row r="25" spans="1:20" ht="39.950000000000003" customHeight="1">
      <c r="A25" s="4">
        <v>1.5</v>
      </c>
      <c r="B25" s="26" t="s">
        <v>140</v>
      </c>
      <c r="C25" s="1" t="s">
        <v>127</v>
      </c>
      <c r="D25" s="1">
        <v>2.4</v>
      </c>
      <c r="E25" s="1" t="s">
        <v>160</v>
      </c>
      <c r="F25" s="1">
        <v>15</v>
      </c>
      <c r="G25" s="37">
        <f t="shared" si="1"/>
        <v>7.82</v>
      </c>
      <c r="H25" s="4" t="s">
        <v>9</v>
      </c>
      <c r="I25" s="4">
        <v>1</v>
      </c>
      <c r="J25" s="38">
        <v>89</v>
      </c>
      <c r="K25" s="34">
        <f t="shared" si="0"/>
        <v>18.77</v>
      </c>
      <c r="L25" s="34" t="s">
        <v>141</v>
      </c>
    </row>
    <row r="26" spans="1:20" ht="39.950000000000003" customHeight="1">
      <c r="A26" s="1">
        <v>1.6</v>
      </c>
      <c r="B26" s="26" t="s">
        <v>165</v>
      </c>
      <c r="C26" s="1" t="s">
        <v>127</v>
      </c>
      <c r="D26" s="1">
        <v>2.4</v>
      </c>
      <c r="E26" s="1" t="s">
        <v>160</v>
      </c>
      <c r="F26" s="1">
        <v>15</v>
      </c>
      <c r="G26" s="37">
        <f t="shared" si="1"/>
        <v>7.82</v>
      </c>
      <c r="H26" s="4" t="s">
        <v>9</v>
      </c>
      <c r="I26" s="3">
        <v>1</v>
      </c>
      <c r="J26" s="1">
        <v>97</v>
      </c>
      <c r="K26" s="34">
        <f t="shared" si="0"/>
        <v>18.77</v>
      </c>
      <c r="L26" s="27" t="s">
        <v>166</v>
      </c>
    </row>
    <row r="27" spans="1:20" ht="39.950000000000003" customHeight="1">
      <c r="A27" s="1">
        <v>1.8</v>
      </c>
      <c r="B27" s="26" t="s">
        <v>109</v>
      </c>
      <c r="C27" s="1" t="s">
        <v>127</v>
      </c>
      <c r="D27" s="1">
        <v>2.4</v>
      </c>
      <c r="E27" s="1" t="s">
        <v>160</v>
      </c>
      <c r="F27" s="1">
        <v>15</v>
      </c>
      <c r="G27" s="37">
        <f t="shared" si="1"/>
        <v>7.82</v>
      </c>
      <c r="H27" s="4" t="s">
        <v>9</v>
      </c>
      <c r="I27" s="4">
        <v>1</v>
      </c>
      <c r="J27" s="38">
        <f>106+13</f>
        <v>119</v>
      </c>
      <c r="K27" s="34">
        <f>ROUND(D27*G27*I27,2)</f>
        <v>18.77</v>
      </c>
      <c r="L27" s="34" t="s">
        <v>134</v>
      </c>
    </row>
    <row r="28" spans="1:20" ht="39.950000000000003" customHeight="1">
      <c r="A28" s="4">
        <v>1.7</v>
      </c>
      <c r="B28" s="26" t="s">
        <v>167</v>
      </c>
      <c r="C28" s="1" t="s">
        <v>127</v>
      </c>
      <c r="D28" s="1">
        <v>2.4</v>
      </c>
      <c r="E28" s="1" t="s">
        <v>160</v>
      </c>
      <c r="F28" s="1">
        <v>15</v>
      </c>
      <c r="G28" s="37">
        <f t="shared" si="1"/>
        <v>7.82</v>
      </c>
      <c r="H28" s="4" t="s">
        <v>9</v>
      </c>
      <c r="I28" s="4">
        <v>1</v>
      </c>
      <c r="J28" s="38">
        <f>108</f>
        <v>108</v>
      </c>
      <c r="K28" s="34">
        <f>ROUND(D28*G28*I28,2)</f>
        <v>18.77</v>
      </c>
      <c r="L28" s="34" t="s">
        <v>134</v>
      </c>
    </row>
    <row r="29" spans="1:20" ht="39.950000000000003" customHeight="1">
      <c r="A29" s="1">
        <v>1.8</v>
      </c>
      <c r="B29" s="26" t="s">
        <v>88</v>
      </c>
      <c r="C29" s="1" t="s">
        <v>127</v>
      </c>
      <c r="D29" s="1">
        <v>2.4</v>
      </c>
      <c r="E29" s="1" t="s">
        <v>160</v>
      </c>
      <c r="F29" s="1">
        <v>15</v>
      </c>
      <c r="G29" s="37">
        <f t="shared" si="1"/>
        <v>7.82</v>
      </c>
      <c r="H29" s="4" t="s">
        <v>9</v>
      </c>
      <c r="I29" s="4">
        <v>1</v>
      </c>
      <c r="J29" s="38">
        <f>108+13</f>
        <v>121</v>
      </c>
      <c r="K29" s="34">
        <f>ROUND(D29*G29*I29,2)</f>
        <v>18.77</v>
      </c>
      <c r="L29" s="34" t="s">
        <v>134</v>
      </c>
    </row>
    <row r="30" spans="1:20" ht="39.950000000000003" customHeight="1">
      <c r="A30" s="4">
        <v>1.9</v>
      </c>
      <c r="B30" s="26" t="s">
        <v>177</v>
      </c>
      <c r="C30" s="1" t="s">
        <v>127</v>
      </c>
      <c r="D30" s="1">
        <v>2.4</v>
      </c>
      <c r="E30" s="1" t="s">
        <v>160</v>
      </c>
      <c r="F30" s="1">
        <v>15</v>
      </c>
      <c r="G30" s="37">
        <f t="shared" si="1"/>
        <v>7.82</v>
      </c>
      <c r="H30" s="4" t="s">
        <v>9</v>
      </c>
      <c r="I30" s="4">
        <v>1</v>
      </c>
      <c r="J30" s="38">
        <v>113</v>
      </c>
      <c r="K30" s="34">
        <f>ROUND(D30*G30*I30,2)</f>
        <v>18.77</v>
      </c>
      <c r="L30" s="34" t="s">
        <v>134</v>
      </c>
    </row>
    <row r="31" spans="1:20" ht="39.950000000000003" customHeight="1">
      <c r="A31" s="3">
        <v>1.1000000000000001</v>
      </c>
      <c r="B31" s="26" t="s">
        <v>176</v>
      </c>
      <c r="C31" s="1" t="s">
        <v>127</v>
      </c>
      <c r="D31" s="1">
        <v>2.4</v>
      </c>
      <c r="E31" s="1" t="s">
        <v>160</v>
      </c>
      <c r="F31" s="1">
        <v>15</v>
      </c>
      <c r="G31" s="37">
        <f t="shared" si="1"/>
        <v>7.82</v>
      </c>
      <c r="H31" s="4" t="s">
        <v>9</v>
      </c>
      <c r="I31" s="4">
        <v>1</v>
      </c>
      <c r="J31" s="38">
        <f>113+13</f>
        <v>126</v>
      </c>
      <c r="K31" s="34">
        <f t="shared" ref="K31:K40" si="2">ROUND(D31*G31*I31,2)</f>
        <v>18.77</v>
      </c>
      <c r="L31" s="34" t="s">
        <v>134</v>
      </c>
    </row>
    <row r="32" spans="1:20" ht="39.950000000000003" customHeight="1">
      <c r="A32" s="3">
        <v>1.1100000000000001</v>
      </c>
      <c r="B32" s="26" t="s">
        <v>108</v>
      </c>
      <c r="C32" s="1" t="s">
        <v>145</v>
      </c>
      <c r="D32" s="1">
        <v>1</v>
      </c>
      <c r="E32" s="1" t="s">
        <v>255</v>
      </c>
      <c r="F32" s="1">
        <v>240</v>
      </c>
      <c r="G32" s="37">
        <f t="shared" si="1"/>
        <v>64.31</v>
      </c>
      <c r="H32" s="4" t="s">
        <v>9</v>
      </c>
      <c r="I32" s="4">
        <v>1</v>
      </c>
      <c r="J32" s="1">
        <v>1600</v>
      </c>
      <c r="K32" s="34">
        <f t="shared" si="2"/>
        <v>64.31</v>
      </c>
      <c r="L32" s="27" t="s">
        <v>161</v>
      </c>
    </row>
    <row r="33" spans="1:12" ht="39.950000000000003" customHeight="1">
      <c r="A33" s="3">
        <v>1.1200000000000001</v>
      </c>
      <c r="B33" s="26" t="s">
        <v>126</v>
      </c>
      <c r="C33" s="1" t="s">
        <v>145</v>
      </c>
      <c r="D33" s="1">
        <v>1</v>
      </c>
      <c r="E33" s="1" t="s">
        <v>255</v>
      </c>
      <c r="F33" s="1">
        <v>240</v>
      </c>
      <c r="G33" s="37">
        <f t="shared" si="1"/>
        <v>64.31</v>
      </c>
      <c r="H33" s="4" t="s">
        <v>9</v>
      </c>
      <c r="I33" s="4">
        <v>1</v>
      </c>
      <c r="J33" s="1">
        <v>1520</v>
      </c>
      <c r="K33" s="34">
        <f t="shared" si="2"/>
        <v>64.31</v>
      </c>
      <c r="L33" s="27" t="s">
        <v>146</v>
      </c>
    </row>
    <row r="34" spans="1:12" ht="39.950000000000003" customHeight="1">
      <c r="A34" s="3">
        <v>1.1299999999999999</v>
      </c>
      <c r="B34" s="26" t="s">
        <v>112</v>
      </c>
      <c r="C34" s="1" t="s">
        <v>102</v>
      </c>
      <c r="D34" s="1">
        <v>1</v>
      </c>
      <c r="E34" s="1" t="s">
        <v>254</v>
      </c>
      <c r="F34" s="1">
        <v>110</v>
      </c>
      <c r="G34" s="37">
        <f t="shared" si="1"/>
        <v>33.64</v>
      </c>
      <c r="H34" s="4" t="s">
        <v>9</v>
      </c>
      <c r="I34" s="3">
        <v>1</v>
      </c>
      <c r="J34" s="1">
        <v>101.7</v>
      </c>
      <c r="K34" s="34">
        <f t="shared" si="2"/>
        <v>33.64</v>
      </c>
      <c r="L34" s="27" t="s">
        <v>157</v>
      </c>
    </row>
    <row r="35" spans="1:12" ht="39.950000000000003" customHeight="1">
      <c r="A35" s="3">
        <v>1.1399999999999999</v>
      </c>
      <c r="B35" s="26" t="s">
        <v>113</v>
      </c>
      <c r="C35" s="1" t="s">
        <v>102</v>
      </c>
      <c r="D35" s="1">
        <v>1</v>
      </c>
      <c r="E35" s="1" t="s">
        <v>254</v>
      </c>
      <c r="F35" s="1">
        <v>110</v>
      </c>
      <c r="G35" s="37">
        <f t="shared" si="1"/>
        <v>33.64</v>
      </c>
      <c r="H35" s="4" t="s">
        <v>9</v>
      </c>
      <c r="I35" s="3">
        <v>1</v>
      </c>
      <c r="J35" s="1">
        <v>110.2</v>
      </c>
      <c r="K35" s="34">
        <f t="shared" si="2"/>
        <v>33.64</v>
      </c>
      <c r="L35" s="27" t="s">
        <v>158</v>
      </c>
    </row>
    <row r="36" spans="1:12" ht="39.950000000000003" customHeight="1">
      <c r="A36" s="3">
        <v>1.1499999999999999</v>
      </c>
      <c r="B36" s="26" t="s">
        <v>121</v>
      </c>
      <c r="C36" s="1" t="s">
        <v>127</v>
      </c>
      <c r="D36" s="1">
        <v>1.6</v>
      </c>
      <c r="E36" s="1" t="s">
        <v>151</v>
      </c>
      <c r="F36" s="1">
        <v>20</v>
      </c>
      <c r="G36" s="37">
        <f t="shared" si="1"/>
        <v>9.75</v>
      </c>
      <c r="H36" s="4" t="s">
        <v>9</v>
      </c>
      <c r="I36" s="4">
        <v>1</v>
      </c>
      <c r="J36" s="38">
        <v>17</v>
      </c>
      <c r="K36" s="34">
        <f t="shared" si="2"/>
        <v>15.6</v>
      </c>
      <c r="L36" s="34" t="s">
        <v>135</v>
      </c>
    </row>
    <row r="37" spans="1:12" ht="39.950000000000003" customHeight="1">
      <c r="A37" s="3">
        <v>1.1599999999999999</v>
      </c>
      <c r="B37" s="26" t="s">
        <v>96</v>
      </c>
      <c r="C37" s="1" t="s">
        <v>127</v>
      </c>
      <c r="D37" s="1">
        <v>1.55</v>
      </c>
      <c r="E37" s="1" t="s">
        <v>151</v>
      </c>
      <c r="F37" s="1">
        <v>20</v>
      </c>
      <c r="G37" s="37">
        <f t="shared" si="1"/>
        <v>9.75</v>
      </c>
      <c r="H37" s="4" t="s">
        <v>9</v>
      </c>
      <c r="I37" s="4">
        <v>1</v>
      </c>
      <c r="J37" s="1">
        <v>12.7</v>
      </c>
      <c r="K37" s="34">
        <f t="shared" si="2"/>
        <v>15.11</v>
      </c>
      <c r="L37" s="27" t="s">
        <v>148</v>
      </c>
    </row>
    <row r="38" spans="1:12" ht="39.950000000000003" customHeight="1">
      <c r="A38" s="3">
        <v>1.17</v>
      </c>
      <c r="B38" s="26" t="s">
        <v>122</v>
      </c>
      <c r="C38" s="1" t="s">
        <v>127</v>
      </c>
      <c r="D38" s="1">
        <v>1.5</v>
      </c>
      <c r="E38" s="1" t="s">
        <v>160</v>
      </c>
      <c r="F38" s="1">
        <v>15</v>
      </c>
      <c r="G38" s="37">
        <f t="shared" si="1"/>
        <v>7.82</v>
      </c>
      <c r="H38" s="4" t="s">
        <v>9</v>
      </c>
      <c r="I38" s="4">
        <v>1</v>
      </c>
      <c r="J38" s="1">
        <v>28</v>
      </c>
      <c r="K38" s="34">
        <f t="shared" si="2"/>
        <v>11.73</v>
      </c>
      <c r="L38" s="1" t="s">
        <v>139</v>
      </c>
    </row>
    <row r="39" spans="1:12" ht="39.950000000000003" customHeight="1">
      <c r="A39" s="3">
        <v>1.18</v>
      </c>
      <c r="B39" s="26" t="s">
        <v>169</v>
      </c>
      <c r="C39" s="1" t="s">
        <v>127</v>
      </c>
      <c r="D39" s="1">
        <v>1.5</v>
      </c>
      <c r="E39" s="1" t="s">
        <v>160</v>
      </c>
      <c r="F39" s="1">
        <v>15</v>
      </c>
      <c r="G39" s="37">
        <f t="shared" si="1"/>
        <v>7.82</v>
      </c>
      <c r="H39" s="4" t="s">
        <v>9</v>
      </c>
      <c r="I39" s="3">
        <v>1</v>
      </c>
      <c r="J39" s="1">
        <v>38</v>
      </c>
      <c r="K39" s="34">
        <f t="shared" si="2"/>
        <v>11.73</v>
      </c>
      <c r="L39" s="27" t="s">
        <v>170</v>
      </c>
    </row>
    <row r="40" spans="1:12" ht="39.950000000000003" customHeight="1">
      <c r="A40" s="3">
        <v>1.19</v>
      </c>
      <c r="B40" s="1" t="s">
        <v>149</v>
      </c>
      <c r="C40" s="1" t="s">
        <v>127</v>
      </c>
      <c r="D40" s="1">
        <v>2</v>
      </c>
      <c r="E40" s="1" t="s">
        <v>151</v>
      </c>
      <c r="F40" s="1">
        <v>20</v>
      </c>
      <c r="G40" s="37">
        <f t="shared" si="1"/>
        <v>9.75</v>
      </c>
      <c r="H40" s="4" t="s">
        <v>9</v>
      </c>
      <c r="I40" s="4">
        <v>1</v>
      </c>
      <c r="J40" s="1">
        <v>15</v>
      </c>
      <c r="K40" s="34">
        <f t="shared" si="2"/>
        <v>19.5</v>
      </c>
      <c r="L40" s="27" t="s">
        <v>150</v>
      </c>
    </row>
    <row r="41" spans="1:12" ht="39.950000000000003" customHeight="1">
      <c r="A41" s="3">
        <v>1.2</v>
      </c>
      <c r="B41" s="1" t="s">
        <v>234</v>
      </c>
      <c r="C41" s="1" t="s">
        <v>127</v>
      </c>
      <c r="D41" s="1">
        <v>2</v>
      </c>
      <c r="E41" s="1" t="s">
        <v>151</v>
      </c>
      <c r="F41" s="1">
        <v>20</v>
      </c>
      <c r="G41" s="37">
        <f t="shared" si="1"/>
        <v>9.75</v>
      </c>
      <c r="H41" s="4" t="s">
        <v>9</v>
      </c>
      <c r="I41" s="4">
        <v>1</v>
      </c>
      <c r="J41" s="1">
        <v>18</v>
      </c>
      <c r="K41" s="34">
        <f>ROUND(D41*G41*I41,2)</f>
        <v>19.5</v>
      </c>
      <c r="L41" s="27" t="s">
        <v>150</v>
      </c>
    </row>
    <row r="42" spans="1:12" ht="39.950000000000003" customHeight="1">
      <c r="A42" s="3">
        <v>1.21</v>
      </c>
      <c r="B42" s="26" t="s">
        <v>89</v>
      </c>
      <c r="C42" s="1" t="s">
        <v>132</v>
      </c>
      <c r="D42" s="1">
        <f>0.4*1*0.6</f>
        <v>0.24</v>
      </c>
      <c r="E42" s="1" t="s">
        <v>233</v>
      </c>
      <c r="F42" s="1">
        <v>130</v>
      </c>
      <c r="G42" s="37">
        <f t="shared" si="1"/>
        <v>38.54</v>
      </c>
      <c r="H42" s="4" t="s">
        <v>9</v>
      </c>
      <c r="I42" s="4">
        <v>1</v>
      </c>
      <c r="J42" s="38">
        <v>16</v>
      </c>
      <c r="K42" s="34">
        <f t="shared" ref="K42:K68" si="3">ROUND(D42*G42*I42,2)</f>
        <v>9.25</v>
      </c>
      <c r="L42" s="34" t="s">
        <v>136</v>
      </c>
    </row>
    <row r="43" spans="1:12" ht="39.950000000000003" customHeight="1">
      <c r="A43" s="3">
        <v>1.22</v>
      </c>
      <c r="B43" s="26" t="s">
        <v>125</v>
      </c>
      <c r="C43" s="1" t="s">
        <v>127</v>
      </c>
      <c r="D43" s="1">
        <v>0.6</v>
      </c>
      <c r="E43" s="1" t="s">
        <v>233</v>
      </c>
      <c r="F43" s="1">
        <v>130</v>
      </c>
      <c r="G43" s="37">
        <f t="shared" si="1"/>
        <v>38.54</v>
      </c>
      <c r="H43" s="4" t="s">
        <v>9</v>
      </c>
      <c r="I43" s="4">
        <v>1</v>
      </c>
      <c r="J43" s="38">
        <v>443</v>
      </c>
      <c r="K43" s="34">
        <f t="shared" si="3"/>
        <v>23.12</v>
      </c>
      <c r="L43" s="39" t="s">
        <v>144</v>
      </c>
    </row>
    <row r="44" spans="1:12" ht="39.950000000000003" customHeight="1">
      <c r="A44" s="3">
        <v>1.23</v>
      </c>
      <c r="B44" s="26" t="s">
        <v>90</v>
      </c>
      <c r="C44" s="1" t="s">
        <v>127</v>
      </c>
      <c r="D44" s="1">
        <v>0.6</v>
      </c>
      <c r="E44" s="1" t="s">
        <v>233</v>
      </c>
      <c r="F44" s="1">
        <v>130</v>
      </c>
      <c r="G44" s="37">
        <f t="shared" si="1"/>
        <v>38.54</v>
      </c>
      <c r="H44" s="4" t="s">
        <v>9</v>
      </c>
      <c r="I44" s="4">
        <v>1</v>
      </c>
      <c r="J44" s="38">
        <v>475</v>
      </c>
      <c r="K44" s="34">
        <f t="shared" si="3"/>
        <v>23.12</v>
      </c>
      <c r="L44" s="39" t="s">
        <v>137</v>
      </c>
    </row>
    <row r="45" spans="1:12" ht="39.950000000000003" customHeight="1">
      <c r="A45" s="3">
        <v>1.24</v>
      </c>
      <c r="B45" s="26" t="s">
        <v>175</v>
      </c>
      <c r="C45" s="1" t="s">
        <v>127</v>
      </c>
      <c r="D45" s="1">
        <v>0.6</v>
      </c>
      <c r="E45" s="1" t="s">
        <v>233</v>
      </c>
      <c r="F45" s="1">
        <v>130</v>
      </c>
      <c r="G45" s="37">
        <f t="shared" si="1"/>
        <v>38.54</v>
      </c>
      <c r="H45" s="4" t="s">
        <v>9</v>
      </c>
      <c r="I45" s="4">
        <v>1</v>
      </c>
      <c r="J45" s="4">
        <v>521</v>
      </c>
      <c r="K45" s="34">
        <f>ROUND(D45*G45*I45,2)</f>
        <v>23.12</v>
      </c>
      <c r="L45" s="39" t="s">
        <v>137</v>
      </c>
    </row>
    <row r="46" spans="1:12" ht="39.950000000000003" customHeight="1">
      <c r="A46" s="3">
        <v>1.25</v>
      </c>
      <c r="B46" s="1" t="s">
        <v>124</v>
      </c>
      <c r="C46" s="1" t="s">
        <v>127</v>
      </c>
      <c r="D46" s="1">
        <v>0.7</v>
      </c>
      <c r="E46" s="1" t="s">
        <v>233</v>
      </c>
      <c r="F46" s="1">
        <v>130</v>
      </c>
      <c r="G46" s="37">
        <f t="shared" si="1"/>
        <v>38.54</v>
      </c>
      <c r="H46" s="4" t="s">
        <v>9</v>
      </c>
      <c r="I46" s="4">
        <v>1</v>
      </c>
      <c r="J46" s="1">
        <v>280</v>
      </c>
      <c r="K46" s="34">
        <f t="shared" si="3"/>
        <v>26.98</v>
      </c>
      <c r="L46" s="27" t="s">
        <v>143</v>
      </c>
    </row>
    <row r="47" spans="1:12" ht="39.950000000000003" customHeight="1">
      <c r="A47" s="3">
        <v>1.26</v>
      </c>
      <c r="B47" s="26" t="s">
        <v>100</v>
      </c>
      <c r="C47" s="1" t="s">
        <v>145</v>
      </c>
      <c r="D47" s="1">
        <v>1</v>
      </c>
      <c r="E47" s="1" t="s">
        <v>160</v>
      </c>
      <c r="F47" s="1">
        <v>15</v>
      </c>
      <c r="G47" s="37">
        <f t="shared" si="1"/>
        <v>7.82</v>
      </c>
      <c r="H47" s="4" t="s">
        <v>9</v>
      </c>
      <c r="I47" s="4">
        <v>1</v>
      </c>
      <c r="J47" s="1">
        <v>995</v>
      </c>
      <c r="K47" s="34">
        <f>ROUND(D47*G47*I47,2)</f>
        <v>7.82</v>
      </c>
      <c r="L47" s="27" t="s">
        <v>147</v>
      </c>
    </row>
    <row r="48" spans="1:12" ht="39.950000000000003" customHeight="1">
      <c r="A48" s="3">
        <v>1.27</v>
      </c>
      <c r="B48" s="26" t="s">
        <v>87</v>
      </c>
      <c r="C48" s="1" t="s">
        <v>102</v>
      </c>
      <c r="D48" s="1">
        <v>1</v>
      </c>
      <c r="E48" s="1" t="s">
        <v>160</v>
      </c>
      <c r="F48" s="1">
        <v>15</v>
      </c>
      <c r="G48" s="37">
        <f t="shared" si="1"/>
        <v>7.82</v>
      </c>
      <c r="H48" s="4" t="s">
        <v>9</v>
      </c>
      <c r="I48" s="3">
        <v>1</v>
      </c>
      <c r="J48" s="1">
        <v>1250</v>
      </c>
      <c r="K48" s="34">
        <f>ROUND(D48*G48*I48,2)</f>
        <v>7.82</v>
      </c>
      <c r="L48" s="27" t="s">
        <v>156</v>
      </c>
    </row>
    <row r="49" spans="1:12" ht="39.950000000000003" customHeight="1">
      <c r="A49" s="3">
        <v>1.28</v>
      </c>
      <c r="B49" s="22" t="s">
        <v>114</v>
      </c>
      <c r="C49" s="1" t="s">
        <v>172</v>
      </c>
      <c r="D49" s="1">
        <v>3.5999999999999999E-3</v>
      </c>
      <c r="E49" s="1" t="s">
        <v>160</v>
      </c>
      <c r="F49" s="1">
        <v>15</v>
      </c>
      <c r="G49" s="37">
        <f t="shared" si="1"/>
        <v>7.82</v>
      </c>
      <c r="H49" s="4" t="s">
        <v>9</v>
      </c>
      <c r="I49" s="3">
        <v>1</v>
      </c>
      <c r="J49" s="1">
        <v>0.41</v>
      </c>
      <c r="K49" s="34">
        <f>ROUND(D49*G49*I49,2)</f>
        <v>0.03</v>
      </c>
      <c r="L49" s="27" t="s">
        <v>173</v>
      </c>
    </row>
    <row r="50" spans="1:12" ht="39.950000000000003" customHeight="1">
      <c r="A50" s="3">
        <v>1.29</v>
      </c>
      <c r="B50" s="26" t="s">
        <v>99</v>
      </c>
      <c r="C50" s="1" t="s">
        <v>102</v>
      </c>
      <c r="D50" s="1">
        <v>1</v>
      </c>
      <c r="E50" s="1" t="s">
        <v>255</v>
      </c>
      <c r="F50" s="1">
        <v>240</v>
      </c>
      <c r="G50" s="37">
        <f t="shared" si="1"/>
        <v>64.31</v>
      </c>
      <c r="H50" s="4" t="s">
        <v>9</v>
      </c>
      <c r="I50" s="3">
        <v>1</v>
      </c>
      <c r="J50" s="1">
        <v>1810</v>
      </c>
      <c r="K50" s="34">
        <f t="shared" si="3"/>
        <v>64.31</v>
      </c>
      <c r="L50" s="27" t="s">
        <v>159</v>
      </c>
    </row>
    <row r="51" spans="1:12" ht="39.950000000000003" customHeight="1">
      <c r="A51" s="3">
        <v>1.3</v>
      </c>
      <c r="B51" s="26" t="s">
        <v>103</v>
      </c>
      <c r="C51" s="1" t="s">
        <v>102</v>
      </c>
      <c r="D51" s="1">
        <v>1</v>
      </c>
      <c r="E51" s="1" t="s">
        <v>255</v>
      </c>
      <c r="F51" s="1">
        <v>240</v>
      </c>
      <c r="G51" s="37">
        <f t="shared" si="1"/>
        <v>64.31</v>
      </c>
      <c r="H51" s="4" t="s">
        <v>9</v>
      </c>
      <c r="I51" s="3">
        <v>1</v>
      </c>
      <c r="J51" s="1">
        <v>1830</v>
      </c>
      <c r="K51" s="34">
        <f t="shared" si="3"/>
        <v>64.31</v>
      </c>
      <c r="L51" s="27" t="s">
        <v>162</v>
      </c>
    </row>
    <row r="52" spans="1:12" ht="39.950000000000003" customHeight="1">
      <c r="A52" s="3">
        <v>1.31</v>
      </c>
      <c r="B52" s="26" t="s">
        <v>106</v>
      </c>
      <c r="C52" s="1" t="s">
        <v>102</v>
      </c>
      <c r="D52" s="1">
        <v>1</v>
      </c>
      <c r="E52" s="1" t="s">
        <v>255</v>
      </c>
      <c r="F52" s="1">
        <v>240</v>
      </c>
      <c r="G52" s="37">
        <f t="shared" si="1"/>
        <v>64.31</v>
      </c>
      <c r="H52" s="4" t="s">
        <v>9</v>
      </c>
      <c r="I52" s="3">
        <v>1</v>
      </c>
      <c r="J52" s="1">
        <v>2087</v>
      </c>
      <c r="K52" s="34">
        <f t="shared" si="3"/>
        <v>64.31</v>
      </c>
      <c r="L52" s="27" t="s">
        <v>159</v>
      </c>
    </row>
    <row r="53" spans="1:12" ht="39.950000000000003" customHeight="1">
      <c r="A53" s="3">
        <v>1.32</v>
      </c>
      <c r="B53" s="26" t="s">
        <v>107</v>
      </c>
      <c r="C53" s="1" t="s">
        <v>102</v>
      </c>
      <c r="D53" s="1">
        <v>1</v>
      </c>
      <c r="E53" s="1" t="s">
        <v>255</v>
      </c>
      <c r="F53" s="1">
        <v>240</v>
      </c>
      <c r="G53" s="37">
        <f t="shared" si="1"/>
        <v>64.31</v>
      </c>
      <c r="H53" s="4" t="s">
        <v>9</v>
      </c>
      <c r="I53" s="3">
        <v>1</v>
      </c>
      <c r="J53" s="1">
        <v>1920</v>
      </c>
      <c r="K53" s="34">
        <f t="shared" si="3"/>
        <v>64.31</v>
      </c>
      <c r="L53" s="27" t="s">
        <v>163</v>
      </c>
    </row>
    <row r="54" spans="1:12" ht="39.950000000000003" customHeight="1">
      <c r="A54" s="3">
        <v>1.33</v>
      </c>
      <c r="B54" s="26" t="s">
        <v>235</v>
      </c>
      <c r="C54" s="1" t="s">
        <v>172</v>
      </c>
      <c r="D54" s="1">
        <f>2.5*6.26/1000</f>
        <v>1.5649999999999997E-2</v>
      </c>
      <c r="E54" s="1" t="s">
        <v>255</v>
      </c>
      <c r="F54" s="1">
        <v>240</v>
      </c>
      <c r="G54" s="37">
        <f t="shared" si="1"/>
        <v>64.31</v>
      </c>
      <c r="H54" s="4" t="s">
        <v>9</v>
      </c>
      <c r="I54" s="3">
        <v>1</v>
      </c>
      <c r="J54" s="1">
        <f>11.6*2.5</f>
        <v>29</v>
      </c>
      <c r="K54" s="34">
        <f t="shared" si="3"/>
        <v>1.01</v>
      </c>
      <c r="L54" s="27" t="s">
        <v>174</v>
      </c>
    </row>
    <row r="55" spans="1:12" ht="39.950000000000003" customHeight="1">
      <c r="A55" s="3">
        <v>1.34</v>
      </c>
      <c r="B55" s="26" t="s">
        <v>236</v>
      </c>
      <c r="C55" s="1" t="s">
        <v>172</v>
      </c>
      <c r="D55" s="1">
        <f>3.5*9.77/1000</f>
        <v>3.4195000000000003E-2</v>
      </c>
      <c r="E55" s="1" t="s">
        <v>255</v>
      </c>
      <c r="F55" s="1">
        <v>240</v>
      </c>
      <c r="G55" s="37">
        <f t="shared" si="1"/>
        <v>64.31</v>
      </c>
      <c r="H55" s="4" t="s">
        <v>9</v>
      </c>
      <c r="I55" s="3">
        <v>1</v>
      </c>
      <c r="J55" s="1">
        <f>17.3*3.5</f>
        <v>60.550000000000004</v>
      </c>
      <c r="K55" s="34">
        <f t="shared" si="3"/>
        <v>2.2000000000000002</v>
      </c>
      <c r="L55" s="27" t="s">
        <v>174</v>
      </c>
    </row>
    <row r="56" spans="1:12" ht="39.950000000000003" customHeight="1">
      <c r="A56" s="3">
        <v>1.35</v>
      </c>
      <c r="B56" s="26" t="s">
        <v>237</v>
      </c>
      <c r="C56" s="1" t="s">
        <v>172</v>
      </c>
      <c r="D56" s="1">
        <f>4*10.85/1000</f>
        <v>4.3400000000000001E-2</v>
      </c>
      <c r="E56" s="1" t="s">
        <v>255</v>
      </c>
      <c r="F56" s="1">
        <v>240</v>
      </c>
      <c r="G56" s="37">
        <f t="shared" si="1"/>
        <v>64.31</v>
      </c>
      <c r="H56" s="4" t="s">
        <v>9</v>
      </c>
      <c r="I56" s="3">
        <v>1</v>
      </c>
      <c r="J56" s="1">
        <f>18.3*4</f>
        <v>73.2</v>
      </c>
      <c r="K56" s="34">
        <f t="shared" si="3"/>
        <v>2.79</v>
      </c>
      <c r="L56" s="27" t="s">
        <v>174</v>
      </c>
    </row>
    <row r="57" spans="1:12" ht="39.950000000000003" customHeight="1">
      <c r="A57" s="3">
        <v>1.36</v>
      </c>
      <c r="B57" s="26" t="s">
        <v>181</v>
      </c>
      <c r="C57" s="1" t="s">
        <v>102</v>
      </c>
      <c r="D57" s="1">
        <v>1</v>
      </c>
      <c r="E57" s="1" t="s">
        <v>255</v>
      </c>
      <c r="F57" s="1">
        <v>240</v>
      </c>
      <c r="G57" s="37">
        <f t="shared" si="1"/>
        <v>64.31</v>
      </c>
      <c r="H57" s="4" t="s">
        <v>9</v>
      </c>
      <c r="I57" s="3">
        <v>1</v>
      </c>
      <c r="J57" s="4">
        <v>1851</v>
      </c>
      <c r="K57" s="34">
        <f t="shared" si="3"/>
        <v>64.31</v>
      </c>
      <c r="L57" s="27" t="s">
        <v>174</v>
      </c>
    </row>
    <row r="58" spans="1:12" ht="39.950000000000003" customHeight="1">
      <c r="A58" s="3">
        <v>1.37</v>
      </c>
      <c r="B58" s="26" t="s">
        <v>238</v>
      </c>
      <c r="C58" s="1" t="s">
        <v>102</v>
      </c>
      <c r="D58" s="1">
        <v>1</v>
      </c>
      <c r="E58" s="1" t="s">
        <v>255</v>
      </c>
      <c r="F58" s="1">
        <v>240</v>
      </c>
      <c r="G58" s="37">
        <f t="shared" si="1"/>
        <v>64.31</v>
      </c>
      <c r="H58" s="4" t="s">
        <v>9</v>
      </c>
      <c r="I58" s="3">
        <v>1</v>
      </c>
      <c r="J58" s="4">
        <v>1870</v>
      </c>
      <c r="K58" s="34">
        <f t="shared" si="3"/>
        <v>64.31</v>
      </c>
      <c r="L58" s="27" t="s">
        <v>174</v>
      </c>
    </row>
    <row r="59" spans="1:12" ht="39.950000000000003" customHeight="1">
      <c r="A59" s="3">
        <v>1.38</v>
      </c>
      <c r="B59" s="26" t="s">
        <v>239</v>
      </c>
      <c r="C59" s="1" t="s">
        <v>102</v>
      </c>
      <c r="D59" s="1">
        <v>1</v>
      </c>
      <c r="E59" s="1" t="s">
        <v>255</v>
      </c>
      <c r="F59" s="1">
        <v>240</v>
      </c>
      <c r="G59" s="37">
        <f t="shared" si="1"/>
        <v>64.31</v>
      </c>
      <c r="H59" s="4" t="s">
        <v>9</v>
      </c>
      <c r="I59" s="3">
        <v>1</v>
      </c>
      <c r="J59" s="4">
        <v>1920</v>
      </c>
      <c r="K59" s="34">
        <f t="shared" si="3"/>
        <v>64.31</v>
      </c>
      <c r="L59" s="27" t="s">
        <v>174</v>
      </c>
    </row>
    <row r="60" spans="1:12" ht="39.950000000000003" customHeight="1">
      <c r="A60" s="3">
        <v>1.39</v>
      </c>
      <c r="B60" s="26" t="s">
        <v>240</v>
      </c>
      <c r="C60" s="1" t="s">
        <v>152</v>
      </c>
      <c r="D60" s="1">
        <v>1.41E-3</v>
      </c>
      <c r="E60" s="1" t="s">
        <v>255</v>
      </c>
      <c r="F60" s="1">
        <v>240</v>
      </c>
      <c r="G60" s="37">
        <f t="shared" si="1"/>
        <v>64.31</v>
      </c>
      <c r="H60" s="4" t="s">
        <v>9</v>
      </c>
      <c r="I60" s="3">
        <v>1</v>
      </c>
      <c r="J60" s="4">
        <v>4</v>
      </c>
      <c r="K60" s="34">
        <f t="shared" si="3"/>
        <v>0.09</v>
      </c>
      <c r="L60" s="27" t="s">
        <v>174</v>
      </c>
    </row>
    <row r="61" spans="1:12" ht="39.950000000000003" customHeight="1">
      <c r="A61" s="3">
        <v>1.4</v>
      </c>
      <c r="B61" s="26" t="s">
        <v>241</v>
      </c>
      <c r="C61" s="1" t="s">
        <v>172</v>
      </c>
      <c r="D61" s="1">
        <v>1.7500000000000002E-2</v>
      </c>
      <c r="E61" s="1" t="s">
        <v>255</v>
      </c>
      <c r="F61" s="1">
        <v>240</v>
      </c>
      <c r="G61" s="37">
        <f t="shared" si="1"/>
        <v>64.31</v>
      </c>
      <c r="H61" s="4" t="s">
        <v>9</v>
      </c>
      <c r="I61" s="3">
        <v>1</v>
      </c>
      <c r="J61" s="4">
        <v>72.900000000000006</v>
      </c>
      <c r="K61" s="34">
        <f t="shared" si="3"/>
        <v>1.1299999999999999</v>
      </c>
      <c r="L61" s="27" t="s">
        <v>242</v>
      </c>
    </row>
    <row r="62" spans="1:12" ht="39.950000000000003" customHeight="1">
      <c r="A62" s="3">
        <v>1.41</v>
      </c>
      <c r="B62" s="26" t="s">
        <v>243</v>
      </c>
      <c r="C62" s="1" t="s">
        <v>172</v>
      </c>
      <c r="D62" s="1">
        <v>1.32E-2</v>
      </c>
      <c r="E62" s="1" t="s">
        <v>255</v>
      </c>
      <c r="F62" s="1">
        <v>240</v>
      </c>
      <c r="G62" s="37">
        <f t="shared" si="1"/>
        <v>64.31</v>
      </c>
      <c r="H62" s="4" t="s">
        <v>9</v>
      </c>
      <c r="I62" s="3">
        <v>1</v>
      </c>
      <c r="J62" s="4">
        <v>56.8</v>
      </c>
      <c r="K62" s="34">
        <f t="shared" si="3"/>
        <v>0.85</v>
      </c>
      <c r="L62" s="27" t="s">
        <v>244</v>
      </c>
    </row>
    <row r="63" spans="1:12" ht="39.950000000000003" customHeight="1">
      <c r="A63" s="3">
        <v>1.42</v>
      </c>
      <c r="B63" s="26" t="s">
        <v>178</v>
      </c>
      <c r="C63" s="1" t="s">
        <v>102</v>
      </c>
      <c r="D63" s="1">
        <v>1</v>
      </c>
      <c r="E63" s="1" t="s">
        <v>255</v>
      </c>
      <c r="F63" s="1">
        <v>240</v>
      </c>
      <c r="G63" s="37">
        <f t="shared" si="1"/>
        <v>64.31</v>
      </c>
      <c r="H63" s="4" t="s">
        <v>9</v>
      </c>
      <c r="I63" s="3">
        <v>1</v>
      </c>
      <c r="J63" s="1">
        <v>3200</v>
      </c>
      <c r="K63" s="34">
        <f t="shared" si="3"/>
        <v>64.31</v>
      </c>
      <c r="L63" s="27" t="s">
        <v>174</v>
      </c>
    </row>
    <row r="64" spans="1:12" ht="39.950000000000003" customHeight="1">
      <c r="A64" s="3">
        <v>1.43</v>
      </c>
      <c r="B64" s="26" t="s">
        <v>179</v>
      </c>
      <c r="C64" s="1" t="s">
        <v>152</v>
      </c>
      <c r="D64" s="1">
        <f>(0.3*0.3*2400)/1000</f>
        <v>0.216</v>
      </c>
      <c r="E64" s="1" t="s">
        <v>255</v>
      </c>
      <c r="F64" s="1">
        <v>240</v>
      </c>
      <c r="G64" s="37">
        <f t="shared" si="1"/>
        <v>64.31</v>
      </c>
      <c r="H64" s="4" t="s">
        <v>9</v>
      </c>
      <c r="I64" s="3">
        <v>1</v>
      </c>
      <c r="J64" s="4">
        <v>97</v>
      </c>
      <c r="K64" s="34">
        <f t="shared" si="3"/>
        <v>13.89</v>
      </c>
      <c r="L64" s="27" t="s">
        <v>174</v>
      </c>
    </row>
    <row r="65" spans="1:20" ht="39.950000000000003" customHeight="1">
      <c r="A65" s="3">
        <v>1.44</v>
      </c>
      <c r="B65" s="26" t="s">
        <v>180</v>
      </c>
      <c r="C65" s="1" t="s">
        <v>127</v>
      </c>
      <c r="D65" s="1">
        <v>2.4</v>
      </c>
      <c r="E65" s="1" t="s">
        <v>160</v>
      </c>
      <c r="F65" s="1">
        <v>15</v>
      </c>
      <c r="G65" s="37">
        <f t="shared" si="1"/>
        <v>7.82</v>
      </c>
      <c r="H65" s="4" t="s">
        <v>9</v>
      </c>
      <c r="I65" s="3">
        <v>1</v>
      </c>
      <c r="J65" s="4">
        <v>308.8</v>
      </c>
      <c r="K65" s="34">
        <f t="shared" si="3"/>
        <v>18.77</v>
      </c>
      <c r="L65" s="27" t="s">
        <v>174</v>
      </c>
    </row>
    <row r="66" spans="1:20" ht="39.950000000000003" customHeight="1">
      <c r="A66" s="3">
        <v>1.45</v>
      </c>
      <c r="B66" s="26" t="s">
        <v>97</v>
      </c>
      <c r="C66" s="1" t="s">
        <v>152</v>
      </c>
      <c r="D66" s="3">
        <f>0.1*2.5</f>
        <v>0.25</v>
      </c>
      <c r="E66" s="1" t="s">
        <v>233</v>
      </c>
      <c r="F66" s="1">
        <v>130</v>
      </c>
      <c r="G66" s="37">
        <f t="shared" si="1"/>
        <v>38.54</v>
      </c>
      <c r="H66" s="4" t="s">
        <v>16</v>
      </c>
      <c r="I66" s="3">
        <v>1.25</v>
      </c>
      <c r="J66" s="1">
        <v>78.900000000000006</v>
      </c>
      <c r="K66" s="34">
        <f t="shared" si="3"/>
        <v>12.04</v>
      </c>
      <c r="L66" s="27" t="s">
        <v>153</v>
      </c>
    </row>
    <row r="67" spans="1:20" ht="39.950000000000003" customHeight="1">
      <c r="A67" s="3">
        <v>1.46</v>
      </c>
      <c r="B67" s="26" t="s">
        <v>245</v>
      </c>
      <c r="C67" s="1" t="s">
        <v>172</v>
      </c>
      <c r="D67" s="3">
        <f>1.75*2</f>
        <v>3.5</v>
      </c>
      <c r="E67" s="1" t="s">
        <v>233</v>
      </c>
      <c r="F67" s="1">
        <v>130</v>
      </c>
      <c r="G67" s="37">
        <f t="shared" si="1"/>
        <v>38.54</v>
      </c>
      <c r="H67" s="4" t="s">
        <v>16</v>
      </c>
      <c r="I67" s="3">
        <v>1.25</v>
      </c>
      <c r="J67" s="1">
        <f>136*2</f>
        <v>272</v>
      </c>
      <c r="K67" s="34">
        <f t="shared" si="3"/>
        <v>168.61</v>
      </c>
      <c r="L67" s="27" t="s">
        <v>153</v>
      </c>
    </row>
    <row r="68" spans="1:20" ht="39.950000000000003" customHeight="1">
      <c r="A68" s="3">
        <v>1.47</v>
      </c>
      <c r="B68" s="26" t="s">
        <v>246</v>
      </c>
      <c r="C68" s="1" t="s">
        <v>172</v>
      </c>
      <c r="D68" s="3">
        <v>1.75</v>
      </c>
      <c r="E68" s="1" t="s">
        <v>233</v>
      </c>
      <c r="F68" s="1">
        <v>130</v>
      </c>
      <c r="G68" s="37">
        <f t="shared" si="1"/>
        <v>38.54</v>
      </c>
      <c r="H68" s="4" t="s">
        <v>16</v>
      </c>
      <c r="I68" s="3">
        <v>1.25</v>
      </c>
      <c r="J68" s="1">
        <f>136</f>
        <v>136</v>
      </c>
      <c r="K68" s="34">
        <f t="shared" si="3"/>
        <v>84.31</v>
      </c>
      <c r="L68" s="27" t="s">
        <v>153</v>
      </c>
    </row>
    <row r="69" spans="1:20" ht="39.950000000000003" customHeight="1">
      <c r="A69" s="3">
        <v>1.48</v>
      </c>
      <c r="B69" s="26" t="s">
        <v>250</v>
      </c>
      <c r="C69" s="1" t="s">
        <v>172</v>
      </c>
      <c r="D69" s="4">
        <v>2.5</v>
      </c>
      <c r="E69" s="1" t="s">
        <v>233</v>
      </c>
      <c r="F69" s="1">
        <v>130</v>
      </c>
      <c r="G69" s="37">
        <f t="shared" si="1"/>
        <v>38.54</v>
      </c>
      <c r="H69" s="4" t="s">
        <v>16</v>
      </c>
      <c r="I69" s="3">
        <v>1.25</v>
      </c>
      <c r="J69" s="1">
        <v>153</v>
      </c>
      <c r="K69" s="34">
        <f t="shared" ref="K69" si="4">ROUND(D69*G69*I69,2)</f>
        <v>120.44</v>
      </c>
      <c r="L69" s="27" t="s">
        <v>153</v>
      </c>
    </row>
    <row r="70" spans="1:20" ht="39.950000000000003" customHeight="1">
      <c r="A70" s="3">
        <v>1.49</v>
      </c>
      <c r="B70" s="26" t="s">
        <v>266</v>
      </c>
      <c r="C70" s="1" t="s">
        <v>172</v>
      </c>
      <c r="D70" s="4">
        <v>5.0000000000000001E-3</v>
      </c>
      <c r="E70" s="1" t="s">
        <v>233</v>
      </c>
      <c r="F70" s="1">
        <v>130</v>
      </c>
      <c r="G70" s="37">
        <f t="shared" ref="G70" si="5">IF(F70&lt;=200,HLOOKUP(F70,$U$2:$HL$3,2,TRUE),(((F70-200)*0.24)+54.71))</f>
        <v>38.54</v>
      </c>
      <c r="H70" s="4" t="s">
        <v>9</v>
      </c>
      <c r="I70" s="3">
        <v>1</v>
      </c>
      <c r="J70" s="1">
        <v>17</v>
      </c>
      <c r="K70" s="34">
        <f t="shared" ref="K70" si="6">ROUND(D70*G70*I70,2)</f>
        <v>0.19</v>
      </c>
      <c r="L70" s="27" t="s">
        <v>153</v>
      </c>
      <c r="S70" s="10"/>
      <c r="T70" s="10"/>
    </row>
    <row r="71" spans="1:20" ht="39.950000000000003" customHeight="1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20" ht="39.950000000000003" customHeight="1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20" ht="39.950000000000003" customHeight="1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20" ht="39.950000000000003" customHeight="1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20" ht="39.950000000000003" customHeight="1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20" ht="39.950000000000003" customHeight="1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20" ht="39.950000000000003" customHeight="1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20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20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20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2: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2: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2: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241" spans="3:211" ht="19.5" customHeight="1">
      <c r="C241" s="40"/>
      <c r="D241" s="40"/>
      <c r="E241" s="40"/>
      <c r="F241" s="40"/>
      <c r="G241" s="40"/>
      <c r="H241" s="40"/>
      <c r="I241" s="40"/>
      <c r="J241" s="40"/>
      <c r="K241" s="40"/>
      <c r="L241" s="22"/>
      <c r="M241" s="9"/>
      <c r="N241" s="9"/>
      <c r="O241" s="9"/>
      <c r="P241" s="9"/>
      <c r="Q241" s="9"/>
      <c r="R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</row>
    <row r="242" spans="3:211" ht="19.5" customHeight="1">
      <c r="C242" s="40"/>
      <c r="D242" s="40"/>
      <c r="E242" s="40"/>
      <c r="F242" s="40"/>
      <c r="G242" s="40"/>
      <c r="H242" s="40"/>
      <c r="I242" s="40"/>
      <c r="J242" s="40"/>
      <c r="K242" s="40"/>
      <c r="L242" s="22"/>
      <c r="M242" s="9"/>
      <c r="N242" s="9"/>
      <c r="O242" s="9"/>
      <c r="P242" s="9"/>
      <c r="Q242" s="9"/>
      <c r="R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</row>
  </sheetData>
  <mergeCells count="31">
    <mergeCell ref="A1:B1"/>
    <mergeCell ref="A2:B2"/>
    <mergeCell ref="S2:T2"/>
    <mergeCell ref="A3:B4"/>
    <mergeCell ref="K3:L4"/>
    <mergeCell ref="S3:T3"/>
    <mergeCell ref="T7:T15"/>
    <mergeCell ref="A9:B10"/>
    <mergeCell ref="K9:L10"/>
    <mergeCell ref="A11:B12"/>
    <mergeCell ref="H11:H12"/>
    <mergeCell ref="A5:B6"/>
    <mergeCell ref="K5:L6"/>
    <mergeCell ref="A7:B8"/>
    <mergeCell ref="K7:L8"/>
    <mergeCell ref="S7:S15"/>
    <mergeCell ref="J11:K12"/>
    <mergeCell ref="A13:L15"/>
    <mergeCell ref="A16:A18"/>
    <mergeCell ref="B16:B18"/>
    <mergeCell ref="C16:C18"/>
    <mergeCell ref="D16:D18"/>
    <mergeCell ref="E16:E18"/>
    <mergeCell ref="L16:L18"/>
    <mergeCell ref="H17:H18"/>
    <mergeCell ref="I17:I18"/>
    <mergeCell ref="F16:F18"/>
    <mergeCell ref="G16:G18"/>
    <mergeCell ref="H16:I16"/>
    <mergeCell ref="J16:J18"/>
    <mergeCell ref="K16:K18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4"/>
  <sheetViews>
    <sheetView view="pageBreakPreview" zoomScaleNormal="60" zoomScaleSheetLayoutView="100" workbookViewId="0">
      <selection activeCell="I19" sqref="I19"/>
    </sheetView>
  </sheetViews>
  <sheetFormatPr defaultRowHeight="12.75"/>
  <cols>
    <col min="1" max="1" width="5.28515625" style="155" customWidth="1"/>
    <col min="2" max="2" width="13" style="160" customWidth="1"/>
    <col min="3" max="3" width="42.140625" style="160" customWidth="1"/>
    <col min="4" max="4" width="9.140625" style="160" customWidth="1"/>
    <col min="5" max="11" width="10.140625" style="160" customWidth="1"/>
    <col min="12" max="12" width="10.140625" style="161" customWidth="1"/>
    <col min="13" max="13" width="14" style="160" customWidth="1"/>
    <col min="14" max="14" width="20.7109375" style="43" customWidth="1"/>
    <col min="15" max="16" width="20.7109375" style="42" customWidth="1"/>
    <col min="17" max="16384" width="9.140625" style="42"/>
  </cols>
  <sheetData>
    <row r="1" spans="1:14">
      <c r="A1" s="143"/>
      <c r="B1" s="144" t="s">
        <v>347</v>
      </c>
      <c r="C1" s="145"/>
      <c r="D1" s="145"/>
      <c r="E1" s="145"/>
      <c r="F1" s="145"/>
      <c r="G1" s="145"/>
      <c r="H1" s="145"/>
      <c r="I1" s="144" t="s">
        <v>17</v>
      </c>
      <c r="J1" s="144"/>
      <c r="K1" s="144"/>
      <c r="L1" s="144"/>
      <c r="M1" s="144"/>
    </row>
    <row r="2" spans="1:14">
      <c r="A2" s="143"/>
      <c r="B2" s="144" t="s">
        <v>348</v>
      </c>
      <c r="C2" s="145"/>
      <c r="D2" s="145"/>
      <c r="E2" s="145"/>
      <c r="F2" s="145"/>
      <c r="G2" s="145"/>
      <c r="H2" s="145"/>
      <c r="I2" s="144" t="s">
        <v>18</v>
      </c>
      <c r="J2" s="144"/>
      <c r="K2" s="144"/>
      <c r="L2" s="144"/>
      <c r="M2" s="144"/>
    </row>
    <row r="3" spans="1:14">
      <c r="A3" s="143"/>
      <c r="B3" s="144" t="s">
        <v>351</v>
      </c>
      <c r="C3" s="145"/>
      <c r="D3" s="145"/>
      <c r="E3" s="145"/>
      <c r="F3" s="145"/>
      <c r="G3" s="145"/>
      <c r="H3" s="145"/>
      <c r="I3" s="144" t="s">
        <v>58</v>
      </c>
      <c r="J3" s="144"/>
      <c r="K3" s="144"/>
      <c r="L3" s="144" t="s">
        <v>20</v>
      </c>
      <c r="M3" s="144"/>
    </row>
    <row r="4" spans="1:14">
      <c r="A4" s="143"/>
      <c r="B4" s="144" t="s">
        <v>350</v>
      </c>
      <c r="C4" s="145"/>
      <c r="D4" s="145"/>
      <c r="E4" s="145"/>
      <c r="F4" s="145"/>
      <c r="G4" s="145"/>
      <c r="H4" s="145"/>
      <c r="I4" s="144" t="s">
        <v>19</v>
      </c>
      <c r="J4" s="144"/>
      <c r="K4" s="144"/>
      <c r="L4" s="144"/>
      <c r="M4" s="144"/>
    </row>
    <row r="5" spans="1:14">
      <c r="A5" s="143"/>
      <c r="B5" s="144"/>
      <c r="C5" s="145"/>
      <c r="D5" s="145"/>
      <c r="E5" s="145"/>
      <c r="F5" s="145"/>
      <c r="G5" s="145"/>
      <c r="H5" s="144"/>
      <c r="I5" s="144"/>
      <c r="J5" s="144"/>
      <c r="K5" s="144"/>
      <c r="L5" s="144"/>
      <c r="M5" s="144"/>
    </row>
    <row r="6" spans="1:14" s="71" customFormat="1">
      <c r="A6" s="209" t="s">
        <v>295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41"/>
    </row>
    <row r="7" spans="1:14" s="71" customForma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41"/>
    </row>
    <row r="8" spans="1:14" s="71" customForma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41"/>
    </row>
    <row r="9" spans="1:14" s="72" customFormat="1" ht="25.5" customHeight="1">
      <c r="A9" s="210" t="s">
        <v>353</v>
      </c>
      <c r="B9" s="211" t="s">
        <v>354</v>
      </c>
      <c r="C9" s="211" t="s">
        <v>355</v>
      </c>
      <c r="D9" s="211" t="s">
        <v>356</v>
      </c>
      <c r="E9" s="210" t="s">
        <v>357</v>
      </c>
      <c r="F9" s="210"/>
      <c r="G9" s="211" t="s">
        <v>358</v>
      </c>
      <c r="H9" s="211"/>
      <c r="I9" s="211" t="s">
        <v>6</v>
      </c>
      <c r="J9" s="211"/>
      <c r="K9" s="210" t="s">
        <v>359</v>
      </c>
      <c r="L9" s="210"/>
      <c r="M9" s="210" t="s">
        <v>4</v>
      </c>
      <c r="N9" s="43"/>
    </row>
    <row r="10" spans="1:14" s="72" customFormat="1">
      <c r="A10" s="210"/>
      <c r="B10" s="211"/>
      <c r="C10" s="211"/>
      <c r="D10" s="211"/>
      <c r="E10" s="137" t="s">
        <v>360</v>
      </c>
      <c r="F10" s="137" t="s">
        <v>253</v>
      </c>
      <c r="G10" s="137" t="s">
        <v>360</v>
      </c>
      <c r="H10" s="137" t="s">
        <v>253</v>
      </c>
      <c r="I10" s="137" t="s">
        <v>360</v>
      </c>
      <c r="J10" s="137" t="s">
        <v>253</v>
      </c>
      <c r="K10" s="137" t="s">
        <v>360</v>
      </c>
      <c r="L10" s="137" t="s">
        <v>253</v>
      </c>
      <c r="M10" s="210"/>
      <c r="N10" s="43"/>
    </row>
    <row r="11" spans="1:14" s="72" customFormat="1">
      <c r="A11" s="137">
        <v>1</v>
      </c>
      <c r="B11" s="137">
        <v>2</v>
      </c>
      <c r="C11" s="136">
        <v>3</v>
      </c>
      <c r="D11" s="137">
        <v>4</v>
      </c>
      <c r="E11" s="137">
        <v>5</v>
      </c>
      <c r="F11" s="137">
        <v>6</v>
      </c>
      <c r="G11" s="137">
        <v>7</v>
      </c>
      <c r="H11" s="74">
        <v>8</v>
      </c>
      <c r="I11" s="137">
        <v>9</v>
      </c>
      <c r="J11" s="74">
        <v>10</v>
      </c>
      <c r="K11" s="137">
        <v>11</v>
      </c>
      <c r="L11" s="74">
        <v>12</v>
      </c>
      <c r="M11" s="74">
        <v>13</v>
      </c>
      <c r="N11" s="43"/>
    </row>
    <row r="12" spans="1:14" s="72" customFormat="1">
      <c r="A12" s="137"/>
      <c r="B12" s="137"/>
      <c r="C12" s="137"/>
      <c r="D12" s="137"/>
      <c r="E12" s="148"/>
      <c r="F12" s="148"/>
      <c r="G12" s="148"/>
      <c r="H12" s="148"/>
      <c r="I12" s="148"/>
      <c r="J12" s="148"/>
      <c r="K12" s="148"/>
      <c r="L12" s="148"/>
      <c r="M12" s="148"/>
      <c r="N12" s="43"/>
    </row>
    <row r="13" spans="1:14" s="72" customFormat="1">
      <c r="A13" s="137"/>
      <c r="B13" s="149"/>
      <c r="C13" s="136" t="s">
        <v>32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43"/>
    </row>
    <row r="14" spans="1:14" ht="12.75" customHeight="1">
      <c r="A14" s="137"/>
      <c r="B14" s="149"/>
      <c r="C14" s="136"/>
      <c r="D14" s="149"/>
      <c r="E14" s="86"/>
      <c r="F14" s="86"/>
      <c r="G14" s="86"/>
      <c r="H14" s="86"/>
      <c r="I14" s="86"/>
      <c r="J14" s="86"/>
      <c r="K14" s="86"/>
      <c r="L14" s="86"/>
      <c r="M14" s="86"/>
    </row>
    <row r="15" spans="1:14">
      <c r="A15" s="149">
        <v>1.1000000000000001</v>
      </c>
      <c r="B15" s="206" t="s">
        <v>361</v>
      </c>
      <c r="C15" s="151" t="s">
        <v>33</v>
      </c>
      <c r="D15" s="149" t="s">
        <v>34</v>
      </c>
      <c r="E15" s="86"/>
      <c r="F15" s="86">
        <v>0.28999999999999998</v>
      </c>
      <c r="G15" s="86"/>
      <c r="H15" s="86"/>
      <c r="I15" s="86"/>
      <c r="J15" s="86"/>
      <c r="K15" s="86"/>
      <c r="L15" s="86"/>
      <c r="M15" s="86"/>
    </row>
    <row r="16" spans="1:14" s="73" customFormat="1">
      <c r="A16" s="149"/>
      <c r="B16" s="207"/>
      <c r="C16" s="151"/>
      <c r="D16" s="149"/>
      <c r="E16" s="86"/>
      <c r="F16" s="86"/>
      <c r="G16" s="86"/>
      <c r="H16" s="86"/>
      <c r="I16" s="86"/>
      <c r="J16" s="86"/>
      <c r="K16" s="86"/>
      <c r="L16" s="86"/>
      <c r="M16" s="86"/>
      <c r="N16" s="43"/>
    </row>
    <row r="17" spans="1:14" s="73" customFormat="1">
      <c r="A17" s="149" t="s">
        <v>0</v>
      </c>
      <c r="B17" s="207"/>
      <c r="C17" s="152" t="s">
        <v>15</v>
      </c>
      <c r="D17" s="149" t="s">
        <v>1</v>
      </c>
      <c r="E17" s="86">
        <f>1.1*1.13*(127+67)</f>
        <v>241.14199999999997</v>
      </c>
      <c r="F17" s="86">
        <f>E17*F15</f>
        <v>69.931179999999983</v>
      </c>
      <c r="G17" s="86"/>
      <c r="H17" s="86"/>
      <c r="I17" s="86"/>
      <c r="J17" s="86"/>
      <c r="K17" s="86"/>
      <c r="L17" s="86"/>
      <c r="M17" s="86"/>
      <c r="N17" s="43"/>
    </row>
    <row r="18" spans="1:14" s="73" customFormat="1">
      <c r="A18" s="149"/>
      <c r="B18" s="208"/>
      <c r="C18" s="151"/>
      <c r="D18" s="149"/>
      <c r="E18" s="86"/>
      <c r="F18" s="86"/>
      <c r="G18" s="86"/>
      <c r="H18" s="86"/>
      <c r="I18" s="86"/>
      <c r="J18" s="86"/>
      <c r="K18" s="86"/>
      <c r="L18" s="86"/>
      <c r="M18" s="86"/>
      <c r="N18" s="43"/>
    </row>
    <row r="19" spans="1:14" s="73" customFormat="1">
      <c r="A19" s="137"/>
      <c r="B19" s="153"/>
      <c r="C19" s="137" t="s">
        <v>4</v>
      </c>
      <c r="D19" s="137"/>
      <c r="E19" s="148"/>
      <c r="F19" s="148"/>
      <c r="G19" s="148"/>
      <c r="H19" s="148"/>
      <c r="I19" s="148"/>
      <c r="J19" s="148"/>
      <c r="K19" s="148"/>
      <c r="L19" s="148"/>
      <c r="M19" s="148"/>
      <c r="N19" s="43"/>
    </row>
    <row r="20" spans="1:14" s="73" customFormat="1">
      <c r="A20" s="149"/>
      <c r="B20" s="91"/>
      <c r="C20" s="149"/>
      <c r="D20" s="149"/>
      <c r="E20" s="86"/>
      <c r="F20" s="86"/>
      <c r="G20" s="86"/>
      <c r="H20" s="86"/>
      <c r="I20" s="86"/>
      <c r="J20" s="86"/>
      <c r="K20" s="86"/>
      <c r="L20" s="86"/>
      <c r="M20" s="86"/>
      <c r="N20" s="43"/>
    </row>
    <row r="21" spans="1:14">
      <c r="A21" s="149"/>
      <c r="B21" s="91"/>
      <c r="C21" s="149" t="s">
        <v>10</v>
      </c>
      <c r="D21" s="154">
        <v>0.1</v>
      </c>
      <c r="E21" s="86"/>
      <c r="F21" s="86"/>
      <c r="G21" s="86"/>
      <c r="H21" s="86"/>
      <c r="I21" s="86"/>
      <c r="J21" s="86"/>
      <c r="K21" s="86"/>
      <c r="L21" s="86"/>
      <c r="M21" s="86"/>
    </row>
    <row r="22" spans="1:14">
      <c r="A22" s="149"/>
      <c r="B22" s="91"/>
      <c r="C22" s="149" t="s">
        <v>4</v>
      </c>
      <c r="D22" s="154"/>
      <c r="E22" s="86"/>
      <c r="F22" s="86"/>
      <c r="G22" s="86"/>
      <c r="H22" s="86"/>
      <c r="I22" s="86"/>
      <c r="J22" s="86"/>
      <c r="K22" s="86"/>
      <c r="L22" s="86"/>
      <c r="M22" s="86"/>
    </row>
    <row r="23" spans="1:14">
      <c r="A23" s="149"/>
      <c r="B23" s="91"/>
      <c r="C23" s="149" t="s">
        <v>11</v>
      </c>
      <c r="D23" s="154">
        <v>0.08</v>
      </c>
      <c r="E23" s="86"/>
      <c r="F23" s="86"/>
      <c r="G23" s="86"/>
      <c r="H23" s="86"/>
      <c r="I23" s="86"/>
      <c r="J23" s="86"/>
      <c r="K23" s="86"/>
      <c r="L23" s="86"/>
      <c r="M23" s="86"/>
    </row>
    <row r="24" spans="1:14">
      <c r="A24" s="149"/>
      <c r="B24" s="91"/>
      <c r="C24" s="149"/>
      <c r="D24" s="154"/>
      <c r="E24" s="86"/>
      <c r="F24" s="86"/>
      <c r="G24" s="86"/>
      <c r="H24" s="86"/>
      <c r="I24" s="86"/>
      <c r="J24" s="86"/>
      <c r="K24" s="86"/>
      <c r="L24" s="86"/>
      <c r="M24" s="86"/>
    </row>
    <row r="25" spans="1:14">
      <c r="A25" s="137"/>
      <c r="B25" s="153"/>
      <c r="C25" s="137" t="s">
        <v>4</v>
      </c>
      <c r="D25" s="137"/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14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7"/>
    </row>
    <row r="27" spans="1:14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8"/>
      <c r="M27" s="157"/>
    </row>
    <row r="28" spans="1:14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8"/>
      <c r="M28" s="157"/>
    </row>
    <row r="29" spans="1:14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157"/>
    </row>
    <row r="30" spans="1:14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157"/>
    </row>
    <row r="31" spans="1:14"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M31" s="157"/>
    </row>
    <row r="32" spans="1:14"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M32" s="157"/>
    </row>
    <row r="33" spans="2:13"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57"/>
    </row>
    <row r="34" spans="2:13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8"/>
      <c r="M34" s="157"/>
    </row>
    <row r="35" spans="2:13"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M35" s="157"/>
    </row>
    <row r="36" spans="2:13"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8"/>
      <c r="M36" s="157"/>
    </row>
    <row r="37" spans="2:13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8"/>
      <c r="M37" s="157"/>
    </row>
    <row r="38" spans="2:13"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8"/>
      <c r="M38" s="157"/>
    </row>
    <row r="39" spans="2:13"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8"/>
      <c r="M39" s="157"/>
    </row>
    <row r="40" spans="2:13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8"/>
      <c r="M40" s="157"/>
    </row>
    <row r="41" spans="2:13"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</row>
    <row r="42" spans="2:13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8"/>
      <c r="M42" s="157"/>
    </row>
    <row r="43" spans="2:13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8"/>
      <c r="M43" s="157"/>
    </row>
    <row r="44" spans="2:13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8"/>
      <c r="M44" s="157"/>
    </row>
    <row r="45" spans="2:13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57"/>
    </row>
    <row r="46" spans="2:13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8"/>
      <c r="M46" s="157"/>
    </row>
    <row r="47" spans="2:13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8"/>
      <c r="M47" s="157"/>
    </row>
    <row r="48" spans="2:13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8"/>
      <c r="M48" s="157"/>
    </row>
    <row r="49" spans="2:13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8"/>
      <c r="M49" s="157"/>
    </row>
    <row r="50" spans="2:13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8"/>
      <c r="M50" s="157"/>
    </row>
    <row r="51" spans="2:13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57"/>
    </row>
    <row r="52" spans="2:13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8"/>
      <c r="M52" s="157"/>
    </row>
    <row r="53" spans="2:13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8"/>
      <c r="M53" s="157"/>
    </row>
    <row r="54" spans="2:13"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M54" s="157"/>
    </row>
    <row r="55" spans="2:13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8"/>
      <c r="M55" s="157"/>
    </row>
    <row r="56" spans="2:13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M56" s="157"/>
    </row>
    <row r="57" spans="2:13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8"/>
      <c r="M57" s="157"/>
    </row>
    <row r="58" spans="2:13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8"/>
      <c r="M58" s="157"/>
    </row>
    <row r="59" spans="2:13"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8"/>
      <c r="M59" s="157"/>
    </row>
    <row r="60" spans="2:13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8"/>
      <c r="M60" s="157"/>
    </row>
    <row r="61" spans="2:13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8"/>
      <c r="M61" s="157"/>
    </row>
    <row r="62" spans="2:13"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9"/>
      <c r="M62" s="156"/>
    </row>
    <row r="63" spans="2:13"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9"/>
      <c r="M63" s="156"/>
    </row>
    <row r="64" spans="2:13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9"/>
      <c r="M64" s="156"/>
    </row>
    <row r="65" spans="2:13"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9"/>
      <c r="M65" s="156"/>
    </row>
    <row r="66" spans="2:13"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9"/>
      <c r="M66" s="156"/>
    </row>
    <row r="67" spans="2:13"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9"/>
      <c r="M67" s="156"/>
    </row>
    <row r="68" spans="2:13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9"/>
      <c r="M68" s="156"/>
    </row>
    <row r="69" spans="2:13"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9"/>
      <c r="M69" s="156"/>
    </row>
    <row r="70" spans="2:13"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9"/>
      <c r="M70" s="156"/>
    </row>
    <row r="71" spans="2:13"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9"/>
      <c r="M71" s="156"/>
    </row>
    <row r="72" spans="2:13"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9"/>
      <c r="M72" s="156"/>
    </row>
    <row r="73" spans="2:13"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9"/>
      <c r="M73" s="156"/>
    </row>
    <row r="74" spans="2:13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9"/>
      <c r="M74" s="156"/>
    </row>
  </sheetData>
  <mergeCells count="11">
    <mergeCell ref="B15:B18"/>
    <mergeCell ref="A6:M6"/>
    <mergeCell ref="A9:A10"/>
    <mergeCell ref="B9:B10"/>
    <mergeCell ref="C9:C10"/>
    <mergeCell ref="D9:D10"/>
    <mergeCell ref="E9:F9"/>
    <mergeCell ref="G9:H9"/>
    <mergeCell ref="I9:J9"/>
    <mergeCell ref="K9:L9"/>
    <mergeCell ref="M9:M10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8"/>
  <sheetViews>
    <sheetView view="pageBreakPreview" zoomScaleNormal="60" zoomScaleSheetLayoutView="100" workbookViewId="0">
      <selection activeCell="I16" sqref="I16"/>
    </sheetView>
  </sheetViews>
  <sheetFormatPr defaultRowHeight="12.75"/>
  <cols>
    <col min="1" max="1" width="5.28515625" style="160" bestFit="1" customWidth="1"/>
    <col min="2" max="2" width="13.140625" style="160" customWidth="1"/>
    <col min="3" max="3" width="69.28515625" style="160" customWidth="1"/>
    <col min="4" max="4" width="10" style="160" customWidth="1"/>
    <col min="5" max="12" width="9.85546875" style="160" customWidth="1"/>
    <col min="13" max="13" width="9.85546875" style="161" customWidth="1"/>
    <col min="14" max="16384" width="9.140625" style="42"/>
  </cols>
  <sheetData>
    <row r="1" spans="1:13" s="71" customFormat="1">
      <c r="A1" s="212" t="s">
        <v>295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1" customForma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72" customFormat="1" ht="27" customHeight="1">
      <c r="A3" s="210" t="s">
        <v>353</v>
      </c>
      <c r="B3" s="211" t="s">
        <v>354</v>
      </c>
      <c r="C3" s="211" t="s">
        <v>355</v>
      </c>
      <c r="D3" s="211" t="s">
        <v>356</v>
      </c>
      <c r="E3" s="210" t="s">
        <v>357</v>
      </c>
      <c r="F3" s="210"/>
      <c r="G3" s="211" t="s">
        <v>358</v>
      </c>
      <c r="H3" s="211"/>
      <c r="I3" s="211" t="s">
        <v>6</v>
      </c>
      <c r="J3" s="211"/>
      <c r="K3" s="210" t="s">
        <v>359</v>
      </c>
      <c r="L3" s="210"/>
      <c r="M3" s="210" t="s">
        <v>4</v>
      </c>
    </row>
    <row r="4" spans="1:13" s="72" customFormat="1" ht="12.75" customHeight="1">
      <c r="A4" s="210"/>
      <c r="B4" s="211"/>
      <c r="C4" s="211"/>
      <c r="D4" s="211"/>
      <c r="E4" s="137" t="s">
        <v>360</v>
      </c>
      <c r="F4" s="137" t="s">
        <v>253</v>
      </c>
      <c r="G4" s="137" t="s">
        <v>360</v>
      </c>
      <c r="H4" s="137" t="s">
        <v>253</v>
      </c>
      <c r="I4" s="137" t="s">
        <v>360</v>
      </c>
      <c r="J4" s="137" t="s">
        <v>253</v>
      </c>
      <c r="K4" s="137" t="s">
        <v>360</v>
      </c>
      <c r="L4" s="137" t="s">
        <v>253</v>
      </c>
      <c r="M4" s="210"/>
    </row>
    <row r="5" spans="1:13" s="72" customFormat="1">
      <c r="A5" s="137">
        <v>1</v>
      </c>
      <c r="B5" s="137">
        <v>2</v>
      </c>
      <c r="C5" s="136">
        <v>3</v>
      </c>
      <c r="D5" s="137">
        <v>4</v>
      </c>
      <c r="E5" s="137">
        <v>5</v>
      </c>
      <c r="F5" s="137">
        <v>6</v>
      </c>
      <c r="G5" s="137">
        <v>7</v>
      </c>
      <c r="H5" s="74">
        <v>8</v>
      </c>
      <c r="I5" s="137">
        <v>9</v>
      </c>
      <c r="J5" s="74">
        <v>10</v>
      </c>
      <c r="K5" s="137">
        <v>11</v>
      </c>
      <c r="L5" s="74">
        <v>12</v>
      </c>
      <c r="M5" s="74">
        <v>13</v>
      </c>
    </row>
    <row r="6" spans="1:13" s="72" customFormat="1">
      <c r="A6" s="137"/>
      <c r="B6" s="137"/>
      <c r="C6" s="137"/>
      <c r="D6" s="137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72" customFormat="1">
      <c r="A7" s="137"/>
      <c r="B7" s="149"/>
      <c r="C7" s="136" t="s">
        <v>57</v>
      </c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>
      <c r="A8" s="149"/>
      <c r="B8" s="149"/>
      <c r="C8" s="151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ht="25.5">
      <c r="A9" s="149">
        <v>1.1000000000000001</v>
      </c>
      <c r="B9" s="91" t="s">
        <v>81</v>
      </c>
      <c r="C9" s="163" t="s">
        <v>80</v>
      </c>
      <c r="D9" s="149" t="s">
        <v>362</v>
      </c>
      <c r="E9" s="86"/>
      <c r="F9" s="86">
        <v>456</v>
      </c>
      <c r="G9" s="86"/>
      <c r="H9" s="86"/>
      <c r="I9" s="86"/>
      <c r="J9" s="86"/>
      <c r="K9" s="86"/>
      <c r="L9" s="86"/>
      <c r="M9" s="86"/>
    </row>
    <row r="10" spans="1:13">
      <c r="A10" s="149"/>
      <c r="B10" s="91"/>
      <c r="C10" s="164"/>
      <c r="D10" s="149" t="s">
        <v>363</v>
      </c>
      <c r="E10" s="86"/>
      <c r="F10" s="165">
        <f>F9/1000</f>
        <v>0.45600000000000002</v>
      </c>
      <c r="G10" s="86"/>
      <c r="H10" s="86"/>
      <c r="I10" s="86"/>
      <c r="J10" s="86"/>
      <c r="K10" s="86"/>
      <c r="L10" s="86"/>
      <c r="M10" s="87"/>
    </row>
    <row r="11" spans="1:13">
      <c r="A11" s="149" t="s">
        <v>0</v>
      </c>
      <c r="B11" s="91"/>
      <c r="C11" s="97" t="s">
        <v>15</v>
      </c>
      <c r="D11" s="149" t="s">
        <v>1</v>
      </c>
      <c r="E11" s="86">
        <v>20</v>
      </c>
      <c r="F11" s="86">
        <f>E11*F10</f>
        <v>9.120000000000001</v>
      </c>
      <c r="G11" s="86"/>
      <c r="H11" s="86"/>
      <c r="I11" s="86"/>
      <c r="J11" s="86"/>
      <c r="K11" s="86"/>
      <c r="L11" s="86"/>
      <c r="M11" s="87"/>
    </row>
    <row r="12" spans="1:13">
      <c r="A12" s="149" t="s">
        <v>192</v>
      </c>
      <c r="B12" s="91" t="s">
        <v>364</v>
      </c>
      <c r="C12" s="166" t="s">
        <v>365</v>
      </c>
      <c r="D12" s="149" t="s">
        <v>24</v>
      </c>
      <c r="E12" s="86">
        <v>44.8</v>
      </c>
      <c r="F12" s="86">
        <f>E12*F10</f>
        <v>20.428799999999999</v>
      </c>
      <c r="G12" s="86"/>
      <c r="H12" s="86"/>
      <c r="I12" s="86"/>
      <c r="J12" s="86"/>
      <c r="K12" s="86"/>
      <c r="L12" s="86"/>
      <c r="M12" s="87"/>
    </row>
    <row r="13" spans="1:13">
      <c r="A13" s="149" t="s">
        <v>193</v>
      </c>
      <c r="B13" s="91"/>
      <c r="C13" s="166" t="s">
        <v>13</v>
      </c>
      <c r="D13" s="149" t="s">
        <v>25</v>
      </c>
      <c r="E13" s="86">
        <v>2.1</v>
      </c>
      <c r="F13" s="86">
        <f>E13*F10</f>
        <v>0.95760000000000012</v>
      </c>
      <c r="G13" s="86"/>
      <c r="H13" s="86"/>
      <c r="I13" s="86"/>
      <c r="J13" s="86"/>
      <c r="K13" s="86"/>
      <c r="L13" s="86"/>
      <c r="M13" s="87"/>
    </row>
    <row r="14" spans="1:13">
      <c r="A14" s="149" t="s">
        <v>194</v>
      </c>
      <c r="B14" s="91" t="s">
        <v>366</v>
      </c>
      <c r="C14" s="166" t="s">
        <v>367</v>
      </c>
      <c r="D14" s="149" t="s">
        <v>362</v>
      </c>
      <c r="E14" s="86">
        <v>0.05</v>
      </c>
      <c r="F14" s="86">
        <f>E14*F10</f>
        <v>2.2800000000000001E-2</v>
      </c>
      <c r="G14" s="86"/>
      <c r="H14" s="86"/>
      <c r="I14" s="86"/>
      <c r="J14" s="86"/>
      <c r="K14" s="86"/>
      <c r="L14" s="86"/>
      <c r="M14" s="87"/>
    </row>
    <row r="15" spans="1:13">
      <c r="A15" s="149"/>
      <c r="B15" s="91"/>
      <c r="C15" s="152"/>
      <c r="D15" s="149"/>
      <c r="E15" s="86"/>
      <c r="F15" s="86"/>
      <c r="G15" s="86"/>
      <c r="H15" s="86"/>
      <c r="I15" s="86"/>
      <c r="J15" s="86"/>
      <c r="K15" s="86"/>
      <c r="L15" s="86"/>
      <c r="M15" s="86"/>
    </row>
    <row r="16" spans="1:13">
      <c r="A16" s="149">
        <v>1.2</v>
      </c>
      <c r="B16" s="91" t="s">
        <v>368</v>
      </c>
      <c r="C16" s="152" t="s">
        <v>31</v>
      </c>
      <c r="D16" s="149" t="s">
        <v>23</v>
      </c>
      <c r="E16" s="86">
        <v>1.95</v>
      </c>
      <c r="F16" s="86">
        <f>F9*E16</f>
        <v>889.19999999999993</v>
      </c>
      <c r="G16" s="86"/>
      <c r="H16" s="86"/>
      <c r="I16" s="86"/>
      <c r="J16" s="86"/>
      <c r="K16" s="86"/>
      <c r="L16" s="86"/>
      <c r="M16" s="86"/>
    </row>
    <row r="17" spans="1:13">
      <c r="A17" s="149"/>
      <c r="B17" s="91"/>
      <c r="C17" s="152"/>
      <c r="D17" s="149"/>
      <c r="E17" s="86"/>
      <c r="F17" s="86"/>
      <c r="G17" s="86"/>
      <c r="H17" s="86"/>
      <c r="I17" s="86"/>
      <c r="J17" s="86"/>
      <c r="K17" s="86"/>
      <c r="L17" s="86"/>
      <c r="M17" s="86"/>
    </row>
    <row r="18" spans="1:13">
      <c r="A18" s="149">
        <v>1.3</v>
      </c>
      <c r="B18" s="91" t="s">
        <v>83</v>
      </c>
      <c r="C18" s="152" t="s">
        <v>82</v>
      </c>
      <c r="D18" s="149" t="s">
        <v>362</v>
      </c>
      <c r="E18" s="86"/>
      <c r="F18" s="86">
        <f>F9</f>
        <v>456</v>
      </c>
      <c r="G18" s="86"/>
      <c r="H18" s="86"/>
      <c r="I18" s="86"/>
      <c r="J18" s="86"/>
      <c r="K18" s="86"/>
      <c r="L18" s="86"/>
      <c r="M18" s="86"/>
    </row>
    <row r="19" spans="1:13">
      <c r="A19" s="149"/>
      <c r="B19" s="91"/>
      <c r="C19" s="167"/>
      <c r="D19" s="149" t="s">
        <v>363</v>
      </c>
      <c r="E19" s="86"/>
      <c r="F19" s="165">
        <f>F18/1000</f>
        <v>0.45600000000000002</v>
      </c>
      <c r="G19" s="86"/>
      <c r="H19" s="86"/>
      <c r="I19" s="86"/>
      <c r="J19" s="86"/>
      <c r="K19" s="86"/>
      <c r="L19" s="86"/>
      <c r="M19" s="86"/>
    </row>
    <row r="20" spans="1:13">
      <c r="A20" s="149" t="s">
        <v>30</v>
      </c>
      <c r="B20" s="91"/>
      <c r="C20" s="167" t="s">
        <v>15</v>
      </c>
      <c r="D20" s="149" t="s">
        <v>1</v>
      </c>
      <c r="E20" s="86">
        <v>3.23</v>
      </c>
      <c r="F20" s="86">
        <f>E20*F19</f>
        <v>1.47288</v>
      </c>
      <c r="G20" s="86"/>
      <c r="H20" s="86"/>
      <c r="I20" s="86"/>
      <c r="J20" s="86"/>
      <c r="K20" s="86"/>
      <c r="L20" s="86"/>
      <c r="M20" s="86"/>
    </row>
    <row r="21" spans="1:13">
      <c r="A21" s="149" t="s">
        <v>45</v>
      </c>
      <c r="B21" s="91" t="s">
        <v>369</v>
      </c>
      <c r="C21" s="167" t="s">
        <v>84</v>
      </c>
      <c r="D21" s="149" t="s">
        <v>24</v>
      </c>
      <c r="E21" s="86">
        <v>3.62</v>
      </c>
      <c r="F21" s="86">
        <f>E21*F19</f>
        <v>1.6507200000000002</v>
      </c>
      <c r="G21" s="86"/>
      <c r="H21" s="86"/>
      <c r="I21" s="86"/>
      <c r="J21" s="86"/>
      <c r="K21" s="86"/>
      <c r="L21" s="86"/>
      <c r="M21" s="86"/>
    </row>
    <row r="22" spans="1:13">
      <c r="A22" s="149" t="s">
        <v>46</v>
      </c>
      <c r="B22" s="91"/>
      <c r="C22" s="167" t="s">
        <v>13</v>
      </c>
      <c r="D22" s="149" t="s">
        <v>25</v>
      </c>
      <c r="E22" s="86">
        <v>0.18</v>
      </c>
      <c r="F22" s="86">
        <f>E22*F19</f>
        <v>8.208E-2</v>
      </c>
      <c r="G22" s="86"/>
      <c r="H22" s="86"/>
      <c r="I22" s="86"/>
      <c r="J22" s="86"/>
      <c r="K22" s="86"/>
      <c r="L22" s="86"/>
      <c r="M22" s="86"/>
    </row>
    <row r="23" spans="1:13">
      <c r="A23" s="149" t="s">
        <v>47</v>
      </c>
      <c r="B23" s="91" t="s">
        <v>366</v>
      </c>
      <c r="C23" s="166" t="s">
        <v>367</v>
      </c>
      <c r="D23" s="149" t="s">
        <v>362</v>
      </c>
      <c r="E23" s="86">
        <v>0.04</v>
      </c>
      <c r="F23" s="86">
        <f>E23*F19</f>
        <v>1.8240000000000003E-2</v>
      </c>
      <c r="G23" s="86"/>
      <c r="H23" s="86"/>
      <c r="I23" s="86"/>
      <c r="J23" s="86"/>
      <c r="K23" s="86"/>
      <c r="L23" s="86"/>
      <c r="M23" s="86"/>
    </row>
    <row r="24" spans="1:13">
      <c r="A24" s="149"/>
      <c r="B24" s="91"/>
      <c r="C24" s="152"/>
      <c r="D24" s="149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25.5">
      <c r="A25" s="168">
        <v>1.4</v>
      </c>
      <c r="B25" s="91" t="s">
        <v>81</v>
      </c>
      <c r="C25" s="163" t="s">
        <v>184</v>
      </c>
      <c r="D25" s="149" t="s">
        <v>362</v>
      </c>
      <c r="E25" s="86"/>
      <c r="F25" s="86">
        <v>133</v>
      </c>
      <c r="G25" s="86"/>
      <c r="H25" s="86"/>
      <c r="I25" s="86"/>
      <c r="J25" s="86"/>
      <c r="K25" s="86"/>
      <c r="L25" s="86"/>
      <c r="M25" s="86"/>
    </row>
    <row r="26" spans="1:13">
      <c r="A26" s="168"/>
      <c r="B26" s="91"/>
      <c r="C26" s="164"/>
      <c r="D26" s="149" t="s">
        <v>363</v>
      </c>
      <c r="E26" s="86"/>
      <c r="F26" s="165">
        <f>F25/1000</f>
        <v>0.13300000000000001</v>
      </c>
      <c r="G26" s="86"/>
      <c r="H26" s="86"/>
      <c r="I26" s="86"/>
      <c r="J26" s="86"/>
      <c r="K26" s="86"/>
      <c r="L26" s="86"/>
      <c r="M26" s="87"/>
    </row>
    <row r="27" spans="1:13">
      <c r="A27" s="149" t="s">
        <v>22</v>
      </c>
      <c r="B27" s="91"/>
      <c r="C27" s="97" t="s">
        <v>15</v>
      </c>
      <c r="D27" s="149" t="s">
        <v>1</v>
      </c>
      <c r="E27" s="86">
        <v>20</v>
      </c>
      <c r="F27" s="86">
        <f>E27*F26</f>
        <v>2.66</v>
      </c>
      <c r="G27" s="86"/>
      <c r="H27" s="86"/>
      <c r="I27" s="86"/>
      <c r="J27" s="86"/>
      <c r="K27" s="86"/>
      <c r="L27" s="86"/>
      <c r="M27" s="87"/>
    </row>
    <row r="28" spans="1:13">
      <c r="A28" s="149" t="s">
        <v>224</v>
      </c>
      <c r="B28" s="91" t="s">
        <v>364</v>
      </c>
      <c r="C28" s="166" t="s">
        <v>365</v>
      </c>
      <c r="D28" s="149" t="s">
        <v>24</v>
      </c>
      <c r="E28" s="86">
        <v>44.8</v>
      </c>
      <c r="F28" s="86">
        <f>E28*F26</f>
        <v>5.9584000000000001</v>
      </c>
      <c r="G28" s="86"/>
      <c r="H28" s="86"/>
      <c r="I28" s="86"/>
      <c r="J28" s="86"/>
      <c r="K28" s="86"/>
      <c r="L28" s="86"/>
      <c r="M28" s="87"/>
    </row>
    <row r="29" spans="1:13">
      <c r="A29" s="149" t="s">
        <v>225</v>
      </c>
      <c r="B29" s="91"/>
      <c r="C29" s="166" t="s">
        <v>13</v>
      </c>
      <c r="D29" s="149" t="s">
        <v>25</v>
      </c>
      <c r="E29" s="86">
        <v>2.1</v>
      </c>
      <c r="F29" s="86">
        <f>E29*F26</f>
        <v>0.27930000000000005</v>
      </c>
      <c r="G29" s="86"/>
      <c r="H29" s="86"/>
      <c r="I29" s="86"/>
      <c r="J29" s="86"/>
      <c r="K29" s="86"/>
      <c r="L29" s="86"/>
      <c r="M29" s="87"/>
    </row>
    <row r="30" spans="1:13" s="73" customFormat="1">
      <c r="A30" s="149" t="s">
        <v>226</v>
      </c>
      <c r="B30" s="91" t="s">
        <v>366</v>
      </c>
      <c r="C30" s="166" t="s">
        <v>367</v>
      </c>
      <c r="D30" s="149" t="s">
        <v>362</v>
      </c>
      <c r="E30" s="86">
        <v>0.05</v>
      </c>
      <c r="F30" s="86">
        <f>E30*F26</f>
        <v>6.6500000000000005E-3</v>
      </c>
      <c r="G30" s="86"/>
      <c r="H30" s="86"/>
      <c r="I30" s="86"/>
      <c r="J30" s="86"/>
      <c r="K30" s="86"/>
      <c r="L30" s="86"/>
      <c r="M30" s="87"/>
    </row>
    <row r="31" spans="1:13" s="73" customFormat="1">
      <c r="A31" s="149"/>
      <c r="B31" s="91"/>
      <c r="C31" s="152"/>
      <c r="D31" s="149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73" customFormat="1">
      <c r="A32" s="168">
        <v>1.5</v>
      </c>
      <c r="B32" s="91" t="s">
        <v>370</v>
      </c>
      <c r="C32" s="152" t="s">
        <v>182</v>
      </c>
      <c r="D32" s="149" t="s">
        <v>23</v>
      </c>
      <c r="E32" s="86">
        <v>1.95</v>
      </c>
      <c r="F32" s="86">
        <f>F25*E32</f>
        <v>259.34999999999997</v>
      </c>
      <c r="G32" s="86"/>
      <c r="H32" s="86"/>
      <c r="I32" s="86"/>
      <c r="J32" s="86"/>
      <c r="K32" s="86"/>
      <c r="L32" s="86"/>
      <c r="M32" s="86"/>
    </row>
    <row r="33" spans="1:13" s="73" customFormat="1">
      <c r="A33" s="168"/>
      <c r="B33" s="91"/>
      <c r="C33" s="152"/>
      <c r="D33" s="149"/>
      <c r="E33" s="86"/>
      <c r="F33" s="86"/>
      <c r="G33" s="86"/>
      <c r="H33" s="86"/>
      <c r="I33" s="86"/>
      <c r="J33" s="86"/>
      <c r="K33" s="86"/>
      <c r="L33" s="86"/>
      <c r="M33" s="86"/>
    </row>
    <row r="34" spans="1:13" s="73" customFormat="1">
      <c r="A34" s="149">
        <v>1.6</v>
      </c>
      <c r="B34" s="91" t="s">
        <v>509</v>
      </c>
      <c r="C34" s="164" t="s">
        <v>185</v>
      </c>
      <c r="D34" s="149" t="s">
        <v>362</v>
      </c>
      <c r="E34" s="86"/>
      <c r="F34" s="86">
        <f>F25</f>
        <v>133</v>
      </c>
      <c r="G34" s="86"/>
      <c r="H34" s="86"/>
      <c r="I34" s="86"/>
      <c r="J34" s="86"/>
      <c r="K34" s="86"/>
      <c r="L34" s="86"/>
      <c r="M34" s="86"/>
    </row>
    <row r="35" spans="1:13">
      <c r="A35" s="149"/>
      <c r="B35" s="91"/>
      <c r="C35" s="164"/>
      <c r="D35" s="149" t="s">
        <v>363</v>
      </c>
      <c r="E35" s="86"/>
      <c r="F35" s="165">
        <f>F34/1000</f>
        <v>0.13300000000000001</v>
      </c>
      <c r="G35" s="86"/>
      <c r="H35" s="86"/>
      <c r="I35" s="86"/>
      <c r="J35" s="86"/>
      <c r="K35" s="86"/>
      <c r="L35" s="86"/>
      <c r="M35" s="87"/>
    </row>
    <row r="36" spans="1:13">
      <c r="A36" s="149" t="s">
        <v>59</v>
      </c>
      <c r="B36" s="91" t="s">
        <v>371</v>
      </c>
      <c r="C36" s="164" t="s">
        <v>372</v>
      </c>
      <c r="D36" s="149" t="s">
        <v>24</v>
      </c>
      <c r="E36" s="86">
        <v>8.9</v>
      </c>
      <c r="F36" s="86">
        <f>E36*F35</f>
        <v>1.1837000000000002</v>
      </c>
      <c r="G36" s="86"/>
      <c r="H36" s="86"/>
      <c r="I36" s="86"/>
      <c r="J36" s="86"/>
      <c r="K36" s="86"/>
      <c r="L36" s="86"/>
      <c r="M36" s="87"/>
    </row>
    <row r="37" spans="1:13">
      <c r="A37" s="149"/>
      <c r="B37" s="91"/>
      <c r="C37" s="152"/>
      <c r="D37" s="149"/>
      <c r="E37" s="86"/>
      <c r="F37" s="86"/>
      <c r="G37" s="86"/>
      <c r="H37" s="86"/>
      <c r="I37" s="86"/>
      <c r="J37" s="86"/>
      <c r="K37" s="86"/>
      <c r="L37" s="86"/>
      <c r="M37" s="86"/>
    </row>
    <row r="38" spans="1:13">
      <c r="A38" s="168">
        <v>1.7</v>
      </c>
      <c r="B38" s="91" t="s">
        <v>110</v>
      </c>
      <c r="C38" s="152" t="s">
        <v>111</v>
      </c>
      <c r="D38" s="149" t="s">
        <v>373</v>
      </c>
      <c r="E38" s="86"/>
      <c r="F38" s="86">
        <v>1442</v>
      </c>
      <c r="G38" s="86"/>
      <c r="H38" s="86"/>
      <c r="I38" s="86"/>
      <c r="J38" s="86"/>
      <c r="K38" s="86"/>
      <c r="L38" s="86"/>
      <c r="M38" s="86"/>
    </row>
    <row r="39" spans="1:13">
      <c r="A39" s="168"/>
      <c r="B39" s="91"/>
      <c r="C39" s="164"/>
      <c r="D39" s="149" t="s">
        <v>374</v>
      </c>
      <c r="E39" s="86"/>
      <c r="F39" s="165">
        <f>F38/10000</f>
        <v>0.14419999999999999</v>
      </c>
      <c r="G39" s="86"/>
      <c r="H39" s="86"/>
      <c r="I39" s="86"/>
      <c r="J39" s="86"/>
      <c r="K39" s="86"/>
      <c r="L39" s="86"/>
      <c r="M39" s="86"/>
    </row>
    <row r="40" spans="1:13">
      <c r="A40" s="149" t="s">
        <v>61</v>
      </c>
      <c r="B40" s="91"/>
      <c r="C40" s="164" t="s">
        <v>15</v>
      </c>
      <c r="D40" s="149" t="s">
        <v>1</v>
      </c>
      <c r="E40" s="86">
        <v>0.31</v>
      </c>
      <c r="F40" s="86">
        <f>E40*F39</f>
        <v>4.4701999999999999E-2</v>
      </c>
      <c r="G40" s="86"/>
      <c r="H40" s="86"/>
      <c r="I40" s="86"/>
      <c r="J40" s="86"/>
      <c r="K40" s="86"/>
      <c r="L40" s="86"/>
      <c r="M40" s="86"/>
    </row>
    <row r="41" spans="1:13">
      <c r="A41" s="149" t="s">
        <v>62</v>
      </c>
      <c r="B41" s="91" t="s">
        <v>375</v>
      </c>
      <c r="C41" s="166" t="s">
        <v>72</v>
      </c>
      <c r="D41" s="149" t="s">
        <v>24</v>
      </c>
      <c r="E41" s="86">
        <v>1.1200000000000001</v>
      </c>
      <c r="F41" s="86">
        <f>E41*F39</f>
        <v>0.16150400000000001</v>
      </c>
      <c r="G41" s="86"/>
      <c r="H41" s="86"/>
      <c r="I41" s="86"/>
      <c r="J41" s="86"/>
      <c r="K41" s="86"/>
      <c r="L41" s="86"/>
      <c r="M41" s="86"/>
    </row>
    <row r="42" spans="1:13">
      <c r="A42" s="149"/>
      <c r="B42" s="91"/>
      <c r="C42" s="152"/>
      <c r="D42" s="149"/>
      <c r="E42" s="86"/>
      <c r="F42" s="86"/>
      <c r="G42" s="86"/>
      <c r="H42" s="86"/>
      <c r="I42" s="86"/>
      <c r="J42" s="86"/>
      <c r="K42" s="86"/>
      <c r="L42" s="86"/>
      <c r="M42" s="86"/>
    </row>
    <row r="43" spans="1:13">
      <c r="A43" s="137"/>
      <c r="B43" s="153"/>
      <c r="C43" s="137" t="s">
        <v>4</v>
      </c>
      <c r="D43" s="137"/>
      <c r="E43" s="148"/>
      <c r="F43" s="148"/>
      <c r="G43" s="148"/>
      <c r="H43" s="148"/>
      <c r="I43" s="148"/>
      <c r="J43" s="148"/>
      <c r="K43" s="148"/>
      <c r="L43" s="148"/>
      <c r="M43" s="148"/>
    </row>
    <row r="44" spans="1:13">
      <c r="A44" s="149"/>
      <c r="B44" s="91"/>
      <c r="C44" s="149"/>
      <c r="D44" s="149"/>
      <c r="E44" s="86"/>
      <c r="F44" s="86"/>
      <c r="G44" s="86"/>
      <c r="H44" s="86"/>
      <c r="I44" s="86"/>
      <c r="J44" s="86"/>
      <c r="K44" s="86"/>
      <c r="L44" s="86"/>
      <c r="M44" s="86"/>
    </row>
    <row r="45" spans="1:13">
      <c r="A45" s="149"/>
      <c r="B45" s="91"/>
      <c r="C45" s="149" t="s">
        <v>10</v>
      </c>
      <c r="D45" s="154">
        <v>0.1</v>
      </c>
      <c r="E45" s="86"/>
      <c r="F45" s="86"/>
      <c r="G45" s="86"/>
      <c r="H45" s="86"/>
      <c r="I45" s="86"/>
      <c r="J45" s="86"/>
      <c r="K45" s="86"/>
      <c r="L45" s="86"/>
      <c r="M45" s="86"/>
    </row>
    <row r="46" spans="1:13">
      <c r="A46" s="149"/>
      <c r="B46" s="91"/>
      <c r="C46" s="149" t="s">
        <v>4</v>
      </c>
      <c r="D46" s="154"/>
      <c r="E46" s="86"/>
      <c r="F46" s="86"/>
      <c r="G46" s="86"/>
      <c r="H46" s="86"/>
      <c r="I46" s="86"/>
      <c r="J46" s="86"/>
      <c r="K46" s="86"/>
      <c r="L46" s="86"/>
      <c r="M46" s="86"/>
    </row>
    <row r="47" spans="1:13">
      <c r="A47" s="149"/>
      <c r="B47" s="91"/>
      <c r="C47" s="149" t="s">
        <v>11</v>
      </c>
      <c r="D47" s="154">
        <v>0.08</v>
      </c>
      <c r="E47" s="86"/>
      <c r="F47" s="86"/>
      <c r="G47" s="86"/>
      <c r="H47" s="86"/>
      <c r="I47" s="86"/>
      <c r="J47" s="86"/>
      <c r="K47" s="86"/>
      <c r="L47" s="86"/>
      <c r="M47" s="86"/>
    </row>
    <row r="48" spans="1:13">
      <c r="A48" s="149"/>
      <c r="B48" s="91"/>
      <c r="C48" s="149"/>
      <c r="D48" s="154"/>
      <c r="E48" s="86"/>
      <c r="F48" s="86"/>
      <c r="G48" s="86"/>
      <c r="H48" s="86"/>
      <c r="I48" s="86"/>
      <c r="J48" s="86"/>
      <c r="K48" s="86"/>
      <c r="L48" s="86"/>
      <c r="M48" s="86"/>
    </row>
    <row r="49" spans="1:13">
      <c r="A49" s="137"/>
      <c r="B49" s="153"/>
      <c r="C49" s="137" t="s">
        <v>4</v>
      </c>
      <c r="D49" s="137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>
      <c r="A50" s="155"/>
      <c r="B50" s="157"/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8"/>
    </row>
    <row r="51" spans="1:13">
      <c r="B51" s="157"/>
      <c r="C51" s="156"/>
      <c r="D51" s="157"/>
      <c r="E51" s="157"/>
      <c r="F51" s="157"/>
      <c r="G51" s="157"/>
      <c r="H51" s="157"/>
      <c r="I51" s="157"/>
      <c r="J51" s="157"/>
      <c r="K51" s="157"/>
      <c r="L51" s="157"/>
      <c r="M51" s="158"/>
    </row>
    <row r="52" spans="1:13">
      <c r="B52" s="157"/>
      <c r="C52" s="156"/>
      <c r="D52" s="157"/>
      <c r="E52" s="157"/>
      <c r="F52" s="157"/>
      <c r="G52" s="157"/>
      <c r="H52" s="157"/>
      <c r="I52" s="157"/>
      <c r="J52" s="157"/>
      <c r="K52" s="157"/>
      <c r="L52" s="157"/>
      <c r="M52" s="158"/>
    </row>
    <row r="53" spans="1:13">
      <c r="B53" s="157"/>
      <c r="C53" s="156"/>
      <c r="D53" s="157"/>
      <c r="E53" s="157"/>
      <c r="F53" s="157"/>
      <c r="G53" s="157"/>
      <c r="H53" s="157"/>
      <c r="I53" s="157"/>
      <c r="J53" s="157"/>
      <c r="K53" s="157"/>
      <c r="L53" s="157"/>
      <c r="M53" s="158"/>
    </row>
    <row r="54" spans="1:13">
      <c r="B54" s="157"/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8"/>
    </row>
    <row r="55" spans="1:13">
      <c r="B55" s="157"/>
      <c r="C55" s="156"/>
      <c r="D55" s="157"/>
      <c r="E55" s="157"/>
      <c r="F55" s="157"/>
      <c r="G55" s="157"/>
      <c r="H55" s="157"/>
      <c r="I55" s="157"/>
      <c r="J55" s="157"/>
      <c r="K55" s="157"/>
      <c r="L55" s="157"/>
      <c r="M55" s="158"/>
    </row>
    <row r="56" spans="1:13">
      <c r="B56" s="157"/>
      <c r="C56" s="156"/>
      <c r="D56" s="157"/>
      <c r="E56" s="157"/>
      <c r="F56" s="157"/>
      <c r="G56" s="157"/>
      <c r="H56" s="157"/>
      <c r="I56" s="157"/>
      <c r="J56" s="157"/>
      <c r="K56" s="157"/>
      <c r="L56" s="157"/>
      <c r="M56" s="158"/>
    </row>
    <row r="57" spans="1:13">
      <c r="B57" s="157"/>
      <c r="C57" s="156"/>
      <c r="D57" s="157"/>
      <c r="E57" s="157"/>
      <c r="F57" s="157"/>
      <c r="G57" s="157"/>
      <c r="H57" s="157"/>
      <c r="I57" s="157"/>
      <c r="J57" s="157"/>
      <c r="K57" s="157"/>
      <c r="L57" s="157"/>
      <c r="M57" s="158"/>
    </row>
    <row r="58" spans="1:13">
      <c r="B58" s="157"/>
      <c r="C58" s="156"/>
      <c r="D58" s="157"/>
      <c r="E58" s="157"/>
      <c r="F58" s="157"/>
      <c r="G58" s="157"/>
      <c r="H58" s="157"/>
      <c r="I58" s="157"/>
      <c r="J58" s="157"/>
      <c r="K58" s="157"/>
      <c r="L58" s="157"/>
      <c r="M58" s="158"/>
    </row>
    <row r="59" spans="1:13">
      <c r="B59" s="157"/>
      <c r="C59" s="156"/>
      <c r="D59" s="157"/>
      <c r="E59" s="157"/>
      <c r="F59" s="157"/>
      <c r="G59" s="157"/>
      <c r="H59" s="157"/>
      <c r="I59" s="157"/>
      <c r="J59" s="157"/>
      <c r="K59" s="157"/>
      <c r="L59" s="157"/>
      <c r="M59" s="158"/>
    </row>
    <row r="60" spans="1:13">
      <c r="B60" s="157"/>
      <c r="C60" s="156"/>
      <c r="D60" s="157"/>
      <c r="E60" s="157"/>
      <c r="F60" s="157"/>
      <c r="G60" s="157"/>
      <c r="H60" s="157"/>
      <c r="I60" s="157"/>
      <c r="J60" s="157"/>
      <c r="K60" s="157"/>
      <c r="L60" s="157"/>
      <c r="M60" s="158"/>
    </row>
    <row r="61" spans="1:13">
      <c r="B61" s="157"/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8"/>
    </row>
    <row r="62" spans="1:13">
      <c r="B62" s="157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8"/>
    </row>
    <row r="63" spans="1:13">
      <c r="B63" s="157"/>
      <c r="C63" s="156"/>
      <c r="D63" s="157"/>
      <c r="E63" s="157"/>
      <c r="F63" s="157"/>
      <c r="G63" s="157"/>
      <c r="H63" s="157"/>
      <c r="I63" s="157"/>
      <c r="J63" s="157"/>
      <c r="K63" s="157"/>
      <c r="L63" s="157"/>
      <c r="M63" s="158"/>
    </row>
    <row r="64" spans="1:13">
      <c r="B64" s="157"/>
      <c r="C64" s="156"/>
      <c r="D64" s="157"/>
      <c r="E64" s="157"/>
      <c r="F64" s="157"/>
      <c r="G64" s="157"/>
      <c r="H64" s="157"/>
      <c r="I64" s="157"/>
      <c r="J64" s="157"/>
      <c r="K64" s="157"/>
      <c r="L64" s="157"/>
      <c r="M64" s="158"/>
    </row>
    <row r="65" spans="2:13">
      <c r="B65" s="157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8"/>
    </row>
    <row r="66" spans="2:13">
      <c r="B66" s="157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8"/>
    </row>
    <row r="67" spans="2:13">
      <c r="B67" s="157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8"/>
    </row>
    <row r="68" spans="2:13">
      <c r="B68" s="157"/>
      <c r="C68" s="156"/>
      <c r="D68" s="157"/>
      <c r="E68" s="157"/>
      <c r="F68" s="157"/>
      <c r="G68" s="157"/>
      <c r="H68" s="157"/>
      <c r="I68" s="157"/>
      <c r="J68" s="157"/>
      <c r="K68" s="157"/>
      <c r="L68" s="157"/>
      <c r="M68" s="158"/>
    </row>
    <row r="69" spans="2:13">
      <c r="B69" s="157"/>
      <c r="C69" s="156"/>
      <c r="D69" s="157"/>
      <c r="E69" s="157"/>
      <c r="F69" s="157"/>
      <c r="G69" s="157"/>
      <c r="H69" s="157"/>
      <c r="I69" s="157"/>
      <c r="J69" s="157"/>
      <c r="K69" s="157"/>
      <c r="L69" s="157"/>
      <c r="M69" s="158"/>
    </row>
    <row r="70" spans="2:13">
      <c r="B70" s="157"/>
      <c r="C70" s="156"/>
      <c r="D70" s="157"/>
      <c r="E70" s="157"/>
      <c r="F70" s="157"/>
      <c r="G70" s="157"/>
      <c r="H70" s="157"/>
      <c r="I70" s="157"/>
      <c r="J70" s="157"/>
      <c r="K70" s="157"/>
      <c r="L70" s="157"/>
      <c r="M70" s="158"/>
    </row>
    <row r="71" spans="2:13">
      <c r="B71" s="157"/>
      <c r="C71" s="156"/>
      <c r="D71" s="157"/>
      <c r="E71" s="157"/>
      <c r="F71" s="157"/>
      <c r="G71" s="157"/>
      <c r="H71" s="157"/>
      <c r="I71" s="157"/>
      <c r="J71" s="157"/>
      <c r="K71" s="157"/>
      <c r="L71" s="157"/>
      <c r="M71" s="158"/>
    </row>
    <row r="72" spans="2:13">
      <c r="B72" s="157"/>
      <c r="C72" s="156"/>
      <c r="D72" s="157"/>
      <c r="E72" s="157"/>
      <c r="F72" s="157"/>
      <c r="G72" s="157"/>
      <c r="H72" s="157"/>
      <c r="I72" s="157"/>
      <c r="J72" s="157"/>
      <c r="K72" s="157"/>
      <c r="L72" s="157"/>
      <c r="M72" s="158"/>
    </row>
    <row r="73" spans="2:13">
      <c r="B73" s="157"/>
      <c r="C73" s="156"/>
      <c r="D73" s="157"/>
      <c r="E73" s="157"/>
      <c r="F73" s="157"/>
      <c r="G73" s="157"/>
      <c r="H73" s="157"/>
      <c r="I73" s="157"/>
      <c r="J73" s="157"/>
      <c r="K73" s="157"/>
      <c r="L73" s="157"/>
      <c r="M73" s="158"/>
    </row>
    <row r="74" spans="2:13">
      <c r="B74" s="157"/>
      <c r="C74" s="156"/>
      <c r="D74" s="157"/>
      <c r="E74" s="157"/>
      <c r="F74" s="157"/>
      <c r="G74" s="157"/>
      <c r="H74" s="157"/>
      <c r="I74" s="157"/>
      <c r="J74" s="157"/>
      <c r="K74" s="157"/>
      <c r="L74" s="157"/>
      <c r="M74" s="158"/>
    </row>
    <row r="75" spans="2:13">
      <c r="B75" s="157"/>
      <c r="C75" s="156"/>
      <c r="D75" s="157"/>
      <c r="E75" s="157"/>
      <c r="F75" s="157"/>
      <c r="G75" s="157"/>
      <c r="H75" s="157"/>
      <c r="I75" s="157"/>
      <c r="J75" s="157"/>
      <c r="K75" s="157"/>
      <c r="L75" s="157"/>
      <c r="M75" s="158"/>
    </row>
    <row r="76" spans="2:13"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9"/>
    </row>
    <row r="77" spans="2:13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9"/>
    </row>
    <row r="78" spans="2:13"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9"/>
    </row>
    <row r="79" spans="2:13"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9"/>
    </row>
    <row r="80" spans="2:13"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9"/>
    </row>
    <row r="81" spans="2:13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9"/>
    </row>
    <row r="82" spans="2:13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9"/>
    </row>
    <row r="83" spans="2:13"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9"/>
    </row>
    <row r="84" spans="2:13"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9"/>
    </row>
    <row r="85" spans="2:13"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9"/>
    </row>
    <row r="86" spans="2:13"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9"/>
    </row>
    <row r="87" spans="2:13"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9"/>
    </row>
    <row r="88" spans="2:13"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9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02"/>
  <sheetViews>
    <sheetView view="pageBreakPreview" zoomScaleNormal="60" zoomScaleSheetLayoutView="100" workbookViewId="0">
      <selection activeCell="I15" sqref="I15"/>
    </sheetView>
  </sheetViews>
  <sheetFormatPr defaultRowHeight="12.75"/>
  <cols>
    <col min="1" max="1" width="6.28515625" style="106" customWidth="1"/>
    <col min="2" max="2" width="12.140625" style="106" customWidth="1"/>
    <col min="3" max="3" width="67" style="105" customWidth="1"/>
    <col min="4" max="4" width="9" style="105" customWidth="1"/>
    <col min="5" max="7" width="9.28515625" style="105" customWidth="1"/>
    <col min="8" max="8" width="10.140625" style="105" customWidth="1"/>
    <col min="9" max="9" width="9.28515625" style="105" customWidth="1"/>
    <col min="10" max="10" width="10.140625" style="105" customWidth="1"/>
    <col min="11" max="11" width="9.28515625" style="105" customWidth="1"/>
    <col min="12" max="12" width="9.85546875" style="105" customWidth="1"/>
    <col min="13" max="13" width="12.5703125" style="108" customWidth="1"/>
    <col min="14" max="16" width="20.7109375" style="117" customWidth="1"/>
    <col min="17" max="16384" width="9.140625" style="117"/>
  </cols>
  <sheetData>
    <row r="1" spans="1:13">
      <c r="A1" s="114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s="118" customFormat="1">
      <c r="A2" s="213" t="s">
        <v>295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s="118" customFormat="1">
      <c r="A3" s="75"/>
      <c r="B3" s="13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119" customFormat="1" ht="27" customHeight="1">
      <c r="A4" s="210" t="s">
        <v>353</v>
      </c>
      <c r="B4" s="211" t="s">
        <v>354</v>
      </c>
      <c r="C4" s="211" t="s">
        <v>355</v>
      </c>
      <c r="D4" s="211" t="s">
        <v>356</v>
      </c>
      <c r="E4" s="210" t="s">
        <v>357</v>
      </c>
      <c r="F4" s="210"/>
      <c r="G4" s="211" t="s">
        <v>358</v>
      </c>
      <c r="H4" s="211"/>
      <c r="I4" s="211" t="s">
        <v>6</v>
      </c>
      <c r="J4" s="211"/>
      <c r="K4" s="210" t="s">
        <v>359</v>
      </c>
      <c r="L4" s="210"/>
      <c r="M4" s="210" t="s">
        <v>4</v>
      </c>
    </row>
    <row r="5" spans="1:13" s="119" customFormat="1" ht="12.75" customHeight="1">
      <c r="A5" s="210"/>
      <c r="B5" s="211"/>
      <c r="C5" s="211"/>
      <c r="D5" s="211"/>
      <c r="E5" s="137" t="s">
        <v>360</v>
      </c>
      <c r="F5" s="137" t="s">
        <v>253</v>
      </c>
      <c r="G5" s="137" t="s">
        <v>360</v>
      </c>
      <c r="H5" s="137" t="s">
        <v>253</v>
      </c>
      <c r="I5" s="137" t="s">
        <v>360</v>
      </c>
      <c r="J5" s="137" t="s">
        <v>253</v>
      </c>
      <c r="K5" s="137" t="s">
        <v>360</v>
      </c>
      <c r="L5" s="137" t="s">
        <v>253</v>
      </c>
      <c r="M5" s="210"/>
    </row>
    <row r="6" spans="1:13" s="119" customFormat="1">
      <c r="A6" s="137">
        <v>1</v>
      </c>
      <c r="B6" s="137">
        <v>2</v>
      </c>
      <c r="C6" s="136">
        <v>3</v>
      </c>
      <c r="D6" s="137">
        <v>4</v>
      </c>
      <c r="E6" s="137">
        <v>5</v>
      </c>
      <c r="F6" s="137">
        <v>6</v>
      </c>
      <c r="G6" s="137">
        <v>7</v>
      </c>
      <c r="H6" s="74">
        <v>8</v>
      </c>
      <c r="I6" s="137">
        <v>9</v>
      </c>
      <c r="J6" s="74">
        <v>10</v>
      </c>
      <c r="K6" s="137">
        <v>11</v>
      </c>
      <c r="L6" s="74">
        <v>12</v>
      </c>
      <c r="M6" s="74">
        <v>13</v>
      </c>
    </row>
    <row r="7" spans="1:13" s="120" customForma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10"/>
    </row>
    <row r="8" spans="1:13" s="120" customFormat="1">
      <c r="A8" s="134"/>
      <c r="B8" s="96"/>
      <c r="C8" s="135" t="s">
        <v>346</v>
      </c>
      <c r="D8" s="96"/>
      <c r="E8" s="96"/>
      <c r="F8" s="96"/>
      <c r="G8" s="96"/>
      <c r="H8" s="96"/>
      <c r="I8" s="96"/>
      <c r="J8" s="96"/>
      <c r="K8" s="96"/>
      <c r="L8" s="96"/>
      <c r="M8" s="101"/>
    </row>
    <row r="9" spans="1:13" s="120" customFormat="1">
      <c r="A9" s="96"/>
      <c r="B9" s="96"/>
      <c r="C9" s="103"/>
      <c r="D9" s="96"/>
      <c r="E9" s="96"/>
      <c r="F9" s="96"/>
      <c r="G9" s="96"/>
      <c r="H9" s="96"/>
      <c r="I9" s="96"/>
      <c r="J9" s="96"/>
      <c r="K9" s="96"/>
      <c r="L9" s="96"/>
      <c r="M9" s="101"/>
    </row>
    <row r="10" spans="1:13" ht="25.5">
      <c r="A10" s="96">
        <v>1.1000000000000001</v>
      </c>
      <c r="B10" s="93" t="s">
        <v>81</v>
      </c>
      <c r="C10" s="94" t="s">
        <v>80</v>
      </c>
      <c r="D10" s="96" t="s">
        <v>362</v>
      </c>
      <c r="E10" s="113"/>
      <c r="F10" s="113">
        <v>148</v>
      </c>
      <c r="G10" s="113"/>
      <c r="H10" s="113"/>
      <c r="I10" s="113"/>
      <c r="J10" s="113"/>
      <c r="K10" s="113"/>
      <c r="L10" s="113"/>
      <c r="M10" s="113"/>
    </row>
    <row r="11" spans="1:13">
      <c r="A11" s="96"/>
      <c r="B11" s="93"/>
      <c r="C11" s="94"/>
      <c r="D11" s="96" t="s">
        <v>363</v>
      </c>
      <c r="E11" s="113"/>
      <c r="F11" s="124">
        <v>0.14799999999999999</v>
      </c>
      <c r="G11" s="113"/>
      <c r="H11" s="113"/>
      <c r="I11" s="113"/>
      <c r="J11" s="113"/>
      <c r="K11" s="113"/>
      <c r="L11" s="113"/>
      <c r="M11" s="113"/>
    </row>
    <row r="12" spans="1:13">
      <c r="A12" s="96" t="s">
        <v>0</v>
      </c>
      <c r="B12" s="93"/>
      <c r="C12" s="97" t="s">
        <v>15</v>
      </c>
      <c r="D12" s="96" t="s">
        <v>1</v>
      </c>
      <c r="E12" s="113">
        <v>20</v>
      </c>
      <c r="F12" s="113">
        <f>E12*F11</f>
        <v>2.96</v>
      </c>
      <c r="G12" s="113"/>
      <c r="H12" s="113"/>
      <c r="I12" s="86"/>
      <c r="J12" s="113"/>
      <c r="K12" s="113"/>
      <c r="L12" s="113"/>
      <c r="M12" s="87"/>
    </row>
    <row r="13" spans="1:13">
      <c r="A13" s="96" t="s">
        <v>192</v>
      </c>
      <c r="B13" s="93" t="s">
        <v>364</v>
      </c>
      <c r="C13" s="98" t="s">
        <v>365</v>
      </c>
      <c r="D13" s="96" t="s">
        <v>24</v>
      </c>
      <c r="E13" s="113">
        <v>44.8</v>
      </c>
      <c r="F13" s="113">
        <f>E13*F11</f>
        <v>6.630399999999999</v>
      </c>
      <c r="G13" s="113"/>
      <c r="H13" s="113"/>
      <c r="I13" s="113"/>
      <c r="J13" s="113"/>
      <c r="K13" s="113"/>
      <c r="L13" s="113"/>
      <c r="M13" s="87"/>
    </row>
    <row r="14" spans="1:13">
      <c r="A14" s="96" t="s">
        <v>193</v>
      </c>
      <c r="B14" s="93"/>
      <c r="C14" s="98" t="s">
        <v>13</v>
      </c>
      <c r="D14" s="96" t="s">
        <v>25</v>
      </c>
      <c r="E14" s="113">
        <v>2.1</v>
      </c>
      <c r="F14" s="113">
        <f>E14*F11</f>
        <v>0.31080000000000002</v>
      </c>
      <c r="G14" s="113"/>
      <c r="H14" s="113"/>
      <c r="I14" s="113"/>
      <c r="J14" s="113"/>
      <c r="K14" s="86"/>
      <c r="L14" s="113"/>
      <c r="M14" s="87"/>
    </row>
    <row r="15" spans="1:13">
      <c r="A15" s="96" t="s">
        <v>194</v>
      </c>
      <c r="B15" s="93" t="s">
        <v>366</v>
      </c>
      <c r="C15" s="98" t="s">
        <v>367</v>
      </c>
      <c r="D15" s="96" t="s">
        <v>362</v>
      </c>
      <c r="E15" s="113">
        <v>0.05</v>
      </c>
      <c r="F15" s="113">
        <f>E15*F11</f>
        <v>7.4000000000000003E-3</v>
      </c>
      <c r="G15" s="113"/>
      <c r="H15" s="113"/>
      <c r="I15" s="113"/>
      <c r="J15" s="113"/>
      <c r="K15" s="113"/>
      <c r="L15" s="113"/>
      <c r="M15" s="113"/>
    </row>
    <row r="16" spans="1:13">
      <c r="A16" s="96"/>
      <c r="B16" s="93"/>
      <c r="C16" s="98"/>
      <c r="D16" s="96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25.5">
      <c r="A17" s="96">
        <v>1.2</v>
      </c>
      <c r="B17" s="95" t="s">
        <v>378</v>
      </c>
      <c r="C17" s="94" t="s">
        <v>297</v>
      </c>
      <c r="D17" s="96" t="s">
        <v>362</v>
      </c>
      <c r="E17" s="113"/>
      <c r="F17" s="113">
        <v>3</v>
      </c>
      <c r="G17" s="113"/>
      <c r="H17" s="113"/>
      <c r="I17" s="113"/>
      <c r="J17" s="113"/>
      <c r="K17" s="113"/>
      <c r="L17" s="113"/>
      <c r="M17" s="113"/>
    </row>
    <row r="18" spans="1:13">
      <c r="A18" s="96" t="s">
        <v>21</v>
      </c>
      <c r="B18" s="93" t="s">
        <v>380</v>
      </c>
      <c r="C18" s="94"/>
      <c r="D18" s="96" t="s">
        <v>381</v>
      </c>
      <c r="E18" s="113"/>
      <c r="F18" s="124">
        <f>F17/100</f>
        <v>0.03</v>
      </c>
      <c r="G18" s="113"/>
      <c r="H18" s="113"/>
      <c r="I18" s="113"/>
      <c r="J18" s="113"/>
      <c r="K18" s="113"/>
      <c r="L18" s="113"/>
      <c r="M18" s="113"/>
    </row>
    <row r="19" spans="1:13">
      <c r="A19" s="96"/>
      <c r="B19" s="95"/>
      <c r="C19" s="94" t="s">
        <v>15</v>
      </c>
      <c r="D19" s="96" t="s">
        <v>1</v>
      </c>
      <c r="E19" s="113">
        <f>206*1.2</f>
        <v>247.2</v>
      </c>
      <c r="F19" s="113">
        <f>E19*F18</f>
        <v>7.4159999999999995</v>
      </c>
      <c r="G19" s="113"/>
      <c r="H19" s="113"/>
      <c r="I19" s="113"/>
      <c r="J19" s="113"/>
      <c r="K19" s="113"/>
      <c r="L19" s="113"/>
      <c r="M19" s="113"/>
    </row>
    <row r="20" spans="1:13">
      <c r="A20" s="96"/>
      <c r="B20" s="95"/>
      <c r="C20" s="98"/>
      <c r="D20" s="96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>
      <c r="A21" s="102">
        <v>1.3</v>
      </c>
      <c r="B21" s="93" t="s">
        <v>368</v>
      </c>
      <c r="C21" s="98" t="s">
        <v>31</v>
      </c>
      <c r="D21" s="96" t="s">
        <v>23</v>
      </c>
      <c r="E21" s="113">
        <v>1.95</v>
      </c>
      <c r="F21" s="113">
        <f>(F11*1000*1.95)</f>
        <v>288.59999999999997</v>
      </c>
      <c r="G21" s="113"/>
      <c r="H21" s="113"/>
      <c r="I21" s="113"/>
      <c r="J21" s="113"/>
      <c r="K21" s="113"/>
      <c r="L21" s="113"/>
      <c r="M21" s="113"/>
    </row>
    <row r="22" spans="1:13">
      <c r="A22" s="102"/>
      <c r="B22" s="93"/>
      <c r="C22" s="98"/>
      <c r="D22" s="96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>
      <c r="A23" s="102">
        <v>1.4</v>
      </c>
      <c r="B23" s="93" t="s">
        <v>83</v>
      </c>
      <c r="C23" s="98" t="s">
        <v>82</v>
      </c>
      <c r="D23" s="96" t="s">
        <v>362</v>
      </c>
      <c r="E23" s="113"/>
      <c r="F23" s="113">
        <f>F10</f>
        <v>148</v>
      </c>
      <c r="G23" s="113"/>
      <c r="H23" s="113"/>
      <c r="I23" s="113"/>
      <c r="J23" s="113"/>
      <c r="K23" s="113"/>
      <c r="L23" s="113"/>
      <c r="M23" s="113"/>
    </row>
    <row r="24" spans="1:13">
      <c r="A24" s="102"/>
      <c r="B24" s="95"/>
      <c r="C24" s="94"/>
      <c r="D24" s="96" t="s">
        <v>363</v>
      </c>
      <c r="E24" s="113"/>
      <c r="F24" s="124">
        <f>F23/1000</f>
        <v>0.14799999999999999</v>
      </c>
      <c r="G24" s="113"/>
      <c r="H24" s="113"/>
      <c r="I24" s="113"/>
      <c r="J24" s="113"/>
      <c r="K24" s="113"/>
      <c r="L24" s="113"/>
      <c r="M24" s="113"/>
    </row>
    <row r="25" spans="1:13">
      <c r="A25" s="96" t="s">
        <v>22</v>
      </c>
      <c r="B25" s="93"/>
      <c r="C25" s="169" t="s">
        <v>15</v>
      </c>
      <c r="D25" s="96" t="s">
        <v>1</v>
      </c>
      <c r="E25" s="113">
        <v>3.23</v>
      </c>
      <c r="F25" s="113">
        <f>E25*F24</f>
        <v>0.47803999999999996</v>
      </c>
      <c r="G25" s="113"/>
      <c r="H25" s="113"/>
      <c r="I25" s="113"/>
      <c r="J25" s="113"/>
      <c r="K25" s="113"/>
      <c r="L25" s="113"/>
      <c r="M25" s="113"/>
    </row>
    <row r="26" spans="1:13">
      <c r="A26" s="96" t="s">
        <v>224</v>
      </c>
      <c r="B26" s="93" t="s">
        <v>369</v>
      </c>
      <c r="C26" s="169" t="s">
        <v>84</v>
      </c>
      <c r="D26" s="96" t="s">
        <v>24</v>
      </c>
      <c r="E26" s="113">
        <v>3.62</v>
      </c>
      <c r="F26" s="113">
        <f>E26*F24</f>
        <v>0.53576000000000001</v>
      </c>
      <c r="G26" s="113"/>
      <c r="H26" s="113"/>
      <c r="I26" s="113"/>
      <c r="J26" s="113"/>
      <c r="K26" s="113"/>
      <c r="L26" s="113"/>
      <c r="M26" s="113"/>
    </row>
    <row r="27" spans="1:13">
      <c r="A27" s="96" t="s">
        <v>225</v>
      </c>
      <c r="B27" s="93"/>
      <c r="C27" s="169" t="s">
        <v>13</v>
      </c>
      <c r="D27" s="96" t="s">
        <v>25</v>
      </c>
      <c r="E27" s="113">
        <v>0.18</v>
      </c>
      <c r="F27" s="113">
        <f>E27*F24</f>
        <v>2.6639999999999997E-2</v>
      </c>
      <c r="G27" s="113"/>
      <c r="H27" s="113"/>
      <c r="I27" s="113"/>
      <c r="J27" s="113"/>
      <c r="K27" s="113"/>
      <c r="L27" s="113"/>
      <c r="M27" s="113"/>
    </row>
    <row r="28" spans="1:13">
      <c r="A28" s="96" t="s">
        <v>226</v>
      </c>
      <c r="B28" s="93" t="s">
        <v>366</v>
      </c>
      <c r="C28" s="98" t="s">
        <v>367</v>
      </c>
      <c r="D28" s="96" t="s">
        <v>362</v>
      </c>
      <c r="E28" s="113">
        <v>0.04</v>
      </c>
      <c r="F28" s="113">
        <f>E28*F24</f>
        <v>5.9199999999999999E-3</v>
      </c>
      <c r="G28" s="113"/>
      <c r="H28" s="113"/>
      <c r="I28" s="113"/>
      <c r="J28" s="113"/>
      <c r="K28" s="113"/>
      <c r="L28" s="113"/>
      <c r="M28" s="113"/>
    </row>
    <row r="29" spans="1:13">
      <c r="A29" s="96"/>
      <c r="B29" s="93"/>
      <c r="C29" s="98"/>
      <c r="D29" s="96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>
      <c r="A30" s="96">
        <v>1.5</v>
      </c>
      <c r="B30" s="93" t="s">
        <v>407</v>
      </c>
      <c r="C30" s="98" t="s">
        <v>298</v>
      </c>
      <c r="D30" s="96" t="s">
        <v>362</v>
      </c>
      <c r="E30" s="113"/>
      <c r="F30" s="113">
        <v>54</v>
      </c>
      <c r="G30" s="113"/>
      <c r="H30" s="113"/>
      <c r="I30" s="113"/>
      <c r="J30" s="113"/>
      <c r="K30" s="113"/>
      <c r="L30" s="113"/>
      <c r="M30" s="113"/>
    </row>
    <row r="31" spans="1:13">
      <c r="A31" s="96"/>
      <c r="B31" s="93"/>
      <c r="C31" s="98"/>
      <c r="D31" s="96" t="s">
        <v>408</v>
      </c>
      <c r="E31" s="113"/>
      <c r="F31" s="113">
        <f>F30</f>
        <v>54</v>
      </c>
      <c r="G31" s="113"/>
      <c r="H31" s="113"/>
      <c r="I31" s="113"/>
      <c r="J31" s="113"/>
      <c r="K31" s="113"/>
      <c r="L31" s="113"/>
      <c r="M31" s="113"/>
    </row>
    <row r="32" spans="1:13">
      <c r="A32" s="96" t="s">
        <v>195</v>
      </c>
      <c r="B32" s="93"/>
      <c r="C32" s="98" t="s">
        <v>15</v>
      </c>
      <c r="D32" s="96" t="s">
        <v>1</v>
      </c>
      <c r="E32" s="113">
        <v>0.89</v>
      </c>
      <c r="F32" s="113">
        <f>E32*F31</f>
        <v>48.06</v>
      </c>
      <c r="G32" s="113"/>
      <c r="H32" s="113"/>
      <c r="I32" s="113"/>
      <c r="J32" s="113"/>
      <c r="K32" s="113"/>
      <c r="L32" s="113"/>
      <c r="M32" s="113"/>
    </row>
    <row r="33" spans="1:13">
      <c r="A33" s="96" t="s">
        <v>196</v>
      </c>
      <c r="B33" s="93" t="s">
        <v>409</v>
      </c>
      <c r="C33" s="98" t="s">
        <v>96</v>
      </c>
      <c r="D33" s="96" t="s">
        <v>362</v>
      </c>
      <c r="E33" s="113">
        <v>1.1499999999999999</v>
      </c>
      <c r="F33" s="113">
        <f>E33*F31</f>
        <v>62.099999999999994</v>
      </c>
      <c r="G33" s="113"/>
      <c r="H33" s="113"/>
      <c r="I33" s="113"/>
      <c r="J33" s="113"/>
      <c r="K33" s="113"/>
      <c r="L33" s="113"/>
      <c r="M33" s="113"/>
    </row>
    <row r="34" spans="1:13">
      <c r="A34" s="96"/>
      <c r="B34" s="93"/>
      <c r="C34" s="169" t="s">
        <v>13</v>
      </c>
      <c r="D34" s="96" t="s">
        <v>25</v>
      </c>
      <c r="E34" s="113">
        <v>0.37</v>
      </c>
      <c r="F34" s="113">
        <f>E34*F31</f>
        <v>19.98</v>
      </c>
      <c r="G34" s="113"/>
      <c r="H34" s="113"/>
      <c r="I34" s="113"/>
      <c r="J34" s="113"/>
      <c r="K34" s="113"/>
      <c r="L34" s="113"/>
      <c r="M34" s="113"/>
    </row>
    <row r="35" spans="1:13">
      <c r="A35" s="96"/>
      <c r="B35" s="95"/>
      <c r="C35" s="94" t="s">
        <v>14</v>
      </c>
      <c r="D35" s="96" t="s">
        <v>25</v>
      </c>
      <c r="E35" s="113">
        <v>0.02</v>
      </c>
      <c r="F35" s="113">
        <f>E35*F31</f>
        <v>1.08</v>
      </c>
      <c r="G35" s="113"/>
      <c r="H35" s="113"/>
      <c r="I35" s="113"/>
      <c r="J35" s="113"/>
      <c r="K35" s="113"/>
      <c r="L35" s="113"/>
      <c r="M35" s="113"/>
    </row>
    <row r="36" spans="1:13">
      <c r="A36" s="96"/>
      <c r="B36" s="93"/>
      <c r="C36" s="98"/>
      <c r="D36" s="96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>
      <c r="A37" s="96">
        <v>1.6</v>
      </c>
      <c r="B37" s="95" t="s">
        <v>410</v>
      </c>
      <c r="C37" s="98" t="s">
        <v>299</v>
      </c>
      <c r="D37" s="96" t="s">
        <v>362</v>
      </c>
      <c r="E37" s="113"/>
      <c r="F37" s="113">
        <v>40</v>
      </c>
      <c r="G37" s="113"/>
      <c r="H37" s="113"/>
      <c r="I37" s="113"/>
      <c r="J37" s="113"/>
      <c r="K37" s="113"/>
      <c r="L37" s="113"/>
      <c r="M37" s="113"/>
    </row>
    <row r="38" spans="1:13">
      <c r="A38" s="96"/>
      <c r="B38" s="95"/>
      <c r="C38" s="98"/>
      <c r="D38" s="96" t="s">
        <v>381</v>
      </c>
      <c r="E38" s="113"/>
      <c r="F38" s="113">
        <f>F37/100</f>
        <v>0.4</v>
      </c>
      <c r="G38" s="113"/>
      <c r="H38" s="113"/>
      <c r="I38" s="113"/>
      <c r="J38" s="113"/>
      <c r="K38" s="113"/>
      <c r="L38" s="113"/>
      <c r="M38" s="113"/>
    </row>
    <row r="39" spans="1:13">
      <c r="A39" s="96" t="s">
        <v>59</v>
      </c>
      <c r="B39" s="95"/>
      <c r="C39" s="98" t="s">
        <v>15</v>
      </c>
      <c r="D39" s="96" t="s">
        <v>1</v>
      </c>
      <c r="E39" s="113">
        <v>137</v>
      </c>
      <c r="F39" s="113">
        <f>E39*F38</f>
        <v>54.800000000000004</v>
      </c>
      <c r="G39" s="113"/>
      <c r="H39" s="113"/>
      <c r="I39" s="113"/>
      <c r="J39" s="113"/>
      <c r="K39" s="113"/>
      <c r="L39" s="113"/>
      <c r="M39" s="113"/>
    </row>
    <row r="40" spans="1:13">
      <c r="A40" s="96" t="s">
        <v>60</v>
      </c>
      <c r="B40" s="95"/>
      <c r="C40" s="98" t="s">
        <v>13</v>
      </c>
      <c r="D40" s="96" t="s">
        <v>25</v>
      </c>
      <c r="E40" s="113">
        <v>28.3</v>
      </c>
      <c r="F40" s="113">
        <f>E40*F38</f>
        <v>11.32</v>
      </c>
      <c r="G40" s="113"/>
      <c r="H40" s="113"/>
      <c r="I40" s="113"/>
      <c r="J40" s="113"/>
      <c r="K40" s="113"/>
      <c r="L40" s="113"/>
      <c r="M40" s="113"/>
    </row>
    <row r="41" spans="1:13">
      <c r="A41" s="96" t="s">
        <v>208</v>
      </c>
      <c r="B41" s="95" t="s">
        <v>469</v>
      </c>
      <c r="C41" s="98" t="s">
        <v>165</v>
      </c>
      <c r="D41" s="96" t="s">
        <v>362</v>
      </c>
      <c r="E41" s="113">
        <v>102</v>
      </c>
      <c r="F41" s="113">
        <f>E41*F38</f>
        <v>40.800000000000004</v>
      </c>
      <c r="G41" s="113"/>
      <c r="H41" s="113"/>
      <c r="I41" s="113"/>
      <c r="J41" s="113"/>
      <c r="K41" s="113"/>
      <c r="L41" s="113"/>
      <c r="M41" s="113"/>
    </row>
    <row r="42" spans="1:13">
      <c r="A42" s="96" t="s">
        <v>209</v>
      </c>
      <c r="B42" s="95"/>
      <c r="C42" s="98" t="s">
        <v>14</v>
      </c>
      <c r="D42" s="96" t="s">
        <v>25</v>
      </c>
      <c r="E42" s="113">
        <v>62</v>
      </c>
      <c r="F42" s="113">
        <f>E42*F38</f>
        <v>24.8</v>
      </c>
      <c r="G42" s="113"/>
      <c r="H42" s="113"/>
      <c r="I42" s="113"/>
      <c r="J42" s="113"/>
      <c r="K42" s="113"/>
      <c r="L42" s="113"/>
      <c r="M42" s="113"/>
    </row>
    <row r="43" spans="1:13">
      <c r="A43" s="96"/>
      <c r="B43" s="95"/>
      <c r="C43" s="98"/>
      <c r="D43" s="96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s="105" customFormat="1">
      <c r="A44" s="96">
        <v>1.7</v>
      </c>
      <c r="B44" s="125" t="s">
        <v>470</v>
      </c>
      <c r="C44" s="98" t="s">
        <v>300</v>
      </c>
      <c r="D44" s="96" t="s">
        <v>362</v>
      </c>
      <c r="E44" s="113"/>
      <c r="F44" s="113">
        <v>135</v>
      </c>
      <c r="G44" s="113"/>
      <c r="H44" s="113"/>
      <c r="I44" s="113"/>
      <c r="J44" s="113"/>
      <c r="K44" s="113"/>
      <c r="L44" s="113"/>
      <c r="M44" s="113"/>
    </row>
    <row r="45" spans="1:13" s="105" customFormat="1">
      <c r="A45" s="96"/>
      <c r="B45" s="125"/>
      <c r="C45" s="98"/>
      <c r="D45" s="126" t="s">
        <v>381</v>
      </c>
      <c r="E45" s="113"/>
      <c r="F45" s="124">
        <f>F44/100</f>
        <v>1.35</v>
      </c>
      <c r="G45" s="113"/>
      <c r="H45" s="113"/>
      <c r="I45" s="113"/>
      <c r="J45" s="113"/>
      <c r="K45" s="113"/>
      <c r="L45" s="113"/>
      <c r="M45" s="113"/>
    </row>
    <row r="46" spans="1:13">
      <c r="A46" s="96" t="s">
        <v>61</v>
      </c>
      <c r="B46" s="95"/>
      <c r="C46" s="98" t="s">
        <v>40</v>
      </c>
      <c r="D46" s="96" t="s">
        <v>1</v>
      </c>
      <c r="E46" s="113">
        <v>801</v>
      </c>
      <c r="F46" s="113">
        <f>E46*F45</f>
        <v>1081.3500000000001</v>
      </c>
      <c r="G46" s="113"/>
      <c r="H46" s="113"/>
      <c r="I46" s="113"/>
      <c r="J46" s="113"/>
      <c r="K46" s="113"/>
      <c r="L46" s="113"/>
      <c r="M46" s="113"/>
    </row>
    <row r="47" spans="1:13">
      <c r="A47" s="96" t="s">
        <v>62</v>
      </c>
      <c r="B47" s="95"/>
      <c r="C47" s="170" t="s">
        <v>123</v>
      </c>
      <c r="D47" s="171" t="s">
        <v>24</v>
      </c>
      <c r="E47" s="172">
        <v>2.99</v>
      </c>
      <c r="F47" s="172">
        <f>E47*F45</f>
        <v>4.0365000000000002</v>
      </c>
      <c r="G47" s="172"/>
      <c r="H47" s="172"/>
      <c r="I47" s="172"/>
      <c r="J47" s="172"/>
      <c r="K47" s="172"/>
      <c r="L47" s="172"/>
      <c r="M47" s="172"/>
    </row>
    <row r="48" spans="1:13">
      <c r="A48" s="96" t="s">
        <v>201</v>
      </c>
      <c r="B48" s="95"/>
      <c r="C48" s="173" t="s">
        <v>471</v>
      </c>
      <c r="D48" s="96" t="s">
        <v>25</v>
      </c>
      <c r="E48" s="113">
        <v>123</v>
      </c>
      <c r="F48" s="113">
        <f>E48*F45</f>
        <v>166.05</v>
      </c>
      <c r="G48" s="113"/>
      <c r="H48" s="113"/>
      <c r="I48" s="113"/>
      <c r="J48" s="113"/>
      <c r="K48" s="113"/>
      <c r="L48" s="113"/>
      <c r="M48" s="113"/>
    </row>
    <row r="49" spans="1:13">
      <c r="A49" s="96" t="s">
        <v>202</v>
      </c>
      <c r="B49" s="125" t="s">
        <v>415</v>
      </c>
      <c r="C49" s="98" t="s">
        <v>176</v>
      </c>
      <c r="D49" s="96" t="s">
        <v>362</v>
      </c>
      <c r="E49" s="113">
        <v>101.5</v>
      </c>
      <c r="F49" s="113">
        <f>E49*F45</f>
        <v>137.02500000000001</v>
      </c>
      <c r="G49" s="113"/>
      <c r="H49" s="113"/>
      <c r="I49" s="113"/>
      <c r="J49" s="113"/>
      <c r="K49" s="113"/>
      <c r="L49" s="113"/>
      <c r="M49" s="113"/>
    </row>
    <row r="50" spans="1:13">
      <c r="A50" s="96" t="s">
        <v>203</v>
      </c>
      <c r="B50" s="125" t="s">
        <v>473</v>
      </c>
      <c r="C50" s="112" t="s">
        <v>472</v>
      </c>
      <c r="D50" s="96" t="s">
        <v>23</v>
      </c>
      <c r="E50" s="88" t="s">
        <v>92</v>
      </c>
      <c r="F50" s="127">
        <v>27.7</v>
      </c>
      <c r="G50" s="113"/>
      <c r="H50" s="113"/>
      <c r="I50" s="113"/>
      <c r="J50" s="113"/>
      <c r="K50" s="87"/>
      <c r="L50" s="113"/>
      <c r="M50" s="113"/>
    </row>
    <row r="51" spans="1:13">
      <c r="A51" s="96" t="s">
        <v>204</v>
      </c>
      <c r="B51" s="95"/>
      <c r="C51" s="170" t="s">
        <v>121</v>
      </c>
      <c r="D51" s="171" t="s">
        <v>362</v>
      </c>
      <c r="E51" s="172">
        <v>0</v>
      </c>
      <c r="F51" s="172">
        <f>E51*F45</f>
        <v>0</v>
      </c>
      <c r="G51" s="172"/>
      <c r="H51" s="172"/>
      <c r="I51" s="172"/>
      <c r="J51" s="172"/>
      <c r="K51" s="172"/>
      <c r="L51" s="172"/>
      <c r="M51" s="172"/>
    </row>
    <row r="52" spans="1:13">
      <c r="A52" s="96" t="s">
        <v>205</v>
      </c>
      <c r="B52" s="95"/>
      <c r="C52" s="170" t="s">
        <v>124</v>
      </c>
      <c r="D52" s="171" t="s">
        <v>362</v>
      </c>
      <c r="E52" s="172">
        <v>0</v>
      </c>
      <c r="F52" s="172">
        <f>E52*F45</f>
        <v>0</v>
      </c>
      <c r="G52" s="172"/>
      <c r="H52" s="172"/>
      <c r="I52" s="172"/>
      <c r="J52" s="172"/>
      <c r="K52" s="172"/>
      <c r="L52" s="172"/>
      <c r="M52" s="172"/>
    </row>
    <row r="53" spans="1:13">
      <c r="A53" s="96" t="s">
        <v>318</v>
      </c>
      <c r="B53" s="125" t="s">
        <v>474</v>
      </c>
      <c r="C53" s="98" t="s">
        <v>125</v>
      </c>
      <c r="D53" s="96" t="s">
        <v>362</v>
      </c>
      <c r="E53" s="113">
        <v>0.63</v>
      </c>
      <c r="F53" s="113">
        <f>E53*F45</f>
        <v>0.85050000000000003</v>
      </c>
      <c r="G53" s="113"/>
      <c r="H53" s="113"/>
      <c r="I53" s="113"/>
      <c r="J53" s="113"/>
      <c r="K53" s="113"/>
      <c r="L53" s="113"/>
      <c r="M53" s="113"/>
    </row>
    <row r="54" spans="1:13">
      <c r="A54" s="96" t="s">
        <v>319</v>
      </c>
      <c r="B54" s="125" t="s">
        <v>421</v>
      </c>
      <c r="C54" s="173" t="s">
        <v>90</v>
      </c>
      <c r="D54" s="126" t="s">
        <v>362</v>
      </c>
      <c r="E54" s="113">
        <f>0.24+3.09</f>
        <v>3.33</v>
      </c>
      <c r="F54" s="113">
        <f>E54*F45</f>
        <v>4.4955000000000007</v>
      </c>
      <c r="G54" s="113"/>
      <c r="H54" s="113"/>
      <c r="I54" s="113"/>
      <c r="J54" s="113"/>
      <c r="K54" s="113"/>
      <c r="L54" s="113"/>
      <c r="M54" s="113"/>
    </row>
    <row r="55" spans="1:13">
      <c r="A55" s="96" t="s">
        <v>477</v>
      </c>
      <c r="B55" s="125" t="s">
        <v>475</v>
      </c>
      <c r="C55" s="173" t="s">
        <v>476</v>
      </c>
      <c r="D55" s="126" t="s">
        <v>373</v>
      </c>
      <c r="E55" s="113">
        <v>128</v>
      </c>
      <c r="F55" s="113">
        <f>E55*F45</f>
        <v>172.8</v>
      </c>
      <c r="G55" s="113"/>
      <c r="H55" s="113"/>
      <c r="I55" s="113"/>
      <c r="J55" s="113"/>
      <c r="K55" s="113"/>
      <c r="L55" s="113"/>
      <c r="M55" s="113"/>
    </row>
    <row r="56" spans="1:13">
      <c r="A56" s="96" t="s">
        <v>478</v>
      </c>
      <c r="B56" s="95"/>
      <c r="C56" s="98" t="s">
        <v>101</v>
      </c>
      <c r="D56" s="96" t="s">
        <v>25</v>
      </c>
      <c r="E56" s="113">
        <v>209</v>
      </c>
      <c r="F56" s="113">
        <f>E56*F45</f>
        <v>282.15000000000003</v>
      </c>
      <c r="G56" s="113"/>
      <c r="H56" s="113"/>
      <c r="I56" s="113"/>
      <c r="J56" s="113"/>
      <c r="K56" s="113"/>
      <c r="L56" s="113"/>
      <c r="M56" s="113"/>
    </row>
    <row r="57" spans="1:13">
      <c r="A57" s="96"/>
      <c r="B57" s="95"/>
      <c r="C57" s="98"/>
      <c r="D57" s="96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>
      <c r="A58" s="96">
        <v>1.8</v>
      </c>
      <c r="B58" s="128" t="s">
        <v>479</v>
      </c>
      <c r="C58" s="174" t="s">
        <v>480</v>
      </c>
      <c r="D58" s="126" t="s">
        <v>373</v>
      </c>
      <c r="E58" s="175"/>
      <c r="F58" s="175">
        <v>18.2</v>
      </c>
      <c r="G58" s="176"/>
      <c r="H58" s="86"/>
      <c r="I58" s="176"/>
      <c r="J58" s="86"/>
      <c r="K58" s="176"/>
      <c r="L58" s="86"/>
      <c r="M58" s="129"/>
    </row>
    <row r="59" spans="1:13">
      <c r="A59" s="96" t="s">
        <v>63</v>
      </c>
      <c r="B59" s="128"/>
      <c r="C59" s="174" t="s">
        <v>93</v>
      </c>
      <c r="D59" s="126" t="s">
        <v>1</v>
      </c>
      <c r="E59" s="86">
        <v>5</v>
      </c>
      <c r="F59" s="175">
        <f>F58*E59</f>
        <v>91</v>
      </c>
      <c r="G59" s="176"/>
      <c r="H59" s="86"/>
      <c r="I59" s="86"/>
      <c r="J59" s="86"/>
      <c r="K59" s="176"/>
      <c r="L59" s="86"/>
      <c r="M59" s="129"/>
    </row>
    <row r="60" spans="1:13">
      <c r="A60" s="96" t="s">
        <v>64</v>
      </c>
      <c r="B60" s="128" t="s">
        <v>482</v>
      </c>
      <c r="C60" s="174" t="s">
        <v>481</v>
      </c>
      <c r="D60" s="126" t="s">
        <v>373</v>
      </c>
      <c r="E60" s="86">
        <v>1.1000000000000001</v>
      </c>
      <c r="F60" s="175">
        <f>F58*E60</f>
        <v>20.02</v>
      </c>
      <c r="G60" s="86"/>
      <c r="H60" s="86"/>
      <c r="I60" s="176"/>
      <c r="J60" s="86"/>
      <c r="K60" s="129"/>
      <c r="L60" s="86"/>
      <c r="M60" s="129"/>
    </row>
    <row r="61" spans="1:13">
      <c r="A61" s="96"/>
      <c r="B61" s="93"/>
      <c r="C61" s="97"/>
      <c r="D61" s="96"/>
      <c r="E61" s="84"/>
      <c r="F61" s="85"/>
      <c r="G61" s="84"/>
      <c r="H61" s="84"/>
      <c r="I61" s="89"/>
      <c r="J61" s="84"/>
      <c r="K61" s="111"/>
      <c r="L61" s="86"/>
      <c r="M61" s="113"/>
    </row>
    <row r="62" spans="1:13">
      <c r="A62" s="96">
        <v>1.9</v>
      </c>
      <c r="B62" s="128" t="s">
        <v>437</v>
      </c>
      <c r="C62" s="98" t="s">
        <v>303</v>
      </c>
      <c r="D62" s="126" t="s">
        <v>373</v>
      </c>
      <c r="E62" s="113"/>
      <c r="F62" s="113">
        <v>144</v>
      </c>
      <c r="G62" s="113"/>
      <c r="H62" s="113"/>
      <c r="I62" s="113"/>
      <c r="J62" s="113"/>
      <c r="K62" s="113"/>
      <c r="L62" s="113"/>
      <c r="M62" s="113"/>
    </row>
    <row r="63" spans="1:13">
      <c r="A63" s="96"/>
      <c r="B63" s="128"/>
      <c r="C63" s="177"/>
      <c r="D63" s="126" t="s">
        <v>438</v>
      </c>
      <c r="E63" s="129"/>
      <c r="F63" s="178">
        <f>F62/100</f>
        <v>1.44</v>
      </c>
      <c r="G63" s="129"/>
      <c r="H63" s="129"/>
      <c r="I63" s="129"/>
      <c r="J63" s="129"/>
      <c r="K63" s="129"/>
      <c r="L63" s="129"/>
      <c r="M63" s="129"/>
    </row>
    <row r="64" spans="1:13">
      <c r="A64" s="126" t="s">
        <v>65</v>
      </c>
      <c r="B64" s="128"/>
      <c r="C64" s="177" t="s">
        <v>15</v>
      </c>
      <c r="D64" s="126" t="s">
        <v>1</v>
      </c>
      <c r="E64" s="129">
        <v>33.6</v>
      </c>
      <c r="F64" s="129">
        <f>E64*F63</f>
        <v>48.384</v>
      </c>
      <c r="G64" s="129"/>
      <c r="H64" s="129"/>
      <c r="I64" s="129"/>
      <c r="J64" s="129"/>
      <c r="K64" s="129"/>
      <c r="L64" s="129"/>
      <c r="M64" s="129"/>
    </row>
    <row r="65" spans="1:13">
      <c r="A65" s="126" t="s">
        <v>66</v>
      </c>
      <c r="B65" s="128"/>
      <c r="C65" s="177" t="s">
        <v>13</v>
      </c>
      <c r="D65" s="126" t="s">
        <v>25</v>
      </c>
      <c r="E65" s="129">
        <v>1.5</v>
      </c>
      <c r="F65" s="129">
        <f>E65*F63</f>
        <v>2.16</v>
      </c>
      <c r="G65" s="129"/>
      <c r="H65" s="129"/>
      <c r="I65" s="129"/>
      <c r="J65" s="129"/>
      <c r="K65" s="129"/>
      <c r="L65" s="113"/>
      <c r="M65" s="129"/>
    </row>
    <row r="66" spans="1:13">
      <c r="A66" s="126" t="s">
        <v>216</v>
      </c>
      <c r="B66" s="128" t="s">
        <v>439</v>
      </c>
      <c r="C66" s="177" t="s">
        <v>440</v>
      </c>
      <c r="D66" s="126" t="s">
        <v>23</v>
      </c>
      <c r="E66" s="129">
        <v>0.24</v>
      </c>
      <c r="F66" s="129">
        <f>E66*F63</f>
        <v>0.34559999999999996</v>
      </c>
      <c r="G66" s="129"/>
      <c r="H66" s="129"/>
      <c r="I66" s="129"/>
      <c r="J66" s="129"/>
      <c r="K66" s="129"/>
      <c r="L66" s="113"/>
      <c r="M66" s="129"/>
    </row>
    <row r="67" spans="1:13">
      <c r="A67" s="126" t="s">
        <v>217</v>
      </c>
      <c r="B67" s="128"/>
      <c r="C67" s="179" t="s">
        <v>104</v>
      </c>
      <c r="D67" s="171" t="s">
        <v>362</v>
      </c>
      <c r="E67" s="172">
        <v>0</v>
      </c>
      <c r="F67" s="172">
        <f>E67*F63</f>
        <v>0</v>
      </c>
      <c r="G67" s="172"/>
      <c r="H67" s="172"/>
      <c r="I67" s="172"/>
      <c r="J67" s="172"/>
      <c r="K67" s="172"/>
      <c r="L67" s="172"/>
      <c r="M67" s="172"/>
    </row>
    <row r="68" spans="1:13">
      <c r="A68" s="126" t="s">
        <v>218</v>
      </c>
      <c r="B68" s="128"/>
      <c r="C68" s="177" t="s">
        <v>101</v>
      </c>
      <c r="D68" s="126" t="s">
        <v>25</v>
      </c>
      <c r="E68" s="129">
        <v>2.2799999999999998</v>
      </c>
      <c r="F68" s="129">
        <f>E68*F63</f>
        <v>3.2831999999999995</v>
      </c>
      <c r="G68" s="129"/>
      <c r="H68" s="129"/>
      <c r="I68" s="129"/>
      <c r="J68" s="129"/>
      <c r="K68" s="129"/>
      <c r="L68" s="129"/>
      <c r="M68" s="129"/>
    </row>
    <row r="69" spans="1:13">
      <c r="A69" s="96"/>
      <c r="B69" s="128"/>
      <c r="C69" s="177"/>
      <c r="D69" s="126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1:13">
      <c r="A70" s="101">
        <v>1.1000000000000001</v>
      </c>
      <c r="B70" s="128" t="s">
        <v>486</v>
      </c>
      <c r="C70" s="98" t="s">
        <v>306</v>
      </c>
      <c r="D70" s="126" t="s">
        <v>373</v>
      </c>
      <c r="E70" s="113"/>
      <c r="F70" s="113">
        <v>144</v>
      </c>
      <c r="G70" s="113"/>
      <c r="H70" s="113"/>
      <c r="I70" s="113"/>
      <c r="J70" s="113"/>
      <c r="K70" s="113"/>
      <c r="L70" s="113"/>
      <c r="M70" s="113"/>
    </row>
    <row r="71" spans="1:13">
      <c r="A71" s="101"/>
      <c r="B71" s="128" t="s">
        <v>483</v>
      </c>
      <c r="C71" s="98"/>
      <c r="D71" s="96" t="s">
        <v>438</v>
      </c>
      <c r="E71" s="113"/>
      <c r="F71" s="124">
        <f>F70/100</f>
        <v>1.44</v>
      </c>
      <c r="G71" s="113"/>
      <c r="H71" s="113"/>
      <c r="I71" s="113"/>
      <c r="J71" s="113"/>
      <c r="K71" s="113"/>
      <c r="L71" s="113"/>
      <c r="M71" s="113"/>
    </row>
    <row r="72" spans="1:13">
      <c r="A72" s="96" t="s">
        <v>67</v>
      </c>
      <c r="B72" s="93"/>
      <c r="C72" s="98" t="s">
        <v>15</v>
      </c>
      <c r="D72" s="96" t="s">
        <v>1</v>
      </c>
      <c r="E72" s="113">
        <v>8.44</v>
      </c>
      <c r="F72" s="113">
        <f>E72*F71</f>
        <v>12.153599999999999</v>
      </c>
      <c r="G72" s="113"/>
      <c r="H72" s="113"/>
      <c r="I72" s="113"/>
      <c r="J72" s="86"/>
      <c r="K72" s="113"/>
      <c r="L72" s="113"/>
      <c r="M72" s="113"/>
    </row>
    <row r="73" spans="1:13">
      <c r="A73" s="96" t="s">
        <v>68</v>
      </c>
      <c r="B73" s="93"/>
      <c r="C73" s="170" t="s">
        <v>13</v>
      </c>
      <c r="D73" s="171" t="s">
        <v>25</v>
      </c>
      <c r="E73" s="172">
        <v>0</v>
      </c>
      <c r="F73" s="172">
        <f>E73*F71</f>
        <v>0</v>
      </c>
      <c r="G73" s="172"/>
      <c r="H73" s="172"/>
      <c r="I73" s="172"/>
      <c r="J73" s="172"/>
      <c r="K73" s="172"/>
      <c r="L73" s="172"/>
      <c r="M73" s="172"/>
    </row>
    <row r="74" spans="1:13">
      <c r="A74" s="96" t="s">
        <v>220</v>
      </c>
      <c r="B74" s="93"/>
      <c r="C74" s="170" t="s">
        <v>100</v>
      </c>
      <c r="D74" s="171" t="s">
        <v>23</v>
      </c>
      <c r="E74" s="172">
        <v>0</v>
      </c>
      <c r="F74" s="172">
        <f>E74*F71</f>
        <v>0</v>
      </c>
      <c r="G74" s="172"/>
      <c r="H74" s="172"/>
      <c r="I74" s="172"/>
      <c r="J74" s="172"/>
      <c r="K74" s="172"/>
      <c r="L74" s="172"/>
      <c r="M74" s="172"/>
    </row>
    <row r="75" spans="1:13">
      <c r="A75" s="96" t="s">
        <v>221</v>
      </c>
      <c r="B75" s="93"/>
      <c r="C75" s="170" t="s">
        <v>104</v>
      </c>
      <c r="D75" s="171" t="s">
        <v>362</v>
      </c>
      <c r="E75" s="172">
        <v>0</v>
      </c>
      <c r="F75" s="172">
        <f>E75*F71</f>
        <v>0</v>
      </c>
      <c r="G75" s="172"/>
      <c r="H75" s="172"/>
      <c r="I75" s="172"/>
      <c r="J75" s="172"/>
      <c r="K75" s="172"/>
      <c r="L75" s="172"/>
      <c r="M75" s="172"/>
    </row>
    <row r="76" spans="1:13">
      <c r="A76" s="96" t="s">
        <v>256</v>
      </c>
      <c r="B76" s="93"/>
      <c r="C76" s="170" t="s">
        <v>307</v>
      </c>
      <c r="D76" s="171" t="s">
        <v>373</v>
      </c>
      <c r="E76" s="172">
        <v>0</v>
      </c>
      <c r="F76" s="172">
        <f>E76*F71</f>
        <v>0</v>
      </c>
      <c r="G76" s="172"/>
      <c r="H76" s="172"/>
      <c r="I76" s="172"/>
      <c r="J76" s="172"/>
      <c r="K76" s="172"/>
      <c r="L76" s="172"/>
      <c r="M76" s="172"/>
    </row>
    <row r="77" spans="1:13">
      <c r="A77" s="96" t="s">
        <v>270</v>
      </c>
      <c r="B77" s="93"/>
      <c r="C77" s="170" t="s">
        <v>101</v>
      </c>
      <c r="D77" s="171" t="s">
        <v>25</v>
      </c>
      <c r="E77" s="172">
        <v>0</v>
      </c>
      <c r="F77" s="172">
        <f>E77*F71</f>
        <v>0</v>
      </c>
      <c r="G77" s="172"/>
      <c r="H77" s="172"/>
      <c r="I77" s="172"/>
      <c r="J77" s="172"/>
      <c r="K77" s="172"/>
      <c r="L77" s="172"/>
      <c r="M77" s="172"/>
    </row>
    <row r="78" spans="1:13">
      <c r="A78" s="96" t="s">
        <v>490</v>
      </c>
      <c r="B78" s="128" t="s">
        <v>484</v>
      </c>
      <c r="C78" s="173" t="s">
        <v>485</v>
      </c>
      <c r="D78" s="126" t="s">
        <v>24</v>
      </c>
      <c r="E78" s="113">
        <v>0.05</v>
      </c>
      <c r="F78" s="113">
        <f>E78*F71</f>
        <v>7.1999999999999995E-2</v>
      </c>
      <c r="G78" s="113"/>
      <c r="H78" s="113"/>
      <c r="I78" s="113"/>
      <c r="J78" s="113"/>
      <c r="K78" s="113"/>
      <c r="L78" s="113"/>
      <c r="M78" s="129"/>
    </row>
    <row r="79" spans="1:13">
      <c r="A79" s="96" t="s">
        <v>491</v>
      </c>
      <c r="B79" s="128" t="s">
        <v>479</v>
      </c>
      <c r="C79" s="173" t="s">
        <v>487</v>
      </c>
      <c r="D79" s="126" t="s">
        <v>296</v>
      </c>
      <c r="E79" s="113">
        <v>15.02</v>
      </c>
      <c r="F79" s="113">
        <f>E79*F71</f>
        <v>21.628799999999998</v>
      </c>
      <c r="G79" s="113"/>
      <c r="H79" s="113"/>
      <c r="I79" s="113"/>
      <c r="J79" s="113"/>
      <c r="K79" s="113"/>
      <c r="L79" s="113"/>
      <c r="M79" s="129"/>
    </row>
    <row r="80" spans="1:13">
      <c r="A80" s="96" t="s">
        <v>492</v>
      </c>
      <c r="B80" s="128" t="s">
        <v>488</v>
      </c>
      <c r="C80" s="173" t="s">
        <v>489</v>
      </c>
      <c r="D80" s="126" t="s">
        <v>373</v>
      </c>
      <c r="E80" s="113">
        <v>116</v>
      </c>
      <c r="F80" s="113">
        <f>E80*F71</f>
        <v>167.04</v>
      </c>
      <c r="G80" s="113"/>
      <c r="H80" s="113"/>
      <c r="I80" s="113"/>
      <c r="J80" s="113"/>
      <c r="K80" s="113"/>
      <c r="L80" s="113"/>
      <c r="M80" s="129"/>
    </row>
    <row r="81" spans="1:13">
      <c r="A81" s="96"/>
      <c r="B81" s="93"/>
      <c r="C81" s="98"/>
      <c r="D81" s="96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>
      <c r="A82" s="101">
        <v>1.1100000000000001</v>
      </c>
      <c r="B82" s="93" t="s">
        <v>407</v>
      </c>
      <c r="C82" s="98" t="s">
        <v>298</v>
      </c>
      <c r="D82" s="96" t="s">
        <v>362</v>
      </c>
      <c r="E82" s="113"/>
      <c r="F82" s="113">
        <v>20</v>
      </c>
      <c r="G82" s="113"/>
      <c r="H82" s="113"/>
      <c r="I82" s="113"/>
      <c r="J82" s="113"/>
      <c r="K82" s="113"/>
      <c r="L82" s="113"/>
      <c r="M82" s="113"/>
    </row>
    <row r="83" spans="1:13">
      <c r="A83" s="96"/>
      <c r="B83" s="93"/>
      <c r="C83" s="98"/>
      <c r="D83" s="96" t="s">
        <v>408</v>
      </c>
      <c r="E83" s="113"/>
      <c r="F83" s="113">
        <f>F82</f>
        <v>20</v>
      </c>
      <c r="G83" s="113"/>
      <c r="H83" s="113"/>
      <c r="I83" s="113"/>
      <c r="J83" s="113"/>
      <c r="K83" s="113"/>
      <c r="L83" s="113"/>
      <c r="M83" s="113"/>
    </row>
    <row r="84" spans="1:13">
      <c r="A84" s="126" t="s">
        <v>69</v>
      </c>
      <c r="B84" s="93"/>
      <c r="C84" s="98" t="s">
        <v>15</v>
      </c>
      <c r="D84" s="96" t="s">
        <v>1</v>
      </c>
      <c r="E84" s="113">
        <v>0.89</v>
      </c>
      <c r="F84" s="113">
        <f>E84*F83</f>
        <v>17.8</v>
      </c>
      <c r="G84" s="113"/>
      <c r="H84" s="113"/>
      <c r="I84" s="113"/>
      <c r="J84" s="113"/>
      <c r="K84" s="113"/>
      <c r="L84" s="113"/>
      <c r="M84" s="113"/>
    </row>
    <row r="85" spans="1:13">
      <c r="A85" s="126" t="s">
        <v>206</v>
      </c>
      <c r="B85" s="93" t="s">
        <v>409</v>
      </c>
      <c r="C85" s="98" t="s">
        <v>96</v>
      </c>
      <c r="D85" s="96" t="s">
        <v>362</v>
      </c>
      <c r="E85" s="113">
        <v>1.1499999999999999</v>
      </c>
      <c r="F85" s="113">
        <f>E85*F83</f>
        <v>23</v>
      </c>
      <c r="G85" s="113"/>
      <c r="H85" s="113"/>
      <c r="I85" s="113"/>
      <c r="J85" s="113"/>
      <c r="K85" s="113"/>
      <c r="L85" s="113"/>
      <c r="M85" s="113"/>
    </row>
    <row r="86" spans="1:13">
      <c r="A86" s="126" t="s">
        <v>493</v>
      </c>
      <c r="B86" s="93"/>
      <c r="C86" s="169" t="s">
        <v>13</v>
      </c>
      <c r="D86" s="96" t="s">
        <v>25</v>
      </c>
      <c r="E86" s="113">
        <v>0.37</v>
      </c>
      <c r="F86" s="113">
        <f>E86*F83</f>
        <v>7.4</v>
      </c>
      <c r="G86" s="113"/>
      <c r="H86" s="113"/>
      <c r="I86" s="113"/>
      <c r="J86" s="113"/>
      <c r="K86" s="113"/>
      <c r="L86" s="113"/>
      <c r="M86" s="113"/>
    </row>
    <row r="87" spans="1:13">
      <c r="A87" s="126" t="s">
        <v>494</v>
      </c>
      <c r="B87" s="95"/>
      <c r="C87" s="94" t="s">
        <v>14</v>
      </c>
      <c r="D87" s="96" t="s">
        <v>25</v>
      </c>
      <c r="E87" s="113">
        <v>0.02</v>
      </c>
      <c r="F87" s="113">
        <f>E87*F83</f>
        <v>0.4</v>
      </c>
      <c r="G87" s="113"/>
      <c r="H87" s="113"/>
      <c r="I87" s="113"/>
      <c r="J87" s="113"/>
      <c r="K87" s="113"/>
      <c r="L87" s="113"/>
      <c r="M87" s="113"/>
    </row>
    <row r="88" spans="1:13">
      <c r="A88" s="96"/>
      <c r="B88" s="93"/>
      <c r="C88" s="98"/>
      <c r="D88" s="96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>
      <c r="A89" s="96">
        <v>1.1200000000000001</v>
      </c>
      <c r="B89" s="95" t="s">
        <v>410</v>
      </c>
      <c r="C89" s="98" t="s">
        <v>299</v>
      </c>
      <c r="D89" s="126" t="s">
        <v>362</v>
      </c>
      <c r="E89" s="113"/>
      <c r="F89" s="113">
        <v>4.4000000000000004</v>
      </c>
      <c r="G89" s="113"/>
      <c r="H89" s="113"/>
      <c r="I89" s="113"/>
      <c r="J89" s="113"/>
      <c r="K89" s="113"/>
      <c r="L89" s="113"/>
      <c r="M89" s="113"/>
    </row>
    <row r="90" spans="1:13">
      <c r="A90" s="96"/>
      <c r="B90" s="95"/>
      <c r="C90" s="98"/>
      <c r="D90" s="96" t="s">
        <v>381</v>
      </c>
      <c r="E90" s="113"/>
      <c r="F90" s="124">
        <f>F89/100</f>
        <v>4.4000000000000004E-2</v>
      </c>
      <c r="G90" s="113"/>
      <c r="H90" s="113"/>
      <c r="I90" s="113"/>
      <c r="J90" s="113"/>
      <c r="K90" s="113"/>
      <c r="L90" s="113"/>
      <c r="M90" s="113"/>
    </row>
    <row r="91" spans="1:13">
      <c r="A91" s="96" t="s">
        <v>222</v>
      </c>
      <c r="B91" s="95"/>
      <c r="C91" s="98" t="s">
        <v>15</v>
      </c>
      <c r="D91" s="96" t="s">
        <v>1</v>
      </c>
      <c r="E91" s="113">
        <v>137</v>
      </c>
      <c r="F91" s="113">
        <f>E91*F90</f>
        <v>6.0280000000000005</v>
      </c>
      <c r="G91" s="113"/>
      <c r="H91" s="113"/>
      <c r="I91" s="113"/>
      <c r="J91" s="113"/>
      <c r="K91" s="113"/>
      <c r="L91" s="113"/>
      <c r="M91" s="113"/>
    </row>
    <row r="92" spans="1:13">
      <c r="A92" s="96" t="s">
        <v>223</v>
      </c>
      <c r="B92" s="95"/>
      <c r="C92" s="98" t="s">
        <v>13</v>
      </c>
      <c r="D92" s="96" t="s">
        <v>25</v>
      </c>
      <c r="E92" s="113">
        <v>28.3</v>
      </c>
      <c r="F92" s="113">
        <f>E92*F90</f>
        <v>1.2452000000000001</v>
      </c>
      <c r="G92" s="113"/>
      <c r="H92" s="113"/>
      <c r="I92" s="113"/>
      <c r="J92" s="113"/>
      <c r="K92" s="113"/>
      <c r="L92" s="113"/>
      <c r="M92" s="113"/>
    </row>
    <row r="93" spans="1:13">
      <c r="A93" s="96" t="s">
        <v>257</v>
      </c>
      <c r="B93" s="95" t="s">
        <v>469</v>
      </c>
      <c r="C93" s="98" t="s">
        <v>165</v>
      </c>
      <c r="D93" s="96" t="s">
        <v>362</v>
      </c>
      <c r="E93" s="113">
        <v>102</v>
      </c>
      <c r="F93" s="113">
        <f>E93*F90</f>
        <v>4.4880000000000004</v>
      </c>
      <c r="G93" s="113"/>
      <c r="H93" s="113"/>
      <c r="I93" s="113"/>
      <c r="J93" s="113"/>
      <c r="K93" s="113"/>
      <c r="L93" s="113"/>
      <c r="M93" s="113"/>
    </row>
    <row r="94" spans="1:13">
      <c r="A94" s="96" t="s">
        <v>258</v>
      </c>
      <c r="B94" s="95"/>
      <c r="C94" s="98" t="s">
        <v>14</v>
      </c>
      <c r="D94" s="96" t="s">
        <v>25</v>
      </c>
      <c r="E94" s="113">
        <v>62</v>
      </c>
      <c r="F94" s="113">
        <f>E94*F90</f>
        <v>2.7280000000000002</v>
      </c>
      <c r="G94" s="113"/>
      <c r="H94" s="113"/>
      <c r="I94" s="113"/>
      <c r="J94" s="113"/>
      <c r="K94" s="113"/>
      <c r="L94" s="113"/>
      <c r="M94" s="113"/>
    </row>
    <row r="95" spans="1:13">
      <c r="A95" s="96"/>
      <c r="B95" s="95"/>
      <c r="C95" s="98"/>
      <c r="D95" s="96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s="105" customFormat="1">
      <c r="A96" s="96">
        <v>1.1299999999999999</v>
      </c>
      <c r="B96" s="180" t="s">
        <v>413</v>
      </c>
      <c r="C96" s="133" t="s">
        <v>495</v>
      </c>
      <c r="D96" s="96" t="s">
        <v>362</v>
      </c>
      <c r="E96" s="113"/>
      <c r="F96" s="113">
        <f>80.4+3</f>
        <v>83.4</v>
      </c>
      <c r="G96" s="113"/>
      <c r="H96" s="113"/>
      <c r="I96" s="113"/>
      <c r="J96" s="113"/>
      <c r="K96" s="113"/>
      <c r="L96" s="113"/>
      <c r="M96" s="113"/>
    </row>
    <row r="97" spans="1:13" s="105" customFormat="1">
      <c r="A97" s="181"/>
      <c r="B97" s="180"/>
      <c r="C97" s="182"/>
      <c r="D97" s="131" t="s">
        <v>381</v>
      </c>
      <c r="E97" s="132"/>
      <c r="F97" s="183">
        <f>F96/100</f>
        <v>0.83400000000000007</v>
      </c>
      <c r="G97" s="132"/>
      <c r="H97" s="132"/>
      <c r="I97" s="132"/>
      <c r="J97" s="132"/>
      <c r="K97" s="132"/>
      <c r="L97" s="132"/>
      <c r="M97" s="132"/>
    </row>
    <row r="98" spans="1:13">
      <c r="A98" s="131" t="s">
        <v>70</v>
      </c>
      <c r="B98" s="180"/>
      <c r="C98" s="182" t="s">
        <v>40</v>
      </c>
      <c r="D98" s="131" t="s">
        <v>1</v>
      </c>
      <c r="E98" s="132">
        <v>599</v>
      </c>
      <c r="F98" s="132">
        <f>E98*F97</f>
        <v>499.56600000000003</v>
      </c>
      <c r="G98" s="132"/>
      <c r="H98" s="132"/>
      <c r="I98" s="132"/>
      <c r="J98" s="132"/>
      <c r="K98" s="132"/>
      <c r="L98" s="132"/>
      <c r="M98" s="132"/>
    </row>
    <row r="99" spans="1:13">
      <c r="A99" s="131" t="s">
        <v>71</v>
      </c>
      <c r="B99" s="180"/>
      <c r="C99" s="179" t="s">
        <v>123</v>
      </c>
      <c r="D99" s="171" t="s">
        <v>24</v>
      </c>
      <c r="E99" s="172">
        <v>0</v>
      </c>
      <c r="F99" s="172">
        <f>E99*F97</f>
        <v>0</v>
      </c>
      <c r="G99" s="172"/>
      <c r="H99" s="172"/>
      <c r="I99" s="172"/>
      <c r="J99" s="172"/>
      <c r="K99" s="172"/>
      <c r="L99" s="172"/>
      <c r="M99" s="172"/>
    </row>
    <row r="100" spans="1:13">
      <c r="A100" s="131" t="s">
        <v>271</v>
      </c>
      <c r="B100" s="180"/>
      <c r="C100" s="182" t="s">
        <v>414</v>
      </c>
      <c r="D100" s="131" t="s">
        <v>25</v>
      </c>
      <c r="E100" s="132">
        <v>109</v>
      </c>
      <c r="F100" s="132">
        <f>E100*F97</f>
        <v>90.906000000000006</v>
      </c>
      <c r="G100" s="132"/>
      <c r="H100" s="132"/>
      <c r="I100" s="132"/>
      <c r="J100" s="132"/>
      <c r="K100" s="132"/>
      <c r="L100" s="132"/>
      <c r="M100" s="132"/>
    </row>
    <row r="101" spans="1:13">
      <c r="A101" s="131" t="s">
        <v>272</v>
      </c>
      <c r="B101" s="180" t="s">
        <v>415</v>
      </c>
      <c r="C101" s="182" t="s">
        <v>176</v>
      </c>
      <c r="D101" s="131" t="s">
        <v>362</v>
      </c>
      <c r="E101" s="132">
        <v>101.5</v>
      </c>
      <c r="F101" s="132">
        <f>E101*F97</f>
        <v>84.65100000000001</v>
      </c>
      <c r="G101" s="132"/>
      <c r="H101" s="132"/>
      <c r="I101" s="132"/>
      <c r="J101" s="132"/>
      <c r="K101" s="132"/>
      <c r="L101" s="132"/>
      <c r="M101" s="132"/>
    </row>
    <row r="102" spans="1:13">
      <c r="A102" s="131" t="s">
        <v>320</v>
      </c>
      <c r="B102" s="180" t="s">
        <v>418</v>
      </c>
      <c r="C102" s="182" t="s">
        <v>126</v>
      </c>
      <c r="D102" s="131" t="s">
        <v>23</v>
      </c>
      <c r="E102" s="87" t="s">
        <v>92</v>
      </c>
      <c r="F102" s="87">
        <v>6.5</v>
      </c>
      <c r="G102" s="132"/>
      <c r="H102" s="132"/>
      <c r="I102" s="132"/>
      <c r="J102" s="132"/>
      <c r="K102" s="87"/>
      <c r="L102" s="132"/>
      <c r="M102" s="132"/>
    </row>
    <row r="103" spans="1:13">
      <c r="A103" s="131" t="s">
        <v>321</v>
      </c>
      <c r="B103" s="180"/>
      <c r="C103" s="179" t="s">
        <v>121</v>
      </c>
      <c r="D103" s="171" t="s">
        <v>362</v>
      </c>
      <c r="E103" s="172">
        <v>0</v>
      </c>
      <c r="F103" s="172">
        <f>E103*F97</f>
        <v>0</v>
      </c>
      <c r="G103" s="172"/>
      <c r="H103" s="172"/>
      <c r="I103" s="172"/>
      <c r="J103" s="172"/>
      <c r="K103" s="172"/>
      <c r="L103" s="172"/>
      <c r="M103" s="172"/>
    </row>
    <row r="104" spans="1:13">
      <c r="A104" s="131" t="s">
        <v>322</v>
      </c>
      <c r="B104" s="180"/>
      <c r="C104" s="179" t="s">
        <v>124</v>
      </c>
      <c r="D104" s="171" t="s">
        <v>362</v>
      </c>
      <c r="E104" s="172">
        <v>0</v>
      </c>
      <c r="F104" s="172">
        <f>E104*F97</f>
        <v>0</v>
      </c>
      <c r="G104" s="172"/>
      <c r="H104" s="172"/>
      <c r="I104" s="172"/>
      <c r="J104" s="172"/>
      <c r="K104" s="172"/>
      <c r="L104" s="172"/>
      <c r="M104" s="172"/>
    </row>
    <row r="105" spans="1:13">
      <c r="A105" s="131" t="s">
        <v>323</v>
      </c>
      <c r="B105" s="180" t="s">
        <v>419</v>
      </c>
      <c r="C105" s="182" t="s">
        <v>420</v>
      </c>
      <c r="D105" s="131" t="s">
        <v>373</v>
      </c>
      <c r="E105" s="132">
        <v>118</v>
      </c>
      <c r="F105" s="132">
        <f>E105*F97</f>
        <v>98.412000000000006</v>
      </c>
      <c r="G105" s="132"/>
      <c r="H105" s="132"/>
      <c r="I105" s="132"/>
      <c r="J105" s="132"/>
      <c r="K105" s="132"/>
      <c r="L105" s="132"/>
      <c r="M105" s="132"/>
    </row>
    <row r="106" spans="1:13">
      <c r="A106" s="131" t="s">
        <v>324</v>
      </c>
      <c r="B106" s="180" t="s">
        <v>421</v>
      </c>
      <c r="C106" s="182" t="s">
        <v>422</v>
      </c>
      <c r="D106" s="131" t="s">
        <v>362</v>
      </c>
      <c r="E106" s="132">
        <f>0.21+2.78</f>
        <v>2.9899999999999998</v>
      </c>
      <c r="F106" s="132">
        <f>E106*F97</f>
        <v>2.4936600000000002</v>
      </c>
      <c r="G106" s="132"/>
      <c r="H106" s="132"/>
      <c r="I106" s="132"/>
      <c r="J106" s="132"/>
      <c r="K106" s="132"/>
      <c r="L106" s="132"/>
      <c r="M106" s="132"/>
    </row>
    <row r="107" spans="1:13">
      <c r="A107" s="131" t="s">
        <v>496</v>
      </c>
      <c r="B107" s="180" t="s">
        <v>424</v>
      </c>
      <c r="C107" s="182" t="s">
        <v>425</v>
      </c>
      <c r="D107" s="131" t="s">
        <v>296</v>
      </c>
      <c r="E107" s="132">
        <v>110</v>
      </c>
      <c r="F107" s="132">
        <f>E107*F97</f>
        <v>91.740000000000009</v>
      </c>
      <c r="G107" s="132"/>
      <c r="H107" s="132"/>
      <c r="I107" s="132"/>
      <c r="J107" s="132"/>
      <c r="K107" s="132"/>
      <c r="L107" s="132"/>
      <c r="M107" s="132"/>
    </row>
    <row r="108" spans="1:13">
      <c r="A108" s="131" t="s">
        <v>497</v>
      </c>
      <c r="B108" s="180" t="s">
        <v>427</v>
      </c>
      <c r="C108" s="182" t="s">
        <v>428</v>
      </c>
      <c r="D108" s="131" t="s">
        <v>296</v>
      </c>
      <c r="E108" s="132">
        <v>140</v>
      </c>
      <c r="F108" s="132">
        <f>E108*F97</f>
        <v>116.76</v>
      </c>
      <c r="G108" s="132"/>
      <c r="H108" s="132"/>
      <c r="I108" s="132"/>
      <c r="J108" s="132"/>
      <c r="K108" s="132"/>
      <c r="L108" s="132"/>
      <c r="M108" s="132"/>
    </row>
    <row r="109" spans="1:13">
      <c r="A109" s="131" t="s">
        <v>498</v>
      </c>
      <c r="B109" s="180"/>
      <c r="C109" s="182" t="s">
        <v>101</v>
      </c>
      <c r="D109" s="131" t="s">
        <v>25</v>
      </c>
      <c r="E109" s="132">
        <v>32</v>
      </c>
      <c r="F109" s="132">
        <f>E109*F97</f>
        <v>26.688000000000002</v>
      </c>
      <c r="G109" s="132"/>
      <c r="H109" s="132"/>
      <c r="I109" s="132"/>
      <c r="J109" s="132"/>
      <c r="K109" s="132"/>
      <c r="L109" s="132"/>
      <c r="M109" s="132"/>
    </row>
    <row r="110" spans="1:13">
      <c r="A110" s="96"/>
      <c r="B110" s="95"/>
      <c r="C110" s="98"/>
      <c r="D110" s="96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>
      <c r="A111" s="96">
        <v>1.1399999999999999</v>
      </c>
      <c r="B111" s="130" t="s">
        <v>437</v>
      </c>
      <c r="C111" s="98" t="s">
        <v>303</v>
      </c>
      <c r="D111" s="131" t="s">
        <v>373</v>
      </c>
      <c r="E111" s="113"/>
      <c r="F111" s="113">
        <v>258</v>
      </c>
      <c r="G111" s="113"/>
      <c r="H111" s="113"/>
      <c r="I111" s="113"/>
      <c r="J111" s="113"/>
      <c r="K111" s="113"/>
      <c r="L111" s="113"/>
      <c r="M111" s="113"/>
    </row>
    <row r="112" spans="1:13">
      <c r="A112" s="96"/>
      <c r="B112" s="130"/>
      <c r="C112" s="182"/>
      <c r="D112" s="131" t="s">
        <v>438</v>
      </c>
      <c r="E112" s="132"/>
      <c r="F112" s="183">
        <f>F111/100</f>
        <v>2.58</v>
      </c>
      <c r="G112" s="132"/>
      <c r="H112" s="132"/>
      <c r="I112" s="132"/>
      <c r="J112" s="132"/>
      <c r="K112" s="132"/>
      <c r="L112" s="132"/>
      <c r="M112" s="132"/>
    </row>
    <row r="113" spans="1:13">
      <c r="A113" s="131" t="s">
        <v>207</v>
      </c>
      <c r="B113" s="130"/>
      <c r="C113" s="182" t="s">
        <v>15</v>
      </c>
      <c r="D113" s="131" t="s">
        <v>1</v>
      </c>
      <c r="E113" s="132">
        <v>33.6</v>
      </c>
      <c r="F113" s="132">
        <f>E113*F112</f>
        <v>86.688000000000002</v>
      </c>
      <c r="G113" s="132"/>
      <c r="H113" s="132"/>
      <c r="I113" s="132"/>
      <c r="J113" s="132"/>
      <c r="K113" s="132"/>
      <c r="L113" s="132"/>
      <c r="M113" s="132"/>
    </row>
    <row r="114" spans="1:13">
      <c r="A114" s="131" t="s">
        <v>227</v>
      </c>
      <c r="B114" s="130"/>
      <c r="C114" s="182" t="s">
        <v>13</v>
      </c>
      <c r="D114" s="131" t="s">
        <v>25</v>
      </c>
      <c r="E114" s="132">
        <v>1.5</v>
      </c>
      <c r="F114" s="132">
        <f>E114*F112</f>
        <v>3.87</v>
      </c>
      <c r="G114" s="132"/>
      <c r="H114" s="132"/>
      <c r="I114" s="132"/>
      <c r="J114" s="132"/>
      <c r="K114" s="132"/>
      <c r="L114" s="132"/>
      <c r="M114" s="132"/>
    </row>
    <row r="115" spans="1:13">
      <c r="A115" s="131" t="s">
        <v>291</v>
      </c>
      <c r="B115" s="130" t="s">
        <v>439</v>
      </c>
      <c r="C115" s="182" t="s">
        <v>440</v>
      </c>
      <c r="D115" s="131" t="s">
        <v>23</v>
      </c>
      <c r="E115" s="132">
        <v>0.24</v>
      </c>
      <c r="F115" s="132">
        <f>E115*F112</f>
        <v>0.61919999999999997</v>
      </c>
      <c r="G115" s="132"/>
      <c r="H115" s="132"/>
      <c r="I115" s="132"/>
      <c r="J115" s="132"/>
      <c r="K115" s="132"/>
      <c r="L115" s="132"/>
      <c r="M115" s="132"/>
    </row>
    <row r="116" spans="1:13">
      <c r="A116" s="131" t="s">
        <v>292</v>
      </c>
      <c r="B116" s="130"/>
      <c r="C116" s="179" t="s">
        <v>104</v>
      </c>
      <c r="D116" s="171" t="s">
        <v>362</v>
      </c>
      <c r="E116" s="172">
        <v>0</v>
      </c>
      <c r="F116" s="172">
        <f>E116*F112</f>
        <v>0</v>
      </c>
      <c r="G116" s="172"/>
      <c r="H116" s="172"/>
      <c r="I116" s="172"/>
      <c r="J116" s="172"/>
      <c r="K116" s="172"/>
      <c r="L116" s="172"/>
      <c r="M116" s="172"/>
    </row>
    <row r="117" spans="1:13">
      <c r="A117" s="131" t="s">
        <v>293</v>
      </c>
      <c r="B117" s="130"/>
      <c r="C117" s="182" t="s">
        <v>101</v>
      </c>
      <c r="D117" s="131" t="s">
        <v>25</v>
      </c>
      <c r="E117" s="132">
        <v>2.2799999999999998</v>
      </c>
      <c r="F117" s="132">
        <f>E117*F112</f>
        <v>5.8823999999999996</v>
      </c>
      <c r="G117" s="132"/>
      <c r="H117" s="132"/>
      <c r="I117" s="132"/>
      <c r="J117" s="132"/>
      <c r="K117" s="132"/>
      <c r="L117" s="132"/>
      <c r="M117" s="132"/>
    </row>
    <row r="118" spans="1:13">
      <c r="A118" s="96"/>
      <c r="B118" s="130"/>
      <c r="C118" s="182"/>
      <c r="D118" s="131"/>
      <c r="E118" s="132"/>
      <c r="F118" s="132"/>
      <c r="G118" s="132"/>
      <c r="H118" s="132"/>
      <c r="I118" s="132"/>
      <c r="J118" s="132"/>
      <c r="K118" s="132"/>
      <c r="L118" s="132"/>
      <c r="M118" s="132"/>
    </row>
    <row r="119" spans="1:13">
      <c r="A119" s="96">
        <v>1.1499999999999999</v>
      </c>
      <c r="B119" s="93" t="s">
        <v>183</v>
      </c>
      <c r="C119" s="98" t="s">
        <v>308</v>
      </c>
      <c r="D119" s="131" t="s">
        <v>362</v>
      </c>
      <c r="E119" s="113"/>
      <c r="F119" s="124">
        <v>538</v>
      </c>
      <c r="G119" s="113"/>
      <c r="H119" s="113"/>
      <c r="I119" s="113"/>
      <c r="J119" s="113"/>
      <c r="K119" s="113"/>
      <c r="L119" s="113"/>
      <c r="M119" s="113"/>
    </row>
    <row r="120" spans="1:13">
      <c r="A120" s="96"/>
      <c r="B120" s="130"/>
      <c r="C120" s="182"/>
      <c r="D120" s="131" t="s">
        <v>363</v>
      </c>
      <c r="E120" s="132"/>
      <c r="F120" s="183">
        <f>F119/1000</f>
        <v>0.53800000000000003</v>
      </c>
      <c r="G120" s="132"/>
      <c r="H120" s="132"/>
      <c r="I120" s="132"/>
      <c r="J120" s="132"/>
      <c r="K120" s="132"/>
      <c r="L120" s="132"/>
      <c r="M120" s="132"/>
    </row>
    <row r="121" spans="1:13">
      <c r="A121" s="96" t="s">
        <v>75</v>
      </c>
      <c r="B121" s="130"/>
      <c r="C121" s="182" t="s">
        <v>15</v>
      </c>
      <c r="D121" s="131" t="s">
        <v>1</v>
      </c>
      <c r="E121" s="132">
        <v>15.5</v>
      </c>
      <c r="F121" s="132">
        <f>E121*F120</f>
        <v>8.3390000000000004</v>
      </c>
      <c r="G121" s="132"/>
      <c r="H121" s="132"/>
      <c r="I121" s="132"/>
      <c r="J121" s="132"/>
      <c r="K121" s="132"/>
      <c r="L121" s="132"/>
      <c r="M121" s="132"/>
    </row>
    <row r="122" spans="1:13">
      <c r="A122" s="96" t="s">
        <v>76</v>
      </c>
      <c r="B122" s="130" t="s">
        <v>364</v>
      </c>
      <c r="C122" s="133" t="s">
        <v>365</v>
      </c>
      <c r="D122" s="131" t="s">
        <v>24</v>
      </c>
      <c r="E122" s="132">
        <v>34.700000000000003</v>
      </c>
      <c r="F122" s="132">
        <f>E122*F120</f>
        <v>18.668600000000001</v>
      </c>
      <c r="G122" s="132"/>
      <c r="H122" s="132"/>
      <c r="I122" s="132"/>
      <c r="J122" s="132"/>
      <c r="K122" s="132"/>
      <c r="L122" s="132"/>
      <c r="M122" s="132"/>
    </row>
    <row r="123" spans="1:13">
      <c r="A123" s="96" t="s">
        <v>77</v>
      </c>
      <c r="B123" s="130"/>
      <c r="C123" s="182" t="s">
        <v>13</v>
      </c>
      <c r="D123" s="131" t="s">
        <v>25</v>
      </c>
      <c r="E123" s="132">
        <v>2.1</v>
      </c>
      <c r="F123" s="132">
        <f>E123*F120</f>
        <v>1.1298000000000001</v>
      </c>
      <c r="G123" s="132"/>
      <c r="H123" s="132"/>
      <c r="I123" s="132"/>
      <c r="J123" s="132"/>
      <c r="K123" s="132"/>
      <c r="L123" s="132"/>
      <c r="M123" s="132"/>
    </row>
    <row r="124" spans="1:13">
      <c r="A124" s="96" t="s">
        <v>78</v>
      </c>
      <c r="B124" s="130" t="s">
        <v>366</v>
      </c>
      <c r="C124" s="133" t="s">
        <v>367</v>
      </c>
      <c r="D124" s="131" t="s">
        <v>362</v>
      </c>
      <c r="E124" s="132">
        <v>0.04</v>
      </c>
      <c r="F124" s="132">
        <f>E124*F120</f>
        <v>2.1520000000000001E-2</v>
      </c>
      <c r="G124" s="132"/>
      <c r="H124" s="132"/>
      <c r="I124" s="132"/>
      <c r="J124" s="132"/>
      <c r="K124" s="132"/>
      <c r="L124" s="132"/>
      <c r="M124" s="132"/>
    </row>
    <row r="125" spans="1:13">
      <c r="A125" s="96"/>
      <c r="B125" s="93"/>
      <c r="C125" s="98"/>
      <c r="D125" s="96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3">
      <c r="A126" s="96">
        <v>1.1599999999999999</v>
      </c>
      <c r="B126" s="93" t="s">
        <v>310</v>
      </c>
      <c r="C126" s="98" t="s">
        <v>309</v>
      </c>
      <c r="D126" s="131" t="s">
        <v>98</v>
      </c>
      <c r="E126" s="113"/>
      <c r="F126" s="113">
        <f>6*3</f>
        <v>18</v>
      </c>
      <c r="G126" s="113"/>
      <c r="H126" s="113"/>
      <c r="I126" s="113"/>
      <c r="J126" s="113"/>
      <c r="K126" s="113"/>
      <c r="L126" s="113"/>
      <c r="M126" s="113"/>
    </row>
    <row r="127" spans="1:13">
      <c r="A127" s="96"/>
      <c r="B127" s="93"/>
      <c r="C127" s="98"/>
      <c r="D127" s="96" t="s">
        <v>94</v>
      </c>
      <c r="E127" s="113"/>
      <c r="F127" s="113">
        <f>(6*3)/100</f>
        <v>0.18</v>
      </c>
      <c r="G127" s="113"/>
      <c r="H127" s="113"/>
      <c r="I127" s="113"/>
      <c r="J127" s="113"/>
      <c r="K127" s="113"/>
      <c r="L127" s="113"/>
      <c r="M127" s="113"/>
    </row>
    <row r="128" spans="1:13">
      <c r="A128" s="96" t="s">
        <v>79</v>
      </c>
      <c r="B128" s="93"/>
      <c r="C128" s="98" t="s">
        <v>40</v>
      </c>
      <c r="D128" s="96" t="s">
        <v>1</v>
      </c>
      <c r="E128" s="113">
        <v>85.8</v>
      </c>
      <c r="F128" s="113">
        <f>E128*F127</f>
        <v>15.443999999999999</v>
      </c>
      <c r="G128" s="113"/>
      <c r="H128" s="113"/>
      <c r="I128" s="113"/>
      <c r="J128" s="113"/>
      <c r="K128" s="113"/>
      <c r="L128" s="113"/>
      <c r="M128" s="113"/>
    </row>
    <row r="129" spans="1:13">
      <c r="A129" s="96" t="s">
        <v>186</v>
      </c>
      <c r="B129" s="130" t="s">
        <v>401</v>
      </c>
      <c r="C129" s="133" t="s">
        <v>500</v>
      </c>
      <c r="D129" s="96" t="s">
        <v>24</v>
      </c>
      <c r="E129" s="113">
        <v>5.79</v>
      </c>
      <c r="F129" s="113">
        <f>E129*F127</f>
        <v>1.0422</v>
      </c>
      <c r="G129" s="113"/>
      <c r="H129" s="113"/>
      <c r="I129" s="113"/>
      <c r="J129" s="113"/>
      <c r="K129" s="113"/>
      <c r="L129" s="113"/>
      <c r="M129" s="113"/>
    </row>
    <row r="130" spans="1:13">
      <c r="A130" s="96" t="s">
        <v>187</v>
      </c>
      <c r="B130" s="130" t="s">
        <v>402</v>
      </c>
      <c r="C130" s="133" t="s">
        <v>499</v>
      </c>
      <c r="D130" s="96" t="s">
        <v>24</v>
      </c>
      <c r="E130" s="113">
        <v>9.9</v>
      </c>
      <c r="F130" s="113">
        <f>E130*F127</f>
        <v>1.782</v>
      </c>
      <c r="G130" s="113"/>
      <c r="H130" s="113"/>
      <c r="I130" s="113"/>
      <c r="J130" s="113"/>
      <c r="K130" s="113"/>
      <c r="L130" s="113"/>
      <c r="M130" s="113"/>
    </row>
    <row r="131" spans="1:13">
      <c r="A131" s="96" t="s">
        <v>273</v>
      </c>
      <c r="B131" s="93"/>
      <c r="C131" s="98" t="s">
        <v>13</v>
      </c>
      <c r="D131" s="96" t="s">
        <v>25</v>
      </c>
      <c r="E131" s="113">
        <v>2.79</v>
      </c>
      <c r="F131" s="113">
        <f>E131*F127</f>
        <v>0.50219999999999998</v>
      </c>
      <c r="G131" s="113"/>
      <c r="H131" s="113"/>
      <c r="I131" s="113"/>
      <c r="J131" s="113"/>
      <c r="K131" s="113"/>
      <c r="L131" s="113"/>
      <c r="M131" s="113"/>
    </row>
    <row r="132" spans="1:13">
      <c r="A132" s="96" t="s">
        <v>301</v>
      </c>
      <c r="B132" s="130" t="s">
        <v>501</v>
      </c>
      <c r="C132" s="98" t="s">
        <v>311</v>
      </c>
      <c r="D132" s="96" t="s">
        <v>98</v>
      </c>
      <c r="E132" s="113" t="s">
        <v>92</v>
      </c>
      <c r="F132" s="113">
        <v>18</v>
      </c>
      <c r="G132" s="113"/>
      <c r="H132" s="113"/>
      <c r="I132" s="113"/>
      <c r="J132" s="113"/>
      <c r="K132" s="113"/>
      <c r="L132" s="113"/>
      <c r="M132" s="113"/>
    </row>
    <row r="133" spans="1:13">
      <c r="A133" s="96" t="s">
        <v>302</v>
      </c>
      <c r="B133" s="93"/>
      <c r="C133" s="98" t="s">
        <v>14</v>
      </c>
      <c r="D133" s="96" t="s">
        <v>25</v>
      </c>
      <c r="E133" s="113">
        <v>61.4</v>
      </c>
      <c r="F133" s="113">
        <f>E133*F127</f>
        <v>11.052</v>
      </c>
      <c r="G133" s="113"/>
      <c r="H133" s="113"/>
      <c r="I133" s="113"/>
      <c r="J133" s="113"/>
      <c r="K133" s="113"/>
      <c r="L133" s="113"/>
      <c r="M133" s="113"/>
    </row>
    <row r="134" spans="1:13" ht="12" customHeight="1">
      <c r="A134" s="96"/>
      <c r="B134" s="93"/>
      <c r="C134" s="98"/>
      <c r="D134" s="96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>
      <c r="A135" s="96">
        <v>1.17</v>
      </c>
      <c r="B135" s="93" t="s">
        <v>313</v>
      </c>
      <c r="C135" s="98" t="s">
        <v>312</v>
      </c>
      <c r="D135" s="131" t="s">
        <v>373</v>
      </c>
      <c r="E135" s="113"/>
      <c r="F135" s="113">
        <v>36.6</v>
      </c>
      <c r="G135" s="113"/>
      <c r="H135" s="113"/>
      <c r="I135" s="113"/>
      <c r="J135" s="113"/>
      <c r="K135" s="113"/>
      <c r="L135" s="113"/>
      <c r="M135" s="113"/>
    </row>
    <row r="136" spans="1:13">
      <c r="A136" s="96"/>
      <c r="B136" s="93"/>
      <c r="C136" s="98"/>
      <c r="D136" s="96" t="s">
        <v>438</v>
      </c>
      <c r="E136" s="113"/>
      <c r="F136" s="124">
        <f>F135/100</f>
        <v>0.36599999999999999</v>
      </c>
      <c r="G136" s="113"/>
      <c r="H136" s="113"/>
      <c r="I136" s="113"/>
      <c r="J136" s="113"/>
      <c r="K136" s="113"/>
      <c r="L136" s="113"/>
      <c r="M136" s="113"/>
    </row>
    <row r="137" spans="1:13">
      <c r="A137" s="96" t="s">
        <v>188</v>
      </c>
      <c r="B137" s="93"/>
      <c r="C137" s="98" t="s">
        <v>40</v>
      </c>
      <c r="D137" s="96" t="s">
        <v>1</v>
      </c>
      <c r="E137" s="113">
        <v>13.9</v>
      </c>
      <c r="F137" s="113">
        <f>E137*F136</f>
        <v>5.0873999999999997</v>
      </c>
      <c r="G137" s="113"/>
      <c r="H137" s="113"/>
      <c r="I137" s="113"/>
      <c r="J137" s="113"/>
      <c r="K137" s="113"/>
      <c r="L137" s="113"/>
      <c r="M137" s="113"/>
    </row>
    <row r="138" spans="1:13">
      <c r="A138" s="96" t="s">
        <v>274</v>
      </c>
      <c r="B138" s="93"/>
      <c r="C138" s="98" t="s">
        <v>13</v>
      </c>
      <c r="D138" s="96" t="s">
        <v>25</v>
      </c>
      <c r="E138" s="113">
        <v>0.7</v>
      </c>
      <c r="F138" s="113">
        <f>E138*F136</f>
        <v>0.25619999999999998</v>
      </c>
      <c r="G138" s="113"/>
      <c r="H138" s="113"/>
      <c r="I138" s="113"/>
      <c r="J138" s="113"/>
      <c r="K138" s="113"/>
      <c r="L138" s="113"/>
      <c r="M138" s="113"/>
    </row>
    <row r="139" spans="1:13">
      <c r="A139" s="96" t="s">
        <v>275</v>
      </c>
      <c r="B139" s="130" t="s">
        <v>505</v>
      </c>
      <c r="C139" s="133" t="s">
        <v>507</v>
      </c>
      <c r="D139" s="131" t="s">
        <v>296</v>
      </c>
      <c r="E139" s="113">
        <v>12</v>
      </c>
      <c r="F139" s="113">
        <f>E139*F136</f>
        <v>4.3919999999999995</v>
      </c>
      <c r="G139" s="113"/>
      <c r="H139" s="113"/>
      <c r="I139" s="113"/>
      <c r="J139" s="113"/>
      <c r="K139" s="113"/>
      <c r="L139" s="113"/>
      <c r="M139" s="113"/>
    </row>
    <row r="140" spans="1:13">
      <c r="A140" s="96" t="s">
        <v>325</v>
      </c>
      <c r="B140" s="130" t="s">
        <v>506</v>
      </c>
      <c r="C140" s="133" t="s">
        <v>508</v>
      </c>
      <c r="D140" s="131" t="s">
        <v>296</v>
      </c>
      <c r="E140" s="113">
        <v>15</v>
      </c>
      <c r="F140" s="113">
        <f>E140*F136</f>
        <v>5.49</v>
      </c>
      <c r="G140" s="113"/>
      <c r="H140" s="113"/>
      <c r="I140" s="113"/>
      <c r="J140" s="113"/>
      <c r="K140" s="113"/>
      <c r="L140" s="113"/>
      <c r="M140" s="113"/>
    </row>
    <row r="141" spans="1:13">
      <c r="A141" s="96" t="s">
        <v>326</v>
      </c>
      <c r="B141" s="93"/>
      <c r="C141" s="133" t="s">
        <v>314</v>
      </c>
      <c r="D141" s="96" t="s">
        <v>296</v>
      </c>
      <c r="E141" s="113">
        <v>59</v>
      </c>
      <c r="F141" s="113">
        <f>E141*F136</f>
        <v>21.594000000000001</v>
      </c>
      <c r="G141" s="113"/>
      <c r="H141" s="113"/>
      <c r="I141" s="113"/>
      <c r="J141" s="113"/>
      <c r="K141" s="113"/>
      <c r="L141" s="113"/>
      <c r="M141" s="113"/>
    </row>
    <row r="142" spans="1:13">
      <c r="A142" s="96" t="s">
        <v>503</v>
      </c>
      <c r="B142" s="93"/>
      <c r="C142" s="98" t="s">
        <v>315</v>
      </c>
      <c r="D142" s="96" t="s">
        <v>296</v>
      </c>
      <c r="E142" s="113">
        <v>10</v>
      </c>
      <c r="F142" s="113">
        <f>E142*F137</f>
        <v>50.873999999999995</v>
      </c>
      <c r="G142" s="113"/>
      <c r="H142" s="113"/>
      <c r="I142" s="113"/>
      <c r="J142" s="113"/>
      <c r="K142" s="113"/>
      <c r="L142" s="113"/>
      <c r="M142" s="113"/>
    </row>
    <row r="143" spans="1:13">
      <c r="A143" s="96" t="s">
        <v>504</v>
      </c>
      <c r="B143" s="93"/>
      <c r="C143" s="98" t="s">
        <v>14</v>
      </c>
      <c r="D143" s="96" t="s">
        <v>25</v>
      </c>
      <c r="E143" s="113">
        <v>61.4</v>
      </c>
      <c r="F143" s="113">
        <f>E143*F136</f>
        <v>22.4724</v>
      </c>
      <c r="G143" s="113"/>
      <c r="H143" s="113"/>
      <c r="I143" s="113"/>
      <c r="J143" s="113"/>
      <c r="K143" s="113"/>
      <c r="L143" s="113"/>
      <c r="M143" s="113"/>
    </row>
    <row r="144" spans="1:13">
      <c r="A144" s="96"/>
      <c r="B144" s="93"/>
      <c r="C144" s="98"/>
      <c r="D144" s="96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1:13">
      <c r="A145" s="96">
        <v>1.18</v>
      </c>
      <c r="B145" s="93" t="s">
        <v>183</v>
      </c>
      <c r="C145" s="98" t="s">
        <v>316</v>
      </c>
      <c r="D145" s="131" t="s">
        <v>362</v>
      </c>
      <c r="E145" s="113"/>
      <c r="F145" s="113">
        <v>1542</v>
      </c>
      <c r="G145" s="113"/>
      <c r="H145" s="113"/>
      <c r="I145" s="113"/>
      <c r="J145" s="113"/>
      <c r="K145" s="113"/>
      <c r="L145" s="113"/>
      <c r="M145" s="113"/>
    </row>
    <row r="146" spans="1:13">
      <c r="A146" s="96"/>
      <c r="B146" s="130"/>
      <c r="C146" s="182"/>
      <c r="D146" s="131" t="s">
        <v>363</v>
      </c>
      <c r="E146" s="132"/>
      <c r="F146" s="183">
        <f>F145/1000</f>
        <v>1.542</v>
      </c>
      <c r="G146" s="132"/>
      <c r="H146" s="132"/>
      <c r="I146" s="132"/>
      <c r="J146" s="132"/>
      <c r="K146" s="132"/>
      <c r="L146" s="132"/>
      <c r="M146" s="132"/>
    </row>
    <row r="147" spans="1:13">
      <c r="A147" s="96" t="s">
        <v>276</v>
      </c>
      <c r="B147" s="130"/>
      <c r="C147" s="182" t="s">
        <v>15</v>
      </c>
      <c r="D147" s="131" t="s">
        <v>1</v>
      </c>
      <c r="E147" s="132">
        <v>15.5</v>
      </c>
      <c r="F147" s="132">
        <f>E147*F146</f>
        <v>23.901</v>
      </c>
      <c r="G147" s="132"/>
      <c r="H147" s="132"/>
      <c r="I147" s="132"/>
      <c r="J147" s="132"/>
      <c r="K147" s="132"/>
      <c r="L147" s="132"/>
      <c r="M147" s="132"/>
    </row>
    <row r="148" spans="1:13">
      <c r="A148" s="96" t="s">
        <v>277</v>
      </c>
      <c r="B148" s="130" t="s">
        <v>364</v>
      </c>
      <c r="C148" s="133" t="s">
        <v>365</v>
      </c>
      <c r="D148" s="131" t="s">
        <v>24</v>
      </c>
      <c r="E148" s="132">
        <v>34.700000000000003</v>
      </c>
      <c r="F148" s="132">
        <f>E148*F146</f>
        <v>53.507400000000004</v>
      </c>
      <c r="G148" s="132"/>
      <c r="H148" s="132"/>
      <c r="I148" s="132"/>
      <c r="J148" s="132"/>
      <c r="K148" s="132"/>
      <c r="L148" s="132"/>
      <c r="M148" s="132"/>
    </row>
    <row r="149" spans="1:13">
      <c r="A149" s="96" t="s">
        <v>304</v>
      </c>
      <c r="B149" s="130"/>
      <c r="C149" s="182" t="s">
        <v>13</v>
      </c>
      <c r="D149" s="131" t="s">
        <v>25</v>
      </c>
      <c r="E149" s="132">
        <v>2.1</v>
      </c>
      <c r="F149" s="132">
        <f>E149*F146</f>
        <v>3.2382000000000004</v>
      </c>
      <c r="G149" s="132"/>
      <c r="H149" s="132"/>
      <c r="I149" s="132"/>
      <c r="J149" s="132"/>
      <c r="K149" s="132"/>
      <c r="L149" s="132"/>
      <c r="M149" s="132"/>
    </row>
    <row r="150" spans="1:13">
      <c r="A150" s="96" t="s">
        <v>305</v>
      </c>
      <c r="B150" s="130" t="s">
        <v>366</v>
      </c>
      <c r="C150" s="133" t="s">
        <v>367</v>
      </c>
      <c r="D150" s="131" t="s">
        <v>362</v>
      </c>
      <c r="E150" s="132">
        <v>0.04</v>
      </c>
      <c r="F150" s="132">
        <f>E150*F146</f>
        <v>6.1680000000000006E-2</v>
      </c>
      <c r="G150" s="132"/>
      <c r="H150" s="132"/>
      <c r="I150" s="132"/>
      <c r="J150" s="132"/>
      <c r="K150" s="132"/>
      <c r="L150" s="132"/>
      <c r="M150" s="132"/>
    </row>
    <row r="151" spans="1:13">
      <c r="A151" s="96"/>
      <c r="B151" s="93"/>
      <c r="C151" s="98"/>
      <c r="D151" s="96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1:13" ht="12.75" customHeight="1">
      <c r="A152" s="131" t="s">
        <v>502</v>
      </c>
      <c r="B152" s="95" t="s">
        <v>85</v>
      </c>
      <c r="C152" s="98" t="s">
        <v>317</v>
      </c>
      <c r="D152" s="131" t="s">
        <v>362</v>
      </c>
      <c r="E152" s="113"/>
      <c r="F152" s="113">
        <v>15</v>
      </c>
      <c r="G152" s="113"/>
      <c r="H152" s="113"/>
      <c r="I152" s="113"/>
      <c r="J152" s="113"/>
      <c r="K152" s="113"/>
      <c r="L152" s="113"/>
      <c r="M152" s="113"/>
    </row>
    <row r="153" spans="1:13" ht="12.75" customHeight="1">
      <c r="A153" s="131"/>
      <c r="B153" s="130" t="s">
        <v>405</v>
      </c>
      <c r="C153" s="184"/>
      <c r="D153" s="131" t="s">
        <v>381</v>
      </c>
      <c r="E153" s="132"/>
      <c r="F153" s="183">
        <f>F152/100</f>
        <v>0.15</v>
      </c>
      <c r="G153" s="132"/>
      <c r="H153" s="132"/>
      <c r="I153" s="132"/>
      <c r="J153" s="132"/>
      <c r="K153" s="132"/>
      <c r="L153" s="132"/>
      <c r="M153" s="132"/>
    </row>
    <row r="154" spans="1:13">
      <c r="A154" s="96" t="s">
        <v>278</v>
      </c>
      <c r="B154" s="130" t="s">
        <v>406</v>
      </c>
      <c r="C154" s="184" t="s">
        <v>15</v>
      </c>
      <c r="D154" s="131" t="s">
        <v>1</v>
      </c>
      <c r="E154" s="132">
        <f>206*1.2</f>
        <v>247.2</v>
      </c>
      <c r="F154" s="132">
        <f>E154*F153</f>
        <v>37.08</v>
      </c>
      <c r="G154" s="132"/>
      <c r="H154" s="132"/>
      <c r="I154" s="132"/>
      <c r="J154" s="132"/>
      <c r="K154" s="132"/>
      <c r="L154" s="132"/>
      <c r="M154" s="132"/>
    </row>
    <row r="155" spans="1:13">
      <c r="A155" s="96"/>
      <c r="B155" s="95"/>
      <c r="C155" s="98"/>
      <c r="D155" s="96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1:13" s="122" customFormat="1">
      <c r="A156" s="134"/>
      <c r="B156" s="52"/>
      <c r="C156" s="134" t="s">
        <v>4</v>
      </c>
      <c r="D156" s="134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1:13" s="123" customFormat="1">
      <c r="A157" s="139"/>
      <c r="B157" s="141"/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1:13" s="121" customFormat="1">
      <c r="A158" s="139"/>
      <c r="B158" s="141"/>
      <c r="C158" s="139" t="s">
        <v>10</v>
      </c>
      <c r="D158" s="142">
        <v>0.1</v>
      </c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1:13" s="121" customFormat="1">
      <c r="A159" s="139"/>
      <c r="B159" s="141"/>
      <c r="C159" s="139" t="s">
        <v>4</v>
      </c>
      <c r="D159" s="142"/>
      <c r="E159" s="140"/>
      <c r="F159" s="140"/>
      <c r="G159" s="140"/>
      <c r="H159" s="140"/>
      <c r="I159" s="140"/>
      <c r="J159" s="140"/>
      <c r="K159" s="140"/>
      <c r="L159" s="140"/>
      <c r="M159" s="140"/>
    </row>
    <row r="160" spans="1:13" s="121" customFormat="1">
      <c r="A160" s="139"/>
      <c r="B160" s="141"/>
      <c r="C160" s="139" t="s">
        <v>11</v>
      </c>
      <c r="D160" s="142">
        <v>0.08</v>
      </c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13" s="121" customFormat="1">
      <c r="A161" s="139"/>
      <c r="B161" s="141"/>
      <c r="C161" s="139"/>
      <c r="D161" s="142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1:13">
      <c r="A162" s="134"/>
      <c r="B162" s="52"/>
      <c r="C162" s="134" t="s">
        <v>4</v>
      </c>
      <c r="D162" s="134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1:13">
      <c r="D163" s="106"/>
      <c r="E163" s="106"/>
      <c r="F163" s="106"/>
      <c r="G163" s="106"/>
      <c r="H163" s="106"/>
      <c r="I163" s="106"/>
      <c r="J163" s="106"/>
      <c r="K163" s="106"/>
      <c r="L163" s="106"/>
      <c r="M163" s="107"/>
    </row>
    <row r="164" spans="1:13">
      <c r="D164" s="106"/>
      <c r="E164" s="106"/>
      <c r="F164" s="106"/>
      <c r="G164" s="106"/>
      <c r="H164" s="106"/>
      <c r="I164" s="106"/>
      <c r="J164" s="106"/>
      <c r="K164" s="106"/>
      <c r="L164" s="106"/>
      <c r="M164" s="107"/>
    </row>
    <row r="165" spans="1:13">
      <c r="D165" s="106"/>
      <c r="E165" s="106"/>
      <c r="F165" s="106"/>
      <c r="G165" s="106"/>
      <c r="H165" s="106"/>
      <c r="I165" s="106"/>
      <c r="J165" s="106"/>
      <c r="K165" s="106"/>
      <c r="L165" s="106"/>
      <c r="M165" s="107"/>
    </row>
    <row r="166" spans="1:13">
      <c r="D166" s="106"/>
      <c r="E166" s="106"/>
      <c r="F166" s="106"/>
      <c r="G166" s="106"/>
      <c r="H166" s="106"/>
      <c r="I166" s="106"/>
      <c r="J166" s="106"/>
      <c r="K166" s="106"/>
      <c r="L166" s="106"/>
      <c r="M166" s="107"/>
    </row>
    <row r="167" spans="1:13">
      <c r="D167" s="106"/>
      <c r="E167" s="106"/>
      <c r="F167" s="106"/>
      <c r="G167" s="106"/>
      <c r="H167" s="106"/>
      <c r="I167" s="106"/>
      <c r="J167" s="106"/>
      <c r="K167" s="106"/>
      <c r="L167" s="106"/>
      <c r="M167" s="107"/>
    </row>
    <row r="168" spans="1:13">
      <c r="D168" s="106"/>
      <c r="E168" s="106"/>
      <c r="F168" s="106"/>
      <c r="G168" s="106"/>
      <c r="H168" s="106"/>
      <c r="I168" s="106"/>
      <c r="J168" s="106"/>
      <c r="K168" s="106"/>
      <c r="L168" s="106"/>
      <c r="M168" s="107"/>
    </row>
    <row r="169" spans="1:13">
      <c r="D169" s="106"/>
      <c r="E169" s="106"/>
      <c r="F169" s="106"/>
      <c r="G169" s="106"/>
      <c r="H169" s="106"/>
      <c r="I169" s="106"/>
      <c r="J169" s="106"/>
      <c r="K169" s="106"/>
      <c r="L169" s="106"/>
      <c r="M169" s="107"/>
    </row>
    <row r="170" spans="1:13">
      <c r="D170" s="106"/>
      <c r="E170" s="106"/>
      <c r="F170" s="106"/>
      <c r="G170" s="106"/>
      <c r="H170" s="106"/>
      <c r="I170" s="106"/>
      <c r="J170" s="106"/>
      <c r="K170" s="106"/>
      <c r="L170" s="106"/>
      <c r="M170" s="107"/>
    </row>
    <row r="171" spans="1:13">
      <c r="D171" s="106"/>
      <c r="E171" s="106"/>
      <c r="F171" s="106"/>
      <c r="G171" s="106"/>
      <c r="H171" s="106"/>
      <c r="I171" s="106"/>
      <c r="J171" s="106"/>
      <c r="K171" s="106"/>
      <c r="L171" s="106"/>
      <c r="M171" s="107"/>
    </row>
    <row r="172" spans="1:13">
      <c r="D172" s="106"/>
      <c r="E172" s="106"/>
      <c r="F172" s="106"/>
      <c r="G172" s="106"/>
      <c r="H172" s="106"/>
      <c r="I172" s="106"/>
      <c r="J172" s="106"/>
      <c r="K172" s="106"/>
      <c r="L172" s="106"/>
      <c r="M172" s="107"/>
    </row>
    <row r="173" spans="1:13">
      <c r="D173" s="106"/>
      <c r="E173" s="106"/>
      <c r="F173" s="106"/>
      <c r="G173" s="106"/>
      <c r="H173" s="106"/>
      <c r="I173" s="106"/>
      <c r="J173" s="106"/>
      <c r="K173" s="106"/>
      <c r="L173" s="106"/>
      <c r="M173" s="107"/>
    </row>
    <row r="174" spans="1:13">
      <c r="D174" s="106"/>
      <c r="E174" s="106"/>
      <c r="F174" s="106"/>
      <c r="G174" s="106"/>
      <c r="H174" s="106"/>
      <c r="I174" s="106"/>
      <c r="J174" s="106"/>
      <c r="K174" s="106"/>
      <c r="L174" s="106"/>
      <c r="M174" s="107"/>
    </row>
    <row r="175" spans="1:13">
      <c r="D175" s="106"/>
      <c r="E175" s="106"/>
      <c r="F175" s="106"/>
      <c r="G175" s="106"/>
      <c r="H175" s="106"/>
      <c r="I175" s="106"/>
      <c r="J175" s="106"/>
      <c r="K175" s="106"/>
      <c r="L175" s="106"/>
      <c r="M175" s="107"/>
    </row>
    <row r="176" spans="1:13">
      <c r="D176" s="106"/>
      <c r="E176" s="106"/>
      <c r="F176" s="106"/>
      <c r="G176" s="106"/>
      <c r="H176" s="106"/>
      <c r="I176" s="106"/>
      <c r="J176" s="106"/>
      <c r="K176" s="106"/>
      <c r="L176" s="106"/>
      <c r="M176" s="107"/>
    </row>
    <row r="177" spans="4:13">
      <c r="D177" s="106"/>
      <c r="E177" s="106"/>
      <c r="F177" s="106"/>
      <c r="G177" s="106"/>
      <c r="H177" s="106"/>
      <c r="I177" s="106"/>
      <c r="J177" s="106"/>
      <c r="K177" s="106"/>
      <c r="L177" s="106"/>
      <c r="M177" s="107"/>
    </row>
    <row r="178" spans="4:13">
      <c r="D178" s="106"/>
      <c r="E178" s="106"/>
      <c r="F178" s="106"/>
      <c r="G178" s="106"/>
      <c r="H178" s="106"/>
      <c r="I178" s="106"/>
      <c r="J178" s="106"/>
      <c r="K178" s="106"/>
      <c r="L178" s="106"/>
      <c r="M178" s="107"/>
    </row>
    <row r="179" spans="4:13">
      <c r="D179" s="106"/>
      <c r="E179" s="106"/>
      <c r="F179" s="106"/>
      <c r="G179" s="106"/>
      <c r="H179" s="106"/>
      <c r="I179" s="106"/>
      <c r="J179" s="106"/>
      <c r="K179" s="106"/>
      <c r="L179" s="106"/>
      <c r="M179" s="107"/>
    </row>
    <row r="180" spans="4:13">
      <c r="D180" s="106"/>
      <c r="E180" s="106"/>
      <c r="F180" s="106"/>
      <c r="G180" s="106"/>
      <c r="H180" s="106"/>
      <c r="I180" s="106"/>
      <c r="J180" s="106"/>
      <c r="K180" s="106"/>
      <c r="L180" s="106"/>
      <c r="M180" s="107"/>
    </row>
    <row r="181" spans="4:13">
      <c r="D181" s="106"/>
      <c r="E181" s="106"/>
      <c r="F181" s="106"/>
      <c r="G181" s="106"/>
      <c r="H181" s="106"/>
      <c r="I181" s="106"/>
      <c r="J181" s="106"/>
      <c r="K181" s="106"/>
      <c r="L181" s="106"/>
      <c r="M181" s="107"/>
    </row>
    <row r="182" spans="4:13">
      <c r="D182" s="106"/>
      <c r="E182" s="106"/>
      <c r="F182" s="106"/>
      <c r="G182" s="106"/>
      <c r="H182" s="106"/>
      <c r="I182" s="106"/>
      <c r="J182" s="106"/>
      <c r="K182" s="106"/>
      <c r="L182" s="106"/>
      <c r="M182" s="107"/>
    </row>
    <row r="183" spans="4:13">
      <c r="D183" s="106"/>
      <c r="E183" s="106"/>
      <c r="F183" s="106"/>
      <c r="G183" s="106"/>
      <c r="H183" s="106"/>
      <c r="I183" s="106"/>
      <c r="J183" s="106"/>
      <c r="K183" s="106"/>
      <c r="L183" s="106"/>
      <c r="M183" s="107"/>
    </row>
    <row r="184" spans="4:13">
      <c r="D184" s="106"/>
      <c r="E184" s="106"/>
      <c r="F184" s="106"/>
      <c r="G184" s="106"/>
      <c r="H184" s="106"/>
      <c r="I184" s="106"/>
      <c r="J184" s="106"/>
      <c r="K184" s="106"/>
      <c r="L184" s="106"/>
      <c r="M184" s="107"/>
    </row>
    <row r="185" spans="4:13">
      <c r="D185" s="106"/>
      <c r="E185" s="106"/>
      <c r="F185" s="106"/>
      <c r="G185" s="106"/>
      <c r="H185" s="106"/>
      <c r="I185" s="106"/>
      <c r="J185" s="106"/>
      <c r="K185" s="106"/>
      <c r="L185" s="106"/>
      <c r="M185" s="107"/>
    </row>
    <row r="186" spans="4:13">
      <c r="D186" s="106"/>
      <c r="E186" s="106"/>
      <c r="F186" s="106"/>
      <c r="G186" s="106"/>
      <c r="H186" s="106"/>
      <c r="I186" s="106"/>
      <c r="J186" s="106"/>
      <c r="K186" s="106"/>
      <c r="L186" s="106"/>
      <c r="M186" s="107"/>
    </row>
    <row r="187" spans="4:13">
      <c r="D187" s="106"/>
      <c r="E187" s="106"/>
      <c r="F187" s="106"/>
      <c r="G187" s="106"/>
      <c r="H187" s="106"/>
      <c r="I187" s="106"/>
      <c r="J187" s="106"/>
      <c r="K187" s="106"/>
      <c r="L187" s="106"/>
      <c r="M187" s="107"/>
    </row>
    <row r="188" spans="4:13">
      <c r="D188" s="106"/>
      <c r="E188" s="106"/>
      <c r="F188" s="106"/>
      <c r="G188" s="106"/>
      <c r="H188" s="106"/>
      <c r="I188" s="106"/>
      <c r="J188" s="106"/>
      <c r="K188" s="106"/>
      <c r="L188" s="106"/>
      <c r="M188" s="107"/>
    </row>
    <row r="189" spans="4:13">
      <c r="D189" s="106"/>
      <c r="E189" s="106"/>
      <c r="F189" s="106"/>
      <c r="G189" s="106"/>
      <c r="H189" s="106"/>
      <c r="I189" s="106"/>
      <c r="J189" s="106"/>
      <c r="K189" s="106"/>
      <c r="L189" s="106"/>
      <c r="M189" s="107"/>
    </row>
    <row r="190" spans="4:13">
      <c r="D190" s="106"/>
      <c r="E190" s="106"/>
      <c r="F190" s="106"/>
      <c r="G190" s="106"/>
      <c r="H190" s="106"/>
      <c r="I190" s="106"/>
      <c r="J190" s="106"/>
      <c r="K190" s="106"/>
      <c r="L190" s="106"/>
      <c r="M190" s="107"/>
    </row>
    <row r="191" spans="4:13">
      <c r="D191" s="106"/>
      <c r="E191" s="106"/>
      <c r="F191" s="106"/>
      <c r="G191" s="106"/>
      <c r="H191" s="106"/>
      <c r="I191" s="106"/>
      <c r="J191" s="106"/>
      <c r="K191" s="106"/>
      <c r="L191" s="106"/>
      <c r="M191" s="107"/>
    </row>
    <row r="192" spans="4:13">
      <c r="D192" s="106"/>
      <c r="E192" s="106"/>
      <c r="F192" s="106"/>
      <c r="G192" s="106"/>
      <c r="H192" s="106"/>
      <c r="I192" s="106"/>
      <c r="J192" s="106"/>
      <c r="K192" s="106"/>
      <c r="L192" s="106"/>
      <c r="M192" s="107"/>
    </row>
    <row r="193" spans="4:13">
      <c r="D193" s="106"/>
      <c r="E193" s="106"/>
      <c r="F193" s="106"/>
      <c r="G193" s="106"/>
      <c r="H193" s="106"/>
      <c r="I193" s="106"/>
      <c r="J193" s="106"/>
      <c r="K193" s="106"/>
      <c r="L193" s="106"/>
      <c r="M193" s="107"/>
    </row>
    <row r="194" spans="4:13">
      <c r="D194" s="106"/>
      <c r="E194" s="106"/>
      <c r="F194" s="106"/>
      <c r="G194" s="106"/>
      <c r="H194" s="106"/>
      <c r="I194" s="106"/>
      <c r="J194" s="106"/>
      <c r="K194" s="106"/>
      <c r="L194" s="106"/>
      <c r="M194" s="107"/>
    </row>
    <row r="195" spans="4:13">
      <c r="D195" s="106"/>
      <c r="E195" s="106"/>
      <c r="F195" s="106"/>
      <c r="G195" s="106"/>
      <c r="H195" s="106"/>
      <c r="I195" s="106"/>
      <c r="J195" s="106"/>
      <c r="K195" s="106"/>
      <c r="L195" s="106"/>
      <c r="M195" s="107"/>
    </row>
    <row r="196" spans="4:13">
      <c r="D196" s="106"/>
      <c r="E196" s="106"/>
      <c r="F196" s="106"/>
      <c r="G196" s="106"/>
      <c r="H196" s="106"/>
      <c r="I196" s="106"/>
      <c r="J196" s="106"/>
      <c r="K196" s="106"/>
      <c r="L196" s="106"/>
      <c r="M196" s="107"/>
    </row>
    <row r="197" spans="4:13">
      <c r="D197" s="106"/>
      <c r="E197" s="106"/>
      <c r="F197" s="106"/>
      <c r="G197" s="106"/>
      <c r="H197" s="106"/>
      <c r="I197" s="106"/>
      <c r="J197" s="106"/>
      <c r="K197" s="106"/>
      <c r="L197" s="106"/>
      <c r="M197" s="107"/>
    </row>
    <row r="198" spans="4:13">
      <c r="D198" s="106"/>
      <c r="E198" s="106"/>
      <c r="F198" s="106"/>
      <c r="G198" s="106"/>
      <c r="H198" s="106"/>
      <c r="I198" s="106"/>
      <c r="J198" s="106"/>
      <c r="K198" s="106"/>
      <c r="L198" s="106"/>
      <c r="M198" s="107"/>
    </row>
    <row r="199" spans="4:13">
      <c r="D199" s="106"/>
      <c r="E199" s="106"/>
      <c r="F199" s="106"/>
      <c r="G199" s="106"/>
      <c r="H199" s="106"/>
      <c r="I199" s="106"/>
      <c r="J199" s="106"/>
      <c r="K199" s="106"/>
      <c r="L199" s="106"/>
      <c r="M199" s="107"/>
    </row>
    <row r="200" spans="4:13">
      <c r="D200" s="106"/>
      <c r="E200" s="106"/>
      <c r="F200" s="106"/>
      <c r="G200" s="106"/>
      <c r="H200" s="106"/>
      <c r="I200" s="106"/>
      <c r="J200" s="106"/>
      <c r="K200" s="106"/>
      <c r="L200" s="106"/>
      <c r="M200" s="107"/>
    </row>
    <row r="201" spans="4:13">
      <c r="D201" s="106"/>
      <c r="E201" s="106"/>
      <c r="F201" s="106"/>
      <c r="G201" s="106"/>
      <c r="H201" s="106"/>
      <c r="I201" s="106"/>
      <c r="J201" s="106"/>
      <c r="K201" s="106"/>
      <c r="L201" s="106"/>
      <c r="M201" s="107"/>
    </row>
    <row r="202" spans="4:13">
      <c r="D202" s="106"/>
      <c r="E202" s="106"/>
      <c r="F202" s="106"/>
      <c r="G202" s="106"/>
      <c r="H202" s="106"/>
      <c r="I202" s="106"/>
      <c r="J202" s="106"/>
      <c r="K202" s="106"/>
      <c r="L202" s="106"/>
      <c r="M202" s="107"/>
    </row>
  </sheetData>
  <autoFilter ref="A1:M215"/>
  <mergeCells count="10">
    <mergeCell ref="A2:M2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conditionalFormatting sqref="L111 L62 L125 L151 L71:L77 L79:L81 L127:L134 L136:L144">
    <cfRule type="cellIs" dxfId="9" priority="10" stopIfTrue="1" operator="equal">
      <formula>8223.307275</formula>
    </cfRule>
  </conditionalFormatting>
  <conditionalFormatting sqref="L61">
    <cfRule type="cellIs" dxfId="8" priority="9" stopIfTrue="1" operator="equal">
      <formula>8223.307275</formula>
    </cfRule>
  </conditionalFormatting>
  <conditionalFormatting sqref="L58:L59">
    <cfRule type="cellIs" dxfId="7" priority="6" stopIfTrue="1" operator="equal">
      <formula>8223.307275</formula>
    </cfRule>
  </conditionalFormatting>
  <conditionalFormatting sqref="L60">
    <cfRule type="cellIs" dxfId="6" priority="7" stopIfTrue="1" operator="equal">
      <formula>8223.307275</formula>
    </cfRule>
  </conditionalFormatting>
  <conditionalFormatting sqref="L70">
    <cfRule type="cellIs" dxfId="5" priority="5" stopIfTrue="1" operator="equal">
      <formula>8223.307275</formula>
    </cfRule>
  </conditionalFormatting>
  <conditionalFormatting sqref="L119">
    <cfRule type="cellIs" dxfId="4" priority="4" stopIfTrue="1" operator="equal">
      <formula>8223.307275</formula>
    </cfRule>
  </conditionalFormatting>
  <conditionalFormatting sqref="L126">
    <cfRule type="cellIs" dxfId="3" priority="3" stopIfTrue="1" operator="equal">
      <formula>8223.307275</formula>
    </cfRule>
  </conditionalFormatting>
  <conditionalFormatting sqref="L135">
    <cfRule type="cellIs" dxfId="2" priority="2" stopIfTrue="1" operator="equal">
      <formula>8223.307275</formula>
    </cfRule>
  </conditionalFormatting>
  <conditionalFormatting sqref="L145">
    <cfRule type="cellIs" dxfId="1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43"/>
  <sheetViews>
    <sheetView view="pageBreakPreview" zoomScaleNormal="60" zoomScaleSheetLayoutView="100" workbookViewId="0">
      <selection activeCell="H17" sqref="H17"/>
    </sheetView>
  </sheetViews>
  <sheetFormatPr defaultRowHeight="12.75"/>
  <cols>
    <col min="1" max="1" width="7.7109375" style="155" customWidth="1"/>
    <col min="2" max="2" width="13.85546875" style="160" customWidth="1"/>
    <col min="3" max="3" width="51.85546875" style="160" customWidth="1"/>
    <col min="4" max="4" width="9.28515625" style="160" customWidth="1"/>
    <col min="5" max="12" width="9.85546875" style="160" customWidth="1"/>
    <col min="13" max="13" width="12.85546875" style="161" customWidth="1"/>
    <col min="14" max="16384" width="9.140625" style="82"/>
  </cols>
  <sheetData>
    <row r="1" spans="1:13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s="92" customFormat="1">
      <c r="A2" s="212" t="s">
        <v>295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s="92" customForma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83" customFormat="1" ht="30" customHeight="1">
      <c r="A4" s="210" t="s">
        <v>353</v>
      </c>
      <c r="B4" s="211" t="s">
        <v>354</v>
      </c>
      <c r="C4" s="211" t="s">
        <v>355</v>
      </c>
      <c r="D4" s="211" t="s">
        <v>356</v>
      </c>
      <c r="E4" s="210" t="s">
        <v>357</v>
      </c>
      <c r="F4" s="210"/>
      <c r="G4" s="211" t="s">
        <v>358</v>
      </c>
      <c r="H4" s="211"/>
      <c r="I4" s="211" t="s">
        <v>6</v>
      </c>
      <c r="J4" s="211"/>
      <c r="K4" s="210" t="s">
        <v>359</v>
      </c>
      <c r="L4" s="210"/>
      <c r="M4" s="210" t="s">
        <v>4</v>
      </c>
    </row>
    <row r="5" spans="1:13" s="83" customFormat="1" ht="12.75" customHeight="1">
      <c r="A5" s="210"/>
      <c r="B5" s="211"/>
      <c r="C5" s="211"/>
      <c r="D5" s="211"/>
      <c r="E5" s="137" t="s">
        <v>360</v>
      </c>
      <c r="F5" s="137" t="s">
        <v>253</v>
      </c>
      <c r="G5" s="137" t="s">
        <v>360</v>
      </c>
      <c r="H5" s="137" t="s">
        <v>253</v>
      </c>
      <c r="I5" s="137" t="s">
        <v>360</v>
      </c>
      <c r="J5" s="137" t="s">
        <v>253</v>
      </c>
      <c r="K5" s="137" t="s">
        <v>360</v>
      </c>
      <c r="L5" s="137" t="s">
        <v>253</v>
      </c>
      <c r="M5" s="210"/>
    </row>
    <row r="6" spans="1:13" s="83" customFormat="1">
      <c r="A6" s="137">
        <v>1</v>
      </c>
      <c r="B6" s="137">
        <v>2</v>
      </c>
      <c r="C6" s="136">
        <v>3</v>
      </c>
      <c r="D6" s="137">
        <v>4</v>
      </c>
      <c r="E6" s="137">
        <v>5</v>
      </c>
      <c r="F6" s="137">
        <v>6</v>
      </c>
      <c r="G6" s="137">
        <v>7</v>
      </c>
      <c r="H6" s="74">
        <v>8</v>
      </c>
      <c r="I6" s="137">
        <v>9</v>
      </c>
      <c r="J6" s="74">
        <v>10</v>
      </c>
      <c r="K6" s="137">
        <v>11</v>
      </c>
      <c r="L6" s="74">
        <v>12</v>
      </c>
      <c r="M6" s="74">
        <v>13</v>
      </c>
    </row>
    <row r="7" spans="1:13" s="83" customFormat="1">
      <c r="A7" s="137"/>
      <c r="B7" s="137"/>
      <c r="C7" s="137"/>
      <c r="D7" s="137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83" customFormat="1">
      <c r="A8" s="137"/>
      <c r="B8" s="149"/>
      <c r="C8" s="137" t="s">
        <v>294</v>
      </c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>
      <c r="A9" s="137"/>
      <c r="B9" s="149"/>
      <c r="C9" s="137"/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3">
      <c r="A10" s="149">
        <v>1.1000000000000001</v>
      </c>
      <c r="B10" s="91" t="s">
        <v>398</v>
      </c>
      <c r="C10" s="174" t="s">
        <v>279</v>
      </c>
      <c r="D10" s="149" t="s">
        <v>98</v>
      </c>
      <c r="E10" s="86"/>
      <c r="F10" s="175">
        <v>210</v>
      </c>
      <c r="G10" s="86"/>
      <c r="H10" s="86"/>
      <c r="I10" s="86"/>
      <c r="J10" s="87"/>
      <c r="K10" s="86"/>
      <c r="L10" s="86"/>
      <c r="M10" s="86"/>
    </row>
    <row r="11" spans="1:13">
      <c r="A11" s="149"/>
      <c r="B11" s="91" t="s">
        <v>399</v>
      </c>
      <c r="C11" s="174"/>
      <c r="D11" s="149" t="s">
        <v>94</v>
      </c>
      <c r="E11" s="86"/>
      <c r="F11" s="190">
        <f>F10/100</f>
        <v>2.1</v>
      </c>
      <c r="G11" s="86"/>
      <c r="H11" s="86"/>
      <c r="I11" s="86"/>
      <c r="J11" s="87"/>
      <c r="K11" s="86"/>
      <c r="L11" s="86"/>
      <c r="M11" s="86"/>
    </row>
    <row r="12" spans="1:13">
      <c r="A12" s="149" t="s">
        <v>0</v>
      </c>
      <c r="B12" s="91" t="s">
        <v>400</v>
      </c>
      <c r="C12" s="97" t="s">
        <v>15</v>
      </c>
      <c r="D12" s="149" t="s">
        <v>1</v>
      </c>
      <c r="E12" s="86">
        <f>0.6*65.5</f>
        <v>39.299999999999997</v>
      </c>
      <c r="F12" s="175">
        <f>F11*E12</f>
        <v>82.53</v>
      </c>
      <c r="G12" s="86"/>
      <c r="H12" s="86"/>
      <c r="I12" s="86"/>
      <c r="J12" s="86"/>
      <c r="K12" s="86"/>
      <c r="L12" s="86"/>
      <c r="M12" s="87"/>
    </row>
    <row r="13" spans="1:13">
      <c r="A13" s="149" t="s">
        <v>192</v>
      </c>
      <c r="B13" s="191" t="s">
        <v>401</v>
      </c>
      <c r="C13" s="192" t="s">
        <v>280</v>
      </c>
      <c r="D13" s="187" t="s">
        <v>24</v>
      </c>
      <c r="E13" s="188">
        <v>0</v>
      </c>
      <c r="F13" s="193">
        <f>F11*E13</f>
        <v>0</v>
      </c>
      <c r="G13" s="188"/>
      <c r="H13" s="188"/>
      <c r="I13" s="188"/>
      <c r="J13" s="194"/>
      <c r="K13" s="188"/>
      <c r="L13" s="188"/>
      <c r="M13" s="194"/>
    </row>
    <row r="14" spans="1:13">
      <c r="A14" s="149" t="s">
        <v>193</v>
      </c>
      <c r="B14" s="91" t="s">
        <v>402</v>
      </c>
      <c r="C14" s="174" t="s">
        <v>281</v>
      </c>
      <c r="D14" s="149" t="s">
        <v>24</v>
      </c>
      <c r="E14" s="86">
        <f>0.7*4.29</f>
        <v>3.0029999999999997</v>
      </c>
      <c r="F14" s="175">
        <f>F11*E14</f>
        <v>6.3062999999999994</v>
      </c>
      <c r="G14" s="86"/>
      <c r="H14" s="86"/>
      <c r="I14" s="86"/>
      <c r="J14" s="87"/>
      <c r="K14" s="86"/>
      <c r="L14" s="86"/>
      <c r="M14" s="87"/>
    </row>
    <row r="15" spans="1:13">
      <c r="A15" s="149" t="s">
        <v>194</v>
      </c>
      <c r="B15" s="91" t="s">
        <v>403</v>
      </c>
      <c r="C15" s="166" t="s">
        <v>13</v>
      </c>
      <c r="D15" s="149" t="s">
        <v>25</v>
      </c>
      <c r="E15" s="86">
        <f>0.7*0.44</f>
        <v>0.308</v>
      </c>
      <c r="F15" s="175">
        <f>F11*E15</f>
        <v>0.64680000000000004</v>
      </c>
      <c r="G15" s="86"/>
      <c r="H15" s="86"/>
      <c r="I15" s="86"/>
      <c r="J15" s="87"/>
      <c r="K15" s="86"/>
      <c r="L15" s="86"/>
      <c r="M15" s="87"/>
    </row>
    <row r="16" spans="1:13">
      <c r="A16" s="149" t="s">
        <v>199</v>
      </c>
      <c r="B16" s="91" t="s">
        <v>404</v>
      </c>
      <c r="C16" s="97" t="s">
        <v>14</v>
      </c>
      <c r="D16" s="149" t="s">
        <v>25</v>
      </c>
      <c r="E16" s="86">
        <f>0.5*41.3</f>
        <v>20.65</v>
      </c>
      <c r="F16" s="175">
        <f>F11*E16</f>
        <v>43.365000000000002</v>
      </c>
      <c r="G16" s="86"/>
      <c r="H16" s="86"/>
      <c r="I16" s="86"/>
      <c r="J16" s="87"/>
      <c r="K16" s="86"/>
      <c r="L16" s="86"/>
      <c r="M16" s="87"/>
    </row>
    <row r="17" spans="1:13">
      <c r="A17" s="149"/>
      <c r="B17" s="91"/>
      <c r="C17" s="97"/>
      <c r="D17" s="149"/>
      <c r="E17" s="86"/>
      <c r="F17" s="175"/>
      <c r="G17" s="86"/>
      <c r="H17" s="86"/>
      <c r="I17" s="86"/>
      <c r="J17" s="87"/>
      <c r="K17" s="86"/>
      <c r="L17" s="86"/>
      <c r="M17" s="87"/>
    </row>
    <row r="18" spans="1:13" ht="25.5">
      <c r="A18" s="149">
        <v>1.2</v>
      </c>
      <c r="B18" s="91" t="s">
        <v>81</v>
      </c>
      <c r="C18" s="164" t="s">
        <v>80</v>
      </c>
      <c r="D18" s="149" t="s">
        <v>362</v>
      </c>
      <c r="E18" s="86"/>
      <c r="F18" s="86">
        <v>294</v>
      </c>
      <c r="G18" s="86"/>
      <c r="H18" s="86"/>
      <c r="I18" s="86"/>
      <c r="J18" s="86"/>
      <c r="K18" s="86"/>
      <c r="L18" s="86"/>
      <c r="M18" s="86"/>
    </row>
    <row r="19" spans="1:13">
      <c r="A19" s="149"/>
      <c r="B19" s="91"/>
      <c r="C19" s="164"/>
      <c r="D19" s="149" t="s">
        <v>363</v>
      </c>
      <c r="E19" s="86"/>
      <c r="F19" s="165">
        <v>0.3332</v>
      </c>
      <c r="G19" s="86"/>
      <c r="H19" s="86"/>
      <c r="I19" s="86"/>
      <c r="J19" s="86"/>
      <c r="K19" s="86"/>
      <c r="L19" s="86"/>
      <c r="M19" s="86"/>
    </row>
    <row r="20" spans="1:13">
      <c r="A20" s="149" t="s">
        <v>21</v>
      </c>
      <c r="B20" s="91"/>
      <c r="C20" s="97" t="s">
        <v>15</v>
      </c>
      <c r="D20" s="149" t="s">
        <v>1</v>
      </c>
      <c r="E20" s="86">
        <v>20</v>
      </c>
      <c r="F20" s="86">
        <f>E20*F19</f>
        <v>6.6639999999999997</v>
      </c>
      <c r="G20" s="86"/>
      <c r="H20" s="86"/>
      <c r="I20" s="86"/>
      <c r="J20" s="86"/>
      <c r="K20" s="86"/>
      <c r="L20" s="86"/>
      <c r="M20" s="86"/>
    </row>
    <row r="21" spans="1:13">
      <c r="A21" s="149" t="s">
        <v>35</v>
      </c>
      <c r="B21" s="91" t="s">
        <v>364</v>
      </c>
      <c r="C21" s="166" t="s">
        <v>365</v>
      </c>
      <c r="D21" s="149" t="s">
        <v>24</v>
      </c>
      <c r="E21" s="86">
        <v>44.8</v>
      </c>
      <c r="F21" s="86">
        <f>E21*F19</f>
        <v>14.927359999999998</v>
      </c>
      <c r="G21" s="86"/>
      <c r="H21" s="86"/>
      <c r="I21" s="86"/>
      <c r="J21" s="86"/>
      <c r="K21" s="86"/>
      <c r="L21" s="86"/>
      <c r="M21" s="86"/>
    </row>
    <row r="22" spans="1:13">
      <c r="A22" s="149" t="s">
        <v>36</v>
      </c>
      <c r="B22" s="91"/>
      <c r="C22" s="166" t="s">
        <v>13</v>
      </c>
      <c r="D22" s="149" t="s">
        <v>25</v>
      </c>
      <c r="E22" s="86">
        <v>2.1</v>
      </c>
      <c r="F22" s="86">
        <f>E22*F19</f>
        <v>0.69972000000000001</v>
      </c>
      <c r="G22" s="86"/>
      <c r="H22" s="86"/>
      <c r="I22" s="86"/>
      <c r="J22" s="86"/>
      <c r="K22" s="86"/>
      <c r="L22" s="86"/>
      <c r="M22" s="86"/>
    </row>
    <row r="23" spans="1:13">
      <c r="A23" s="149" t="s">
        <v>37</v>
      </c>
      <c r="B23" s="91" t="s">
        <v>366</v>
      </c>
      <c r="C23" s="166" t="s">
        <v>367</v>
      </c>
      <c r="D23" s="149" t="s">
        <v>362</v>
      </c>
      <c r="E23" s="86">
        <v>0.05</v>
      </c>
      <c r="F23" s="86">
        <f>E23*F19</f>
        <v>1.6660000000000001E-2</v>
      </c>
      <c r="G23" s="86"/>
      <c r="H23" s="86"/>
      <c r="I23" s="86"/>
      <c r="J23" s="86"/>
      <c r="K23" s="86"/>
      <c r="L23" s="86"/>
      <c r="M23" s="86"/>
    </row>
    <row r="24" spans="1:13">
      <c r="A24" s="149"/>
      <c r="B24" s="91"/>
      <c r="C24" s="166"/>
      <c r="D24" s="149"/>
      <c r="E24" s="86"/>
      <c r="F24" s="150"/>
      <c r="G24" s="86"/>
      <c r="H24" s="86"/>
      <c r="I24" s="86"/>
      <c r="J24" s="86"/>
      <c r="K24" s="86"/>
      <c r="L24" s="86"/>
      <c r="M24" s="86"/>
    </row>
    <row r="25" spans="1:13">
      <c r="A25" s="149">
        <v>1.3</v>
      </c>
      <c r="B25" s="91" t="s">
        <v>378</v>
      </c>
      <c r="C25" s="167" t="s">
        <v>283</v>
      </c>
      <c r="D25" s="149" t="s">
        <v>362</v>
      </c>
      <c r="E25" s="86"/>
      <c r="F25" s="86">
        <v>9</v>
      </c>
      <c r="G25" s="86"/>
      <c r="H25" s="86"/>
      <c r="I25" s="86"/>
      <c r="J25" s="86"/>
      <c r="K25" s="86"/>
      <c r="L25" s="86"/>
      <c r="M25" s="86"/>
    </row>
    <row r="26" spans="1:13">
      <c r="A26" s="149"/>
      <c r="B26" s="91" t="s">
        <v>405</v>
      </c>
      <c r="C26" s="167"/>
      <c r="D26" s="149" t="s">
        <v>381</v>
      </c>
      <c r="E26" s="86"/>
      <c r="F26" s="165">
        <f>F25/100</f>
        <v>0.09</v>
      </c>
      <c r="G26" s="86"/>
      <c r="H26" s="86"/>
      <c r="I26" s="86"/>
      <c r="J26" s="86"/>
      <c r="K26" s="86"/>
      <c r="L26" s="86"/>
      <c r="M26" s="86"/>
    </row>
    <row r="27" spans="1:13">
      <c r="A27" s="149" t="s">
        <v>30</v>
      </c>
      <c r="B27" s="91" t="s">
        <v>406</v>
      </c>
      <c r="C27" s="167" t="s">
        <v>15</v>
      </c>
      <c r="D27" s="149" t="s">
        <v>1</v>
      </c>
      <c r="E27" s="86">
        <f>206*1.2</f>
        <v>247.2</v>
      </c>
      <c r="F27" s="86">
        <f>E27*F26</f>
        <v>22.247999999999998</v>
      </c>
      <c r="G27" s="86"/>
      <c r="H27" s="86"/>
      <c r="I27" s="86"/>
      <c r="J27" s="86"/>
      <c r="K27" s="86"/>
      <c r="L27" s="86"/>
      <c r="M27" s="86"/>
    </row>
    <row r="28" spans="1:13">
      <c r="A28" s="149"/>
      <c r="B28" s="91"/>
      <c r="C28" s="166"/>
      <c r="D28" s="149"/>
      <c r="E28" s="86"/>
      <c r="F28" s="150"/>
      <c r="G28" s="86"/>
      <c r="H28" s="86"/>
      <c r="I28" s="86"/>
      <c r="J28" s="86"/>
      <c r="K28" s="86"/>
      <c r="L28" s="86"/>
      <c r="M28" s="86"/>
    </row>
    <row r="29" spans="1:13">
      <c r="A29" s="149">
        <v>1.4</v>
      </c>
      <c r="B29" s="80" t="s">
        <v>382</v>
      </c>
      <c r="C29" s="167" t="s">
        <v>95</v>
      </c>
      <c r="D29" s="149" t="s">
        <v>23</v>
      </c>
      <c r="E29" s="86">
        <v>1.95</v>
      </c>
      <c r="F29" s="86">
        <f>F25*E29</f>
        <v>17.55</v>
      </c>
      <c r="G29" s="86"/>
      <c r="H29" s="86"/>
      <c r="I29" s="86"/>
      <c r="J29" s="86"/>
      <c r="K29" s="86"/>
      <c r="L29" s="86"/>
      <c r="M29" s="86"/>
    </row>
    <row r="30" spans="1:13">
      <c r="A30" s="149" t="s">
        <v>22</v>
      </c>
      <c r="B30" s="81" t="s">
        <v>383</v>
      </c>
      <c r="C30" s="167" t="s">
        <v>15</v>
      </c>
      <c r="D30" s="149" t="s">
        <v>1</v>
      </c>
      <c r="E30" s="86">
        <v>0.53</v>
      </c>
      <c r="F30" s="86">
        <f>E30*F29</f>
        <v>9.3015000000000008</v>
      </c>
      <c r="G30" s="86"/>
      <c r="H30" s="86"/>
      <c r="I30" s="86"/>
      <c r="J30" s="86"/>
      <c r="K30" s="86"/>
      <c r="L30" s="86"/>
      <c r="M30" s="86"/>
    </row>
    <row r="31" spans="1:13">
      <c r="A31" s="149"/>
      <c r="B31" s="91"/>
      <c r="C31" s="166"/>
      <c r="D31" s="149"/>
      <c r="E31" s="86"/>
      <c r="F31" s="150"/>
      <c r="G31" s="86"/>
      <c r="H31" s="86"/>
      <c r="I31" s="86"/>
      <c r="J31" s="86"/>
      <c r="K31" s="86"/>
      <c r="L31" s="86"/>
      <c r="M31" s="86"/>
    </row>
    <row r="32" spans="1:13">
      <c r="A32" s="149">
        <v>1.5</v>
      </c>
      <c r="B32" s="91" t="s">
        <v>368</v>
      </c>
      <c r="C32" s="166" t="s">
        <v>31</v>
      </c>
      <c r="D32" s="149" t="s">
        <v>23</v>
      </c>
      <c r="E32" s="86">
        <v>1.95</v>
      </c>
      <c r="F32" s="86">
        <f>E32*(F18+F25)</f>
        <v>590.85</v>
      </c>
      <c r="G32" s="86"/>
      <c r="H32" s="86"/>
      <c r="I32" s="86"/>
      <c r="J32" s="86"/>
      <c r="K32" s="86"/>
      <c r="L32" s="86"/>
      <c r="M32" s="86"/>
    </row>
    <row r="33" spans="1:13">
      <c r="A33" s="149"/>
      <c r="B33" s="91"/>
      <c r="C33" s="166"/>
      <c r="D33" s="149"/>
      <c r="E33" s="86"/>
      <c r="F33" s="150"/>
      <c r="G33" s="86"/>
      <c r="H33" s="86"/>
      <c r="I33" s="86"/>
      <c r="J33" s="86"/>
      <c r="K33" s="86"/>
      <c r="L33" s="86"/>
      <c r="M33" s="86"/>
    </row>
    <row r="34" spans="1:13">
      <c r="A34" s="149">
        <v>1.6</v>
      </c>
      <c r="B34" s="91" t="s">
        <v>83</v>
      </c>
      <c r="C34" s="166" t="s">
        <v>82</v>
      </c>
      <c r="D34" s="149" t="s">
        <v>362</v>
      </c>
      <c r="E34" s="86"/>
      <c r="F34" s="86">
        <f>F18+F25</f>
        <v>303</v>
      </c>
      <c r="G34" s="86"/>
      <c r="H34" s="86"/>
      <c r="I34" s="86"/>
      <c r="J34" s="86"/>
      <c r="K34" s="86"/>
      <c r="L34" s="86"/>
      <c r="M34" s="86"/>
    </row>
    <row r="35" spans="1:13">
      <c r="A35" s="149"/>
      <c r="B35" s="91"/>
      <c r="C35" s="166"/>
      <c r="D35" s="149" t="s">
        <v>363</v>
      </c>
      <c r="E35" s="86"/>
      <c r="F35" s="165">
        <f>F34/1000</f>
        <v>0.30299999999999999</v>
      </c>
      <c r="G35" s="86"/>
      <c r="H35" s="86"/>
      <c r="I35" s="86"/>
      <c r="J35" s="86"/>
      <c r="K35" s="86"/>
      <c r="L35" s="86"/>
      <c r="M35" s="86"/>
    </row>
    <row r="36" spans="1:13">
      <c r="A36" s="149" t="s">
        <v>59</v>
      </c>
      <c r="B36" s="91"/>
      <c r="C36" s="167" t="s">
        <v>15</v>
      </c>
      <c r="D36" s="149" t="s">
        <v>1</v>
      </c>
      <c r="E36" s="86">
        <v>3.23</v>
      </c>
      <c r="F36" s="86">
        <f>E36*F35</f>
        <v>0.97868999999999995</v>
      </c>
      <c r="G36" s="86"/>
      <c r="H36" s="86"/>
      <c r="I36" s="86"/>
      <c r="J36" s="86"/>
      <c r="K36" s="86"/>
      <c r="L36" s="86"/>
      <c r="M36" s="86"/>
    </row>
    <row r="37" spans="1:13">
      <c r="A37" s="149" t="s">
        <v>60</v>
      </c>
      <c r="B37" s="91" t="s">
        <v>369</v>
      </c>
      <c r="C37" s="167" t="s">
        <v>84</v>
      </c>
      <c r="D37" s="149" t="s">
        <v>24</v>
      </c>
      <c r="E37" s="86">
        <v>3.62</v>
      </c>
      <c r="F37" s="86">
        <f>E37*F35</f>
        <v>1.0968599999999999</v>
      </c>
      <c r="G37" s="86"/>
      <c r="H37" s="86"/>
      <c r="I37" s="86"/>
      <c r="J37" s="86"/>
      <c r="K37" s="86"/>
      <c r="L37" s="86"/>
      <c r="M37" s="86"/>
    </row>
    <row r="38" spans="1:13">
      <c r="A38" s="149" t="s">
        <v>208</v>
      </c>
      <c r="B38" s="91"/>
      <c r="C38" s="167" t="s">
        <v>13</v>
      </c>
      <c r="D38" s="149" t="s">
        <v>25</v>
      </c>
      <c r="E38" s="86">
        <v>0.18</v>
      </c>
      <c r="F38" s="86">
        <f>E38*F35</f>
        <v>5.4539999999999998E-2</v>
      </c>
      <c r="G38" s="86"/>
      <c r="H38" s="86"/>
      <c r="I38" s="86"/>
      <c r="J38" s="86"/>
      <c r="K38" s="86"/>
      <c r="L38" s="86"/>
      <c r="M38" s="86"/>
    </row>
    <row r="39" spans="1:13">
      <c r="A39" s="149" t="s">
        <v>209</v>
      </c>
      <c r="B39" s="91" t="s">
        <v>366</v>
      </c>
      <c r="C39" s="166" t="s">
        <v>367</v>
      </c>
      <c r="D39" s="149" t="s">
        <v>362</v>
      </c>
      <c r="E39" s="86">
        <v>0.04</v>
      </c>
      <c r="F39" s="86">
        <f>E39*F35</f>
        <v>1.2120000000000001E-2</v>
      </c>
      <c r="G39" s="86"/>
      <c r="H39" s="86"/>
      <c r="I39" s="86"/>
      <c r="J39" s="86"/>
      <c r="K39" s="86"/>
      <c r="L39" s="86"/>
      <c r="M39" s="86"/>
    </row>
    <row r="40" spans="1:13">
      <c r="A40" s="149"/>
      <c r="B40" s="91"/>
      <c r="C40" s="166"/>
      <c r="D40" s="149"/>
      <c r="E40" s="86"/>
      <c r="F40" s="150"/>
      <c r="G40" s="86"/>
      <c r="H40" s="86"/>
      <c r="I40" s="86"/>
      <c r="J40" s="86"/>
      <c r="K40" s="86"/>
      <c r="L40" s="86"/>
      <c r="M40" s="86"/>
    </row>
    <row r="41" spans="1:13">
      <c r="A41" s="149">
        <v>1.7</v>
      </c>
      <c r="B41" s="91" t="s">
        <v>407</v>
      </c>
      <c r="C41" s="199" t="s">
        <v>247</v>
      </c>
      <c r="D41" s="149" t="s">
        <v>362</v>
      </c>
      <c r="E41" s="86"/>
      <c r="F41" s="86">
        <v>42</v>
      </c>
      <c r="G41" s="86"/>
      <c r="H41" s="86"/>
      <c r="I41" s="86"/>
      <c r="J41" s="86"/>
      <c r="K41" s="86"/>
      <c r="L41" s="86"/>
      <c r="M41" s="86"/>
    </row>
    <row r="42" spans="1:13">
      <c r="A42" s="149"/>
      <c r="B42" s="91"/>
      <c r="C42" s="164"/>
      <c r="D42" s="149" t="s">
        <v>408</v>
      </c>
      <c r="E42" s="86"/>
      <c r="F42" s="86">
        <f>F41</f>
        <v>42</v>
      </c>
      <c r="G42" s="86"/>
      <c r="H42" s="86"/>
      <c r="I42" s="86"/>
      <c r="J42" s="86"/>
      <c r="K42" s="86"/>
      <c r="L42" s="86"/>
      <c r="M42" s="86"/>
    </row>
    <row r="43" spans="1:13">
      <c r="A43" s="149" t="s">
        <v>61</v>
      </c>
      <c r="B43" s="91"/>
      <c r="C43" s="164" t="s">
        <v>15</v>
      </c>
      <c r="D43" s="149" t="s">
        <v>1</v>
      </c>
      <c r="E43" s="86">
        <v>0.89</v>
      </c>
      <c r="F43" s="86">
        <f>E43*F42</f>
        <v>37.380000000000003</v>
      </c>
      <c r="G43" s="86"/>
      <c r="H43" s="86"/>
      <c r="I43" s="86"/>
      <c r="J43" s="86"/>
      <c r="K43" s="86"/>
      <c r="L43" s="86"/>
      <c r="M43" s="86"/>
    </row>
    <row r="44" spans="1:13">
      <c r="A44" s="149" t="s">
        <v>62</v>
      </c>
      <c r="B44" s="91" t="s">
        <v>409</v>
      </c>
      <c r="C44" s="164" t="s">
        <v>96</v>
      </c>
      <c r="D44" s="149" t="s">
        <v>362</v>
      </c>
      <c r="E44" s="86">
        <v>1.1499999999999999</v>
      </c>
      <c r="F44" s="86">
        <f>E44*F42</f>
        <v>48.3</v>
      </c>
      <c r="G44" s="86"/>
      <c r="H44" s="86"/>
      <c r="I44" s="86"/>
      <c r="J44" s="86"/>
      <c r="K44" s="86"/>
      <c r="L44" s="86"/>
      <c r="M44" s="86"/>
    </row>
    <row r="45" spans="1:13">
      <c r="A45" s="149" t="s">
        <v>201</v>
      </c>
      <c r="B45" s="91"/>
      <c r="C45" s="167" t="s">
        <v>13</v>
      </c>
      <c r="D45" s="149" t="s">
        <v>25</v>
      </c>
      <c r="E45" s="86">
        <v>0.37</v>
      </c>
      <c r="F45" s="86">
        <f>E45*F42</f>
        <v>15.54</v>
      </c>
      <c r="G45" s="86"/>
      <c r="H45" s="86"/>
      <c r="I45" s="86"/>
      <c r="J45" s="86"/>
      <c r="K45" s="86"/>
      <c r="L45" s="86"/>
      <c r="M45" s="86"/>
    </row>
    <row r="46" spans="1:13">
      <c r="A46" s="149" t="s">
        <v>202</v>
      </c>
      <c r="B46" s="185"/>
      <c r="C46" s="164" t="s">
        <v>14</v>
      </c>
      <c r="D46" s="149" t="s">
        <v>25</v>
      </c>
      <c r="E46" s="86">
        <v>0.02</v>
      </c>
      <c r="F46" s="86">
        <f>E46*F42</f>
        <v>0.84</v>
      </c>
      <c r="G46" s="86"/>
      <c r="H46" s="86"/>
      <c r="I46" s="86"/>
      <c r="J46" s="86"/>
      <c r="K46" s="86"/>
      <c r="L46" s="86"/>
      <c r="M46" s="86"/>
    </row>
    <row r="47" spans="1:13">
      <c r="A47" s="149"/>
      <c r="B47" s="91"/>
      <c r="C47" s="166"/>
      <c r="D47" s="149"/>
      <c r="E47" s="86"/>
      <c r="F47" s="150"/>
      <c r="G47" s="86"/>
      <c r="H47" s="86"/>
      <c r="I47" s="86"/>
      <c r="J47" s="86"/>
      <c r="K47" s="86"/>
      <c r="L47" s="86"/>
      <c r="M47" s="86"/>
    </row>
    <row r="48" spans="1:13">
      <c r="A48" s="149">
        <v>1.8</v>
      </c>
      <c r="B48" s="91" t="s">
        <v>410</v>
      </c>
      <c r="C48" s="166" t="s">
        <v>248</v>
      </c>
      <c r="D48" s="149" t="s">
        <v>362</v>
      </c>
      <c r="E48" s="86"/>
      <c r="F48" s="86">
        <v>21</v>
      </c>
      <c r="G48" s="86"/>
      <c r="H48" s="86"/>
      <c r="I48" s="86"/>
      <c r="J48" s="86"/>
      <c r="K48" s="86"/>
      <c r="L48" s="86"/>
      <c r="M48" s="86"/>
    </row>
    <row r="49" spans="1:13">
      <c r="A49" s="149"/>
      <c r="B49" s="91"/>
      <c r="C49" s="166"/>
      <c r="D49" s="149" t="s">
        <v>381</v>
      </c>
      <c r="E49" s="86"/>
      <c r="F49" s="165">
        <f>F48/100</f>
        <v>0.21</v>
      </c>
      <c r="G49" s="86"/>
      <c r="H49" s="86"/>
      <c r="I49" s="86"/>
      <c r="J49" s="86"/>
      <c r="K49" s="86"/>
      <c r="L49" s="86"/>
      <c r="M49" s="86"/>
    </row>
    <row r="50" spans="1:13">
      <c r="A50" s="149" t="s">
        <v>63</v>
      </c>
      <c r="B50" s="91"/>
      <c r="C50" s="166" t="s">
        <v>15</v>
      </c>
      <c r="D50" s="149" t="s">
        <v>1</v>
      </c>
      <c r="E50" s="86">
        <v>137</v>
      </c>
      <c r="F50" s="150">
        <f>E50*F49</f>
        <v>28.77</v>
      </c>
      <c r="G50" s="86"/>
      <c r="H50" s="86"/>
      <c r="I50" s="86"/>
      <c r="J50" s="86"/>
      <c r="K50" s="86"/>
      <c r="L50" s="86"/>
      <c r="M50" s="86"/>
    </row>
    <row r="51" spans="1:13">
      <c r="A51" s="149" t="s">
        <v>64</v>
      </c>
      <c r="B51" s="91"/>
      <c r="C51" s="166" t="s">
        <v>13</v>
      </c>
      <c r="D51" s="149" t="s">
        <v>25</v>
      </c>
      <c r="E51" s="86">
        <v>28.3</v>
      </c>
      <c r="F51" s="150">
        <f>E51*F49</f>
        <v>5.9429999999999996</v>
      </c>
      <c r="G51" s="86"/>
      <c r="H51" s="86"/>
      <c r="I51" s="86"/>
      <c r="J51" s="86"/>
      <c r="K51" s="86"/>
      <c r="L51" s="86"/>
      <c r="M51" s="86"/>
    </row>
    <row r="52" spans="1:13">
      <c r="A52" s="149" t="s">
        <v>213</v>
      </c>
      <c r="B52" s="91" t="s">
        <v>411</v>
      </c>
      <c r="C52" s="164" t="s">
        <v>412</v>
      </c>
      <c r="D52" s="149" t="s">
        <v>362</v>
      </c>
      <c r="E52" s="86">
        <v>102</v>
      </c>
      <c r="F52" s="150">
        <f>E52*F49</f>
        <v>21.419999999999998</v>
      </c>
      <c r="G52" s="86"/>
      <c r="H52" s="86"/>
      <c r="I52" s="86"/>
      <c r="J52" s="86"/>
      <c r="K52" s="86"/>
      <c r="L52" s="86"/>
      <c r="M52" s="86"/>
    </row>
    <row r="53" spans="1:13">
      <c r="A53" s="149" t="s">
        <v>214</v>
      </c>
      <c r="B53" s="91"/>
      <c r="C53" s="166" t="s">
        <v>14</v>
      </c>
      <c r="D53" s="149" t="s">
        <v>25</v>
      </c>
      <c r="E53" s="86">
        <v>62</v>
      </c>
      <c r="F53" s="150">
        <f>E53*F49</f>
        <v>13.02</v>
      </c>
      <c r="G53" s="86"/>
      <c r="H53" s="86"/>
      <c r="I53" s="86"/>
      <c r="J53" s="86"/>
      <c r="K53" s="86"/>
      <c r="L53" s="86"/>
      <c r="M53" s="86"/>
    </row>
    <row r="54" spans="1:13">
      <c r="A54" s="149"/>
      <c r="B54" s="91"/>
      <c r="C54" s="166"/>
      <c r="D54" s="149"/>
      <c r="E54" s="86"/>
      <c r="F54" s="150"/>
      <c r="G54" s="86"/>
      <c r="H54" s="86"/>
      <c r="I54" s="86"/>
      <c r="J54" s="86"/>
      <c r="K54" s="86"/>
      <c r="L54" s="86"/>
      <c r="M54" s="86"/>
    </row>
    <row r="55" spans="1:13">
      <c r="A55" s="149">
        <v>1.9</v>
      </c>
      <c r="B55" s="185" t="s">
        <v>413</v>
      </c>
      <c r="C55" s="164" t="s">
        <v>513</v>
      </c>
      <c r="D55" s="149" t="s">
        <v>362</v>
      </c>
      <c r="E55" s="86"/>
      <c r="F55" s="86">
        <v>158</v>
      </c>
      <c r="G55" s="86"/>
      <c r="H55" s="86"/>
      <c r="I55" s="86"/>
      <c r="J55" s="86"/>
      <c r="K55" s="86"/>
      <c r="L55" s="86"/>
      <c r="M55" s="86"/>
    </row>
    <row r="56" spans="1:13">
      <c r="A56" s="149"/>
      <c r="B56" s="185"/>
      <c r="C56" s="164"/>
      <c r="D56" s="149" t="s">
        <v>381</v>
      </c>
      <c r="E56" s="86"/>
      <c r="F56" s="165">
        <f>F55/100</f>
        <v>1.58</v>
      </c>
      <c r="G56" s="86"/>
      <c r="H56" s="86"/>
      <c r="I56" s="86"/>
      <c r="J56" s="86"/>
      <c r="K56" s="86"/>
      <c r="L56" s="86"/>
      <c r="M56" s="86"/>
    </row>
    <row r="57" spans="1:13">
      <c r="A57" s="149" t="s">
        <v>65</v>
      </c>
      <c r="B57" s="185"/>
      <c r="C57" s="164" t="s">
        <v>40</v>
      </c>
      <c r="D57" s="149" t="s">
        <v>1</v>
      </c>
      <c r="E57" s="86">
        <v>599</v>
      </c>
      <c r="F57" s="86">
        <f>E57*F56</f>
        <v>946.42000000000007</v>
      </c>
      <c r="G57" s="86"/>
      <c r="H57" s="86"/>
      <c r="I57" s="86"/>
      <c r="J57" s="86"/>
      <c r="K57" s="86"/>
      <c r="L57" s="86"/>
      <c r="M57" s="86"/>
    </row>
    <row r="58" spans="1:13">
      <c r="A58" s="149" t="s">
        <v>66</v>
      </c>
      <c r="B58" s="185"/>
      <c r="C58" s="189" t="s">
        <v>123</v>
      </c>
      <c r="D58" s="187" t="s">
        <v>24</v>
      </c>
      <c r="E58" s="188">
        <v>0</v>
      </c>
      <c r="F58" s="188">
        <f>E58*F56</f>
        <v>0</v>
      </c>
      <c r="G58" s="188"/>
      <c r="H58" s="188"/>
      <c r="I58" s="188"/>
      <c r="J58" s="188"/>
      <c r="K58" s="188"/>
      <c r="L58" s="188"/>
      <c r="M58" s="188"/>
    </row>
    <row r="59" spans="1:13">
      <c r="A59" s="149" t="s">
        <v>216</v>
      </c>
      <c r="B59" s="185"/>
      <c r="C59" s="164" t="s">
        <v>511</v>
      </c>
      <c r="D59" s="149" t="s">
        <v>25</v>
      </c>
      <c r="E59" s="86">
        <v>109</v>
      </c>
      <c r="F59" s="86">
        <f>E59*F56</f>
        <v>172.22</v>
      </c>
      <c r="G59" s="86"/>
      <c r="H59" s="86"/>
      <c r="I59" s="86"/>
      <c r="J59" s="86"/>
      <c r="K59" s="86"/>
      <c r="L59" s="86"/>
      <c r="M59" s="86"/>
    </row>
    <row r="60" spans="1:13">
      <c r="A60" s="149" t="s">
        <v>217</v>
      </c>
      <c r="B60" s="185" t="s">
        <v>415</v>
      </c>
      <c r="C60" s="164" t="s">
        <v>176</v>
      </c>
      <c r="D60" s="149" t="s">
        <v>362</v>
      </c>
      <c r="E60" s="86">
        <v>101.5</v>
      </c>
      <c r="F60" s="86">
        <f>E60*F56</f>
        <v>160.37</v>
      </c>
      <c r="G60" s="86"/>
      <c r="H60" s="86"/>
      <c r="I60" s="86"/>
      <c r="J60" s="86"/>
      <c r="K60" s="86"/>
      <c r="L60" s="86"/>
      <c r="M60" s="86"/>
    </row>
    <row r="61" spans="1:13">
      <c r="A61" s="149" t="s">
        <v>218</v>
      </c>
      <c r="B61" s="185" t="s">
        <v>416</v>
      </c>
      <c r="C61" s="164" t="s">
        <v>417</v>
      </c>
      <c r="D61" s="149" t="s">
        <v>23</v>
      </c>
      <c r="E61" s="87" t="s">
        <v>92</v>
      </c>
      <c r="F61" s="165">
        <v>0.84</v>
      </c>
      <c r="G61" s="86"/>
      <c r="H61" s="86"/>
      <c r="I61" s="86"/>
      <c r="J61" s="86"/>
      <c r="K61" s="87"/>
      <c r="L61" s="86"/>
      <c r="M61" s="86"/>
    </row>
    <row r="62" spans="1:13">
      <c r="A62" s="149" t="s">
        <v>218</v>
      </c>
      <c r="B62" s="185" t="s">
        <v>418</v>
      </c>
      <c r="C62" s="164" t="s">
        <v>126</v>
      </c>
      <c r="D62" s="149" t="s">
        <v>23</v>
      </c>
      <c r="E62" s="87" t="s">
        <v>92</v>
      </c>
      <c r="F62" s="165">
        <v>9.4499999999999993</v>
      </c>
      <c r="G62" s="86"/>
      <c r="H62" s="86"/>
      <c r="I62" s="86"/>
      <c r="J62" s="86"/>
      <c r="K62" s="87"/>
      <c r="L62" s="86"/>
      <c r="M62" s="86"/>
    </row>
    <row r="63" spans="1:13">
      <c r="A63" s="149" t="s">
        <v>219</v>
      </c>
      <c r="B63" s="185"/>
      <c r="C63" s="189" t="s">
        <v>121</v>
      </c>
      <c r="D63" s="187" t="s">
        <v>362</v>
      </c>
      <c r="E63" s="188">
        <v>0</v>
      </c>
      <c r="F63" s="188">
        <f>E63*F56</f>
        <v>0</v>
      </c>
      <c r="G63" s="188"/>
      <c r="H63" s="188"/>
      <c r="I63" s="188"/>
      <c r="J63" s="188"/>
      <c r="K63" s="188"/>
      <c r="L63" s="188"/>
      <c r="M63" s="188"/>
    </row>
    <row r="64" spans="1:13">
      <c r="A64" s="149" t="s">
        <v>232</v>
      </c>
      <c r="B64" s="185"/>
      <c r="C64" s="189" t="s">
        <v>124</v>
      </c>
      <c r="D64" s="187" t="s">
        <v>362</v>
      </c>
      <c r="E64" s="188">
        <v>0</v>
      </c>
      <c r="F64" s="188">
        <f>E64*F56</f>
        <v>0</v>
      </c>
      <c r="G64" s="188"/>
      <c r="H64" s="188"/>
      <c r="I64" s="188"/>
      <c r="J64" s="188"/>
      <c r="K64" s="188"/>
      <c r="L64" s="188"/>
      <c r="M64" s="188"/>
    </row>
    <row r="65" spans="1:13">
      <c r="A65" s="149" t="s">
        <v>284</v>
      </c>
      <c r="B65" s="185" t="s">
        <v>419</v>
      </c>
      <c r="C65" s="164" t="s">
        <v>420</v>
      </c>
      <c r="D65" s="149" t="s">
        <v>373</v>
      </c>
      <c r="E65" s="86">
        <v>118</v>
      </c>
      <c r="F65" s="86">
        <f>E65*F56</f>
        <v>186.44</v>
      </c>
      <c r="G65" s="86"/>
      <c r="H65" s="86"/>
      <c r="I65" s="86"/>
      <c r="J65" s="86"/>
      <c r="K65" s="86"/>
      <c r="L65" s="86"/>
      <c r="M65" s="86"/>
    </row>
    <row r="66" spans="1:13">
      <c r="A66" s="149" t="s">
        <v>285</v>
      </c>
      <c r="B66" s="185" t="s">
        <v>421</v>
      </c>
      <c r="C66" s="164" t="s">
        <v>512</v>
      </c>
      <c r="D66" s="149" t="s">
        <v>362</v>
      </c>
      <c r="E66" s="86">
        <f>0.21+2.78</f>
        <v>2.9899999999999998</v>
      </c>
      <c r="F66" s="86">
        <f>E66*F56</f>
        <v>4.7241999999999997</v>
      </c>
      <c r="G66" s="86"/>
      <c r="H66" s="86"/>
      <c r="I66" s="86"/>
      <c r="J66" s="86"/>
      <c r="K66" s="86"/>
      <c r="L66" s="86"/>
      <c r="M66" s="86"/>
    </row>
    <row r="67" spans="1:13">
      <c r="A67" s="149" t="s">
        <v>423</v>
      </c>
      <c r="B67" s="185" t="s">
        <v>424</v>
      </c>
      <c r="C67" s="164" t="s">
        <v>425</v>
      </c>
      <c r="D67" s="149" t="s">
        <v>296</v>
      </c>
      <c r="E67" s="86">
        <v>110</v>
      </c>
      <c r="F67" s="86">
        <f>E67*F56</f>
        <v>173.8</v>
      </c>
      <c r="G67" s="86"/>
      <c r="H67" s="86"/>
      <c r="I67" s="86"/>
      <c r="J67" s="86"/>
      <c r="K67" s="86"/>
      <c r="L67" s="86"/>
      <c r="M67" s="86"/>
    </row>
    <row r="68" spans="1:13">
      <c r="A68" s="149" t="s">
        <v>426</v>
      </c>
      <c r="B68" s="185" t="s">
        <v>427</v>
      </c>
      <c r="C68" s="164" t="s">
        <v>428</v>
      </c>
      <c r="D68" s="149" t="s">
        <v>296</v>
      </c>
      <c r="E68" s="86">
        <v>140</v>
      </c>
      <c r="F68" s="86">
        <f>E68*F56</f>
        <v>221.20000000000002</v>
      </c>
      <c r="G68" s="86"/>
      <c r="H68" s="86"/>
      <c r="I68" s="86"/>
      <c r="J68" s="86"/>
      <c r="K68" s="86"/>
      <c r="L68" s="86"/>
      <c r="M68" s="86"/>
    </row>
    <row r="69" spans="1:13">
      <c r="A69" s="149" t="s">
        <v>429</v>
      </c>
      <c r="B69" s="185"/>
      <c r="C69" s="164" t="s">
        <v>101</v>
      </c>
      <c r="D69" s="149" t="s">
        <v>25</v>
      </c>
      <c r="E69" s="86">
        <v>32</v>
      </c>
      <c r="F69" s="86">
        <f>E69*F56</f>
        <v>50.56</v>
      </c>
      <c r="G69" s="86"/>
      <c r="H69" s="86"/>
      <c r="I69" s="86"/>
      <c r="J69" s="86"/>
      <c r="K69" s="86"/>
      <c r="L69" s="86"/>
      <c r="M69" s="86"/>
    </row>
    <row r="70" spans="1:13">
      <c r="A70" s="149"/>
      <c r="B70" s="91"/>
      <c r="C70" s="166"/>
      <c r="D70" s="149"/>
      <c r="E70" s="86"/>
      <c r="F70" s="150"/>
      <c r="G70" s="86"/>
      <c r="H70" s="86"/>
      <c r="I70" s="86"/>
      <c r="J70" s="86"/>
      <c r="K70" s="86"/>
      <c r="L70" s="86"/>
      <c r="M70" s="86"/>
    </row>
    <row r="71" spans="1:13">
      <c r="A71" s="150">
        <v>1.1000000000000001</v>
      </c>
      <c r="B71" s="185" t="s">
        <v>430</v>
      </c>
      <c r="C71" s="164" t="s">
        <v>514</v>
      </c>
      <c r="D71" s="149" t="s">
        <v>98</v>
      </c>
      <c r="E71" s="86"/>
      <c r="F71" s="86">
        <v>32.4</v>
      </c>
      <c r="G71" s="86"/>
      <c r="H71" s="86"/>
      <c r="I71" s="86"/>
      <c r="J71" s="86"/>
      <c r="K71" s="86"/>
      <c r="L71" s="86"/>
      <c r="M71" s="86"/>
    </row>
    <row r="72" spans="1:13">
      <c r="A72" s="150"/>
      <c r="B72" s="185"/>
      <c r="C72" s="164"/>
      <c r="D72" s="149" t="s">
        <v>94</v>
      </c>
      <c r="E72" s="86"/>
      <c r="F72" s="165">
        <f>F71/100</f>
        <v>0.32400000000000001</v>
      </c>
      <c r="G72" s="86"/>
      <c r="H72" s="86"/>
      <c r="I72" s="86"/>
      <c r="J72" s="86"/>
      <c r="K72" s="86"/>
      <c r="L72" s="86"/>
      <c r="M72" s="86"/>
    </row>
    <row r="73" spans="1:13">
      <c r="A73" s="149" t="s">
        <v>67</v>
      </c>
      <c r="B73" s="185"/>
      <c r="C73" s="164" t="s">
        <v>40</v>
      </c>
      <c r="D73" s="149" t="s">
        <v>1</v>
      </c>
      <c r="E73" s="86">
        <v>33.1</v>
      </c>
      <c r="F73" s="86">
        <f>E73*F72</f>
        <v>10.724400000000001</v>
      </c>
      <c r="G73" s="86"/>
      <c r="H73" s="86"/>
      <c r="I73" s="86"/>
      <c r="J73" s="86"/>
      <c r="K73" s="86"/>
      <c r="L73" s="86"/>
      <c r="M73" s="86"/>
    </row>
    <row r="74" spans="1:13">
      <c r="A74" s="149" t="s">
        <v>68</v>
      </c>
      <c r="B74" s="185"/>
      <c r="C74" s="164" t="s">
        <v>13</v>
      </c>
      <c r="D74" s="149" t="s">
        <v>25</v>
      </c>
      <c r="E74" s="86">
        <v>0.47</v>
      </c>
      <c r="F74" s="86">
        <f>E74*F72</f>
        <v>0.15228</v>
      </c>
      <c r="G74" s="86"/>
      <c r="H74" s="86"/>
      <c r="I74" s="86"/>
      <c r="J74" s="86"/>
      <c r="K74" s="86"/>
      <c r="L74" s="86"/>
      <c r="M74" s="86"/>
    </row>
    <row r="75" spans="1:13">
      <c r="A75" s="149" t="s">
        <v>220</v>
      </c>
      <c r="B75" s="185" t="s">
        <v>431</v>
      </c>
      <c r="C75" s="164" t="s">
        <v>432</v>
      </c>
      <c r="D75" s="149" t="s">
        <v>98</v>
      </c>
      <c r="E75" s="86" t="s">
        <v>389</v>
      </c>
      <c r="F75" s="86">
        <f>F71</f>
        <v>32.4</v>
      </c>
      <c r="G75" s="86"/>
      <c r="H75" s="86"/>
      <c r="I75" s="86"/>
      <c r="J75" s="86"/>
      <c r="K75" s="86"/>
      <c r="L75" s="86"/>
      <c r="M75" s="86"/>
    </row>
    <row r="76" spans="1:13">
      <c r="A76" s="149" t="s">
        <v>221</v>
      </c>
      <c r="B76" s="185"/>
      <c r="C76" s="164" t="s">
        <v>101</v>
      </c>
      <c r="D76" s="149" t="s">
        <v>25</v>
      </c>
      <c r="E76" s="86">
        <v>10.9</v>
      </c>
      <c r="F76" s="86">
        <f>E76*F72</f>
        <v>3.5316000000000001</v>
      </c>
      <c r="G76" s="86"/>
      <c r="H76" s="86"/>
      <c r="I76" s="86"/>
      <c r="J76" s="86"/>
      <c r="K76" s="86"/>
      <c r="L76" s="86"/>
      <c r="M76" s="86"/>
    </row>
    <row r="77" spans="1:13">
      <c r="A77" s="149"/>
      <c r="B77" s="91"/>
      <c r="C77" s="166"/>
      <c r="D77" s="149"/>
      <c r="E77" s="86"/>
      <c r="F77" s="150"/>
      <c r="G77" s="86"/>
      <c r="H77" s="86"/>
      <c r="I77" s="86"/>
      <c r="J77" s="86"/>
      <c r="K77" s="86"/>
      <c r="L77" s="86"/>
      <c r="M77" s="86"/>
    </row>
    <row r="78" spans="1:13">
      <c r="A78" s="150">
        <v>1.1100000000000001</v>
      </c>
      <c r="B78" s="91" t="s">
        <v>433</v>
      </c>
      <c r="C78" s="167" t="s">
        <v>286</v>
      </c>
      <c r="D78" s="149" t="s">
        <v>362</v>
      </c>
      <c r="E78" s="86"/>
      <c r="F78" s="86">
        <v>79</v>
      </c>
      <c r="G78" s="86"/>
      <c r="H78" s="86"/>
      <c r="I78" s="86"/>
      <c r="J78" s="86"/>
      <c r="K78" s="86"/>
      <c r="L78" s="86"/>
      <c r="M78" s="86"/>
    </row>
    <row r="79" spans="1:13">
      <c r="A79" s="150"/>
      <c r="B79" s="91"/>
      <c r="C79" s="164"/>
      <c r="D79" s="149" t="s">
        <v>363</v>
      </c>
      <c r="E79" s="86"/>
      <c r="F79" s="165">
        <f>F78/1000</f>
        <v>7.9000000000000001E-2</v>
      </c>
      <c r="G79" s="86"/>
      <c r="H79" s="86"/>
      <c r="I79" s="86"/>
      <c r="J79" s="86"/>
      <c r="K79" s="86"/>
      <c r="L79" s="86"/>
      <c r="M79" s="86"/>
    </row>
    <row r="80" spans="1:13">
      <c r="A80" s="149" t="s">
        <v>69</v>
      </c>
      <c r="B80" s="91" t="s">
        <v>371</v>
      </c>
      <c r="C80" s="164" t="s">
        <v>372</v>
      </c>
      <c r="D80" s="149" t="s">
        <v>24</v>
      </c>
      <c r="E80" s="86">
        <f>5.13+(4*2.04)</f>
        <v>13.29</v>
      </c>
      <c r="F80" s="86">
        <f>E80*F79</f>
        <v>1.0499099999999999</v>
      </c>
      <c r="G80" s="86"/>
      <c r="H80" s="86"/>
      <c r="I80" s="86"/>
      <c r="J80" s="86"/>
      <c r="K80" s="86"/>
      <c r="L80" s="86"/>
      <c r="M80" s="86"/>
    </row>
    <row r="81" spans="1:13">
      <c r="A81" s="149" t="s">
        <v>206</v>
      </c>
      <c r="B81" s="91" t="s">
        <v>434</v>
      </c>
      <c r="C81" s="164" t="s">
        <v>287</v>
      </c>
      <c r="D81" s="149" t="s">
        <v>362</v>
      </c>
      <c r="E81" s="86">
        <v>1010</v>
      </c>
      <c r="F81" s="86">
        <f>E81*F79</f>
        <v>79.790000000000006</v>
      </c>
      <c r="G81" s="86"/>
      <c r="H81" s="86"/>
      <c r="I81" s="86"/>
      <c r="J81" s="86"/>
      <c r="K81" s="86"/>
      <c r="L81" s="86"/>
      <c r="M81" s="86"/>
    </row>
    <row r="82" spans="1:13">
      <c r="A82" s="149"/>
      <c r="B82" s="91"/>
      <c r="C82" s="166"/>
      <c r="D82" s="149"/>
      <c r="E82" s="86"/>
      <c r="F82" s="150"/>
      <c r="G82" s="86"/>
      <c r="H82" s="86"/>
      <c r="I82" s="86"/>
      <c r="J82" s="86"/>
      <c r="K82" s="86"/>
      <c r="L82" s="86"/>
      <c r="M82" s="86"/>
    </row>
    <row r="83" spans="1:13">
      <c r="A83" s="149">
        <v>1.1200000000000001</v>
      </c>
      <c r="B83" s="91" t="s">
        <v>435</v>
      </c>
      <c r="C83" s="167" t="s">
        <v>288</v>
      </c>
      <c r="D83" s="149" t="s">
        <v>362</v>
      </c>
      <c r="E83" s="86"/>
      <c r="F83" s="86">
        <v>51</v>
      </c>
      <c r="G83" s="86"/>
      <c r="H83" s="86"/>
      <c r="I83" s="86"/>
      <c r="J83" s="86"/>
      <c r="K83" s="86"/>
      <c r="L83" s="86"/>
      <c r="M83" s="86"/>
    </row>
    <row r="84" spans="1:13">
      <c r="A84" s="149"/>
      <c r="B84" s="91"/>
      <c r="C84" s="164"/>
      <c r="D84" s="149" t="s">
        <v>408</v>
      </c>
      <c r="E84" s="86"/>
      <c r="F84" s="165">
        <f>F83</f>
        <v>51</v>
      </c>
      <c r="G84" s="86"/>
      <c r="H84" s="86"/>
      <c r="I84" s="86"/>
      <c r="J84" s="86"/>
      <c r="K84" s="86"/>
      <c r="L84" s="86"/>
      <c r="M84" s="86"/>
    </row>
    <row r="85" spans="1:13" s="90" customFormat="1">
      <c r="A85" s="149" t="s">
        <v>222</v>
      </c>
      <c r="B85" s="91"/>
      <c r="C85" s="97" t="s">
        <v>15</v>
      </c>
      <c r="D85" s="149" t="s">
        <v>1</v>
      </c>
      <c r="E85" s="86">
        <v>6.5</v>
      </c>
      <c r="F85" s="175">
        <f>F84*E85</f>
        <v>331.5</v>
      </c>
      <c r="G85" s="86"/>
      <c r="H85" s="86"/>
      <c r="I85" s="86"/>
      <c r="J85" s="86"/>
      <c r="K85" s="86"/>
      <c r="L85" s="86"/>
      <c r="M85" s="86"/>
    </row>
    <row r="86" spans="1:13" s="90" customFormat="1">
      <c r="A86" s="149" t="s">
        <v>223</v>
      </c>
      <c r="B86" s="185"/>
      <c r="C86" s="164" t="s">
        <v>13</v>
      </c>
      <c r="D86" s="149" t="s">
        <v>25</v>
      </c>
      <c r="E86" s="86">
        <v>2.16</v>
      </c>
      <c r="F86" s="86">
        <f>E86*F84</f>
        <v>110.16000000000001</v>
      </c>
      <c r="G86" s="86"/>
      <c r="H86" s="86"/>
      <c r="I86" s="86"/>
      <c r="J86" s="86"/>
      <c r="K86" s="86"/>
      <c r="L86" s="86"/>
      <c r="M86" s="86"/>
    </row>
    <row r="87" spans="1:13" s="90" customFormat="1">
      <c r="A87" s="149" t="s">
        <v>257</v>
      </c>
      <c r="B87" s="91" t="s">
        <v>436</v>
      </c>
      <c r="C87" s="166" t="s">
        <v>289</v>
      </c>
      <c r="D87" s="149" t="s">
        <v>362</v>
      </c>
      <c r="E87" s="86">
        <v>1.1499999999999999</v>
      </c>
      <c r="F87" s="175">
        <f>F84*E87</f>
        <v>58.65</v>
      </c>
      <c r="G87" s="86"/>
      <c r="H87" s="86"/>
      <c r="I87" s="86"/>
      <c r="J87" s="86"/>
      <c r="K87" s="86"/>
      <c r="L87" s="86"/>
      <c r="M87" s="86"/>
    </row>
    <row r="88" spans="1:13" s="90" customFormat="1">
      <c r="A88" s="149" t="s">
        <v>258</v>
      </c>
      <c r="B88" s="185"/>
      <c r="C88" s="164" t="s">
        <v>101</v>
      </c>
      <c r="D88" s="149" t="s">
        <v>25</v>
      </c>
      <c r="E88" s="86">
        <v>0.02</v>
      </c>
      <c r="F88" s="86">
        <f>E88*F84</f>
        <v>1.02</v>
      </c>
      <c r="G88" s="86"/>
      <c r="H88" s="86"/>
      <c r="I88" s="86"/>
      <c r="J88" s="86"/>
      <c r="K88" s="86"/>
      <c r="L88" s="86"/>
      <c r="M88" s="86"/>
    </row>
    <row r="89" spans="1:13" s="90" customFormat="1">
      <c r="A89" s="149"/>
      <c r="B89" s="91"/>
      <c r="C89" s="166"/>
      <c r="D89" s="149"/>
      <c r="E89" s="86"/>
      <c r="F89" s="175"/>
      <c r="G89" s="86"/>
      <c r="H89" s="86"/>
      <c r="I89" s="86"/>
      <c r="J89" s="86"/>
      <c r="K89" s="86"/>
      <c r="L89" s="86"/>
      <c r="M89" s="86"/>
    </row>
    <row r="90" spans="1:13">
      <c r="A90" s="149">
        <v>1.1299999999999999</v>
      </c>
      <c r="B90" s="91" t="s">
        <v>183</v>
      </c>
      <c r="C90" s="166" t="s">
        <v>249</v>
      </c>
      <c r="D90" s="149" t="s">
        <v>362</v>
      </c>
      <c r="E90" s="86"/>
      <c r="F90" s="86">
        <v>348</v>
      </c>
      <c r="G90" s="86"/>
      <c r="H90" s="86"/>
      <c r="I90" s="86"/>
      <c r="J90" s="86"/>
      <c r="K90" s="86"/>
      <c r="L90" s="86"/>
      <c r="M90" s="86"/>
    </row>
    <row r="91" spans="1:13">
      <c r="A91" s="149"/>
      <c r="B91" s="91"/>
      <c r="C91" s="166"/>
      <c r="D91" s="149" t="s">
        <v>363</v>
      </c>
      <c r="E91" s="86"/>
      <c r="F91" s="165">
        <f>F90/1000</f>
        <v>0.34799999999999998</v>
      </c>
      <c r="G91" s="86"/>
      <c r="H91" s="86"/>
      <c r="I91" s="86"/>
      <c r="J91" s="86"/>
      <c r="K91" s="86"/>
      <c r="L91" s="86"/>
      <c r="M91" s="86"/>
    </row>
    <row r="92" spans="1:13">
      <c r="A92" s="149" t="s">
        <v>70</v>
      </c>
      <c r="B92" s="91"/>
      <c r="C92" s="97" t="s">
        <v>15</v>
      </c>
      <c r="D92" s="149" t="s">
        <v>1</v>
      </c>
      <c r="E92" s="86">
        <v>15.5</v>
      </c>
      <c r="F92" s="86">
        <f>E92*F91</f>
        <v>5.3939999999999992</v>
      </c>
      <c r="G92" s="86"/>
      <c r="H92" s="86"/>
      <c r="I92" s="86"/>
      <c r="J92" s="86"/>
      <c r="K92" s="86"/>
      <c r="L92" s="86"/>
      <c r="M92" s="87"/>
    </row>
    <row r="93" spans="1:13">
      <c r="A93" s="149" t="s">
        <v>71</v>
      </c>
      <c r="B93" s="91" t="s">
        <v>364</v>
      </c>
      <c r="C93" s="166" t="s">
        <v>365</v>
      </c>
      <c r="D93" s="149" t="s">
        <v>24</v>
      </c>
      <c r="E93" s="86">
        <v>34.700000000000003</v>
      </c>
      <c r="F93" s="86">
        <f>E93*F91</f>
        <v>12.0756</v>
      </c>
      <c r="G93" s="86"/>
      <c r="H93" s="86"/>
      <c r="I93" s="86"/>
      <c r="J93" s="86"/>
      <c r="K93" s="86"/>
      <c r="L93" s="86"/>
      <c r="M93" s="87"/>
    </row>
    <row r="94" spans="1:13">
      <c r="A94" s="149" t="s">
        <v>271</v>
      </c>
      <c r="B94" s="91"/>
      <c r="C94" s="166" t="s">
        <v>13</v>
      </c>
      <c r="D94" s="149" t="s">
        <v>25</v>
      </c>
      <c r="E94" s="86">
        <v>2.09</v>
      </c>
      <c r="F94" s="86">
        <f>E94*F91</f>
        <v>0.72731999999999986</v>
      </c>
      <c r="G94" s="86"/>
      <c r="H94" s="86"/>
      <c r="I94" s="86"/>
      <c r="J94" s="86"/>
      <c r="K94" s="86"/>
      <c r="L94" s="86"/>
      <c r="M94" s="87"/>
    </row>
    <row r="95" spans="1:13">
      <c r="A95" s="149" t="s">
        <v>272</v>
      </c>
      <c r="B95" s="91" t="s">
        <v>366</v>
      </c>
      <c r="C95" s="166" t="s">
        <v>367</v>
      </c>
      <c r="D95" s="149" t="s">
        <v>362</v>
      </c>
      <c r="E95" s="86">
        <v>0.04</v>
      </c>
      <c r="F95" s="165">
        <f>E95*F91</f>
        <v>1.392E-2</v>
      </c>
      <c r="G95" s="86"/>
      <c r="H95" s="86"/>
      <c r="I95" s="86"/>
      <c r="J95" s="86"/>
      <c r="K95" s="86"/>
      <c r="L95" s="86"/>
      <c r="M95" s="87"/>
    </row>
    <row r="96" spans="1:13">
      <c r="A96" s="149"/>
      <c r="B96" s="91"/>
      <c r="C96" s="166"/>
      <c r="D96" s="149"/>
      <c r="E96" s="86"/>
      <c r="F96" s="150"/>
      <c r="G96" s="86"/>
      <c r="H96" s="86"/>
      <c r="I96" s="86"/>
      <c r="J96" s="86"/>
      <c r="K96" s="86"/>
      <c r="L96" s="86"/>
      <c r="M96" s="86"/>
    </row>
    <row r="97" spans="1:13">
      <c r="A97" s="150">
        <v>1.1399999999999999</v>
      </c>
      <c r="B97" s="91" t="s">
        <v>437</v>
      </c>
      <c r="C97" s="166" t="s">
        <v>290</v>
      </c>
      <c r="D97" s="149" t="s">
        <v>373</v>
      </c>
      <c r="E97" s="86"/>
      <c r="F97" s="86">
        <v>630</v>
      </c>
      <c r="G97" s="86"/>
      <c r="H97" s="86"/>
      <c r="I97" s="86"/>
      <c r="J97" s="86"/>
      <c r="K97" s="86"/>
      <c r="L97" s="86"/>
      <c r="M97" s="86"/>
    </row>
    <row r="98" spans="1:13">
      <c r="A98" s="150"/>
      <c r="B98" s="91"/>
      <c r="C98" s="166"/>
      <c r="D98" s="149" t="s">
        <v>438</v>
      </c>
      <c r="E98" s="86"/>
      <c r="F98" s="165">
        <f>F97/100</f>
        <v>6.3</v>
      </c>
      <c r="G98" s="86"/>
      <c r="H98" s="86"/>
      <c r="I98" s="86"/>
      <c r="J98" s="86"/>
      <c r="K98" s="86"/>
      <c r="L98" s="86"/>
      <c r="M98" s="86"/>
    </row>
    <row r="99" spans="1:13">
      <c r="A99" s="149" t="s">
        <v>207</v>
      </c>
      <c r="B99" s="91"/>
      <c r="C99" s="164" t="s">
        <v>15</v>
      </c>
      <c r="D99" s="149" t="s">
        <v>1</v>
      </c>
      <c r="E99" s="86">
        <v>33.6</v>
      </c>
      <c r="F99" s="86">
        <f>E99*F98</f>
        <v>211.68</v>
      </c>
      <c r="G99" s="86"/>
      <c r="H99" s="86"/>
      <c r="I99" s="86"/>
      <c r="J99" s="86"/>
      <c r="K99" s="86"/>
      <c r="L99" s="86"/>
      <c r="M99" s="86"/>
    </row>
    <row r="100" spans="1:13">
      <c r="A100" s="149" t="s">
        <v>227</v>
      </c>
      <c r="B100" s="91"/>
      <c r="C100" s="164" t="s">
        <v>13</v>
      </c>
      <c r="D100" s="149" t="s">
        <v>25</v>
      </c>
      <c r="E100" s="86">
        <v>1.5</v>
      </c>
      <c r="F100" s="86">
        <f>E100*F98</f>
        <v>9.4499999999999993</v>
      </c>
      <c r="G100" s="86"/>
      <c r="H100" s="86"/>
      <c r="I100" s="86"/>
      <c r="J100" s="86"/>
      <c r="K100" s="86"/>
      <c r="L100" s="86"/>
      <c r="M100" s="86"/>
    </row>
    <row r="101" spans="1:13">
      <c r="A101" s="149" t="s">
        <v>291</v>
      </c>
      <c r="B101" s="91" t="s">
        <v>439</v>
      </c>
      <c r="C101" s="164" t="s">
        <v>440</v>
      </c>
      <c r="D101" s="149" t="s">
        <v>23</v>
      </c>
      <c r="E101" s="86">
        <v>0.24</v>
      </c>
      <c r="F101" s="86">
        <f>E101*F98</f>
        <v>1.512</v>
      </c>
      <c r="G101" s="86"/>
      <c r="H101" s="86"/>
      <c r="I101" s="86"/>
      <c r="J101" s="86"/>
      <c r="K101" s="86"/>
      <c r="L101" s="86"/>
      <c r="M101" s="86"/>
    </row>
    <row r="102" spans="1:13">
      <c r="A102" s="149" t="s">
        <v>292</v>
      </c>
      <c r="B102" s="91"/>
      <c r="C102" s="189" t="s">
        <v>104</v>
      </c>
      <c r="D102" s="187" t="s">
        <v>362</v>
      </c>
      <c r="E102" s="188">
        <v>0</v>
      </c>
      <c r="F102" s="188">
        <f>E102*F98</f>
        <v>0</v>
      </c>
      <c r="G102" s="188"/>
      <c r="H102" s="188"/>
      <c r="I102" s="188"/>
      <c r="J102" s="188"/>
      <c r="K102" s="188"/>
      <c r="L102" s="188"/>
      <c r="M102" s="188"/>
    </row>
    <row r="103" spans="1:13">
      <c r="A103" s="149" t="s">
        <v>293</v>
      </c>
      <c r="B103" s="91"/>
      <c r="C103" s="164" t="s">
        <v>101</v>
      </c>
      <c r="D103" s="149" t="s">
        <v>25</v>
      </c>
      <c r="E103" s="86">
        <v>2.2799999999999998</v>
      </c>
      <c r="F103" s="86">
        <f>E103*F98</f>
        <v>14.363999999999999</v>
      </c>
      <c r="G103" s="86"/>
      <c r="H103" s="86"/>
      <c r="I103" s="86"/>
      <c r="J103" s="86"/>
      <c r="K103" s="86"/>
      <c r="L103" s="86"/>
      <c r="M103" s="86"/>
    </row>
    <row r="104" spans="1:13">
      <c r="A104" s="149"/>
      <c r="B104" s="91"/>
      <c r="C104" s="166"/>
      <c r="D104" s="149"/>
      <c r="E104" s="86"/>
      <c r="F104" s="150"/>
      <c r="G104" s="86"/>
      <c r="H104" s="86"/>
      <c r="I104" s="86"/>
      <c r="J104" s="86"/>
      <c r="K104" s="86"/>
      <c r="L104" s="86"/>
      <c r="M104" s="86"/>
    </row>
    <row r="105" spans="1:13">
      <c r="A105" s="149">
        <v>1.1499999999999999</v>
      </c>
      <c r="B105" s="91" t="s">
        <v>441</v>
      </c>
      <c r="C105" s="97" t="s">
        <v>327</v>
      </c>
      <c r="D105" s="149" t="s">
        <v>98</v>
      </c>
      <c r="E105" s="86"/>
      <c r="F105" s="175">
        <v>210</v>
      </c>
      <c r="G105" s="86"/>
      <c r="H105" s="86"/>
      <c r="I105" s="86"/>
      <c r="J105" s="87"/>
      <c r="K105" s="86"/>
      <c r="L105" s="86"/>
      <c r="M105" s="86"/>
    </row>
    <row r="106" spans="1:13">
      <c r="A106" s="149"/>
      <c r="B106" s="91"/>
      <c r="C106" s="97"/>
      <c r="D106" s="149" t="s">
        <v>94</v>
      </c>
      <c r="E106" s="86"/>
      <c r="F106" s="190">
        <v>2.38</v>
      </c>
      <c r="G106" s="86"/>
      <c r="H106" s="86"/>
      <c r="I106" s="86"/>
      <c r="J106" s="87"/>
      <c r="K106" s="86"/>
      <c r="L106" s="86"/>
      <c r="M106" s="86"/>
    </row>
    <row r="107" spans="1:13">
      <c r="A107" s="149" t="s">
        <v>75</v>
      </c>
      <c r="B107" s="91"/>
      <c r="C107" s="97" t="s">
        <v>93</v>
      </c>
      <c r="D107" s="149" t="s">
        <v>1</v>
      </c>
      <c r="E107" s="86">
        <v>223</v>
      </c>
      <c r="F107" s="175">
        <f>F106*E107</f>
        <v>530.74</v>
      </c>
      <c r="G107" s="86"/>
      <c r="H107" s="86"/>
      <c r="I107" s="86"/>
      <c r="J107" s="86"/>
      <c r="K107" s="86"/>
      <c r="L107" s="86"/>
      <c r="M107" s="87"/>
    </row>
    <row r="108" spans="1:13">
      <c r="A108" s="149" t="s">
        <v>76</v>
      </c>
      <c r="B108" s="91"/>
      <c r="C108" s="195" t="s">
        <v>280</v>
      </c>
      <c r="D108" s="187" t="s">
        <v>24</v>
      </c>
      <c r="E108" s="188"/>
      <c r="F108" s="193">
        <f>F106*E108</f>
        <v>0</v>
      </c>
      <c r="G108" s="188"/>
      <c r="H108" s="188"/>
      <c r="I108" s="188"/>
      <c r="J108" s="194"/>
      <c r="K108" s="188"/>
      <c r="L108" s="188"/>
      <c r="M108" s="194"/>
    </row>
    <row r="109" spans="1:13">
      <c r="A109" s="149" t="s">
        <v>77</v>
      </c>
      <c r="B109" s="91" t="s">
        <v>402</v>
      </c>
      <c r="C109" s="97" t="s">
        <v>281</v>
      </c>
      <c r="D109" s="149" t="s">
        <v>24</v>
      </c>
      <c r="E109" s="86">
        <v>18.100000000000001</v>
      </c>
      <c r="F109" s="175">
        <f>F106*E109</f>
        <v>43.078000000000003</v>
      </c>
      <c r="G109" s="86"/>
      <c r="H109" s="86"/>
      <c r="I109" s="86"/>
      <c r="J109" s="87"/>
      <c r="K109" s="86"/>
      <c r="L109" s="86"/>
      <c r="M109" s="87"/>
    </row>
    <row r="110" spans="1:13">
      <c r="A110" s="149" t="s">
        <v>78</v>
      </c>
      <c r="B110" s="91"/>
      <c r="C110" s="97" t="s">
        <v>282</v>
      </c>
      <c r="D110" s="149" t="s">
        <v>25</v>
      </c>
      <c r="E110" s="86">
        <v>5</v>
      </c>
      <c r="F110" s="175">
        <f>F106*E110</f>
        <v>11.899999999999999</v>
      </c>
      <c r="G110" s="86"/>
      <c r="H110" s="86"/>
      <c r="I110" s="86"/>
      <c r="J110" s="87"/>
      <c r="K110" s="86"/>
      <c r="L110" s="86"/>
      <c r="M110" s="87"/>
    </row>
    <row r="111" spans="1:13">
      <c r="A111" s="149" t="s">
        <v>328</v>
      </c>
      <c r="B111" s="91" t="s">
        <v>442</v>
      </c>
      <c r="C111" s="97" t="s">
        <v>329</v>
      </c>
      <c r="D111" s="149" t="s">
        <v>23</v>
      </c>
      <c r="E111" s="86" t="s">
        <v>389</v>
      </c>
      <c r="F111" s="190">
        <f>(2.74*2*56)/1000</f>
        <v>0.30687999999999999</v>
      </c>
      <c r="G111" s="86"/>
      <c r="H111" s="86"/>
      <c r="I111" s="86"/>
      <c r="J111" s="87"/>
      <c r="K111" s="86"/>
      <c r="L111" s="86"/>
      <c r="M111" s="87"/>
    </row>
    <row r="112" spans="1:13" ht="25.5">
      <c r="A112" s="149" t="s">
        <v>330</v>
      </c>
      <c r="B112" s="91" t="s">
        <v>443</v>
      </c>
      <c r="C112" s="174" t="s">
        <v>444</v>
      </c>
      <c r="D112" s="149" t="s">
        <v>373</v>
      </c>
      <c r="E112" s="86">
        <v>150</v>
      </c>
      <c r="F112" s="175">
        <f>F106*E112</f>
        <v>357</v>
      </c>
      <c r="G112" s="86"/>
      <c r="H112" s="86"/>
      <c r="I112" s="86"/>
      <c r="J112" s="87"/>
      <c r="K112" s="86"/>
      <c r="L112" s="86"/>
      <c r="M112" s="87"/>
    </row>
    <row r="113" spans="1:13">
      <c r="A113" s="149" t="s">
        <v>331</v>
      </c>
      <c r="B113" s="91"/>
      <c r="C113" s="195" t="s">
        <v>332</v>
      </c>
      <c r="D113" s="187" t="s">
        <v>296</v>
      </c>
      <c r="E113" s="188"/>
      <c r="F113" s="193">
        <f>F106*E113</f>
        <v>0</v>
      </c>
      <c r="G113" s="188"/>
      <c r="H113" s="188"/>
      <c r="I113" s="188"/>
      <c r="J113" s="194"/>
      <c r="K113" s="188"/>
      <c r="L113" s="188"/>
      <c r="M113" s="194"/>
    </row>
    <row r="114" spans="1:13">
      <c r="A114" s="149" t="s">
        <v>333</v>
      </c>
      <c r="B114" s="91" t="s">
        <v>445</v>
      </c>
      <c r="C114" s="97" t="s">
        <v>446</v>
      </c>
      <c r="D114" s="149" t="s">
        <v>296</v>
      </c>
      <c r="E114" s="86">
        <v>2</v>
      </c>
      <c r="F114" s="175">
        <f>E114*F106</f>
        <v>4.76</v>
      </c>
      <c r="G114" s="86"/>
      <c r="H114" s="86"/>
      <c r="I114" s="86"/>
      <c r="J114" s="87"/>
      <c r="K114" s="86"/>
      <c r="L114" s="86"/>
      <c r="M114" s="87"/>
    </row>
    <row r="115" spans="1:13">
      <c r="A115" s="149" t="s">
        <v>447</v>
      </c>
      <c r="B115" s="91"/>
      <c r="C115" s="97" t="s">
        <v>14</v>
      </c>
      <c r="D115" s="149" t="s">
        <v>25</v>
      </c>
      <c r="E115" s="86">
        <v>4</v>
      </c>
      <c r="F115" s="175">
        <f>F106*E115</f>
        <v>9.52</v>
      </c>
      <c r="G115" s="86"/>
      <c r="H115" s="86"/>
      <c r="I115" s="86"/>
      <c r="J115" s="87"/>
      <c r="K115" s="86"/>
      <c r="L115" s="86"/>
      <c r="M115" s="87"/>
    </row>
    <row r="116" spans="1:13">
      <c r="A116" s="149"/>
      <c r="B116" s="91"/>
      <c r="C116" s="97"/>
      <c r="D116" s="149"/>
      <c r="E116" s="86"/>
      <c r="F116" s="175"/>
      <c r="G116" s="86"/>
      <c r="H116" s="86"/>
      <c r="I116" s="86"/>
      <c r="J116" s="87"/>
      <c r="K116" s="86"/>
      <c r="L116" s="86"/>
      <c r="M116" s="87"/>
    </row>
    <row r="117" spans="1:13">
      <c r="A117" s="149">
        <v>1.1599999999999999</v>
      </c>
      <c r="B117" s="91" t="s">
        <v>448</v>
      </c>
      <c r="C117" s="166" t="s">
        <v>515</v>
      </c>
      <c r="D117" s="149" t="s">
        <v>373</v>
      </c>
      <c r="E117" s="86"/>
      <c r="F117" s="165">
        <v>15</v>
      </c>
      <c r="G117" s="86"/>
      <c r="H117" s="86"/>
      <c r="I117" s="86"/>
      <c r="J117" s="86"/>
      <c r="K117" s="86"/>
      <c r="L117" s="86"/>
      <c r="M117" s="86"/>
    </row>
    <row r="118" spans="1:13">
      <c r="A118" s="149"/>
      <c r="B118" s="91"/>
      <c r="C118" s="166"/>
      <c r="D118" s="149" t="s">
        <v>438</v>
      </c>
      <c r="E118" s="86"/>
      <c r="F118" s="165">
        <f>F117/100</f>
        <v>0.15</v>
      </c>
      <c r="G118" s="86"/>
      <c r="H118" s="86"/>
      <c r="I118" s="86"/>
      <c r="J118" s="86"/>
      <c r="K118" s="86"/>
      <c r="L118" s="86"/>
      <c r="M118" s="86"/>
    </row>
    <row r="119" spans="1:13">
      <c r="A119" s="149" t="s">
        <v>79</v>
      </c>
      <c r="B119" s="91"/>
      <c r="C119" s="166" t="s">
        <v>15</v>
      </c>
      <c r="D119" s="149" t="s">
        <v>1</v>
      </c>
      <c r="E119" s="86">
        <v>68</v>
      </c>
      <c r="F119" s="150">
        <f>E119*F118</f>
        <v>10.199999999999999</v>
      </c>
      <c r="G119" s="86"/>
      <c r="H119" s="86"/>
      <c r="I119" s="86"/>
      <c r="J119" s="86"/>
      <c r="K119" s="86"/>
      <c r="L119" s="86"/>
      <c r="M119" s="86"/>
    </row>
    <row r="120" spans="1:13">
      <c r="A120" s="149" t="s">
        <v>186</v>
      </c>
      <c r="B120" s="91"/>
      <c r="C120" s="166" t="s">
        <v>13</v>
      </c>
      <c r="D120" s="149" t="s">
        <v>25</v>
      </c>
      <c r="E120" s="86">
        <v>0.03</v>
      </c>
      <c r="F120" s="150">
        <f>E120*F118</f>
        <v>4.4999999999999997E-3</v>
      </c>
      <c r="G120" s="86"/>
      <c r="H120" s="86"/>
      <c r="I120" s="86"/>
      <c r="J120" s="86"/>
      <c r="K120" s="86"/>
      <c r="L120" s="86"/>
      <c r="M120" s="86"/>
    </row>
    <row r="121" spans="1:13">
      <c r="A121" s="149" t="s">
        <v>187</v>
      </c>
      <c r="B121" s="91" t="s">
        <v>449</v>
      </c>
      <c r="C121" s="166" t="s">
        <v>334</v>
      </c>
      <c r="D121" s="149" t="s">
        <v>296</v>
      </c>
      <c r="E121" s="86">
        <v>2.7</v>
      </c>
      <c r="F121" s="150">
        <f>E121*F118</f>
        <v>0.40500000000000003</v>
      </c>
      <c r="G121" s="86"/>
      <c r="H121" s="86"/>
      <c r="I121" s="86"/>
      <c r="J121" s="86"/>
      <c r="K121" s="86"/>
      <c r="L121" s="86"/>
      <c r="M121" s="86"/>
    </row>
    <row r="122" spans="1:13">
      <c r="A122" s="149" t="s">
        <v>273</v>
      </c>
      <c r="B122" s="91" t="s">
        <v>450</v>
      </c>
      <c r="C122" s="166" t="s">
        <v>335</v>
      </c>
      <c r="D122" s="149" t="s">
        <v>296</v>
      </c>
      <c r="E122" s="86">
        <v>25.1</v>
      </c>
      <c r="F122" s="150">
        <f>E122*F118</f>
        <v>3.7650000000000001</v>
      </c>
      <c r="G122" s="86"/>
      <c r="H122" s="86"/>
      <c r="I122" s="86"/>
      <c r="J122" s="86"/>
      <c r="K122" s="86"/>
      <c r="L122" s="86"/>
      <c r="M122" s="86"/>
    </row>
    <row r="123" spans="1:13">
      <c r="A123" s="149" t="s">
        <v>301</v>
      </c>
      <c r="B123" s="91"/>
      <c r="C123" s="166" t="s">
        <v>101</v>
      </c>
      <c r="D123" s="149" t="s">
        <v>25</v>
      </c>
      <c r="E123" s="86">
        <v>0.19</v>
      </c>
      <c r="F123" s="150">
        <f>E123*F118</f>
        <v>2.8499999999999998E-2</v>
      </c>
      <c r="G123" s="86"/>
      <c r="H123" s="86"/>
      <c r="I123" s="86"/>
      <c r="J123" s="86"/>
      <c r="K123" s="86"/>
      <c r="L123" s="86"/>
      <c r="M123" s="86"/>
    </row>
    <row r="124" spans="1:13">
      <c r="A124" s="149"/>
      <c r="B124" s="91"/>
      <c r="C124" s="166"/>
      <c r="D124" s="149"/>
      <c r="E124" s="86"/>
      <c r="F124" s="150"/>
      <c r="G124" s="86"/>
      <c r="H124" s="86"/>
      <c r="I124" s="86"/>
      <c r="J124" s="86"/>
      <c r="K124" s="86"/>
      <c r="L124" s="86"/>
      <c r="M124" s="86"/>
    </row>
    <row r="125" spans="1:13">
      <c r="A125" s="137"/>
      <c r="B125" s="91"/>
      <c r="C125" s="137" t="s">
        <v>4</v>
      </c>
      <c r="D125" s="149"/>
      <c r="E125" s="86"/>
      <c r="F125" s="149"/>
      <c r="G125" s="86"/>
      <c r="H125" s="148"/>
      <c r="I125" s="148"/>
      <c r="J125" s="148"/>
      <c r="K125" s="148"/>
      <c r="L125" s="148"/>
      <c r="M125" s="148"/>
    </row>
    <row r="126" spans="1:13">
      <c r="A126" s="137"/>
      <c r="B126" s="91"/>
      <c r="C126" s="149"/>
      <c r="D126" s="149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>
      <c r="A127" s="137"/>
      <c r="B127" s="91"/>
      <c r="C127" s="149" t="s">
        <v>10</v>
      </c>
      <c r="D127" s="154">
        <v>0.1</v>
      </c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>
      <c r="A128" s="137"/>
      <c r="B128" s="91"/>
      <c r="C128" s="149" t="s">
        <v>4</v>
      </c>
      <c r="D128" s="154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>
      <c r="A129" s="137"/>
      <c r="B129" s="91"/>
      <c r="C129" s="149" t="s">
        <v>11</v>
      </c>
      <c r="D129" s="154">
        <v>0.08</v>
      </c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>
      <c r="A130" s="149"/>
      <c r="B130" s="149"/>
      <c r="C130" s="149"/>
      <c r="D130" s="154"/>
      <c r="E130" s="86"/>
      <c r="F130" s="86"/>
      <c r="G130" s="86"/>
      <c r="H130" s="86"/>
      <c r="I130" s="86"/>
      <c r="J130" s="86"/>
      <c r="K130" s="86"/>
      <c r="L130" s="86"/>
      <c r="M130" s="86"/>
    </row>
    <row r="131" spans="1:13">
      <c r="A131" s="149"/>
      <c r="B131" s="149"/>
      <c r="C131" s="137" t="s">
        <v>4</v>
      </c>
      <c r="D131" s="137"/>
      <c r="E131" s="148"/>
      <c r="F131" s="148"/>
      <c r="G131" s="148"/>
      <c r="H131" s="148"/>
      <c r="I131" s="148"/>
      <c r="J131" s="148"/>
      <c r="K131" s="148"/>
      <c r="L131" s="148"/>
      <c r="M131" s="148"/>
    </row>
    <row r="132" spans="1:13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9"/>
    </row>
    <row r="133" spans="1:13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9"/>
    </row>
    <row r="134" spans="1:13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9"/>
    </row>
    <row r="135" spans="1:13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9"/>
    </row>
    <row r="136" spans="1:13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9"/>
    </row>
    <row r="137" spans="1:13"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9"/>
    </row>
    <row r="138" spans="1:13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9"/>
    </row>
    <row r="139" spans="1:13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9"/>
    </row>
    <row r="140" spans="1:13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9"/>
    </row>
    <row r="141" spans="1:13"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9"/>
    </row>
    <row r="142" spans="1:13"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9"/>
    </row>
    <row r="143" spans="1:13"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9"/>
    </row>
  </sheetData>
  <autoFilter ref="A1:M143"/>
  <mergeCells count="10">
    <mergeCell ref="A2:M2"/>
    <mergeCell ref="A4:A5"/>
    <mergeCell ref="B4:B5"/>
    <mergeCell ref="C4:C5"/>
    <mergeCell ref="D4:D5"/>
    <mergeCell ref="M4:M5"/>
    <mergeCell ref="I4:J4"/>
    <mergeCell ref="K4:L4"/>
    <mergeCell ref="E4:F4"/>
    <mergeCell ref="G4:H4"/>
  </mergeCells>
  <conditionalFormatting sqref="L85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78"/>
  <sheetViews>
    <sheetView view="pageBreakPreview" zoomScaleNormal="60" zoomScaleSheetLayoutView="100" workbookViewId="0">
      <selection activeCell="H15" sqref="H15"/>
    </sheetView>
  </sheetViews>
  <sheetFormatPr defaultRowHeight="12.75"/>
  <cols>
    <col min="1" max="1" width="5.28515625" style="156" bestFit="1" customWidth="1"/>
    <col min="2" max="2" width="12.85546875" style="156" customWidth="1"/>
    <col min="3" max="3" width="65.7109375" style="156" customWidth="1"/>
    <col min="4" max="4" width="9.28515625" style="156" customWidth="1"/>
    <col min="5" max="5" width="6.42578125" style="156" bestFit="1" customWidth="1"/>
    <col min="6" max="6" width="13.140625" style="156" bestFit="1" customWidth="1"/>
    <col min="7" max="7" width="6.5703125" style="156" bestFit="1" customWidth="1"/>
    <col min="8" max="8" width="9" style="156" bestFit="1" customWidth="1"/>
    <col min="9" max="9" width="6.5703125" style="156" bestFit="1" customWidth="1"/>
    <col min="10" max="10" width="9" style="156" bestFit="1" customWidth="1"/>
    <col min="11" max="11" width="6.5703125" style="156" bestFit="1" customWidth="1"/>
    <col min="12" max="12" width="9" style="156" bestFit="1" customWidth="1"/>
    <col min="13" max="13" width="9" style="159" bestFit="1" customWidth="1"/>
    <col min="14" max="16" width="20.7109375" style="76" customWidth="1"/>
    <col min="17" max="16384" width="9.140625" style="76"/>
  </cols>
  <sheetData>
    <row r="1" spans="1:13" s="79" customFormat="1">
      <c r="A1" s="212" t="s">
        <v>295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9" customForma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77" customFormat="1" ht="12.75" customHeight="1">
      <c r="A3" s="210" t="s">
        <v>353</v>
      </c>
      <c r="B3" s="211" t="s">
        <v>354</v>
      </c>
      <c r="C3" s="211" t="s">
        <v>355</v>
      </c>
      <c r="D3" s="211" t="s">
        <v>356</v>
      </c>
      <c r="E3" s="210" t="s">
        <v>357</v>
      </c>
      <c r="F3" s="210"/>
      <c r="G3" s="211" t="s">
        <v>358</v>
      </c>
      <c r="H3" s="211"/>
      <c r="I3" s="211" t="s">
        <v>6</v>
      </c>
      <c r="J3" s="211"/>
      <c r="K3" s="210" t="s">
        <v>359</v>
      </c>
      <c r="L3" s="210"/>
      <c r="M3" s="210" t="s">
        <v>4</v>
      </c>
    </row>
    <row r="4" spans="1:13" s="77" customFormat="1">
      <c r="A4" s="210"/>
      <c r="B4" s="211"/>
      <c r="C4" s="211"/>
      <c r="D4" s="211"/>
      <c r="E4" s="137" t="s">
        <v>360</v>
      </c>
      <c r="F4" s="137" t="s">
        <v>253</v>
      </c>
      <c r="G4" s="137" t="s">
        <v>360</v>
      </c>
      <c r="H4" s="137" t="s">
        <v>253</v>
      </c>
      <c r="I4" s="137" t="s">
        <v>360</v>
      </c>
      <c r="J4" s="137" t="s">
        <v>253</v>
      </c>
      <c r="K4" s="137" t="s">
        <v>360</v>
      </c>
      <c r="L4" s="137" t="s">
        <v>253</v>
      </c>
      <c r="M4" s="210"/>
    </row>
    <row r="5" spans="1:13" s="77" customFormat="1">
      <c r="A5" s="137">
        <v>1</v>
      </c>
      <c r="B5" s="137">
        <v>2</v>
      </c>
      <c r="C5" s="136">
        <v>3</v>
      </c>
      <c r="D5" s="137">
        <v>4</v>
      </c>
      <c r="E5" s="137">
        <v>5</v>
      </c>
      <c r="F5" s="137">
        <v>6</v>
      </c>
      <c r="G5" s="137">
        <v>7</v>
      </c>
      <c r="H5" s="74">
        <v>8</v>
      </c>
      <c r="I5" s="137">
        <v>9</v>
      </c>
      <c r="J5" s="74">
        <v>10</v>
      </c>
      <c r="K5" s="137">
        <v>11</v>
      </c>
      <c r="L5" s="74">
        <v>12</v>
      </c>
      <c r="M5" s="74">
        <v>13</v>
      </c>
    </row>
    <row r="6" spans="1:13" s="77" customFormat="1">
      <c r="A6" s="137"/>
      <c r="B6" s="137"/>
      <c r="C6" s="137"/>
      <c r="D6" s="137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77" customFormat="1">
      <c r="A7" s="137"/>
      <c r="B7" s="149"/>
      <c r="C7" s="136" t="s">
        <v>341</v>
      </c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>
      <c r="A8" s="149"/>
      <c r="B8" s="149"/>
      <c r="C8" s="151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ht="25.5">
      <c r="A9" s="149">
        <v>1.1000000000000001</v>
      </c>
      <c r="B9" s="185" t="s">
        <v>81</v>
      </c>
      <c r="C9" s="164" t="s">
        <v>80</v>
      </c>
      <c r="D9" s="149" t="s">
        <v>362</v>
      </c>
      <c r="E9" s="86"/>
      <c r="F9" s="86">
        <f>46.9+173</f>
        <v>219.9</v>
      </c>
      <c r="G9" s="86"/>
      <c r="H9" s="86"/>
      <c r="I9" s="86"/>
      <c r="J9" s="86"/>
      <c r="K9" s="86"/>
      <c r="L9" s="86"/>
      <c r="M9" s="86"/>
    </row>
    <row r="10" spans="1:13">
      <c r="A10" s="149"/>
      <c r="B10" s="91"/>
      <c r="C10" s="164"/>
      <c r="D10" s="149" t="s">
        <v>363</v>
      </c>
      <c r="E10" s="86"/>
      <c r="F10" s="165">
        <f>F9/1000</f>
        <v>0.21990000000000001</v>
      </c>
      <c r="G10" s="86"/>
      <c r="H10" s="86"/>
      <c r="I10" s="86"/>
      <c r="J10" s="86"/>
      <c r="K10" s="86"/>
      <c r="L10" s="86"/>
      <c r="M10" s="87"/>
    </row>
    <row r="11" spans="1:13">
      <c r="A11" s="149" t="s">
        <v>0</v>
      </c>
      <c r="B11" s="91"/>
      <c r="C11" s="97" t="s">
        <v>15</v>
      </c>
      <c r="D11" s="149" t="s">
        <v>1</v>
      </c>
      <c r="E11" s="86">
        <v>20</v>
      </c>
      <c r="F11" s="86">
        <f>E11*F10</f>
        <v>4.3980000000000006</v>
      </c>
      <c r="G11" s="86"/>
      <c r="H11" s="86"/>
      <c r="I11" s="86"/>
      <c r="J11" s="86"/>
      <c r="K11" s="86"/>
      <c r="L11" s="86"/>
      <c r="M11" s="87"/>
    </row>
    <row r="12" spans="1:13">
      <c r="A12" s="149" t="s">
        <v>192</v>
      </c>
      <c r="B12" s="91" t="s">
        <v>364</v>
      </c>
      <c r="C12" s="166" t="s">
        <v>365</v>
      </c>
      <c r="D12" s="149" t="s">
        <v>24</v>
      </c>
      <c r="E12" s="86">
        <v>44.8</v>
      </c>
      <c r="F12" s="86">
        <f>E12*F10</f>
        <v>9.8515200000000007</v>
      </c>
      <c r="G12" s="86"/>
      <c r="H12" s="86"/>
      <c r="I12" s="86"/>
      <c r="J12" s="86"/>
      <c r="K12" s="86"/>
      <c r="L12" s="86"/>
      <c r="M12" s="87"/>
    </row>
    <row r="13" spans="1:13">
      <c r="A13" s="149" t="s">
        <v>193</v>
      </c>
      <c r="B13" s="91"/>
      <c r="C13" s="166" t="s">
        <v>13</v>
      </c>
      <c r="D13" s="149" t="s">
        <v>25</v>
      </c>
      <c r="E13" s="86">
        <v>2.1</v>
      </c>
      <c r="F13" s="86">
        <f>E13*F10</f>
        <v>0.46179000000000003</v>
      </c>
      <c r="G13" s="86"/>
      <c r="H13" s="86"/>
      <c r="I13" s="86"/>
      <c r="J13" s="86"/>
      <c r="K13" s="86"/>
      <c r="L13" s="86"/>
      <c r="M13" s="87"/>
    </row>
    <row r="14" spans="1:13">
      <c r="A14" s="149" t="s">
        <v>194</v>
      </c>
      <c r="B14" s="91" t="s">
        <v>366</v>
      </c>
      <c r="C14" s="166" t="s">
        <v>367</v>
      </c>
      <c r="D14" s="149" t="s">
        <v>362</v>
      </c>
      <c r="E14" s="86">
        <v>0.05</v>
      </c>
      <c r="F14" s="86">
        <f>E14*F10</f>
        <v>1.0995000000000001E-2</v>
      </c>
      <c r="G14" s="86"/>
      <c r="H14" s="86"/>
      <c r="I14" s="86"/>
      <c r="J14" s="86"/>
      <c r="K14" s="86"/>
      <c r="L14" s="86"/>
      <c r="M14" s="86"/>
    </row>
    <row r="15" spans="1:13">
      <c r="A15" s="149"/>
      <c r="B15" s="185"/>
      <c r="C15" s="164"/>
      <c r="D15" s="149"/>
      <c r="E15" s="86"/>
      <c r="F15" s="86"/>
      <c r="G15" s="86"/>
      <c r="H15" s="86"/>
      <c r="I15" s="86"/>
      <c r="J15" s="86"/>
      <c r="K15" s="86"/>
      <c r="L15" s="86"/>
      <c r="M15" s="86"/>
    </row>
    <row r="16" spans="1:13">
      <c r="A16" s="149">
        <v>1.2</v>
      </c>
      <c r="B16" s="185" t="s">
        <v>378</v>
      </c>
      <c r="C16" s="166" t="s">
        <v>379</v>
      </c>
      <c r="D16" s="149" t="s">
        <v>362</v>
      </c>
      <c r="E16" s="86"/>
      <c r="F16" s="86">
        <f>7+26</f>
        <v>33</v>
      </c>
      <c r="G16" s="86"/>
      <c r="H16" s="86"/>
      <c r="I16" s="86"/>
      <c r="J16" s="86"/>
      <c r="K16" s="86"/>
      <c r="L16" s="86"/>
      <c r="M16" s="86"/>
    </row>
    <row r="17" spans="1:13">
      <c r="A17" s="149"/>
      <c r="B17" s="91" t="s">
        <v>510</v>
      </c>
      <c r="C17" s="164"/>
      <c r="D17" s="149" t="s">
        <v>381</v>
      </c>
      <c r="E17" s="86"/>
      <c r="F17" s="165">
        <f>F16/100</f>
        <v>0.33</v>
      </c>
      <c r="G17" s="86"/>
      <c r="H17" s="86"/>
      <c r="I17" s="86"/>
      <c r="J17" s="86"/>
      <c r="K17" s="86"/>
      <c r="L17" s="86"/>
      <c r="M17" s="86"/>
    </row>
    <row r="18" spans="1:13">
      <c r="A18" s="149" t="s">
        <v>21</v>
      </c>
      <c r="B18" s="185"/>
      <c r="C18" s="164" t="s">
        <v>15</v>
      </c>
      <c r="D18" s="149" t="s">
        <v>1</v>
      </c>
      <c r="E18" s="86">
        <f>206*1.2</f>
        <v>247.2</v>
      </c>
      <c r="F18" s="86">
        <f>E18*F17</f>
        <v>81.575999999999993</v>
      </c>
      <c r="G18" s="86"/>
      <c r="H18" s="86"/>
      <c r="I18" s="86"/>
      <c r="J18" s="86"/>
      <c r="K18" s="86"/>
      <c r="L18" s="86"/>
      <c r="M18" s="86"/>
    </row>
    <row r="19" spans="1:13">
      <c r="A19" s="149"/>
      <c r="B19" s="185"/>
      <c r="C19" s="164"/>
      <c r="D19" s="149"/>
      <c r="E19" s="86"/>
      <c r="F19" s="86"/>
      <c r="G19" s="86"/>
      <c r="H19" s="86"/>
      <c r="I19" s="86"/>
      <c r="J19" s="86"/>
      <c r="K19" s="86"/>
      <c r="L19" s="86"/>
      <c r="M19" s="86"/>
    </row>
    <row r="20" spans="1:13">
      <c r="A20" s="149">
        <v>1.3</v>
      </c>
      <c r="B20" s="80" t="s">
        <v>382</v>
      </c>
      <c r="C20" s="164" t="s">
        <v>95</v>
      </c>
      <c r="D20" s="149" t="s">
        <v>23</v>
      </c>
      <c r="E20" s="86">
        <v>1.95</v>
      </c>
      <c r="F20" s="86">
        <f>E20*F16</f>
        <v>64.349999999999994</v>
      </c>
      <c r="G20" s="86"/>
      <c r="H20" s="86"/>
      <c r="I20" s="86"/>
      <c r="J20" s="86"/>
      <c r="K20" s="86"/>
      <c r="L20" s="86"/>
      <c r="M20" s="86"/>
    </row>
    <row r="21" spans="1:13">
      <c r="A21" s="149" t="s">
        <v>30</v>
      </c>
      <c r="B21" s="81" t="s">
        <v>383</v>
      </c>
      <c r="C21" s="164" t="s">
        <v>15</v>
      </c>
      <c r="D21" s="149" t="s">
        <v>1</v>
      </c>
      <c r="E21" s="86">
        <v>0.53</v>
      </c>
      <c r="F21" s="86">
        <f>E21*F20</f>
        <v>34.105499999999999</v>
      </c>
      <c r="G21" s="86"/>
      <c r="H21" s="86"/>
      <c r="I21" s="86"/>
      <c r="J21" s="86"/>
      <c r="K21" s="86"/>
      <c r="L21" s="86"/>
      <c r="M21" s="86"/>
    </row>
    <row r="22" spans="1:13">
      <c r="A22" s="149"/>
      <c r="B22" s="185"/>
      <c r="C22" s="164"/>
      <c r="D22" s="149"/>
      <c r="E22" s="86"/>
      <c r="F22" s="86"/>
      <c r="G22" s="86"/>
      <c r="H22" s="86"/>
      <c r="I22" s="86"/>
      <c r="J22" s="86"/>
      <c r="K22" s="86"/>
      <c r="L22" s="86"/>
      <c r="M22" s="86"/>
    </row>
    <row r="23" spans="1:13">
      <c r="A23" s="149">
        <v>1.4</v>
      </c>
      <c r="B23" s="185" t="s">
        <v>368</v>
      </c>
      <c r="C23" s="164" t="s">
        <v>31</v>
      </c>
      <c r="D23" s="149" t="s">
        <v>23</v>
      </c>
      <c r="E23" s="86">
        <v>1.95</v>
      </c>
      <c r="F23" s="86">
        <f>E23*(F9+F16)</f>
        <v>493.15499999999997</v>
      </c>
      <c r="G23" s="86"/>
      <c r="H23" s="86"/>
      <c r="I23" s="86"/>
      <c r="J23" s="86"/>
      <c r="K23" s="86"/>
      <c r="L23" s="86"/>
      <c r="M23" s="86"/>
    </row>
    <row r="24" spans="1:13">
      <c r="A24" s="149"/>
      <c r="B24" s="185"/>
      <c r="C24" s="164"/>
      <c r="D24" s="149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2.75" customHeight="1">
      <c r="A25" s="149">
        <v>1.5</v>
      </c>
      <c r="B25" s="185" t="s">
        <v>83</v>
      </c>
      <c r="C25" s="164" t="s">
        <v>82</v>
      </c>
      <c r="D25" s="149" t="s">
        <v>362</v>
      </c>
      <c r="E25" s="86"/>
      <c r="F25" s="86">
        <f>F9+F16</f>
        <v>252.9</v>
      </c>
      <c r="G25" s="86"/>
      <c r="H25" s="86"/>
      <c r="I25" s="86"/>
      <c r="J25" s="86"/>
      <c r="K25" s="86"/>
      <c r="L25" s="86"/>
      <c r="M25" s="86"/>
    </row>
    <row r="26" spans="1:13" ht="12.75" customHeight="1">
      <c r="A26" s="149"/>
      <c r="B26" s="185"/>
      <c r="C26" s="164"/>
      <c r="D26" s="149" t="s">
        <v>363</v>
      </c>
      <c r="E26" s="86"/>
      <c r="F26" s="165">
        <f>F25/1000</f>
        <v>0.25290000000000001</v>
      </c>
      <c r="G26" s="86"/>
      <c r="H26" s="86"/>
      <c r="I26" s="86"/>
      <c r="J26" s="86"/>
      <c r="K26" s="86"/>
      <c r="L26" s="86"/>
      <c r="M26" s="86"/>
    </row>
    <row r="27" spans="1:13">
      <c r="A27" s="149" t="s">
        <v>195</v>
      </c>
      <c r="B27" s="91"/>
      <c r="C27" s="167" t="s">
        <v>15</v>
      </c>
      <c r="D27" s="149" t="s">
        <v>1</v>
      </c>
      <c r="E27" s="86">
        <v>3.23</v>
      </c>
      <c r="F27" s="86">
        <f>E27*F26</f>
        <v>0.81686700000000001</v>
      </c>
      <c r="G27" s="86"/>
      <c r="H27" s="86"/>
      <c r="I27" s="86"/>
      <c r="J27" s="86"/>
      <c r="K27" s="86"/>
      <c r="L27" s="86"/>
      <c r="M27" s="86"/>
    </row>
    <row r="28" spans="1:13">
      <c r="A28" s="149" t="s">
        <v>196</v>
      </c>
      <c r="B28" s="91" t="s">
        <v>369</v>
      </c>
      <c r="C28" s="167" t="s">
        <v>84</v>
      </c>
      <c r="D28" s="149" t="s">
        <v>24</v>
      </c>
      <c r="E28" s="86">
        <v>3.62</v>
      </c>
      <c r="F28" s="86">
        <f>E28*F26</f>
        <v>0.91549800000000003</v>
      </c>
      <c r="G28" s="86"/>
      <c r="H28" s="86"/>
      <c r="I28" s="86"/>
      <c r="J28" s="86"/>
      <c r="K28" s="86"/>
      <c r="L28" s="86"/>
      <c r="M28" s="86"/>
    </row>
    <row r="29" spans="1:13">
      <c r="A29" s="149" t="s">
        <v>197</v>
      </c>
      <c r="B29" s="91"/>
      <c r="C29" s="167" t="s">
        <v>13</v>
      </c>
      <c r="D29" s="149" t="s">
        <v>25</v>
      </c>
      <c r="E29" s="86">
        <v>0.18</v>
      </c>
      <c r="F29" s="86">
        <f>E29*F26</f>
        <v>4.5522E-2</v>
      </c>
      <c r="G29" s="86"/>
      <c r="H29" s="86"/>
      <c r="I29" s="86"/>
      <c r="J29" s="86"/>
      <c r="K29" s="86"/>
      <c r="L29" s="86"/>
      <c r="M29" s="86"/>
    </row>
    <row r="30" spans="1:13">
      <c r="A30" s="149" t="s">
        <v>198</v>
      </c>
      <c r="B30" s="91" t="s">
        <v>366</v>
      </c>
      <c r="C30" s="166" t="s">
        <v>367</v>
      </c>
      <c r="D30" s="149" t="s">
        <v>362</v>
      </c>
      <c r="E30" s="86">
        <v>0.04</v>
      </c>
      <c r="F30" s="86">
        <f>E30*F26</f>
        <v>1.0116E-2</v>
      </c>
      <c r="G30" s="86"/>
      <c r="H30" s="86"/>
      <c r="I30" s="86"/>
      <c r="J30" s="86"/>
      <c r="K30" s="86"/>
      <c r="L30" s="86"/>
      <c r="M30" s="86"/>
    </row>
    <row r="31" spans="1:13" ht="12.75" customHeight="1">
      <c r="A31" s="149"/>
      <c r="B31" s="185"/>
      <c r="C31" s="164"/>
      <c r="D31" s="149"/>
      <c r="E31" s="86"/>
      <c r="F31" s="86"/>
      <c r="G31" s="86"/>
      <c r="H31" s="86"/>
      <c r="I31" s="86"/>
      <c r="J31" s="86"/>
      <c r="K31" s="86"/>
      <c r="L31" s="86"/>
      <c r="M31" s="86"/>
    </row>
    <row r="32" spans="1:13" ht="38.25">
      <c r="A32" s="187">
        <v>1.6</v>
      </c>
      <c r="B32" s="200" t="s">
        <v>337</v>
      </c>
      <c r="C32" s="189" t="s">
        <v>336</v>
      </c>
      <c r="D32" s="187" t="s">
        <v>376</v>
      </c>
      <c r="E32" s="188"/>
      <c r="F32" s="188">
        <v>0</v>
      </c>
      <c r="G32" s="188"/>
      <c r="H32" s="188"/>
      <c r="I32" s="188"/>
      <c r="J32" s="188"/>
      <c r="K32" s="188"/>
      <c r="L32" s="188"/>
      <c r="M32" s="188"/>
    </row>
    <row r="33" spans="1:13" s="78" customFormat="1">
      <c r="A33" s="187" t="s">
        <v>59</v>
      </c>
      <c r="B33" s="200"/>
      <c r="C33" s="189" t="s">
        <v>15</v>
      </c>
      <c r="D33" s="187" t="s">
        <v>1</v>
      </c>
      <c r="E33" s="188">
        <v>2.8839999999999999</v>
      </c>
      <c r="F33" s="188">
        <f>ROUND(E33*F32,2)</f>
        <v>0</v>
      </c>
      <c r="G33" s="188"/>
      <c r="H33" s="188"/>
      <c r="I33" s="188"/>
      <c r="J33" s="188"/>
      <c r="K33" s="188"/>
      <c r="L33" s="188"/>
      <c r="M33" s="188"/>
    </row>
    <row r="34" spans="1:13" s="78" customFormat="1" ht="25.5">
      <c r="A34" s="187" t="s">
        <v>60</v>
      </c>
      <c r="B34" s="200"/>
      <c r="C34" s="189" t="s">
        <v>241</v>
      </c>
      <c r="D34" s="187" t="s">
        <v>91</v>
      </c>
      <c r="E34" s="188" t="s">
        <v>92</v>
      </c>
      <c r="F34" s="188">
        <v>0</v>
      </c>
      <c r="G34" s="188"/>
      <c r="H34" s="188"/>
      <c r="I34" s="188"/>
      <c r="J34" s="188"/>
      <c r="K34" s="188"/>
      <c r="L34" s="188"/>
      <c r="M34" s="188"/>
    </row>
    <row r="35" spans="1:13" s="78" customFormat="1" ht="25.5">
      <c r="A35" s="187" t="s">
        <v>208</v>
      </c>
      <c r="B35" s="200"/>
      <c r="C35" s="189" t="s">
        <v>243</v>
      </c>
      <c r="D35" s="187" t="s">
        <v>91</v>
      </c>
      <c r="E35" s="188" t="s">
        <v>92</v>
      </c>
      <c r="F35" s="188">
        <v>0</v>
      </c>
      <c r="G35" s="188"/>
      <c r="H35" s="188"/>
      <c r="I35" s="188"/>
      <c r="J35" s="188"/>
      <c r="K35" s="188"/>
      <c r="L35" s="188"/>
      <c r="M35" s="188"/>
    </row>
    <row r="36" spans="1:13" s="78" customFormat="1">
      <c r="A36" s="187" t="s">
        <v>209</v>
      </c>
      <c r="B36" s="200"/>
      <c r="C36" s="189" t="s">
        <v>338</v>
      </c>
      <c r="D36" s="187" t="s">
        <v>296</v>
      </c>
      <c r="E36" s="188" t="s">
        <v>92</v>
      </c>
      <c r="F36" s="188">
        <v>0</v>
      </c>
      <c r="G36" s="188"/>
      <c r="H36" s="188"/>
      <c r="I36" s="188"/>
      <c r="J36" s="188"/>
      <c r="K36" s="188"/>
      <c r="L36" s="188"/>
      <c r="M36" s="188"/>
    </row>
    <row r="37" spans="1:13" s="78" customFormat="1">
      <c r="A37" s="149"/>
      <c r="B37" s="185"/>
      <c r="C37" s="164"/>
      <c r="D37" s="149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38.25">
      <c r="A38" s="201">
        <v>1.7</v>
      </c>
      <c r="B38" s="200" t="s">
        <v>337</v>
      </c>
      <c r="C38" s="189" t="s">
        <v>339</v>
      </c>
      <c r="D38" s="187" t="s">
        <v>376</v>
      </c>
      <c r="E38" s="188"/>
      <c r="F38" s="188">
        <v>0</v>
      </c>
      <c r="G38" s="188"/>
      <c r="H38" s="188"/>
      <c r="I38" s="188"/>
      <c r="J38" s="188"/>
      <c r="K38" s="188"/>
      <c r="L38" s="188"/>
      <c r="M38" s="188"/>
    </row>
    <row r="39" spans="1:13">
      <c r="A39" s="187" t="s">
        <v>61</v>
      </c>
      <c r="B39" s="200"/>
      <c r="C39" s="189" t="s">
        <v>15</v>
      </c>
      <c r="D39" s="187" t="s">
        <v>1</v>
      </c>
      <c r="E39" s="188">
        <v>3.1930000000000001</v>
      </c>
      <c r="F39" s="188">
        <f>ROUND(E39*F38,2)</f>
        <v>0</v>
      </c>
      <c r="G39" s="188"/>
      <c r="H39" s="188"/>
      <c r="I39" s="188"/>
      <c r="J39" s="188"/>
      <c r="K39" s="188"/>
      <c r="L39" s="188"/>
      <c r="M39" s="188"/>
    </row>
    <row r="40" spans="1:13">
      <c r="A40" s="187" t="s">
        <v>62</v>
      </c>
      <c r="B40" s="200"/>
      <c r="C40" s="189" t="s">
        <v>234</v>
      </c>
      <c r="D40" s="187" t="s">
        <v>376</v>
      </c>
      <c r="E40" s="188">
        <v>1.04</v>
      </c>
      <c r="F40" s="188">
        <f>ROUND(E40*F38,1)</f>
        <v>0</v>
      </c>
      <c r="G40" s="188"/>
      <c r="H40" s="188"/>
      <c r="I40" s="188"/>
      <c r="J40" s="188"/>
      <c r="K40" s="188"/>
      <c r="L40" s="188"/>
      <c r="M40" s="188"/>
    </row>
    <row r="41" spans="1:13">
      <c r="A41" s="149"/>
      <c r="B41" s="185"/>
      <c r="C41" s="164"/>
      <c r="D41" s="149"/>
      <c r="E41" s="86"/>
      <c r="F41" s="86"/>
      <c r="G41" s="86"/>
      <c r="H41" s="86"/>
      <c r="I41" s="86"/>
      <c r="J41" s="86"/>
      <c r="K41" s="86"/>
      <c r="L41" s="86"/>
      <c r="M41" s="86"/>
    </row>
    <row r="42" spans="1:13">
      <c r="A42" s="149">
        <v>1.6</v>
      </c>
      <c r="B42" s="91" t="s">
        <v>384</v>
      </c>
      <c r="C42" s="166" t="s">
        <v>385</v>
      </c>
      <c r="D42" s="149" t="s">
        <v>91</v>
      </c>
      <c r="E42" s="86"/>
      <c r="F42" s="86">
        <f>21+68</f>
        <v>89</v>
      </c>
      <c r="G42" s="86"/>
      <c r="H42" s="86"/>
      <c r="I42" s="86"/>
      <c r="J42" s="86"/>
      <c r="K42" s="86"/>
      <c r="L42" s="86"/>
      <c r="M42" s="86"/>
    </row>
    <row r="43" spans="1:13">
      <c r="A43" s="149"/>
      <c r="B43" s="91" t="s">
        <v>386</v>
      </c>
      <c r="C43" s="166"/>
      <c r="D43" s="149" t="s">
        <v>362</v>
      </c>
      <c r="E43" s="86">
        <v>2</v>
      </c>
      <c r="F43" s="86">
        <f>F42*E43</f>
        <v>178</v>
      </c>
      <c r="G43" s="86"/>
      <c r="H43" s="86"/>
      <c r="I43" s="86"/>
      <c r="J43" s="86"/>
      <c r="K43" s="86"/>
      <c r="L43" s="86"/>
      <c r="M43" s="86"/>
    </row>
    <row r="44" spans="1:13">
      <c r="A44" s="149" t="s">
        <v>59</v>
      </c>
      <c r="B44" s="91"/>
      <c r="C44" s="164" t="s">
        <v>15</v>
      </c>
      <c r="D44" s="149" t="s">
        <v>1</v>
      </c>
      <c r="E44" s="86">
        <v>2.8</v>
      </c>
      <c r="F44" s="86">
        <f>ROUND(E44*F43,2)</f>
        <v>498.4</v>
      </c>
      <c r="G44" s="86"/>
      <c r="H44" s="86"/>
      <c r="I44" s="86"/>
      <c r="J44" s="86"/>
      <c r="K44" s="86"/>
      <c r="L44" s="86"/>
      <c r="M44" s="86"/>
    </row>
    <row r="45" spans="1:13" ht="25.5">
      <c r="A45" s="149" t="s">
        <v>60</v>
      </c>
      <c r="B45" s="91" t="s">
        <v>387</v>
      </c>
      <c r="C45" s="164" t="s">
        <v>388</v>
      </c>
      <c r="D45" s="149" t="s">
        <v>91</v>
      </c>
      <c r="E45" s="86" t="s">
        <v>389</v>
      </c>
      <c r="F45" s="86">
        <f>F42</f>
        <v>89</v>
      </c>
      <c r="G45" s="86"/>
      <c r="H45" s="86"/>
      <c r="I45" s="86"/>
      <c r="J45" s="86"/>
      <c r="K45" s="86"/>
      <c r="L45" s="86"/>
      <c r="M45" s="86"/>
    </row>
    <row r="46" spans="1:13">
      <c r="A46" s="149" t="s">
        <v>208</v>
      </c>
      <c r="B46" s="91" t="s">
        <v>390</v>
      </c>
      <c r="C46" s="166" t="s">
        <v>391</v>
      </c>
      <c r="D46" s="149" t="s">
        <v>296</v>
      </c>
      <c r="E46" s="86">
        <v>1.1499999999999999</v>
      </c>
      <c r="F46" s="86">
        <f>E46*F43</f>
        <v>204.7</v>
      </c>
      <c r="G46" s="86"/>
      <c r="H46" s="86"/>
      <c r="I46" s="86"/>
      <c r="J46" s="86"/>
      <c r="K46" s="86"/>
      <c r="L46" s="86"/>
      <c r="M46" s="86"/>
    </row>
    <row r="47" spans="1:13">
      <c r="A47" s="149" t="s">
        <v>209</v>
      </c>
      <c r="B47" s="91" t="s">
        <v>392</v>
      </c>
      <c r="C47" s="166" t="s">
        <v>393</v>
      </c>
      <c r="D47" s="149" t="s">
        <v>362</v>
      </c>
      <c r="E47" s="86">
        <v>1.05</v>
      </c>
      <c r="F47" s="86">
        <f>E47*F43</f>
        <v>186.9</v>
      </c>
      <c r="G47" s="86"/>
      <c r="H47" s="86"/>
      <c r="I47" s="86"/>
      <c r="J47" s="86"/>
      <c r="K47" s="86"/>
      <c r="L47" s="86"/>
      <c r="M47" s="86"/>
    </row>
    <row r="48" spans="1:13">
      <c r="A48" s="149"/>
      <c r="B48" s="91"/>
      <c r="C48" s="166"/>
      <c r="D48" s="149"/>
      <c r="E48" s="86"/>
      <c r="F48" s="86"/>
      <c r="G48" s="86"/>
      <c r="H48" s="86"/>
      <c r="I48" s="86"/>
      <c r="J48" s="86"/>
      <c r="K48" s="86"/>
      <c r="L48" s="86"/>
      <c r="M48" s="86"/>
    </row>
    <row r="49" spans="1:13">
      <c r="A49" s="168">
        <v>1.7</v>
      </c>
      <c r="B49" s="91" t="s">
        <v>394</v>
      </c>
      <c r="C49" s="166" t="s">
        <v>395</v>
      </c>
      <c r="D49" s="149" t="s">
        <v>91</v>
      </c>
      <c r="E49" s="86"/>
      <c r="F49" s="86">
        <f>24+100</f>
        <v>124</v>
      </c>
      <c r="G49" s="86"/>
      <c r="H49" s="86"/>
      <c r="I49" s="86"/>
      <c r="J49" s="86"/>
      <c r="K49" s="86"/>
      <c r="L49" s="86"/>
      <c r="M49" s="86"/>
    </row>
    <row r="50" spans="1:13">
      <c r="A50" s="149"/>
      <c r="B50" s="91" t="s">
        <v>386</v>
      </c>
      <c r="C50" s="166"/>
      <c r="D50" s="149" t="s">
        <v>362</v>
      </c>
      <c r="E50" s="86">
        <v>1.5</v>
      </c>
      <c r="F50" s="86">
        <f>F49*E50</f>
        <v>186</v>
      </c>
      <c r="G50" s="86"/>
      <c r="H50" s="86"/>
      <c r="I50" s="86"/>
      <c r="J50" s="86"/>
      <c r="K50" s="86"/>
      <c r="L50" s="86"/>
      <c r="M50" s="86"/>
    </row>
    <row r="51" spans="1:13">
      <c r="A51" s="149" t="s">
        <v>61</v>
      </c>
      <c r="B51" s="91"/>
      <c r="C51" s="164" t="s">
        <v>15</v>
      </c>
      <c r="D51" s="149" t="s">
        <v>1</v>
      </c>
      <c r="E51" s="86">
        <v>3.1</v>
      </c>
      <c r="F51" s="86">
        <f>ROUND(E51*F50,2)</f>
        <v>576.6</v>
      </c>
      <c r="G51" s="86"/>
      <c r="H51" s="86"/>
      <c r="I51" s="86"/>
      <c r="J51" s="86"/>
      <c r="K51" s="86"/>
      <c r="L51" s="86"/>
      <c r="M51" s="86"/>
    </row>
    <row r="52" spans="1:13" ht="25.5">
      <c r="A52" s="149" t="s">
        <v>62</v>
      </c>
      <c r="B52" s="91" t="s">
        <v>396</v>
      </c>
      <c r="C52" s="164" t="s">
        <v>397</v>
      </c>
      <c r="D52" s="149" t="s">
        <v>91</v>
      </c>
      <c r="E52" s="86" t="s">
        <v>389</v>
      </c>
      <c r="F52" s="86">
        <f>F49</f>
        <v>124</v>
      </c>
      <c r="G52" s="86"/>
      <c r="H52" s="86"/>
      <c r="I52" s="86"/>
      <c r="J52" s="86"/>
      <c r="K52" s="86"/>
      <c r="L52" s="86"/>
      <c r="M52" s="86"/>
    </row>
    <row r="53" spans="1:13">
      <c r="A53" s="149" t="s">
        <v>201</v>
      </c>
      <c r="B53" s="91" t="s">
        <v>390</v>
      </c>
      <c r="C53" s="166" t="s">
        <v>391</v>
      </c>
      <c r="D53" s="149" t="s">
        <v>296</v>
      </c>
      <c r="E53" s="86">
        <v>1.1499999999999999</v>
      </c>
      <c r="F53" s="86">
        <f>E53*F50</f>
        <v>213.89999999999998</v>
      </c>
      <c r="G53" s="86"/>
      <c r="H53" s="86"/>
      <c r="I53" s="86"/>
      <c r="J53" s="86"/>
      <c r="K53" s="86"/>
      <c r="L53" s="86"/>
      <c r="M53" s="86"/>
    </row>
    <row r="54" spans="1:13">
      <c r="A54" s="149" t="s">
        <v>202</v>
      </c>
      <c r="B54" s="91" t="s">
        <v>392</v>
      </c>
      <c r="C54" s="166" t="s">
        <v>393</v>
      </c>
      <c r="D54" s="149" t="s">
        <v>362</v>
      </c>
      <c r="E54" s="86">
        <v>1.05</v>
      </c>
      <c r="F54" s="86">
        <f>E54*F50</f>
        <v>195.3</v>
      </c>
      <c r="G54" s="86"/>
      <c r="H54" s="86"/>
      <c r="I54" s="86"/>
      <c r="J54" s="86"/>
      <c r="K54" s="86"/>
      <c r="L54" s="86"/>
      <c r="M54" s="86"/>
    </row>
    <row r="55" spans="1:13">
      <c r="A55" s="149"/>
      <c r="B55" s="91"/>
      <c r="C55" s="166"/>
      <c r="D55" s="149"/>
      <c r="E55" s="86"/>
      <c r="F55" s="86"/>
      <c r="G55" s="86"/>
      <c r="H55" s="86"/>
      <c r="I55" s="86"/>
      <c r="J55" s="86"/>
      <c r="K55" s="86"/>
      <c r="L55" s="86"/>
      <c r="M55" s="86"/>
    </row>
    <row r="56" spans="1:13" ht="25.5">
      <c r="A56" s="149">
        <v>1.8</v>
      </c>
      <c r="B56" s="185" t="s">
        <v>516</v>
      </c>
      <c r="C56" s="164" t="s">
        <v>340</v>
      </c>
      <c r="D56" s="149" t="s">
        <v>362</v>
      </c>
      <c r="E56" s="86"/>
      <c r="F56" s="86">
        <f>25.5+92</f>
        <v>117.5</v>
      </c>
      <c r="G56" s="86"/>
      <c r="H56" s="86"/>
      <c r="I56" s="86"/>
      <c r="J56" s="86"/>
      <c r="K56" s="86"/>
      <c r="L56" s="86"/>
      <c r="M56" s="86"/>
    </row>
    <row r="57" spans="1:13">
      <c r="A57" s="149"/>
      <c r="B57" s="185"/>
      <c r="C57" s="164"/>
      <c r="D57" s="149" t="s">
        <v>381</v>
      </c>
      <c r="E57" s="86"/>
      <c r="F57" s="165">
        <f>F56/100</f>
        <v>1.175</v>
      </c>
      <c r="G57" s="86"/>
      <c r="H57" s="86"/>
      <c r="I57" s="86"/>
      <c r="J57" s="86"/>
      <c r="K57" s="86"/>
      <c r="L57" s="86"/>
      <c r="M57" s="86"/>
    </row>
    <row r="58" spans="1:13">
      <c r="A58" s="149" t="s">
        <v>63</v>
      </c>
      <c r="B58" s="185"/>
      <c r="C58" s="164" t="s">
        <v>15</v>
      </c>
      <c r="D58" s="149" t="s">
        <v>1</v>
      </c>
      <c r="E58" s="86">
        <v>99.3</v>
      </c>
      <c r="F58" s="86">
        <f>ROUND(E58*F57,2)</f>
        <v>116.68</v>
      </c>
      <c r="G58" s="86"/>
      <c r="H58" s="86"/>
      <c r="I58" s="86"/>
      <c r="J58" s="86"/>
      <c r="K58" s="86"/>
      <c r="L58" s="86"/>
      <c r="M58" s="86"/>
    </row>
    <row r="59" spans="1:13">
      <c r="A59" s="149"/>
      <c r="B59" s="185"/>
      <c r="C59" s="164"/>
      <c r="D59" s="149"/>
      <c r="E59" s="86"/>
      <c r="F59" s="86"/>
      <c r="G59" s="86"/>
      <c r="H59" s="86"/>
      <c r="I59" s="86"/>
      <c r="J59" s="86"/>
      <c r="K59" s="86"/>
      <c r="L59" s="86"/>
      <c r="M59" s="86"/>
    </row>
    <row r="60" spans="1:13">
      <c r="A60" s="137"/>
      <c r="B60" s="91"/>
      <c r="C60" s="137" t="s">
        <v>4</v>
      </c>
      <c r="D60" s="137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>
      <c r="A61" s="137"/>
      <c r="B61" s="91"/>
      <c r="C61" s="149"/>
      <c r="D61" s="149"/>
      <c r="E61" s="86"/>
      <c r="F61" s="86"/>
      <c r="G61" s="86"/>
      <c r="H61" s="86"/>
      <c r="I61" s="86"/>
      <c r="J61" s="86"/>
      <c r="K61" s="86"/>
      <c r="L61" s="86"/>
      <c r="M61" s="86"/>
    </row>
    <row r="62" spans="1:13">
      <c r="A62" s="137"/>
      <c r="B62" s="91"/>
      <c r="C62" s="149" t="s">
        <v>10</v>
      </c>
      <c r="D62" s="154">
        <v>0.1</v>
      </c>
      <c r="E62" s="86"/>
      <c r="F62" s="86"/>
      <c r="G62" s="86"/>
      <c r="H62" s="86"/>
      <c r="I62" s="86"/>
      <c r="J62" s="86"/>
      <c r="K62" s="86"/>
      <c r="L62" s="86"/>
      <c r="M62" s="86"/>
    </row>
    <row r="63" spans="1:13">
      <c r="A63" s="137"/>
      <c r="B63" s="91"/>
      <c r="C63" s="149" t="s">
        <v>4</v>
      </c>
      <c r="D63" s="154"/>
      <c r="E63" s="86"/>
      <c r="F63" s="86"/>
      <c r="G63" s="86"/>
      <c r="H63" s="86"/>
      <c r="I63" s="86"/>
      <c r="J63" s="86"/>
      <c r="K63" s="86"/>
      <c r="L63" s="86"/>
      <c r="M63" s="86"/>
    </row>
    <row r="64" spans="1:13">
      <c r="A64" s="137"/>
      <c r="B64" s="91"/>
      <c r="C64" s="149" t="s">
        <v>11</v>
      </c>
      <c r="D64" s="154">
        <v>0.08</v>
      </c>
      <c r="E64" s="86"/>
      <c r="F64" s="86"/>
      <c r="G64" s="86"/>
      <c r="H64" s="86"/>
      <c r="I64" s="86"/>
      <c r="J64" s="86"/>
      <c r="K64" s="86"/>
      <c r="L64" s="86"/>
      <c r="M64" s="86"/>
    </row>
    <row r="65" spans="1:13">
      <c r="A65" s="196"/>
      <c r="B65" s="149"/>
      <c r="C65" s="149"/>
      <c r="D65" s="154"/>
      <c r="E65" s="86"/>
      <c r="F65" s="86"/>
      <c r="G65" s="86"/>
      <c r="H65" s="86"/>
      <c r="I65" s="86"/>
      <c r="J65" s="86"/>
      <c r="K65" s="86"/>
      <c r="L65" s="86"/>
      <c r="M65" s="86"/>
    </row>
    <row r="66" spans="1:13">
      <c r="A66" s="196"/>
      <c r="B66" s="149"/>
      <c r="C66" s="137" t="s">
        <v>4</v>
      </c>
      <c r="D66" s="137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1:13">
      <c r="A67" s="155"/>
      <c r="B67" s="157"/>
      <c r="D67" s="157"/>
      <c r="E67" s="157"/>
      <c r="F67" s="157"/>
      <c r="G67" s="157"/>
      <c r="H67" s="157"/>
      <c r="I67" s="157"/>
      <c r="J67" s="157"/>
      <c r="K67" s="157"/>
      <c r="L67" s="157"/>
      <c r="M67" s="158"/>
    </row>
    <row r="68" spans="1:13">
      <c r="A68" s="155"/>
      <c r="B68" s="157"/>
      <c r="D68" s="157"/>
      <c r="E68" s="157"/>
      <c r="F68" s="157"/>
      <c r="G68" s="157"/>
      <c r="H68" s="157"/>
      <c r="I68" s="157"/>
      <c r="J68" s="157"/>
      <c r="K68" s="157"/>
      <c r="L68" s="157"/>
      <c r="M68" s="158"/>
    </row>
    <row r="69" spans="1:13">
      <c r="A69" s="155"/>
      <c r="B69" s="157"/>
      <c r="D69" s="157"/>
      <c r="E69" s="157"/>
      <c r="F69" s="157"/>
      <c r="G69" s="157"/>
      <c r="H69" s="157"/>
      <c r="I69" s="157"/>
      <c r="J69" s="157"/>
      <c r="K69" s="157"/>
      <c r="L69" s="157"/>
      <c r="M69" s="158"/>
    </row>
    <row r="70" spans="1:13">
      <c r="A70" s="155"/>
      <c r="B70" s="157"/>
      <c r="D70" s="157"/>
      <c r="E70" s="157"/>
      <c r="F70" s="157"/>
      <c r="G70" s="157"/>
      <c r="H70" s="157"/>
      <c r="I70" s="157"/>
      <c r="J70" s="157"/>
      <c r="K70" s="157"/>
      <c r="L70" s="157"/>
      <c r="M70" s="158"/>
    </row>
    <row r="71" spans="1:13">
      <c r="A71" s="155"/>
      <c r="B71" s="157"/>
      <c r="D71" s="157"/>
      <c r="E71" s="157"/>
      <c r="F71" s="157"/>
      <c r="G71" s="157"/>
      <c r="H71" s="157"/>
      <c r="I71" s="157"/>
      <c r="J71" s="157"/>
      <c r="K71" s="157"/>
      <c r="L71" s="157"/>
      <c r="M71" s="158"/>
    </row>
    <row r="72" spans="1:13">
      <c r="B72" s="157"/>
      <c r="D72" s="157"/>
      <c r="E72" s="157"/>
      <c r="F72" s="157"/>
      <c r="G72" s="157"/>
      <c r="H72" s="157"/>
      <c r="I72" s="157"/>
      <c r="J72" s="157"/>
      <c r="K72" s="157"/>
      <c r="L72" s="157"/>
      <c r="M72" s="158"/>
    </row>
    <row r="73" spans="1:13">
      <c r="B73" s="157"/>
      <c r="D73" s="157"/>
      <c r="E73" s="157"/>
      <c r="F73" s="157"/>
      <c r="G73" s="157"/>
      <c r="H73" s="157"/>
      <c r="I73" s="157"/>
      <c r="J73" s="157"/>
      <c r="K73" s="157"/>
      <c r="L73" s="157"/>
      <c r="M73" s="158"/>
    </row>
    <row r="74" spans="1:13">
      <c r="B74" s="157"/>
      <c r="D74" s="157"/>
      <c r="E74" s="157"/>
      <c r="F74" s="157"/>
      <c r="G74" s="157"/>
      <c r="H74" s="157"/>
      <c r="I74" s="157"/>
      <c r="J74" s="157"/>
      <c r="K74" s="157"/>
      <c r="L74" s="157"/>
      <c r="M74" s="158"/>
    </row>
    <row r="75" spans="1:13">
      <c r="B75" s="157"/>
      <c r="D75" s="157"/>
      <c r="E75" s="157"/>
      <c r="F75" s="157"/>
      <c r="G75" s="157"/>
      <c r="H75" s="157"/>
      <c r="I75" s="157"/>
      <c r="J75" s="157"/>
      <c r="K75" s="157"/>
      <c r="L75" s="157"/>
      <c r="M75" s="158"/>
    </row>
    <row r="76" spans="1:13">
      <c r="B76" s="157"/>
      <c r="D76" s="157"/>
      <c r="E76" s="157"/>
      <c r="F76" s="157"/>
      <c r="G76" s="157"/>
      <c r="H76" s="157"/>
      <c r="I76" s="157"/>
      <c r="J76" s="157"/>
      <c r="K76" s="157"/>
      <c r="L76" s="157"/>
      <c r="M76" s="158"/>
    </row>
    <row r="77" spans="1:13">
      <c r="B77" s="157"/>
      <c r="D77" s="157"/>
      <c r="E77" s="157"/>
      <c r="F77" s="157"/>
      <c r="G77" s="157"/>
      <c r="H77" s="157"/>
      <c r="I77" s="157"/>
      <c r="J77" s="157"/>
      <c r="K77" s="157"/>
      <c r="L77" s="157"/>
      <c r="M77" s="158"/>
    </row>
    <row r="78" spans="1:13">
      <c r="B78" s="157"/>
      <c r="D78" s="157"/>
      <c r="E78" s="157"/>
      <c r="F78" s="157"/>
      <c r="G78" s="157"/>
      <c r="H78" s="157"/>
      <c r="I78" s="157"/>
      <c r="J78" s="157"/>
      <c r="K78" s="157"/>
      <c r="L78" s="157"/>
      <c r="M78" s="158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Normal="60" zoomScaleSheetLayoutView="100" workbookViewId="0">
      <selection activeCell="K16" sqref="K16"/>
    </sheetView>
  </sheetViews>
  <sheetFormatPr defaultRowHeight="12.75"/>
  <cols>
    <col min="1" max="1" width="5.28515625" style="160" bestFit="1" customWidth="1"/>
    <col min="2" max="2" width="13.28515625" style="160" customWidth="1"/>
    <col min="3" max="3" width="50.28515625" style="160" customWidth="1"/>
    <col min="4" max="4" width="9.28515625" style="160" customWidth="1"/>
    <col min="5" max="12" width="10.28515625" style="160" customWidth="1"/>
    <col min="13" max="13" width="10.28515625" style="161" customWidth="1"/>
    <col min="14" max="16" width="20.7109375" style="99" customWidth="1"/>
    <col min="17" max="16384" width="9.140625" style="99"/>
  </cols>
  <sheetData>
    <row r="1" spans="1:13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2"/>
    </row>
    <row r="2" spans="1:13" s="109" customFormat="1">
      <c r="A2" s="212" t="s">
        <v>295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s="109" customForma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100" customFormat="1" ht="27.75" customHeight="1">
      <c r="A4" s="210" t="s">
        <v>353</v>
      </c>
      <c r="B4" s="211" t="s">
        <v>354</v>
      </c>
      <c r="C4" s="211" t="s">
        <v>355</v>
      </c>
      <c r="D4" s="211" t="s">
        <v>356</v>
      </c>
      <c r="E4" s="210" t="s">
        <v>357</v>
      </c>
      <c r="F4" s="210"/>
      <c r="G4" s="211" t="s">
        <v>358</v>
      </c>
      <c r="H4" s="211"/>
      <c r="I4" s="211" t="s">
        <v>6</v>
      </c>
      <c r="J4" s="211"/>
      <c r="K4" s="210" t="s">
        <v>359</v>
      </c>
      <c r="L4" s="210"/>
      <c r="M4" s="210" t="s">
        <v>4</v>
      </c>
    </row>
    <row r="5" spans="1:13" s="100" customFormat="1">
      <c r="A5" s="210"/>
      <c r="B5" s="211"/>
      <c r="C5" s="211"/>
      <c r="D5" s="211"/>
      <c r="E5" s="137" t="s">
        <v>360</v>
      </c>
      <c r="F5" s="137" t="s">
        <v>253</v>
      </c>
      <c r="G5" s="137" t="s">
        <v>360</v>
      </c>
      <c r="H5" s="137" t="s">
        <v>253</v>
      </c>
      <c r="I5" s="137" t="s">
        <v>360</v>
      </c>
      <c r="J5" s="137" t="s">
        <v>253</v>
      </c>
      <c r="K5" s="137" t="s">
        <v>360</v>
      </c>
      <c r="L5" s="137" t="s">
        <v>253</v>
      </c>
      <c r="M5" s="210"/>
    </row>
    <row r="6" spans="1:13" s="100" customFormat="1">
      <c r="A6" s="137">
        <v>1</v>
      </c>
      <c r="B6" s="137">
        <v>2</v>
      </c>
      <c r="C6" s="136">
        <v>3</v>
      </c>
      <c r="D6" s="137">
        <v>4</v>
      </c>
      <c r="E6" s="137">
        <v>5</v>
      </c>
      <c r="F6" s="137">
        <v>6</v>
      </c>
      <c r="G6" s="137">
        <v>7</v>
      </c>
      <c r="H6" s="74">
        <v>8</v>
      </c>
      <c r="I6" s="137">
        <v>9</v>
      </c>
      <c r="J6" s="74">
        <v>10</v>
      </c>
      <c r="K6" s="137">
        <v>11</v>
      </c>
      <c r="L6" s="74">
        <v>12</v>
      </c>
      <c r="M6" s="74">
        <v>13</v>
      </c>
    </row>
    <row r="7" spans="1:13" s="100" customFormat="1">
      <c r="A7" s="137"/>
      <c r="B7" s="137"/>
      <c r="C7" s="137"/>
      <c r="D7" s="137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100" customFormat="1">
      <c r="A8" s="137"/>
      <c r="B8" s="149"/>
      <c r="C8" s="136" t="s">
        <v>345</v>
      </c>
      <c r="D8" s="149"/>
      <c r="E8" s="86"/>
      <c r="F8" s="86"/>
      <c r="G8" s="86"/>
      <c r="H8" s="86"/>
      <c r="I8" s="86"/>
      <c r="J8" s="86"/>
      <c r="K8" s="86"/>
      <c r="L8" s="86"/>
      <c r="M8" s="86"/>
    </row>
    <row r="9" spans="1:13">
      <c r="A9" s="137"/>
      <c r="B9" s="149"/>
      <c r="C9" s="136"/>
      <c r="D9" s="149"/>
      <c r="E9" s="86"/>
      <c r="F9" s="86"/>
      <c r="G9" s="86"/>
      <c r="H9" s="86"/>
      <c r="I9" s="86"/>
      <c r="J9" s="86"/>
      <c r="K9" s="86"/>
      <c r="L9" s="86"/>
      <c r="M9" s="86"/>
    </row>
    <row r="10" spans="1:13">
      <c r="A10" s="149">
        <v>1.1000000000000001</v>
      </c>
      <c r="B10" s="91" t="s">
        <v>451</v>
      </c>
      <c r="C10" s="164" t="s">
        <v>269</v>
      </c>
      <c r="D10" s="149" t="s">
        <v>362</v>
      </c>
      <c r="E10" s="86"/>
      <c r="F10" s="86">
        <v>199</v>
      </c>
      <c r="G10" s="86"/>
      <c r="H10" s="86"/>
      <c r="I10" s="86"/>
      <c r="J10" s="86"/>
      <c r="K10" s="86"/>
      <c r="L10" s="86"/>
      <c r="M10" s="86"/>
    </row>
    <row r="11" spans="1:13">
      <c r="A11" s="149"/>
      <c r="B11" s="91"/>
      <c r="C11" s="166"/>
      <c r="D11" s="149" t="s">
        <v>381</v>
      </c>
      <c r="E11" s="86"/>
      <c r="F11" s="86">
        <f>F10/100</f>
        <v>1.99</v>
      </c>
      <c r="G11" s="86"/>
      <c r="H11" s="86"/>
      <c r="I11" s="86"/>
      <c r="J11" s="86"/>
      <c r="K11" s="86"/>
      <c r="L11" s="86"/>
      <c r="M11" s="86"/>
    </row>
    <row r="12" spans="1:13">
      <c r="A12" s="149" t="s">
        <v>0</v>
      </c>
      <c r="B12" s="91"/>
      <c r="C12" s="166" t="s">
        <v>15</v>
      </c>
      <c r="D12" s="149" t="s">
        <v>1</v>
      </c>
      <c r="E12" s="86">
        <v>15</v>
      </c>
      <c r="F12" s="86">
        <f>E12*F11</f>
        <v>29.85</v>
      </c>
      <c r="G12" s="86"/>
      <c r="H12" s="86"/>
      <c r="I12" s="86"/>
      <c r="J12" s="86"/>
      <c r="K12" s="86"/>
      <c r="L12" s="86"/>
      <c r="M12" s="86"/>
    </row>
    <row r="13" spans="1:13">
      <c r="A13" s="149" t="s">
        <v>192</v>
      </c>
      <c r="B13" s="91" t="s">
        <v>375</v>
      </c>
      <c r="C13" s="166" t="s">
        <v>72</v>
      </c>
      <c r="D13" s="149" t="s">
        <v>24</v>
      </c>
      <c r="E13" s="86">
        <v>2.16</v>
      </c>
      <c r="F13" s="86">
        <f>E13*F11</f>
        <v>4.2984</v>
      </c>
      <c r="G13" s="86"/>
      <c r="H13" s="86"/>
      <c r="I13" s="86"/>
      <c r="J13" s="86"/>
      <c r="K13" s="86"/>
      <c r="L13" s="86"/>
      <c r="M13" s="86"/>
    </row>
    <row r="14" spans="1:13">
      <c r="A14" s="149" t="s">
        <v>193</v>
      </c>
      <c r="B14" s="91" t="s">
        <v>452</v>
      </c>
      <c r="C14" s="166" t="s">
        <v>86</v>
      </c>
      <c r="D14" s="149" t="s">
        <v>24</v>
      </c>
      <c r="E14" s="86">
        <v>2.73</v>
      </c>
      <c r="F14" s="86">
        <f>E14*F11</f>
        <v>5.4326999999999996</v>
      </c>
      <c r="G14" s="86"/>
      <c r="H14" s="86"/>
      <c r="I14" s="86"/>
      <c r="J14" s="86"/>
      <c r="K14" s="86"/>
      <c r="L14" s="86"/>
      <c r="M14" s="86"/>
    </row>
    <row r="15" spans="1:13">
      <c r="A15" s="149" t="s">
        <v>194</v>
      </c>
      <c r="B15" s="91" t="s">
        <v>453</v>
      </c>
      <c r="C15" s="166" t="s">
        <v>73</v>
      </c>
      <c r="D15" s="149" t="s">
        <v>24</v>
      </c>
      <c r="E15" s="86">
        <v>0.97</v>
      </c>
      <c r="F15" s="86">
        <f>E15*F11</f>
        <v>1.9302999999999999</v>
      </c>
      <c r="G15" s="86"/>
      <c r="H15" s="86"/>
      <c r="I15" s="86"/>
      <c r="J15" s="86"/>
      <c r="K15" s="86"/>
      <c r="L15" s="86"/>
      <c r="M15" s="86"/>
    </row>
    <row r="16" spans="1:13">
      <c r="A16" s="149" t="s">
        <v>199</v>
      </c>
      <c r="B16" s="91"/>
      <c r="C16" s="166" t="s">
        <v>74</v>
      </c>
      <c r="D16" s="149" t="s">
        <v>362</v>
      </c>
      <c r="E16" s="86">
        <v>7</v>
      </c>
      <c r="F16" s="86">
        <f>E16*F11</f>
        <v>13.93</v>
      </c>
      <c r="G16" s="86"/>
      <c r="H16" s="86"/>
      <c r="I16" s="86"/>
      <c r="J16" s="86"/>
      <c r="K16" s="86"/>
      <c r="L16" s="86"/>
      <c r="M16" s="86"/>
    </row>
    <row r="17" spans="1:13">
      <c r="A17" s="149" t="s">
        <v>200</v>
      </c>
      <c r="B17" s="91" t="s">
        <v>409</v>
      </c>
      <c r="C17" s="166" t="s">
        <v>154</v>
      </c>
      <c r="D17" s="149" t="s">
        <v>362</v>
      </c>
      <c r="E17" s="86">
        <v>122</v>
      </c>
      <c r="F17" s="86">
        <f>E17*F11</f>
        <v>242.78</v>
      </c>
      <c r="G17" s="86"/>
      <c r="H17" s="86"/>
      <c r="I17" s="86"/>
      <c r="J17" s="86"/>
      <c r="K17" s="86"/>
      <c r="L17" s="86"/>
      <c r="M17" s="86"/>
    </row>
    <row r="18" spans="1:13">
      <c r="A18" s="149"/>
      <c r="B18" s="91"/>
      <c r="C18" s="164"/>
      <c r="D18" s="149"/>
      <c r="E18" s="86"/>
      <c r="F18" s="86"/>
      <c r="G18" s="86"/>
      <c r="H18" s="86"/>
      <c r="I18" s="86"/>
      <c r="J18" s="86"/>
      <c r="K18" s="86"/>
      <c r="L18" s="86"/>
      <c r="M18" s="86"/>
    </row>
    <row r="19" spans="1:13">
      <c r="A19" s="149">
        <v>1.2</v>
      </c>
      <c r="B19" s="91" t="s">
        <v>454</v>
      </c>
      <c r="C19" s="166" t="s">
        <v>342</v>
      </c>
      <c r="D19" s="149" t="s">
        <v>98</v>
      </c>
      <c r="E19" s="86"/>
      <c r="F19" s="86">
        <v>294</v>
      </c>
      <c r="G19" s="86"/>
      <c r="H19" s="86"/>
      <c r="I19" s="86"/>
      <c r="J19" s="86"/>
      <c r="K19" s="86"/>
      <c r="L19" s="86"/>
      <c r="M19" s="86"/>
    </row>
    <row r="20" spans="1:13">
      <c r="A20" s="149"/>
      <c r="B20" s="91"/>
      <c r="C20" s="166"/>
      <c r="D20" s="149" t="s">
        <v>381</v>
      </c>
      <c r="E20" s="86">
        <v>0.11</v>
      </c>
      <c r="F20" s="165">
        <f>F19*E20/100</f>
        <v>0.32340000000000002</v>
      </c>
      <c r="G20" s="86"/>
      <c r="H20" s="86"/>
      <c r="I20" s="86"/>
      <c r="J20" s="86"/>
      <c r="K20" s="86"/>
      <c r="L20" s="86"/>
      <c r="M20" s="86"/>
    </row>
    <row r="21" spans="1:13">
      <c r="A21" s="149" t="s">
        <v>21</v>
      </c>
      <c r="B21" s="91"/>
      <c r="C21" s="166" t="s">
        <v>15</v>
      </c>
      <c r="D21" s="149" t="s">
        <v>1</v>
      </c>
      <c r="E21" s="86">
        <v>854</v>
      </c>
      <c r="F21" s="86">
        <f>E21*F20</f>
        <v>276.18360000000001</v>
      </c>
      <c r="G21" s="86"/>
      <c r="H21" s="86"/>
      <c r="I21" s="86"/>
      <c r="J21" s="86"/>
      <c r="K21" s="86"/>
      <c r="L21" s="86"/>
      <c r="M21" s="86"/>
    </row>
    <row r="22" spans="1:13">
      <c r="A22" s="149" t="s">
        <v>35</v>
      </c>
      <c r="B22" s="91"/>
      <c r="C22" s="166" t="s">
        <v>13</v>
      </c>
      <c r="D22" s="149" t="s">
        <v>25</v>
      </c>
      <c r="E22" s="86">
        <v>106</v>
      </c>
      <c r="F22" s="86">
        <f>E22*F20</f>
        <v>34.2804</v>
      </c>
      <c r="G22" s="86"/>
      <c r="H22" s="86"/>
      <c r="I22" s="86"/>
      <c r="J22" s="86"/>
      <c r="K22" s="86"/>
      <c r="L22" s="86"/>
      <c r="M22" s="86"/>
    </row>
    <row r="23" spans="1:13">
      <c r="A23" s="149" t="s">
        <v>36</v>
      </c>
      <c r="B23" s="91" t="s">
        <v>455</v>
      </c>
      <c r="C23" s="166" t="s">
        <v>109</v>
      </c>
      <c r="D23" s="149" t="s">
        <v>362</v>
      </c>
      <c r="E23" s="86">
        <v>101.5</v>
      </c>
      <c r="F23" s="86">
        <f>E23*F20</f>
        <v>32.825099999999999</v>
      </c>
      <c r="G23" s="86"/>
      <c r="H23" s="86"/>
      <c r="I23" s="86"/>
      <c r="J23" s="86"/>
      <c r="K23" s="86"/>
      <c r="L23" s="86"/>
      <c r="M23" s="86"/>
    </row>
    <row r="24" spans="1:13">
      <c r="A24" s="149" t="s">
        <v>37</v>
      </c>
      <c r="B24" s="91" t="s">
        <v>416</v>
      </c>
      <c r="C24" s="166" t="s">
        <v>417</v>
      </c>
      <c r="D24" s="149" t="s">
        <v>23</v>
      </c>
      <c r="E24" s="86">
        <v>0.33</v>
      </c>
      <c r="F24" s="165">
        <f>F19*E24/1000</f>
        <v>9.7020000000000009E-2</v>
      </c>
      <c r="G24" s="86"/>
      <c r="H24" s="86"/>
      <c r="I24" s="86"/>
      <c r="J24" s="86"/>
      <c r="K24" s="86"/>
      <c r="L24" s="86"/>
      <c r="M24" s="86"/>
    </row>
    <row r="25" spans="1:13">
      <c r="A25" s="149" t="s">
        <v>38</v>
      </c>
      <c r="B25" s="91" t="s">
        <v>418</v>
      </c>
      <c r="C25" s="166" t="s">
        <v>126</v>
      </c>
      <c r="D25" s="149" t="s">
        <v>23</v>
      </c>
      <c r="E25" s="86">
        <v>5.33</v>
      </c>
      <c r="F25" s="165">
        <f>F19*E25/1000</f>
        <v>1.5670200000000001</v>
      </c>
      <c r="G25" s="86"/>
      <c r="H25" s="86"/>
      <c r="I25" s="86"/>
      <c r="J25" s="86"/>
      <c r="K25" s="86"/>
      <c r="L25" s="86"/>
      <c r="M25" s="86"/>
    </row>
    <row r="26" spans="1:13">
      <c r="A26" s="149" t="s">
        <v>39</v>
      </c>
      <c r="B26" s="185" t="s">
        <v>419</v>
      </c>
      <c r="C26" s="164" t="s">
        <v>420</v>
      </c>
      <c r="D26" s="149" t="s">
        <v>373</v>
      </c>
      <c r="E26" s="86">
        <v>140</v>
      </c>
      <c r="F26" s="86">
        <f>E26*F20</f>
        <v>45.276000000000003</v>
      </c>
      <c r="G26" s="86"/>
      <c r="H26" s="86"/>
      <c r="I26" s="86"/>
      <c r="J26" s="86"/>
      <c r="K26" s="86"/>
      <c r="L26" s="86"/>
      <c r="M26" s="86"/>
    </row>
    <row r="27" spans="1:13">
      <c r="A27" s="149" t="s">
        <v>228</v>
      </c>
      <c r="B27" s="185" t="s">
        <v>421</v>
      </c>
      <c r="C27" s="164" t="s">
        <v>90</v>
      </c>
      <c r="D27" s="149" t="s">
        <v>362</v>
      </c>
      <c r="E27" s="86">
        <v>1.45</v>
      </c>
      <c r="F27" s="86">
        <f>E27*F20</f>
        <v>0.46893000000000001</v>
      </c>
      <c r="G27" s="86"/>
      <c r="H27" s="86"/>
      <c r="I27" s="86"/>
      <c r="J27" s="86"/>
      <c r="K27" s="86"/>
      <c r="L27" s="86"/>
      <c r="M27" s="86"/>
    </row>
    <row r="28" spans="1:13">
      <c r="A28" s="149" t="s">
        <v>465</v>
      </c>
      <c r="B28" s="185" t="s">
        <v>424</v>
      </c>
      <c r="C28" s="164" t="s">
        <v>425</v>
      </c>
      <c r="D28" s="149" t="s">
        <v>296</v>
      </c>
      <c r="E28" s="86">
        <v>250</v>
      </c>
      <c r="F28" s="86">
        <f>E28*F20</f>
        <v>80.850000000000009</v>
      </c>
      <c r="G28" s="86"/>
      <c r="H28" s="86"/>
      <c r="I28" s="86"/>
      <c r="J28" s="86"/>
      <c r="K28" s="86"/>
      <c r="L28" s="86"/>
      <c r="M28" s="86"/>
    </row>
    <row r="29" spans="1:13">
      <c r="A29" s="149" t="s">
        <v>466</v>
      </c>
      <c r="B29" s="91"/>
      <c r="C29" s="166" t="s">
        <v>14</v>
      </c>
      <c r="D29" s="149" t="s">
        <v>25</v>
      </c>
      <c r="E29" s="86">
        <v>74</v>
      </c>
      <c r="F29" s="86">
        <f>E29*F20</f>
        <v>23.931600000000003</v>
      </c>
      <c r="G29" s="86"/>
      <c r="H29" s="86"/>
      <c r="I29" s="86"/>
      <c r="J29" s="86"/>
      <c r="K29" s="86"/>
      <c r="L29" s="86"/>
      <c r="M29" s="86"/>
    </row>
    <row r="30" spans="1:13">
      <c r="A30" s="149"/>
      <c r="B30" s="185"/>
      <c r="C30" s="164"/>
      <c r="D30" s="149"/>
      <c r="E30" s="86"/>
      <c r="F30" s="86"/>
      <c r="G30" s="86"/>
      <c r="H30" s="86"/>
      <c r="I30" s="86"/>
      <c r="J30" s="86"/>
      <c r="K30" s="86"/>
      <c r="L30" s="86"/>
      <c r="M30" s="86"/>
    </row>
    <row r="31" spans="1:13">
      <c r="A31" s="149">
        <v>1.3</v>
      </c>
      <c r="B31" s="200" t="s">
        <v>456</v>
      </c>
      <c r="C31" s="189" t="s">
        <v>343</v>
      </c>
      <c r="D31" s="187" t="s">
        <v>94</v>
      </c>
      <c r="E31" s="188"/>
      <c r="F31" s="188">
        <v>0</v>
      </c>
      <c r="G31" s="188"/>
      <c r="H31" s="188"/>
      <c r="I31" s="188"/>
      <c r="J31" s="188"/>
      <c r="K31" s="188"/>
      <c r="L31" s="188"/>
      <c r="M31" s="188"/>
    </row>
    <row r="32" spans="1:13">
      <c r="A32" s="149" t="s">
        <v>30</v>
      </c>
      <c r="B32" s="200"/>
      <c r="C32" s="189" t="s">
        <v>15</v>
      </c>
      <c r="D32" s="187" t="s">
        <v>1</v>
      </c>
      <c r="E32" s="188">
        <v>74</v>
      </c>
      <c r="F32" s="188">
        <f>ROUND(E32*F31,2)</f>
        <v>0</v>
      </c>
      <c r="G32" s="188"/>
      <c r="H32" s="188"/>
      <c r="I32" s="188"/>
      <c r="J32" s="188"/>
      <c r="K32" s="188"/>
      <c r="L32" s="188"/>
      <c r="M32" s="188"/>
    </row>
    <row r="33" spans="1:13">
      <c r="A33" s="149" t="s">
        <v>45</v>
      </c>
      <c r="B33" s="200"/>
      <c r="C33" s="189" t="s">
        <v>13</v>
      </c>
      <c r="D33" s="187" t="s">
        <v>24</v>
      </c>
      <c r="E33" s="188">
        <v>0.71</v>
      </c>
      <c r="F33" s="188">
        <f>ROUND(E33*F31,1)</f>
        <v>0</v>
      </c>
      <c r="G33" s="188"/>
      <c r="H33" s="188"/>
      <c r="I33" s="188"/>
      <c r="J33" s="188"/>
      <c r="K33" s="188"/>
      <c r="L33" s="188"/>
      <c r="M33" s="188"/>
    </row>
    <row r="34" spans="1:13">
      <c r="A34" s="149" t="s">
        <v>46</v>
      </c>
      <c r="B34" s="200"/>
      <c r="C34" s="189" t="s">
        <v>259</v>
      </c>
      <c r="D34" s="187" t="s">
        <v>376</v>
      </c>
      <c r="E34" s="188">
        <v>5.9</v>
      </c>
      <c r="F34" s="188">
        <f>ROUND(E34*F31,2)</f>
        <v>0</v>
      </c>
      <c r="G34" s="188"/>
      <c r="H34" s="188"/>
      <c r="I34" s="188"/>
      <c r="J34" s="188"/>
      <c r="K34" s="188"/>
      <c r="L34" s="188"/>
      <c r="M34" s="188"/>
    </row>
    <row r="35" spans="1:13">
      <c r="A35" s="149" t="s">
        <v>47</v>
      </c>
      <c r="B35" s="200"/>
      <c r="C35" s="186" t="s">
        <v>14</v>
      </c>
      <c r="D35" s="187" t="s">
        <v>25</v>
      </c>
      <c r="E35" s="188">
        <v>9.6</v>
      </c>
      <c r="F35" s="188">
        <f>ROUND(E35*F31,1)</f>
        <v>0</v>
      </c>
      <c r="G35" s="188"/>
      <c r="H35" s="188"/>
      <c r="I35" s="188"/>
      <c r="J35" s="188"/>
      <c r="K35" s="188"/>
      <c r="L35" s="188"/>
      <c r="M35" s="188"/>
    </row>
    <row r="36" spans="1:13">
      <c r="A36" s="149"/>
      <c r="B36" s="185"/>
      <c r="C36" s="166"/>
      <c r="D36" s="149"/>
      <c r="E36" s="86"/>
      <c r="F36" s="86"/>
      <c r="G36" s="86"/>
      <c r="H36" s="86"/>
      <c r="I36" s="86"/>
      <c r="J36" s="86"/>
      <c r="K36" s="86"/>
      <c r="L36" s="86"/>
      <c r="M36" s="86"/>
    </row>
    <row r="37" spans="1:13">
      <c r="A37" s="149">
        <v>1.4</v>
      </c>
      <c r="B37" s="91" t="s">
        <v>454</v>
      </c>
      <c r="C37" s="166" t="s">
        <v>260</v>
      </c>
      <c r="D37" s="149" t="s">
        <v>98</v>
      </c>
      <c r="E37" s="86"/>
      <c r="F37" s="86">
        <v>690</v>
      </c>
      <c r="G37" s="86"/>
      <c r="H37" s="86"/>
      <c r="I37" s="86"/>
      <c r="J37" s="86"/>
      <c r="K37" s="86"/>
      <c r="L37" s="86"/>
      <c r="M37" s="86"/>
    </row>
    <row r="38" spans="1:13">
      <c r="A38" s="149"/>
      <c r="B38" s="91"/>
      <c r="C38" s="166"/>
      <c r="D38" s="149" t="s">
        <v>381</v>
      </c>
      <c r="E38" s="86">
        <v>0.04</v>
      </c>
      <c r="F38" s="165">
        <f>F37*E38/100</f>
        <v>0.27600000000000002</v>
      </c>
      <c r="G38" s="86"/>
      <c r="H38" s="86"/>
      <c r="I38" s="86"/>
      <c r="J38" s="86"/>
      <c r="K38" s="86"/>
      <c r="L38" s="86"/>
      <c r="M38" s="86"/>
    </row>
    <row r="39" spans="1:13">
      <c r="A39" s="149" t="s">
        <v>22</v>
      </c>
      <c r="B39" s="91"/>
      <c r="C39" s="166" t="s">
        <v>15</v>
      </c>
      <c r="D39" s="149" t="s">
        <v>1</v>
      </c>
      <c r="E39" s="86">
        <v>854</v>
      </c>
      <c r="F39" s="86">
        <f>E39*F38</f>
        <v>235.70400000000001</v>
      </c>
      <c r="G39" s="86"/>
      <c r="H39" s="86"/>
      <c r="I39" s="86"/>
      <c r="J39" s="86"/>
      <c r="K39" s="86"/>
      <c r="L39" s="86"/>
      <c r="M39" s="86"/>
    </row>
    <row r="40" spans="1:13">
      <c r="A40" s="149" t="s">
        <v>224</v>
      </c>
      <c r="B40" s="91"/>
      <c r="C40" s="166" t="s">
        <v>13</v>
      </c>
      <c r="D40" s="149" t="s">
        <v>25</v>
      </c>
      <c r="E40" s="86">
        <v>106</v>
      </c>
      <c r="F40" s="86">
        <f>E40*F38</f>
        <v>29.256000000000004</v>
      </c>
      <c r="G40" s="86"/>
      <c r="H40" s="86"/>
      <c r="I40" s="86"/>
      <c r="J40" s="86"/>
      <c r="K40" s="86"/>
      <c r="L40" s="86"/>
      <c r="M40" s="86"/>
    </row>
    <row r="41" spans="1:13">
      <c r="A41" s="149" t="s">
        <v>225</v>
      </c>
      <c r="B41" s="91" t="s">
        <v>455</v>
      </c>
      <c r="C41" s="166" t="s">
        <v>109</v>
      </c>
      <c r="D41" s="149" t="s">
        <v>362</v>
      </c>
      <c r="E41" s="86">
        <v>101.5</v>
      </c>
      <c r="F41" s="86">
        <f>E41*F38</f>
        <v>28.014000000000003</v>
      </c>
      <c r="G41" s="86"/>
      <c r="H41" s="86"/>
      <c r="I41" s="86"/>
      <c r="J41" s="86"/>
      <c r="K41" s="86"/>
      <c r="L41" s="86"/>
      <c r="M41" s="86"/>
    </row>
    <row r="42" spans="1:13">
      <c r="A42" s="149" t="s">
        <v>226</v>
      </c>
      <c r="B42" s="91" t="s">
        <v>416</v>
      </c>
      <c r="C42" s="166" t="s">
        <v>417</v>
      </c>
      <c r="D42" s="149" t="s">
        <v>23</v>
      </c>
      <c r="E42" s="86">
        <v>0.2</v>
      </c>
      <c r="F42" s="165">
        <f>F37*E42/1000</f>
        <v>0.13800000000000001</v>
      </c>
      <c r="G42" s="86"/>
      <c r="H42" s="86"/>
      <c r="I42" s="86"/>
      <c r="J42" s="86"/>
      <c r="K42" s="86"/>
      <c r="L42" s="86"/>
      <c r="M42" s="86"/>
    </row>
    <row r="43" spans="1:13">
      <c r="A43" s="149" t="s">
        <v>229</v>
      </c>
      <c r="B43" s="91" t="s">
        <v>418</v>
      </c>
      <c r="C43" s="166" t="s">
        <v>126</v>
      </c>
      <c r="D43" s="149" t="s">
        <v>23</v>
      </c>
      <c r="E43" s="86">
        <v>3.6</v>
      </c>
      <c r="F43" s="165">
        <f>F37*E43/1000</f>
        <v>2.484</v>
      </c>
      <c r="G43" s="86"/>
      <c r="H43" s="86"/>
      <c r="I43" s="86"/>
      <c r="J43" s="86"/>
      <c r="K43" s="86"/>
      <c r="L43" s="86"/>
      <c r="M43" s="86"/>
    </row>
    <row r="44" spans="1:13">
      <c r="A44" s="149" t="s">
        <v>230</v>
      </c>
      <c r="B44" s="185" t="s">
        <v>419</v>
      </c>
      <c r="C44" s="164" t="s">
        <v>420</v>
      </c>
      <c r="D44" s="149" t="s">
        <v>373</v>
      </c>
      <c r="E44" s="86">
        <v>140</v>
      </c>
      <c r="F44" s="86">
        <f>E44*F38</f>
        <v>38.64</v>
      </c>
      <c r="G44" s="86"/>
      <c r="H44" s="86"/>
      <c r="I44" s="86"/>
      <c r="J44" s="86"/>
      <c r="K44" s="86"/>
      <c r="L44" s="86"/>
      <c r="M44" s="86"/>
    </row>
    <row r="45" spans="1:13">
      <c r="A45" s="149" t="s">
        <v>231</v>
      </c>
      <c r="B45" s="185" t="s">
        <v>421</v>
      </c>
      <c r="C45" s="164" t="s">
        <v>90</v>
      </c>
      <c r="D45" s="149" t="s">
        <v>362</v>
      </c>
      <c r="E45" s="86">
        <v>1.45</v>
      </c>
      <c r="F45" s="86">
        <f>E45*F38</f>
        <v>0.4002</v>
      </c>
      <c r="G45" s="86"/>
      <c r="H45" s="86"/>
      <c r="I45" s="86"/>
      <c r="J45" s="86"/>
      <c r="K45" s="86"/>
      <c r="L45" s="86"/>
      <c r="M45" s="86"/>
    </row>
    <row r="46" spans="1:13">
      <c r="A46" s="149" t="s">
        <v>467</v>
      </c>
      <c r="B46" s="185" t="s">
        <v>424</v>
      </c>
      <c r="C46" s="164" t="s">
        <v>425</v>
      </c>
      <c r="D46" s="149" t="s">
        <v>296</v>
      </c>
      <c r="E46" s="86">
        <v>250</v>
      </c>
      <c r="F46" s="86">
        <f>E46*F38</f>
        <v>69</v>
      </c>
      <c r="G46" s="86"/>
      <c r="H46" s="86"/>
      <c r="I46" s="86"/>
      <c r="J46" s="86"/>
      <c r="K46" s="86"/>
      <c r="L46" s="86"/>
      <c r="M46" s="86"/>
    </row>
    <row r="47" spans="1:13">
      <c r="A47" s="149" t="s">
        <v>468</v>
      </c>
      <c r="B47" s="91"/>
      <c r="C47" s="166" t="s">
        <v>14</v>
      </c>
      <c r="D47" s="149" t="s">
        <v>25</v>
      </c>
      <c r="E47" s="86">
        <v>74</v>
      </c>
      <c r="F47" s="86">
        <f>E47*F38</f>
        <v>20.424000000000003</v>
      </c>
      <c r="G47" s="86"/>
      <c r="H47" s="86"/>
      <c r="I47" s="86"/>
      <c r="J47" s="86"/>
      <c r="K47" s="86"/>
      <c r="L47" s="86"/>
      <c r="M47" s="86"/>
    </row>
    <row r="48" spans="1:13">
      <c r="A48" s="149"/>
      <c r="B48" s="185"/>
      <c r="C48" s="164"/>
      <c r="D48" s="149"/>
      <c r="E48" s="86"/>
      <c r="F48" s="86"/>
      <c r="G48" s="86"/>
      <c r="H48" s="86"/>
      <c r="I48" s="86"/>
      <c r="J48" s="86"/>
      <c r="K48" s="86"/>
      <c r="L48" s="86"/>
      <c r="M48" s="86"/>
    </row>
    <row r="49" spans="1:13">
      <c r="A49" s="149">
        <v>1.5</v>
      </c>
      <c r="B49" s="200" t="s">
        <v>456</v>
      </c>
      <c r="C49" s="189" t="s">
        <v>261</v>
      </c>
      <c r="D49" s="187" t="s">
        <v>94</v>
      </c>
      <c r="E49" s="188"/>
      <c r="F49" s="188">
        <v>0</v>
      </c>
      <c r="G49" s="188"/>
      <c r="H49" s="188"/>
      <c r="I49" s="188"/>
      <c r="J49" s="188"/>
      <c r="K49" s="188"/>
      <c r="L49" s="188"/>
      <c r="M49" s="188"/>
    </row>
    <row r="50" spans="1:13">
      <c r="A50" s="149" t="s">
        <v>195</v>
      </c>
      <c r="B50" s="200"/>
      <c r="C50" s="189" t="s">
        <v>15</v>
      </c>
      <c r="D50" s="187" t="s">
        <v>1</v>
      </c>
      <c r="E50" s="188">
        <v>74</v>
      </c>
      <c r="F50" s="188">
        <f>ROUND(E50*F49,2)</f>
        <v>0</v>
      </c>
      <c r="G50" s="188"/>
      <c r="H50" s="188"/>
      <c r="I50" s="188"/>
      <c r="J50" s="188"/>
      <c r="K50" s="188"/>
      <c r="L50" s="188"/>
      <c r="M50" s="188"/>
    </row>
    <row r="51" spans="1:13">
      <c r="A51" s="149" t="s">
        <v>196</v>
      </c>
      <c r="B51" s="200"/>
      <c r="C51" s="189" t="s">
        <v>13</v>
      </c>
      <c r="D51" s="187" t="s">
        <v>24</v>
      </c>
      <c r="E51" s="188">
        <v>0.71</v>
      </c>
      <c r="F51" s="188">
        <f>ROUND(E51*F49,1)</f>
        <v>0</v>
      </c>
      <c r="G51" s="188"/>
      <c r="H51" s="188"/>
      <c r="I51" s="188"/>
      <c r="J51" s="188"/>
      <c r="K51" s="188"/>
      <c r="L51" s="188"/>
      <c r="M51" s="188"/>
    </row>
    <row r="52" spans="1:13">
      <c r="A52" s="149" t="s">
        <v>197</v>
      </c>
      <c r="B52" s="200"/>
      <c r="C52" s="189" t="s">
        <v>259</v>
      </c>
      <c r="D52" s="187" t="s">
        <v>376</v>
      </c>
      <c r="E52" s="188">
        <v>5.9</v>
      </c>
      <c r="F52" s="188">
        <f>ROUND(E52*F49,2)</f>
        <v>0</v>
      </c>
      <c r="G52" s="188"/>
      <c r="H52" s="188"/>
      <c r="I52" s="188"/>
      <c r="J52" s="188"/>
      <c r="K52" s="188"/>
      <c r="L52" s="188"/>
      <c r="M52" s="188"/>
    </row>
    <row r="53" spans="1:13">
      <c r="A53" s="149" t="s">
        <v>198</v>
      </c>
      <c r="B53" s="200"/>
      <c r="C53" s="186" t="s">
        <v>14</v>
      </c>
      <c r="D53" s="187" t="s">
        <v>25</v>
      </c>
      <c r="E53" s="188">
        <v>9.6</v>
      </c>
      <c r="F53" s="188">
        <f>ROUND(E53*F49,1)</f>
        <v>0</v>
      </c>
      <c r="G53" s="188"/>
      <c r="H53" s="188"/>
      <c r="I53" s="188"/>
      <c r="J53" s="188"/>
      <c r="K53" s="188"/>
      <c r="L53" s="188"/>
      <c r="M53" s="188"/>
    </row>
    <row r="54" spans="1:13">
      <c r="A54" s="149"/>
      <c r="B54" s="185"/>
      <c r="C54" s="166"/>
      <c r="D54" s="149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25.5">
      <c r="A55" s="149">
        <v>1.6</v>
      </c>
      <c r="B55" s="91" t="s">
        <v>451</v>
      </c>
      <c r="C55" s="164" t="s">
        <v>262</v>
      </c>
      <c r="D55" s="149" t="s">
        <v>362</v>
      </c>
      <c r="E55" s="86"/>
      <c r="F55" s="86">
        <v>121</v>
      </c>
      <c r="G55" s="86"/>
      <c r="H55" s="86"/>
      <c r="I55" s="86"/>
      <c r="J55" s="86"/>
      <c r="K55" s="86"/>
      <c r="L55" s="86"/>
      <c r="M55" s="86"/>
    </row>
    <row r="56" spans="1:13">
      <c r="A56" s="149"/>
      <c r="B56" s="91"/>
      <c r="C56" s="166"/>
      <c r="D56" s="149" t="s">
        <v>381</v>
      </c>
      <c r="E56" s="86"/>
      <c r="F56" s="165">
        <f>F55/100</f>
        <v>1.21</v>
      </c>
      <c r="G56" s="86"/>
      <c r="H56" s="86"/>
      <c r="I56" s="86"/>
      <c r="J56" s="86"/>
      <c r="K56" s="86"/>
      <c r="L56" s="86"/>
      <c r="M56" s="86"/>
    </row>
    <row r="57" spans="1:13">
      <c r="A57" s="149" t="s">
        <v>59</v>
      </c>
      <c r="B57" s="91"/>
      <c r="C57" s="166" t="s">
        <v>15</v>
      </c>
      <c r="D57" s="149" t="s">
        <v>1</v>
      </c>
      <c r="E57" s="86">
        <v>15</v>
      </c>
      <c r="F57" s="86">
        <f>E57*F56</f>
        <v>18.149999999999999</v>
      </c>
      <c r="G57" s="86"/>
      <c r="H57" s="86"/>
      <c r="I57" s="86"/>
      <c r="J57" s="86"/>
      <c r="K57" s="86"/>
      <c r="L57" s="86"/>
      <c r="M57" s="86"/>
    </row>
    <row r="58" spans="1:13">
      <c r="A58" s="149" t="s">
        <v>60</v>
      </c>
      <c r="B58" s="91" t="s">
        <v>375</v>
      </c>
      <c r="C58" s="166" t="s">
        <v>72</v>
      </c>
      <c r="D58" s="149" t="s">
        <v>24</v>
      </c>
      <c r="E58" s="86">
        <v>2.16</v>
      </c>
      <c r="F58" s="86">
        <f>E58*F56</f>
        <v>2.6135999999999999</v>
      </c>
      <c r="G58" s="86"/>
      <c r="H58" s="86"/>
      <c r="I58" s="86"/>
      <c r="J58" s="86"/>
      <c r="K58" s="86"/>
      <c r="L58" s="86"/>
      <c r="M58" s="86"/>
    </row>
    <row r="59" spans="1:13">
      <c r="A59" s="149" t="s">
        <v>208</v>
      </c>
      <c r="B59" s="91" t="s">
        <v>452</v>
      </c>
      <c r="C59" s="166" t="s">
        <v>86</v>
      </c>
      <c r="D59" s="149" t="s">
        <v>24</v>
      </c>
      <c r="E59" s="86">
        <v>2.73</v>
      </c>
      <c r="F59" s="86">
        <f>E59*F56</f>
        <v>3.3032999999999997</v>
      </c>
      <c r="G59" s="86"/>
      <c r="H59" s="86"/>
      <c r="I59" s="86"/>
      <c r="J59" s="86"/>
      <c r="K59" s="86"/>
      <c r="L59" s="86"/>
      <c r="M59" s="86"/>
    </row>
    <row r="60" spans="1:13">
      <c r="A60" s="149" t="s">
        <v>209</v>
      </c>
      <c r="B60" s="91" t="s">
        <v>453</v>
      </c>
      <c r="C60" s="166" t="s">
        <v>73</v>
      </c>
      <c r="D60" s="149" t="s">
        <v>24</v>
      </c>
      <c r="E60" s="86">
        <v>0.97</v>
      </c>
      <c r="F60" s="86">
        <f>E60*F56</f>
        <v>1.1737</v>
      </c>
      <c r="G60" s="86"/>
      <c r="H60" s="86"/>
      <c r="I60" s="86"/>
      <c r="J60" s="86"/>
      <c r="K60" s="86"/>
      <c r="L60" s="86"/>
      <c r="M60" s="86"/>
    </row>
    <row r="61" spans="1:13">
      <c r="A61" s="149" t="s">
        <v>210</v>
      </c>
      <c r="B61" s="91"/>
      <c r="C61" s="166" t="s">
        <v>74</v>
      </c>
      <c r="D61" s="149" t="s">
        <v>362</v>
      </c>
      <c r="E61" s="86">
        <v>7</v>
      </c>
      <c r="F61" s="86">
        <f>E61*F56</f>
        <v>8.4699999999999989</v>
      </c>
      <c r="G61" s="86"/>
      <c r="H61" s="86"/>
      <c r="I61" s="86"/>
      <c r="J61" s="86"/>
      <c r="K61" s="86"/>
      <c r="L61" s="86"/>
      <c r="M61" s="86"/>
    </row>
    <row r="62" spans="1:13">
      <c r="A62" s="149" t="s">
        <v>211</v>
      </c>
      <c r="B62" s="91" t="s">
        <v>457</v>
      </c>
      <c r="C62" s="166" t="s">
        <v>268</v>
      </c>
      <c r="D62" s="149" t="s">
        <v>362</v>
      </c>
      <c r="E62" s="86">
        <f>122*95%</f>
        <v>115.89999999999999</v>
      </c>
      <c r="F62" s="86">
        <f>E62*F56</f>
        <v>140.23899999999998</v>
      </c>
      <c r="G62" s="86"/>
      <c r="H62" s="86"/>
      <c r="I62" s="86"/>
      <c r="J62" s="86"/>
      <c r="K62" s="86"/>
      <c r="L62" s="86"/>
      <c r="M62" s="86"/>
    </row>
    <row r="63" spans="1:13">
      <c r="A63" s="149" t="s">
        <v>212</v>
      </c>
      <c r="B63" s="91" t="s">
        <v>458</v>
      </c>
      <c r="C63" s="166" t="s">
        <v>263</v>
      </c>
      <c r="D63" s="149" t="s">
        <v>23</v>
      </c>
      <c r="E63" s="86">
        <f>122*5%</f>
        <v>6.1000000000000005</v>
      </c>
      <c r="F63" s="86">
        <f>F56*E63</f>
        <v>7.3810000000000002</v>
      </c>
      <c r="G63" s="86"/>
      <c r="H63" s="86"/>
      <c r="I63" s="86"/>
      <c r="J63" s="86"/>
      <c r="K63" s="86"/>
      <c r="L63" s="86"/>
      <c r="M63" s="86"/>
    </row>
    <row r="64" spans="1:13" s="104" customFormat="1">
      <c r="A64" s="149"/>
      <c r="B64" s="91"/>
      <c r="C64" s="164"/>
      <c r="D64" s="149"/>
      <c r="E64" s="86"/>
      <c r="F64" s="86"/>
      <c r="G64" s="86"/>
      <c r="H64" s="86"/>
      <c r="I64" s="86"/>
      <c r="J64" s="86"/>
      <c r="K64" s="86"/>
      <c r="L64" s="86"/>
      <c r="M64" s="86"/>
    </row>
    <row r="65" spans="1:13" s="104" customFormat="1">
      <c r="A65" s="149">
        <v>1.7</v>
      </c>
      <c r="B65" s="185" t="s">
        <v>459</v>
      </c>
      <c r="C65" s="164" t="s">
        <v>265</v>
      </c>
      <c r="D65" s="149" t="s">
        <v>373</v>
      </c>
      <c r="E65" s="86"/>
      <c r="F65" s="86">
        <v>1213</v>
      </c>
      <c r="G65" s="86"/>
      <c r="H65" s="86"/>
      <c r="I65" s="86"/>
      <c r="J65" s="86"/>
      <c r="K65" s="86"/>
      <c r="L65" s="86"/>
      <c r="M65" s="86"/>
    </row>
    <row r="66" spans="1:13" s="104" customFormat="1">
      <c r="A66" s="149"/>
      <c r="B66" s="91"/>
      <c r="C66" s="166"/>
      <c r="D66" s="149" t="s">
        <v>460</v>
      </c>
      <c r="E66" s="86"/>
      <c r="F66" s="165">
        <f>F65/1000</f>
        <v>1.2130000000000001</v>
      </c>
      <c r="G66" s="86"/>
      <c r="H66" s="86"/>
      <c r="I66" s="86"/>
      <c r="J66" s="86"/>
      <c r="K66" s="86"/>
      <c r="L66" s="86"/>
      <c r="M66" s="86"/>
    </row>
    <row r="67" spans="1:13" s="104" customFormat="1">
      <c r="A67" s="149" t="s">
        <v>61</v>
      </c>
      <c r="B67" s="91"/>
      <c r="C67" s="166" t="s">
        <v>15</v>
      </c>
      <c r="D67" s="149" t="s">
        <v>1</v>
      </c>
      <c r="E67" s="86">
        <v>737</v>
      </c>
      <c r="F67" s="86">
        <f>ROUND(E67*F66,2)</f>
        <v>893.98</v>
      </c>
      <c r="G67" s="86"/>
      <c r="H67" s="86"/>
      <c r="I67" s="86"/>
      <c r="J67" s="86"/>
      <c r="K67" s="86"/>
      <c r="L67" s="86"/>
      <c r="M67" s="86"/>
    </row>
    <row r="68" spans="1:13" s="104" customFormat="1">
      <c r="A68" s="149" t="s">
        <v>62</v>
      </c>
      <c r="B68" s="91" t="s">
        <v>453</v>
      </c>
      <c r="C68" s="166" t="s">
        <v>73</v>
      </c>
      <c r="D68" s="149" t="s">
        <v>24</v>
      </c>
      <c r="E68" s="86">
        <v>15.3</v>
      </c>
      <c r="F68" s="86">
        <f>ROUND(E68*F66,1)</f>
        <v>18.600000000000001</v>
      </c>
      <c r="G68" s="86"/>
      <c r="H68" s="86"/>
      <c r="I68" s="86"/>
      <c r="J68" s="86"/>
      <c r="K68" s="86"/>
      <c r="L68" s="86"/>
      <c r="M68" s="86"/>
    </row>
    <row r="69" spans="1:13">
      <c r="A69" s="149" t="s">
        <v>201</v>
      </c>
      <c r="B69" s="91" t="s">
        <v>461</v>
      </c>
      <c r="C69" s="166" t="s">
        <v>462</v>
      </c>
      <c r="D69" s="149" t="s">
        <v>362</v>
      </c>
      <c r="E69" s="86">
        <f>8+123</f>
        <v>131</v>
      </c>
      <c r="F69" s="86">
        <f>ROUND(E69*F66,1)</f>
        <v>158.9</v>
      </c>
      <c r="G69" s="86"/>
      <c r="H69" s="86"/>
      <c r="I69" s="86"/>
      <c r="J69" s="86"/>
      <c r="K69" s="86"/>
      <c r="L69" s="86"/>
      <c r="M69" s="86"/>
    </row>
    <row r="70" spans="1:13">
      <c r="A70" s="149" t="s">
        <v>202</v>
      </c>
      <c r="B70" s="91" t="s">
        <v>463</v>
      </c>
      <c r="C70" s="166" t="s">
        <v>264</v>
      </c>
      <c r="D70" s="149" t="s">
        <v>362</v>
      </c>
      <c r="E70" s="86">
        <v>18.8</v>
      </c>
      <c r="F70" s="86">
        <f>ROUND(E70*F66,2)</f>
        <v>22.8</v>
      </c>
      <c r="G70" s="86"/>
      <c r="H70" s="86"/>
      <c r="I70" s="86"/>
      <c r="J70" s="86"/>
      <c r="K70" s="86"/>
      <c r="L70" s="86"/>
      <c r="M70" s="86"/>
    </row>
    <row r="71" spans="1:13">
      <c r="A71" s="149" t="s">
        <v>203</v>
      </c>
      <c r="B71" s="91"/>
      <c r="C71" s="166" t="s">
        <v>14</v>
      </c>
      <c r="D71" s="149" t="s">
        <v>25</v>
      </c>
      <c r="E71" s="86">
        <v>3.32</v>
      </c>
      <c r="F71" s="86">
        <f>ROUND(E71*F66,1)</f>
        <v>4</v>
      </c>
      <c r="G71" s="86"/>
      <c r="H71" s="86"/>
      <c r="I71" s="86"/>
      <c r="J71" s="86"/>
      <c r="K71" s="86"/>
      <c r="L71" s="86"/>
      <c r="M71" s="86"/>
    </row>
    <row r="72" spans="1:13">
      <c r="A72" s="149" t="s">
        <v>204</v>
      </c>
      <c r="B72" s="91" t="s">
        <v>457</v>
      </c>
      <c r="C72" s="166" t="s">
        <v>464</v>
      </c>
      <c r="D72" s="149" t="s">
        <v>362</v>
      </c>
      <c r="E72" s="86">
        <v>9.1999999999999993</v>
      </c>
      <c r="F72" s="86">
        <f>E72*F66</f>
        <v>11.159599999999999</v>
      </c>
      <c r="G72" s="86"/>
      <c r="H72" s="86"/>
      <c r="I72" s="86"/>
      <c r="J72" s="86"/>
      <c r="K72" s="86"/>
      <c r="L72" s="86"/>
      <c r="M72" s="86"/>
    </row>
    <row r="73" spans="1:13">
      <c r="A73" s="149"/>
      <c r="B73" s="185"/>
      <c r="C73" s="166"/>
      <c r="D73" s="149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25.5">
      <c r="A74" s="149">
        <v>1.8</v>
      </c>
      <c r="B74" s="191" t="s">
        <v>451</v>
      </c>
      <c r="C74" s="189" t="s">
        <v>267</v>
      </c>
      <c r="D74" s="187" t="s">
        <v>377</v>
      </c>
      <c r="E74" s="188"/>
      <c r="F74" s="188">
        <v>0</v>
      </c>
      <c r="G74" s="188"/>
      <c r="H74" s="188"/>
      <c r="I74" s="188"/>
      <c r="J74" s="188"/>
      <c r="K74" s="188"/>
      <c r="L74" s="188"/>
      <c r="M74" s="188"/>
    </row>
    <row r="75" spans="1:13">
      <c r="A75" s="149" t="s">
        <v>63</v>
      </c>
      <c r="B75" s="191"/>
      <c r="C75" s="189" t="s">
        <v>15</v>
      </c>
      <c r="D75" s="187" t="s">
        <v>1</v>
      </c>
      <c r="E75" s="188">
        <v>15</v>
      </c>
      <c r="F75" s="188">
        <f>E75*F74</f>
        <v>0</v>
      </c>
      <c r="G75" s="188"/>
      <c r="H75" s="188"/>
      <c r="I75" s="188"/>
      <c r="J75" s="188"/>
      <c r="K75" s="188"/>
      <c r="L75" s="188"/>
      <c r="M75" s="188"/>
    </row>
    <row r="76" spans="1:13">
      <c r="A76" s="149" t="s">
        <v>64</v>
      </c>
      <c r="B76" s="191"/>
      <c r="C76" s="189" t="s">
        <v>72</v>
      </c>
      <c r="D76" s="187" t="s">
        <v>24</v>
      </c>
      <c r="E76" s="188">
        <v>2.16</v>
      </c>
      <c r="F76" s="188">
        <f>E76*F74</f>
        <v>0</v>
      </c>
      <c r="G76" s="188"/>
      <c r="H76" s="188"/>
      <c r="I76" s="188"/>
      <c r="J76" s="188"/>
      <c r="K76" s="188"/>
      <c r="L76" s="188"/>
      <c r="M76" s="188"/>
    </row>
    <row r="77" spans="1:13">
      <c r="A77" s="149" t="s">
        <v>213</v>
      </c>
      <c r="B77" s="191"/>
      <c r="C77" s="189" t="s">
        <v>86</v>
      </c>
      <c r="D77" s="187" t="s">
        <v>24</v>
      </c>
      <c r="E77" s="188">
        <v>2.73</v>
      </c>
      <c r="F77" s="188">
        <f>E77*F74</f>
        <v>0</v>
      </c>
      <c r="G77" s="188"/>
      <c r="H77" s="188"/>
      <c r="I77" s="188"/>
      <c r="J77" s="188"/>
      <c r="K77" s="188"/>
      <c r="L77" s="188"/>
      <c r="M77" s="188"/>
    </row>
    <row r="78" spans="1:13">
      <c r="A78" s="149" t="s">
        <v>214</v>
      </c>
      <c r="B78" s="191"/>
      <c r="C78" s="189" t="s">
        <v>73</v>
      </c>
      <c r="D78" s="187" t="s">
        <v>24</v>
      </c>
      <c r="E78" s="188">
        <v>0.97</v>
      </c>
      <c r="F78" s="188">
        <f>E78*F74</f>
        <v>0</v>
      </c>
      <c r="G78" s="188"/>
      <c r="H78" s="188"/>
      <c r="I78" s="188"/>
      <c r="J78" s="188"/>
      <c r="K78" s="188"/>
      <c r="L78" s="188"/>
      <c r="M78" s="188"/>
    </row>
    <row r="79" spans="1:13">
      <c r="A79" s="149" t="s">
        <v>215</v>
      </c>
      <c r="B79" s="191"/>
      <c r="C79" s="189" t="s">
        <v>74</v>
      </c>
      <c r="D79" s="187" t="s">
        <v>376</v>
      </c>
      <c r="E79" s="188">
        <v>7</v>
      </c>
      <c r="F79" s="188">
        <f>E79*F74</f>
        <v>0</v>
      </c>
      <c r="G79" s="188"/>
      <c r="H79" s="188"/>
      <c r="I79" s="188"/>
      <c r="J79" s="188"/>
      <c r="K79" s="188"/>
      <c r="L79" s="188"/>
      <c r="M79" s="188"/>
    </row>
    <row r="80" spans="1:13">
      <c r="A80" s="149" t="s">
        <v>251</v>
      </c>
      <c r="B80" s="191"/>
      <c r="C80" s="189" t="s">
        <v>268</v>
      </c>
      <c r="D80" s="187" t="s">
        <v>376</v>
      </c>
      <c r="E80" s="188">
        <v>122</v>
      </c>
      <c r="F80" s="188">
        <f>E80*F74</f>
        <v>0</v>
      </c>
      <c r="G80" s="188"/>
      <c r="H80" s="188"/>
      <c r="I80" s="188"/>
      <c r="J80" s="188"/>
      <c r="K80" s="188"/>
      <c r="L80" s="188"/>
      <c r="M80" s="188"/>
    </row>
    <row r="81" spans="1:13">
      <c r="A81" s="149" t="s">
        <v>344</v>
      </c>
      <c r="B81" s="191"/>
      <c r="C81" s="189" t="s">
        <v>263</v>
      </c>
      <c r="D81" s="187" t="s">
        <v>23</v>
      </c>
      <c r="E81" s="188">
        <v>0.05</v>
      </c>
      <c r="F81" s="188">
        <f>F80*E81</f>
        <v>0</v>
      </c>
      <c r="G81" s="188"/>
      <c r="H81" s="188"/>
      <c r="I81" s="188"/>
      <c r="J81" s="188"/>
      <c r="K81" s="188"/>
      <c r="L81" s="188"/>
      <c r="M81" s="188"/>
    </row>
    <row r="82" spans="1:13">
      <c r="A82" s="149"/>
      <c r="B82" s="91"/>
      <c r="C82" s="164"/>
      <c r="D82" s="149"/>
      <c r="E82" s="86"/>
      <c r="F82" s="86"/>
      <c r="G82" s="86"/>
      <c r="H82" s="86"/>
      <c r="I82" s="86"/>
      <c r="J82" s="86"/>
      <c r="K82" s="86"/>
      <c r="L82" s="86"/>
      <c r="M82" s="86"/>
    </row>
    <row r="83" spans="1:13">
      <c r="A83" s="137"/>
      <c r="B83" s="153"/>
      <c r="C83" s="137" t="s">
        <v>4</v>
      </c>
      <c r="D83" s="137"/>
      <c r="E83" s="148"/>
      <c r="F83" s="148"/>
      <c r="G83" s="148"/>
      <c r="H83" s="148"/>
      <c r="I83" s="148"/>
      <c r="J83" s="148"/>
      <c r="K83" s="148"/>
      <c r="L83" s="148"/>
      <c r="M83" s="148"/>
    </row>
    <row r="84" spans="1:13">
      <c r="A84" s="137"/>
      <c r="B84" s="91"/>
      <c r="C84" s="149"/>
      <c r="D84" s="149"/>
      <c r="E84" s="86"/>
      <c r="F84" s="86"/>
      <c r="G84" s="86"/>
      <c r="H84" s="86"/>
      <c r="I84" s="86"/>
      <c r="J84" s="86"/>
      <c r="K84" s="86"/>
      <c r="L84" s="86"/>
      <c r="M84" s="86"/>
    </row>
    <row r="85" spans="1:13">
      <c r="A85" s="137"/>
      <c r="B85" s="91"/>
      <c r="C85" s="149" t="s">
        <v>10</v>
      </c>
      <c r="D85" s="154">
        <v>0.1</v>
      </c>
      <c r="E85" s="86"/>
      <c r="F85" s="86"/>
      <c r="G85" s="86"/>
      <c r="H85" s="86"/>
      <c r="I85" s="86"/>
      <c r="J85" s="86"/>
      <c r="K85" s="86"/>
      <c r="L85" s="86"/>
      <c r="M85" s="86"/>
    </row>
    <row r="86" spans="1:13">
      <c r="A86" s="137"/>
      <c r="B86" s="91"/>
      <c r="C86" s="149" t="s">
        <v>4</v>
      </c>
      <c r="D86" s="154"/>
      <c r="E86" s="86"/>
      <c r="F86" s="86"/>
      <c r="G86" s="86"/>
      <c r="H86" s="86"/>
      <c r="I86" s="86"/>
      <c r="J86" s="86"/>
      <c r="K86" s="86"/>
      <c r="L86" s="86"/>
      <c r="M86" s="86"/>
    </row>
    <row r="87" spans="1:13">
      <c r="A87" s="137"/>
      <c r="B87" s="91"/>
      <c r="C87" s="149" t="s">
        <v>11</v>
      </c>
      <c r="D87" s="154">
        <v>0.08</v>
      </c>
      <c r="E87" s="86"/>
      <c r="F87" s="86"/>
      <c r="G87" s="86"/>
      <c r="H87" s="86"/>
      <c r="I87" s="86"/>
      <c r="J87" s="86"/>
      <c r="K87" s="86"/>
      <c r="L87" s="86"/>
      <c r="M87" s="86"/>
    </row>
    <row r="88" spans="1:13">
      <c r="A88" s="137"/>
      <c r="B88" s="91"/>
      <c r="C88" s="149"/>
      <c r="D88" s="154"/>
      <c r="E88" s="86"/>
      <c r="F88" s="86"/>
      <c r="G88" s="86"/>
      <c r="H88" s="86"/>
      <c r="I88" s="86"/>
      <c r="J88" s="86"/>
      <c r="K88" s="86"/>
      <c r="L88" s="86"/>
      <c r="M88" s="86"/>
    </row>
    <row r="89" spans="1:13">
      <c r="A89" s="137"/>
      <c r="B89" s="91"/>
      <c r="C89" s="137" t="s">
        <v>4</v>
      </c>
      <c r="D89" s="137"/>
      <c r="E89" s="148"/>
      <c r="F89" s="148"/>
      <c r="G89" s="148"/>
      <c r="H89" s="148"/>
      <c r="I89" s="148"/>
      <c r="J89" s="148"/>
      <c r="K89" s="148"/>
      <c r="L89" s="148"/>
      <c r="M89" s="148"/>
    </row>
    <row r="90" spans="1:13">
      <c r="B90" s="157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8"/>
    </row>
    <row r="91" spans="1:13">
      <c r="B91" s="157"/>
      <c r="C91" s="156"/>
      <c r="D91" s="157"/>
      <c r="E91" s="157"/>
      <c r="F91" s="157"/>
      <c r="G91" s="157"/>
      <c r="H91" s="157"/>
      <c r="I91" s="157"/>
      <c r="J91" s="157"/>
      <c r="K91" s="157"/>
      <c r="L91" s="157"/>
      <c r="M91" s="158"/>
    </row>
    <row r="92" spans="1:13">
      <c r="B92" s="157"/>
      <c r="C92" s="156"/>
      <c r="D92" s="157"/>
      <c r="E92" s="157"/>
      <c r="F92" s="157"/>
      <c r="G92" s="157"/>
      <c r="H92" s="157"/>
      <c r="I92" s="157"/>
      <c r="J92" s="157"/>
      <c r="K92" s="157"/>
      <c r="L92" s="157"/>
      <c r="M92" s="158"/>
    </row>
    <row r="93" spans="1:13">
      <c r="B93" s="157"/>
      <c r="C93" s="156"/>
      <c r="D93" s="157"/>
      <c r="E93" s="157"/>
      <c r="F93" s="157"/>
      <c r="G93" s="157"/>
      <c r="H93" s="157"/>
      <c r="I93" s="157"/>
      <c r="J93" s="157"/>
      <c r="K93" s="157"/>
      <c r="L93" s="157"/>
      <c r="M93" s="158"/>
    </row>
    <row r="94" spans="1:13">
      <c r="B94" s="157"/>
      <c r="C94" s="156"/>
      <c r="D94" s="157"/>
      <c r="E94" s="157"/>
      <c r="F94" s="157"/>
      <c r="G94" s="157"/>
      <c r="H94" s="157"/>
      <c r="I94" s="157"/>
      <c r="J94" s="157"/>
      <c r="K94" s="157"/>
      <c r="L94" s="157"/>
      <c r="M94" s="158"/>
    </row>
    <row r="95" spans="1:13">
      <c r="B95" s="157"/>
      <c r="C95" s="156"/>
      <c r="D95" s="157"/>
      <c r="E95" s="157"/>
      <c r="F95" s="157"/>
      <c r="G95" s="157"/>
      <c r="H95" s="157"/>
      <c r="I95" s="157"/>
      <c r="J95" s="157"/>
      <c r="K95" s="157"/>
      <c r="L95" s="157"/>
      <c r="M95" s="158"/>
    </row>
    <row r="96" spans="1:13">
      <c r="B96" s="157"/>
      <c r="C96" s="156"/>
      <c r="D96" s="157"/>
      <c r="E96" s="157"/>
      <c r="F96" s="157"/>
      <c r="G96" s="157"/>
      <c r="H96" s="157"/>
      <c r="I96" s="157"/>
      <c r="J96" s="157"/>
      <c r="K96" s="157"/>
      <c r="L96" s="157"/>
      <c r="M96" s="158"/>
    </row>
    <row r="97" spans="2:13">
      <c r="B97" s="157"/>
      <c r="C97" s="156"/>
      <c r="D97" s="157"/>
      <c r="E97" s="157"/>
      <c r="F97" s="157"/>
      <c r="G97" s="157"/>
      <c r="H97" s="157"/>
      <c r="I97" s="157"/>
      <c r="J97" s="157"/>
      <c r="K97" s="157"/>
      <c r="L97" s="157"/>
      <c r="M97" s="158"/>
    </row>
    <row r="98" spans="2:13">
      <c r="B98" s="157"/>
      <c r="C98" s="156"/>
      <c r="D98" s="157"/>
      <c r="E98" s="157"/>
      <c r="F98" s="157"/>
      <c r="G98" s="157"/>
      <c r="H98" s="157"/>
      <c r="I98" s="157"/>
      <c r="J98" s="157"/>
      <c r="K98" s="157"/>
      <c r="L98" s="157"/>
      <c r="M98" s="158"/>
    </row>
    <row r="99" spans="2:13">
      <c r="B99" s="157"/>
      <c r="C99" s="156"/>
      <c r="D99" s="157"/>
      <c r="E99" s="157"/>
      <c r="F99" s="157"/>
      <c r="G99" s="157"/>
      <c r="H99" s="157"/>
      <c r="I99" s="157"/>
      <c r="J99" s="157"/>
      <c r="K99" s="157"/>
      <c r="L99" s="157"/>
      <c r="M99" s="158"/>
    </row>
    <row r="100" spans="2:13">
      <c r="B100" s="157"/>
      <c r="C100" s="156"/>
      <c r="D100" s="157"/>
      <c r="E100" s="157"/>
      <c r="F100" s="157"/>
      <c r="G100" s="157"/>
      <c r="H100" s="157"/>
      <c r="I100" s="157"/>
      <c r="J100" s="157"/>
      <c r="K100" s="157"/>
      <c r="L100" s="157"/>
      <c r="M100" s="158"/>
    </row>
    <row r="101" spans="2:13">
      <c r="B101" s="157"/>
      <c r="C101" s="156"/>
      <c r="D101" s="157"/>
      <c r="E101" s="157"/>
      <c r="F101" s="157"/>
      <c r="G101" s="157"/>
      <c r="H101" s="157"/>
      <c r="I101" s="157"/>
      <c r="J101" s="157"/>
      <c r="K101" s="157"/>
      <c r="L101" s="157"/>
      <c r="M101" s="158"/>
    </row>
    <row r="102" spans="2:13">
      <c r="B102" s="157"/>
      <c r="C102" s="156"/>
      <c r="D102" s="157"/>
      <c r="E102" s="157"/>
      <c r="F102" s="157"/>
      <c r="G102" s="157"/>
      <c r="H102" s="157"/>
      <c r="I102" s="157"/>
      <c r="J102" s="157"/>
      <c r="K102" s="157"/>
      <c r="L102" s="157"/>
      <c r="M102" s="158"/>
    </row>
    <row r="103" spans="2:13">
      <c r="B103" s="157"/>
      <c r="C103" s="156"/>
      <c r="D103" s="157"/>
      <c r="E103" s="157"/>
      <c r="F103" s="157"/>
      <c r="G103" s="157"/>
      <c r="H103" s="157"/>
      <c r="I103" s="157"/>
      <c r="J103" s="157"/>
      <c r="K103" s="157"/>
      <c r="L103" s="157"/>
      <c r="M103" s="158"/>
    </row>
    <row r="104" spans="2:13">
      <c r="B104" s="157"/>
      <c r="C104" s="156"/>
      <c r="D104" s="157"/>
      <c r="E104" s="157"/>
      <c r="F104" s="157"/>
      <c r="G104" s="157"/>
      <c r="H104" s="157"/>
      <c r="I104" s="157"/>
      <c r="J104" s="157"/>
      <c r="K104" s="157"/>
      <c r="L104" s="157"/>
      <c r="M104" s="158"/>
    </row>
    <row r="105" spans="2:13">
      <c r="B105" s="157"/>
      <c r="C105" s="156"/>
      <c r="D105" s="157"/>
      <c r="E105" s="157"/>
      <c r="F105" s="157"/>
      <c r="G105" s="157"/>
      <c r="H105" s="157"/>
      <c r="I105" s="157"/>
      <c r="J105" s="157"/>
      <c r="K105" s="157"/>
      <c r="L105" s="157"/>
      <c r="M105" s="158"/>
    </row>
    <row r="106" spans="2:13">
      <c r="B106" s="157"/>
      <c r="C106" s="156"/>
      <c r="D106" s="157"/>
      <c r="E106" s="157"/>
      <c r="F106" s="157"/>
      <c r="G106" s="157"/>
      <c r="H106" s="157"/>
      <c r="I106" s="157"/>
      <c r="J106" s="157"/>
      <c r="K106" s="157"/>
      <c r="L106" s="157"/>
      <c r="M106" s="158"/>
    </row>
    <row r="107" spans="2:13">
      <c r="B107" s="157"/>
      <c r="C107" s="156"/>
      <c r="D107" s="157"/>
      <c r="E107" s="157"/>
      <c r="F107" s="157"/>
      <c r="G107" s="157"/>
      <c r="H107" s="157"/>
      <c r="I107" s="157"/>
      <c r="J107" s="157"/>
      <c r="K107" s="157"/>
      <c r="L107" s="157"/>
      <c r="M107" s="158"/>
    </row>
    <row r="108" spans="2:13">
      <c r="B108" s="157"/>
      <c r="C108" s="156"/>
      <c r="D108" s="157"/>
      <c r="E108" s="157"/>
      <c r="F108" s="157"/>
      <c r="G108" s="157"/>
      <c r="H108" s="157"/>
      <c r="I108" s="157"/>
      <c r="J108" s="157"/>
      <c r="K108" s="157"/>
      <c r="L108" s="157"/>
      <c r="M108" s="158"/>
    </row>
    <row r="109" spans="2:13">
      <c r="B109" s="157"/>
      <c r="C109" s="156"/>
      <c r="D109" s="157"/>
      <c r="E109" s="157"/>
      <c r="F109" s="157"/>
      <c r="G109" s="157"/>
      <c r="H109" s="157"/>
      <c r="I109" s="157"/>
      <c r="J109" s="157"/>
      <c r="K109" s="157"/>
      <c r="L109" s="157"/>
      <c r="M109" s="158"/>
    </row>
    <row r="110" spans="2:13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9"/>
    </row>
    <row r="111" spans="2:13"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9"/>
    </row>
    <row r="112" spans="2:13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9"/>
    </row>
    <row r="113" spans="2:13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9"/>
    </row>
    <row r="114" spans="2:13"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9"/>
    </row>
    <row r="115" spans="2:13"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9"/>
    </row>
    <row r="116" spans="2:13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9"/>
    </row>
    <row r="117" spans="2:13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9"/>
    </row>
    <row r="118" spans="2:13"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9"/>
    </row>
    <row r="119" spans="2:13"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9"/>
    </row>
    <row r="120" spans="2:13"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9"/>
    </row>
    <row r="121" spans="2:13"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9"/>
    </row>
    <row r="122" spans="2:13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9"/>
    </row>
  </sheetData>
  <autoFilter ref="A1:M122"/>
  <mergeCells count="10">
    <mergeCell ref="A2:M2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pageMargins left="0.19685039370078741" right="0.19685039370078741" top="0.59055118110236227" bottom="0.39370078740157483" header="0.11811023622047245" footer="0.11811023622047245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topLeftCell="A19" zoomScale="60" zoomScaleNormal="55" workbookViewId="0">
      <selection activeCell="M16" sqref="M16"/>
    </sheetView>
  </sheetViews>
  <sheetFormatPr defaultRowHeight="15"/>
  <cols>
    <col min="1" max="1" width="15.7109375" style="5" customWidth="1"/>
    <col min="2" max="2" width="200.7109375" style="5" customWidth="1"/>
    <col min="3" max="3" width="9.7109375" style="5" customWidth="1"/>
    <col min="4" max="4" width="34.7109375" style="5" customWidth="1"/>
    <col min="5" max="7" width="20.7109375" customWidth="1"/>
  </cols>
  <sheetData>
    <row r="1" spans="1:4">
      <c r="A1" s="31"/>
      <c r="B1" s="31"/>
      <c r="C1" s="11"/>
      <c r="D1" s="11"/>
    </row>
    <row r="2" spans="1:4">
      <c r="A2" s="31"/>
      <c r="B2" s="31"/>
      <c r="C2" s="11"/>
      <c r="D2" s="11"/>
    </row>
    <row r="3" spans="1:4" ht="15" customHeight="1">
      <c r="A3" s="32">
        <f>სატენდერო!A3</f>
        <v>0</v>
      </c>
      <c r="B3" s="32"/>
      <c r="C3" s="11"/>
      <c r="D3" s="220"/>
    </row>
    <row r="4" spans="1:4" ht="15" customHeight="1">
      <c r="A4" s="32"/>
      <c r="B4" s="32"/>
      <c r="C4" s="11"/>
      <c r="D4" s="220"/>
    </row>
    <row r="5" spans="1:4" ht="15" customHeight="1">
      <c r="A5" s="32" t="s">
        <v>28</v>
      </c>
      <c r="B5" s="32"/>
      <c r="C5" s="11"/>
      <c r="D5" s="220"/>
    </row>
    <row r="6" spans="1:4" ht="15" customHeight="1">
      <c r="A6" s="32"/>
      <c r="B6" s="32"/>
      <c r="C6" s="11"/>
      <c r="D6" s="220"/>
    </row>
    <row r="7" spans="1:4" ht="15" customHeight="1">
      <c r="A7" s="32">
        <f>სატენდერო!A7</f>
        <v>0</v>
      </c>
      <c r="B7" s="32"/>
      <c r="C7" s="11"/>
      <c r="D7" s="220"/>
    </row>
    <row r="8" spans="1:4" ht="15" customHeight="1">
      <c r="A8" s="32"/>
      <c r="B8" s="32"/>
      <c r="C8" s="11"/>
      <c r="D8" s="220"/>
    </row>
    <row r="9" spans="1:4" ht="15" customHeight="1">
      <c r="A9" s="32" t="s">
        <v>29</v>
      </c>
      <c r="B9" s="32"/>
      <c r="C9" s="11"/>
      <c r="D9" s="220"/>
    </row>
    <row r="10" spans="1:4" ht="15" customHeight="1">
      <c r="A10" s="32"/>
      <c r="B10" s="32"/>
      <c r="C10" s="12"/>
      <c r="D10" s="220"/>
    </row>
    <row r="11" spans="1:4" ht="15" customHeight="1">
      <c r="A11" s="220"/>
      <c r="B11" s="220"/>
      <c r="C11" s="11"/>
      <c r="D11" s="220"/>
    </row>
    <row r="12" spans="1:4" ht="15" customHeight="1">
      <c r="A12" s="220"/>
      <c r="B12" s="220"/>
      <c r="C12" s="11"/>
      <c r="D12" s="220"/>
    </row>
    <row r="13" spans="1:4" s="7" customFormat="1" ht="80.099999999999994" customHeight="1">
      <c r="A13" s="216" t="s">
        <v>48</v>
      </c>
      <c r="B13" s="217"/>
      <c r="C13" s="217"/>
      <c r="D13" s="217"/>
    </row>
    <row r="14" spans="1:4" s="7" customFormat="1" ht="39.950000000000003" customHeight="1">
      <c r="A14" s="218" t="s">
        <v>2</v>
      </c>
      <c r="B14" s="218" t="s">
        <v>3</v>
      </c>
      <c r="C14" s="218" t="s">
        <v>12</v>
      </c>
      <c r="D14" s="219" t="s">
        <v>52</v>
      </c>
    </row>
    <row r="15" spans="1:4" s="7" customFormat="1" ht="39.950000000000003" customHeight="1">
      <c r="A15" s="218"/>
      <c r="B15" s="218"/>
      <c r="C15" s="218"/>
      <c r="D15" s="219"/>
    </row>
    <row r="16" spans="1:4" s="7" customFormat="1" ht="39.950000000000003" customHeight="1">
      <c r="A16" s="218"/>
      <c r="B16" s="218"/>
      <c r="C16" s="218"/>
      <c r="D16" s="219"/>
    </row>
    <row r="17" spans="1:4" s="7" customFormat="1" ht="39.950000000000003" customHeight="1">
      <c r="A17" s="13">
        <v>1</v>
      </c>
      <c r="B17" s="13">
        <v>2</v>
      </c>
      <c r="C17" s="13">
        <v>3</v>
      </c>
      <c r="D17" s="13">
        <v>4</v>
      </c>
    </row>
    <row r="18" spans="1:4" s="6" customFormat="1" ht="39.950000000000003" customHeight="1">
      <c r="A18" s="214" t="s">
        <v>53</v>
      </c>
      <c r="B18" s="215"/>
      <c r="C18" s="215"/>
      <c r="D18" s="215"/>
    </row>
    <row r="19" spans="1:4" s="6" customFormat="1" ht="39.950000000000003" customHeight="1">
      <c r="A19" s="14" t="s">
        <v>146</v>
      </c>
      <c r="B19" s="15">
        <f>სატენდერო!B20</f>
        <v>0</v>
      </c>
      <c r="C19" s="15"/>
      <c r="D19" s="16">
        <f>სატენდერო!H26</f>
        <v>0</v>
      </c>
    </row>
    <row r="20" spans="1:4" s="6" customFormat="1" ht="39.950000000000003" customHeight="1">
      <c r="A20" s="214" t="s">
        <v>54</v>
      </c>
      <c r="B20" s="215"/>
      <c r="C20" s="215"/>
      <c r="D20" s="215"/>
    </row>
    <row r="21" spans="1:4" s="6" customFormat="1" ht="39.950000000000003" customHeight="1">
      <c r="A21" s="14" t="s">
        <v>159</v>
      </c>
      <c r="B21" s="15" t="str">
        <f>სატენდერო!B27</f>
        <v>მიწის ვაკისი</v>
      </c>
      <c r="C21" s="15"/>
      <c r="D21" s="16">
        <f>სატენდერო!H39</f>
        <v>0</v>
      </c>
    </row>
    <row r="22" spans="1:4" s="6" customFormat="1" ht="39.950000000000003" customHeight="1">
      <c r="A22" s="214" t="s">
        <v>55</v>
      </c>
      <c r="B22" s="215"/>
      <c r="C22" s="215"/>
      <c r="D22" s="215"/>
    </row>
    <row r="23" spans="1:4" s="6" customFormat="1" ht="39.950000000000003" customHeight="1">
      <c r="A23" s="14" t="s">
        <v>189</v>
      </c>
      <c r="B23" s="15" t="str">
        <f>სატენდერო!B40</f>
        <v>წყალგამტარი მილების კვეთით 6.0x3.0 მ მოწყობის სამუშაოები</v>
      </c>
      <c r="C23" s="15"/>
      <c r="D23" s="16">
        <f>სატენდერო!H64</f>
        <v>0</v>
      </c>
    </row>
    <row r="24" spans="1:4" s="6" customFormat="1" ht="39.950000000000003" customHeight="1">
      <c r="A24" s="14" t="s">
        <v>190</v>
      </c>
      <c r="B24" s="15" t="str">
        <f>სატენდერო!B65</f>
        <v>ღობის მოწყობის სამუშაოები</v>
      </c>
      <c r="C24" s="15"/>
      <c r="D24" s="16">
        <f>სატენდერო!H86</f>
        <v>0</v>
      </c>
    </row>
    <row r="25" spans="1:4" s="6" customFormat="1" ht="39.950000000000003" customHeight="1">
      <c r="A25" s="14" t="s">
        <v>191</v>
      </c>
      <c r="B25" s="15" t="str">
        <f>სატენდერო!B87</f>
        <v>გაბიონის ყუთების მოწყობის სამუშაოები</v>
      </c>
      <c r="C25" s="15"/>
      <c r="D25" s="16">
        <f>სატენდერო!H100</f>
        <v>0</v>
      </c>
    </row>
    <row r="26" spans="1:4" s="6" customFormat="1" ht="38.25" customHeight="1">
      <c r="A26" s="214" t="s">
        <v>56</v>
      </c>
      <c r="B26" s="215"/>
      <c r="C26" s="215"/>
      <c r="D26" s="215"/>
    </row>
    <row r="27" spans="1:4" s="6" customFormat="1" ht="39.950000000000003" customHeight="1">
      <c r="A27" s="14" t="s">
        <v>173</v>
      </c>
      <c r="B27" s="15" t="str">
        <f>სატენდერო!B101</f>
        <v>საგზაო სამოსი</v>
      </c>
      <c r="C27" s="15"/>
      <c r="D27" s="16">
        <f>სატენდერო!H114</f>
        <v>0</v>
      </c>
    </row>
    <row r="28" spans="1:4" s="7" customFormat="1" ht="39.950000000000003" customHeight="1">
      <c r="A28" s="13"/>
      <c r="B28" s="15" t="s">
        <v>4</v>
      </c>
      <c r="C28" s="1"/>
      <c r="D28" s="3">
        <f>ROUND(D19+D23+D21+D27+D24+D25,2)</f>
        <v>0</v>
      </c>
    </row>
    <row r="29" spans="1:4" s="7" customFormat="1" ht="39.950000000000003" customHeight="1">
      <c r="A29" s="17"/>
      <c r="B29" s="13" t="s">
        <v>26</v>
      </c>
      <c r="C29" s="18">
        <v>0.05</v>
      </c>
      <c r="D29" s="1">
        <f>ROUND(D28*C29,2)</f>
        <v>0</v>
      </c>
    </row>
    <row r="30" spans="1:4" s="7" customFormat="1" ht="39.950000000000003" customHeight="1">
      <c r="A30" s="17"/>
      <c r="B30" s="13" t="s">
        <v>4</v>
      </c>
      <c r="C30" s="13"/>
      <c r="D30" s="3">
        <f>ROUND(SUM(D28:D29),2)</f>
        <v>0</v>
      </c>
    </row>
    <row r="31" spans="1:4" s="7" customFormat="1" ht="39.950000000000003" customHeight="1">
      <c r="A31" s="17"/>
      <c r="B31" s="13" t="s">
        <v>27</v>
      </c>
      <c r="C31" s="18">
        <v>0.18</v>
      </c>
      <c r="D31" s="3">
        <f>ROUND(D30*C31,2)</f>
        <v>0</v>
      </c>
    </row>
    <row r="32" spans="1:4" s="7" customFormat="1" ht="39.950000000000003" customHeight="1">
      <c r="A32" s="17"/>
      <c r="B32" s="13" t="s">
        <v>4</v>
      </c>
      <c r="C32" s="13"/>
      <c r="D32" s="19">
        <f>ROUND(SUM(D30:D31),2)</f>
        <v>0</v>
      </c>
    </row>
    <row r="33" spans="1:4" ht="39.950000000000003" customHeight="1">
      <c r="A33" s="20"/>
      <c r="B33" s="21"/>
      <c r="C33" s="22"/>
      <c r="D33" s="22"/>
    </row>
    <row r="34" spans="1:4" ht="39.950000000000003" customHeight="1">
      <c r="A34" s="20"/>
      <c r="B34" s="21"/>
      <c r="C34" s="22"/>
      <c r="D34" s="28"/>
    </row>
    <row r="35" spans="1:4" ht="39.950000000000003" customHeight="1">
      <c r="A35" s="20"/>
      <c r="B35" s="21"/>
      <c r="C35" s="22"/>
      <c r="D35" s="22"/>
    </row>
    <row r="36" spans="1:4" ht="39.950000000000003" customHeight="1">
      <c r="A36" s="20"/>
      <c r="B36" s="21"/>
      <c r="C36" s="22"/>
      <c r="D36" s="22"/>
    </row>
    <row r="37" spans="1:4" ht="39.950000000000003" customHeight="1">
      <c r="A37" s="20"/>
      <c r="B37" s="21"/>
      <c r="C37" s="22"/>
      <c r="D37" s="22"/>
    </row>
    <row r="38" spans="1:4" ht="39.950000000000003" customHeight="1">
      <c r="A38" s="20"/>
      <c r="B38" s="21"/>
      <c r="C38" s="22"/>
      <c r="D38" s="22"/>
    </row>
    <row r="39" spans="1:4" ht="39.950000000000003" customHeight="1">
      <c r="A39" s="20"/>
      <c r="B39" s="21"/>
      <c r="C39" s="22"/>
      <c r="D39" s="22"/>
    </row>
    <row r="40" spans="1:4" ht="39.950000000000003" customHeight="1">
      <c r="A40" s="20"/>
      <c r="B40" s="21"/>
      <c r="C40" s="22"/>
      <c r="D40" s="22"/>
    </row>
    <row r="41" spans="1:4" ht="39.950000000000003" customHeight="1">
      <c r="A41" s="20"/>
      <c r="B41" s="21"/>
      <c r="C41" s="22"/>
      <c r="D41" s="22"/>
    </row>
    <row r="42" spans="1:4" ht="39.950000000000003" customHeight="1">
      <c r="A42" s="20"/>
      <c r="B42" s="21"/>
      <c r="C42" s="22"/>
      <c r="D42" s="22"/>
    </row>
    <row r="43" spans="1:4" ht="39.950000000000003" customHeight="1">
      <c r="A43" s="20"/>
      <c r="B43" s="21"/>
      <c r="C43" s="22"/>
      <c r="D43" s="22"/>
    </row>
    <row r="44" spans="1:4" ht="39.950000000000003" customHeight="1">
      <c r="A44" s="20"/>
      <c r="B44" s="21"/>
      <c r="C44" s="22"/>
      <c r="D44" s="22"/>
    </row>
    <row r="45" spans="1:4" ht="39.950000000000003" customHeight="1">
      <c r="A45" s="20"/>
      <c r="B45" s="21"/>
      <c r="C45" s="22"/>
      <c r="D45" s="22"/>
    </row>
    <row r="46" spans="1:4" ht="39.950000000000003" customHeight="1">
      <c r="A46" s="20"/>
      <c r="B46" s="21"/>
      <c r="C46" s="22"/>
      <c r="D46" s="22"/>
    </row>
    <row r="47" spans="1:4" ht="39.950000000000003" customHeight="1">
      <c r="A47" s="20"/>
      <c r="B47" s="21"/>
      <c r="C47" s="22"/>
      <c r="D47" s="22"/>
    </row>
    <row r="48" spans="1:4" ht="39.950000000000003" customHeight="1">
      <c r="A48" s="20"/>
      <c r="B48" s="21"/>
      <c r="C48" s="22"/>
      <c r="D48" s="22"/>
    </row>
    <row r="49" spans="1:4" ht="39.950000000000003" customHeight="1">
      <c r="A49" s="20"/>
      <c r="B49" s="21"/>
      <c r="C49" s="22"/>
      <c r="D49" s="22"/>
    </row>
    <row r="50" spans="1:4" ht="39.950000000000003" customHeight="1">
      <c r="A50" s="20"/>
      <c r="B50" s="21"/>
      <c r="C50" s="22"/>
      <c r="D50" s="22"/>
    </row>
    <row r="51" spans="1:4" ht="39.950000000000003" customHeight="1">
      <c r="A51" s="20"/>
      <c r="B51" s="21"/>
      <c r="C51" s="22"/>
      <c r="D51" s="22"/>
    </row>
    <row r="52" spans="1:4" ht="39.950000000000003" customHeight="1">
      <c r="A52" s="20"/>
      <c r="B52" s="21"/>
      <c r="C52" s="22"/>
      <c r="D52" s="22"/>
    </row>
    <row r="53" spans="1:4" ht="39.950000000000003" customHeight="1">
      <c r="A53" s="20"/>
      <c r="B53" s="21"/>
      <c r="C53" s="22"/>
      <c r="D53" s="22"/>
    </row>
    <row r="54" spans="1:4" ht="39.950000000000003" customHeight="1">
      <c r="A54" s="20"/>
      <c r="B54" s="21"/>
      <c r="C54" s="22"/>
      <c r="D54" s="22"/>
    </row>
    <row r="55" spans="1:4" ht="39.950000000000003" customHeight="1">
      <c r="A55" s="20"/>
      <c r="B55" s="21"/>
      <c r="C55" s="22"/>
      <c r="D55" s="22"/>
    </row>
    <row r="56" spans="1:4" ht="39.950000000000003" customHeight="1">
      <c r="A56" s="20"/>
      <c r="B56" s="21"/>
      <c r="C56" s="22"/>
      <c r="D56" s="22"/>
    </row>
    <row r="57" spans="1:4" ht="39.950000000000003" customHeight="1">
      <c r="A57" s="20"/>
      <c r="B57" s="21"/>
      <c r="C57" s="22"/>
      <c r="D57" s="22"/>
    </row>
    <row r="58" spans="1:4" ht="39.950000000000003" customHeight="1">
      <c r="A58" s="20"/>
      <c r="B58" s="21"/>
      <c r="C58" s="22"/>
      <c r="D58" s="22"/>
    </row>
    <row r="59" spans="1:4" ht="39.950000000000003" customHeight="1">
      <c r="A59" s="20"/>
      <c r="B59" s="21"/>
      <c r="C59" s="22"/>
      <c r="D59" s="22"/>
    </row>
    <row r="60" spans="1:4" ht="39.950000000000003" customHeight="1">
      <c r="A60" s="20"/>
      <c r="B60" s="21"/>
      <c r="C60" s="22"/>
      <c r="D60" s="22"/>
    </row>
    <row r="61" spans="1:4" ht="39.950000000000003" customHeight="1">
      <c r="A61" s="20"/>
      <c r="B61" s="21"/>
      <c r="C61" s="22"/>
      <c r="D61" s="22"/>
    </row>
    <row r="62" spans="1:4" ht="39.950000000000003" customHeight="1">
      <c r="A62" s="20"/>
      <c r="B62" s="21"/>
      <c r="C62" s="22"/>
      <c r="D62" s="22"/>
    </row>
    <row r="63" spans="1:4" ht="39.950000000000003" customHeight="1">
      <c r="A63" s="20"/>
      <c r="B63" s="21"/>
      <c r="C63" s="22"/>
      <c r="D63" s="22"/>
    </row>
    <row r="64" spans="1:4" ht="39.950000000000003" customHeight="1">
      <c r="A64" s="20"/>
      <c r="B64" s="21"/>
      <c r="C64" s="22"/>
      <c r="D64" s="22"/>
    </row>
    <row r="65" spans="1:4" ht="39.950000000000003" customHeight="1">
      <c r="A65" s="20"/>
      <c r="B65" s="21"/>
      <c r="C65" s="22"/>
      <c r="D65" s="22"/>
    </row>
    <row r="66" spans="1:4" ht="39.950000000000003" customHeight="1">
      <c r="A66" s="20"/>
      <c r="B66" s="21"/>
      <c r="C66" s="22"/>
      <c r="D66" s="22"/>
    </row>
    <row r="67" spans="1:4" ht="39.950000000000003" customHeight="1">
      <c r="A67" s="20"/>
      <c r="B67" s="21"/>
      <c r="C67" s="22"/>
      <c r="D67" s="22"/>
    </row>
    <row r="68" spans="1:4" ht="39.950000000000003" customHeight="1">
      <c r="A68" s="20"/>
      <c r="B68" s="21"/>
      <c r="C68" s="22"/>
      <c r="D68" s="22"/>
    </row>
    <row r="69" spans="1:4">
      <c r="B69" s="23"/>
      <c r="C69" s="24"/>
      <c r="D69" s="24"/>
    </row>
    <row r="70" spans="1:4">
      <c r="B70" s="23"/>
      <c r="C70" s="24"/>
      <c r="D70" s="24"/>
    </row>
    <row r="71" spans="1:4">
      <c r="B71" s="23"/>
      <c r="C71" s="24"/>
      <c r="D71" s="24"/>
    </row>
    <row r="72" spans="1:4">
      <c r="B72" s="23"/>
      <c r="C72" s="24"/>
      <c r="D72" s="24"/>
    </row>
    <row r="73" spans="1:4">
      <c r="B73" s="23"/>
      <c r="C73" s="23"/>
      <c r="D73" s="23"/>
    </row>
    <row r="74" spans="1:4">
      <c r="B74" s="23"/>
      <c r="C74" s="23"/>
      <c r="D74" s="23"/>
    </row>
    <row r="75" spans="1:4">
      <c r="B75" s="23"/>
      <c r="C75" s="23"/>
      <c r="D75" s="23"/>
    </row>
    <row r="76" spans="1:4">
      <c r="B76" s="23"/>
      <c r="C76" s="23"/>
      <c r="D76" s="23"/>
    </row>
    <row r="77" spans="1:4">
      <c r="B77" s="23"/>
      <c r="C77" s="23"/>
      <c r="D77" s="23"/>
    </row>
    <row r="78" spans="1:4">
      <c r="B78" s="23"/>
      <c r="C78" s="23"/>
      <c r="D78" s="23"/>
    </row>
    <row r="79" spans="1:4">
      <c r="B79" s="23"/>
      <c r="C79" s="23"/>
      <c r="D79" s="23"/>
    </row>
    <row r="80" spans="1:4">
      <c r="B80" s="23"/>
      <c r="C80" s="23"/>
      <c r="D80" s="23"/>
    </row>
    <row r="81" spans="2:4">
      <c r="B81" s="23"/>
      <c r="C81" s="23"/>
      <c r="D81" s="23"/>
    </row>
    <row r="82" spans="2:4">
      <c r="B82" s="23"/>
      <c r="C82" s="23"/>
      <c r="D82" s="23"/>
    </row>
    <row r="83" spans="2:4">
      <c r="B83" s="23"/>
      <c r="C83" s="23"/>
      <c r="D83" s="23"/>
    </row>
    <row r="84" spans="2:4">
      <c r="B84" s="23"/>
      <c r="C84" s="23"/>
      <c r="D84" s="23"/>
    </row>
    <row r="85" spans="2:4">
      <c r="B85" s="23"/>
      <c r="C85" s="23"/>
      <c r="D85" s="23"/>
    </row>
  </sheetData>
  <mergeCells count="15">
    <mergeCell ref="D3:D4"/>
    <mergeCell ref="D5:D6"/>
    <mergeCell ref="D7:D8"/>
    <mergeCell ref="D9:D10"/>
    <mergeCell ref="A11:B12"/>
    <mergeCell ref="D11:D12"/>
    <mergeCell ref="A20:D20"/>
    <mergeCell ref="A22:D22"/>
    <mergeCell ref="A26:D26"/>
    <mergeCell ref="A13:D13"/>
    <mergeCell ref="A14:A16"/>
    <mergeCell ref="B14:B16"/>
    <mergeCell ref="C14:C16"/>
    <mergeCell ref="D14:D16"/>
    <mergeCell ref="A18:D18"/>
  </mergeCells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="60" zoomScaleNormal="55" workbookViewId="0">
      <selection activeCell="M16" sqref="M16"/>
    </sheetView>
  </sheetViews>
  <sheetFormatPr defaultRowHeight="15"/>
  <cols>
    <col min="1" max="1" width="15.7109375" style="5" customWidth="1"/>
    <col min="2" max="2" width="181.7109375" style="5" customWidth="1"/>
    <col min="3" max="4" width="15.7109375" style="5" hidden="1" customWidth="1"/>
    <col min="5" max="5" width="17.7109375" style="5" customWidth="1"/>
    <col min="6" max="6" width="15.7109375" style="5" customWidth="1"/>
    <col min="7" max="7" width="17.7109375" style="5" customWidth="1"/>
    <col min="8" max="8" width="21.28515625" style="29" bestFit="1" customWidth="1"/>
    <col min="9" max="9" width="20.7109375" style="5" customWidth="1"/>
    <col min="10" max="11" width="20.7109375" customWidth="1"/>
  </cols>
  <sheetData>
    <row r="1" spans="1:9">
      <c r="A1" s="232"/>
      <c r="B1" s="232"/>
      <c r="C1" s="11"/>
      <c r="D1" s="11"/>
      <c r="E1" s="11"/>
      <c r="F1" s="11"/>
      <c r="G1" s="11"/>
      <c r="H1" s="25"/>
      <c r="I1" s="11"/>
    </row>
    <row r="2" spans="1:9">
      <c r="A2" s="232"/>
      <c r="B2" s="232"/>
      <c r="C2" s="11"/>
      <c r="D2" s="11"/>
      <c r="E2" s="11"/>
      <c r="F2" s="11"/>
      <c r="G2" s="11"/>
      <c r="H2" s="25"/>
      <c r="I2" s="11"/>
    </row>
    <row r="3" spans="1:9" ht="15" customHeight="1">
      <c r="A3" s="220">
        <f>'1-1'!A1:B1</f>
        <v>0</v>
      </c>
      <c r="B3" s="220"/>
      <c r="C3" s="11"/>
      <c r="D3" s="11"/>
      <c r="E3" s="224" t="s">
        <v>17</v>
      </c>
      <c r="F3" s="224"/>
      <c r="G3" s="224"/>
      <c r="H3" s="220"/>
      <c r="I3" s="220"/>
    </row>
    <row r="4" spans="1:9" ht="15" customHeight="1">
      <c r="A4" s="220"/>
      <c r="B4" s="220"/>
      <c r="C4" s="11"/>
      <c r="D4" s="11"/>
      <c r="E4" s="224"/>
      <c r="F4" s="224"/>
      <c r="G4" s="224"/>
      <c r="H4" s="220"/>
      <c r="I4" s="220"/>
    </row>
    <row r="5" spans="1:9" ht="15" customHeight="1">
      <c r="A5" s="220" t="s">
        <v>28</v>
      </c>
      <c r="B5" s="220"/>
      <c r="C5" s="11"/>
      <c r="D5" s="11"/>
      <c r="E5" s="224" t="s">
        <v>18</v>
      </c>
      <c r="F5" s="224"/>
      <c r="G5" s="224"/>
      <c r="H5" s="220"/>
      <c r="I5" s="220"/>
    </row>
    <row r="6" spans="1:9" ht="15" customHeight="1">
      <c r="A6" s="220"/>
      <c r="B6" s="220"/>
      <c r="C6" s="11"/>
      <c r="D6" s="11"/>
      <c r="E6" s="224"/>
      <c r="F6" s="224"/>
      <c r="G6" s="224"/>
      <c r="H6" s="220"/>
      <c r="I6" s="220"/>
    </row>
    <row r="7" spans="1:9" ht="15" customHeight="1">
      <c r="A7" s="220">
        <f>'1-1'!A3:B3</f>
        <v>0</v>
      </c>
      <c r="B7" s="220"/>
      <c r="C7" s="11"/>
      <c r="D7" s="11"/>
      <c r="E7" s="224" t="s">
        <v>58</v>
      </c>
      <c r="F7" s="224"/>
      <c r="G7" s="224"/>
      <c r="H7" s="220" t="s">
        <v>20</v>
      </c>
      <c r="I7" s="220"/>
    </row>
    <row r="8" spans="1:9" ht="15" customHeight="1">
      <c r="A8" s="220"/>
      <c r="B8" s="220"/>
      <c r="C8" s="11"/>
      <c r="D8" s="11"/>
      <c r="E8" s="224"/>
      <c r="F8" s="224"/>
      <c r="G8" s="224"/>
      <c r="H8" s="220"/>
      <c r="I8" s="220"/>
    </row>
    <row r="9" spans="1:9" ht="15" customHeight="1">
      <c r="A9" s="220" t="s">
        <v>29</v>
      </c>
      <c r="B9" s="220"/>
      <c r="C9" s="11"/>
      <c r="D9" s="11"/>
      <c r="E9" s="224" t="s">
        <v>19</v>
      </c>
      <c r="F9" s="224"/>
      <c r="G9" s="224"/>
      <c r="H9" s="220"/>
      <c r="I9" s="220"/>
    </row>
    <row r="10" spans="1:9" ht="15" customHeight="1">
      <c r="A10" s="220"/>
      <c r="B10" s="220"/>
      <c r="C10" s="11"/>
      <c r="D10" s="11"/>
      <c r="E10" s="224"/>
      <c r="F10" s="224"/>
      <c r="G10" s="224"/>
      <c r="H10" s="220"/>
      <c r="I10" s="220"/>
    </row>
    <row r="11" spans="1:9" ht="15" customHeight="1">
      <c r="A11" s="220"/>
      <c r="B11" s="220"/>
      <c r="C11" s="11"/>
      <c r="D11" s="224"/>
      <c r="E11" s="224"/>
      <c r="F11" s="224"/>
      <c r="G11" s="224"/>
      <c r="H11" s="220"/>
      <c r="I11" s="220"/>
    </row>
    <row r="12" spans="1:9" ht="15" customHeight="1">
      <c r="A12" s="220"/>
      <c r="B12" s="220"/>
      <c r="C12" s="11"/>
      <c r="D12" s="224"/>
      <c r="E12" s="224"/>
      <c r="F12" s="224"/>
      <c r="G12" s="224"/>
      <c r="H12" s="220"/>
      <c r="I12" s="220"/>
    </row>
    <row r="13" spans="1:9" ht="15" customHeight="1">
      <c r="A13" s="225" t="e">
        <f>'1-1'!A6:M8</f>
        <v>#VALUE!</v>
      </c>
      <c r="B13" s="225"/>
      <c r="C13" s="225"/>
      <c r="D13" s="225"/>
      <c r="E13" s="225"/>
      <c r="F13" s="225"/>
      <c r="G13" s="225"/>
      <c r="H13" s="225"/>
      <c r="I13" s="225"/>
    </row>
    <row r="14" spans="1:9" ht="15" customHeight="1">
      <c r="A14" s="225"/>
      <c r="B14" s="225"/>
      <c r="C14" s="225"/>
      <c r="D14" s="225"/>
      <c r="E14" s="225"/>
      <c r="F14" s="225"/>
      <c r="G14" s="225"/>
      <c r="H14" s="225"/>
      <c r="I14" s="225"/>
    </row>
    <row r="15" spans="1:9" ht="15" customHeight="1">
      <c r="A15" s="225"/>
      <c r="B15" s="225"/>
      <c r="C15" s="225"/>
      <c r="D15" s="225"/>
      <c r="E15" s="225"/>
      <c r="F15" s="225"/>
      <c r="G15" s="225"/>
      <c r="H15" s="225"/>
      <c r="I15" s="225"/>
    </row>
    <row r="16" spans="1:9" s="5" customFormat="1" ht="39.950000000000003" customHeight="1">
      <c r="A16" s="218" t="s">
        <v>2</v>
      </c>
      <c r="B16" s="226" t="s">
        <v>3</v>
      </c>
      <c r="C16" s="229" t="s">
        <v>7</v>
      </c>
      <c r="D16" s="229" t="s">
        <v>8</v>
      </c>
      <c r="E16" s="229" t="s">
        <v>7</v>
      </c>
      <c r="F16" s="229" t="s">
        <v>8</v>
      </c>
      <c r="G16" s="221" t="s">
        <v>252</v>
      </c>
      <c r="H16" s="218" t="s">
        <v>253</v>
      </c>
      <c r="I16" s="218" t="s">
        <v>5</v>
      </c>
    </row>
    <row r="17" spans="1:9" s="5" customFormat="1" ht="39.950000000000003" customHeight="1">
      <c r="A17" s="218"/>
      <c r="B17" s="227"/>
      <c r="C17" s="230"/>
      <c r="D17" s="230"/>
      <c r="E17" s="230"/>
      <c r="F17" s="230"/>
      <c r="G17" s="222"/>
      <c r="H17" s="218"/>
      <c r="I17" s="218"/>
    </row>
    <row r="18" spans="1:9" s="5" customFormat="1" ht="39.950000000000003" customHeight="1">
      <c r="A18" s="218"/>
      <c r="B18" s="228"/>
      <c r="C18" s="231"/>
      <c r="D18" s="231"/>
      <c r="E18" s="231"/>
      <c r="F18" s="231"/>
      <c r="G18" s="223"/>
      <c r="H18" s="218"/>
      <c r="I18" s="218"/>
    </row>
    <row r="19" spans="1:9" s="5" customFormat="1" ht="39.950000000000003" customHeight="1">
      <c r="A19" s="13">
        <v>1</v>
      </c>
      <c r="B19" s="13">
        <v>2</v>
      </c>
      <c r="C19" s="13">
        <v>3</v>
      </c>
      <c r="D19" s="13">
        <v>4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</row>
    <row r="20" spans="1:9" s="5" customFormat="1" ht="80.099999999999994" customHeight="1">
      <c r="A20" s="13"/>
      <c r="B20" s="15">
        <f>'1-1'!B13</f>
        <v>0</v>
      </c>
      <c r="C20" s="1"/>
      <c r="D20" s="1"/>
      <c r="E20" s="1"/>
      <c r="F20" s="1"/>
      <c r="G20" s="1"/>
      <c r="H20" s="3"/>
      <c r="I20" s="1"/>
    </row>
    <row r="21" spans="1:9" ht="39.950000000000003" customHeight="1">
      <c r="A21" s="26">
        <f>'1-1'!A14</f>
        <v>0</v>
      </c>
      <c r="B21" s="26">
        <f>'1-1'!B14</f>
        <v>0</v>
      </c>
      <c r="C21" s="26">
        <f>'1-1'!C14</f>
        <v>0</v>
      </c>
      <c r="D21" s="26">
        <f>'1-1'!E14</f>
        <v>0</v>
      </c>
      <c r="E21" s="4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3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4" t="e">
        <f t="shared" ref="G21" si="2">ROUND(H21/F21,2)</f>
        <v>#DIV/0!</v>
      </c>
      <c r="H21" s="26">
        <f>'1-1'!L14</f>
        <v>0</v>
      </c>
      <c r="I21" s="26">
        <f>'1-1'!M14</f>
        <v>0</v>
      </c>
    </row>
    <row r="22" spans="1:9" s="5" customFormat="1" ht="39.950000000000003" customHeight="1">
      <c r="A22" s="17"/>
      <c r="B22" s="13" t="s">
        <v>4</v>
      </c>
      <c r="C22" s="1"/>
      <c r="D22" s="3"/>
      <c r="E22" s="3"/>
      <c r="F22" s="4"/>
      <c r="G22" s="3"/>
      <c r="H22" s="3">
        <f>ROUND(SUM(H21:H21),2)</f>
        <v>0</v>
      </c>
      <c r="I22" s="27"/>
    </row>
    <row r="23" spans="1:9" s="5" customFormat="1" ht="39.950000000000003" customHeight="1">
      <c r="A23" s="17"/>
      <c r="B23" s="13" t="s">
        <v>10</v>
      </c>
      <c r="C23" s="1"/>
      <c r="D23" s="1"/>
      <c r="E23" s="30" t="s">
        <v>12</v>
      </c>
      <c r="F23" s="1">
        <v>10</v>
      </c>
      <c r="G23" s="1"/>
      <c r="H23" s="3">
        <f>ROUND(H22*F23%,2)</f>
        <v>0</v>
      </c>
      <c r="I23" s="27"/>
    </row>
    <row r="24" spans="1:9" s="5" customFormat="1" ht="39.950000000000003" customHeight="1">
      <c r="A24" s="17"/>
      <c r="B24" s="13" t="s">
        <v>4</v>
      </c>
      <c r="C24" s="1"/>
      <c r="D24" s="1"/>
      <c r="E24" s="4"/>
      <c r="F24" s="1"/>
      <c r="G24" s="4"/>
      <c r="H24" s="4">
        <f>ROUND(SUM(H22:H23),2)</f>
        <v>0</v>
      </c>
      <c r="I24" s="27"/>
    </row>
    <row r="25" spans="1:9" s="5" customFormat="1" ht="39.950000000000003" customHeight="1">
      <c r="A25" s="17"/>
      <c r="B25" s="13" t="s">
        <v>11</v>
      </c>
      <c r="C25" s="1"/>
      <c r="D25" s="1"/>
      <c r="E25" s="30" t="s">
        <v>12</v>
      </c>
      <c r="F25" s="1">
        <v>8</v>
      </c>
      <c r="G25" s="1"/>
      <c r="H25" s="3">
        <f>ROUND(H24*F25%,2)</f>
        <v>0</v>
      </c>
      <c r="I25" s="27"/>
    </row>
    <row r="26" spans="1:9" s="5" customFormat="1" ht="39.950000000000003" customHeight="1">
      <c r="A26" s="17"/>
      <c r="B26" s="13" t="s">
        <v>4</v>
      </c>
      <c r="C26" s="1"/>
      <c r="D26" s="1"/>
      <c r="E26" s="1"/>
      <c r="F26" s="1"/>
      <c r="G26" s="1"/>
      <c r="H26" s="3">
        <f>ROUND(SUM(H24:H25),2)</f>
        <v>0</v>
      </c>
      <c r="I26" s="27"/>
    </row>
    <row r="27" spans="1:9" s="5" customFormat="1" ht="80.099999999999994" customHeight="1">
      <c r="A27" s="13"/>
      <c r="B27" s="15" t="str">
        <f>'2-1'!C7</f>
        <v>მიწის ვაკისი</v>
      </c>
      <c r="C27" s="1"/>
      <c r="D27" s="1"/>
      <c r="E27" s="1"/>
      <c r="F27" s="1"/>
      <c r="G27" s="1"/>
      <c r="H27" s="3"/>
      <c r="I27" s="1"/>
    </row>
    <row r="28" spans="1:9" ht="39.950000000000003" customHeight="1">
      <c r="A28" s="26">
        <f>'2-1'!A8</f>
        <v>0</v>
      </c>
      <c r="B28" s="26">
        <f>'2-1'!C8</f>
        <v>0</v>
      </c>
      <c r="C28" s="26">
        <f>'2-1'!D8</f>
        <v>0</v>
      </c>
      <c r="D28" s="26">
        <f>'2-1'!F8</f>
        <v>0</v>
      </c>
      <c r="E28" s="4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4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4" t="e">
        <f t="shared" ref="G28" si="5">ROUND(H28/F28,2)</f>
        <v>#DIV/0!</v>
      </c>
      <c r="H28" s="26">
        <f>'2-1'!M8</f>
        <v>0</v>
      </c>
      <c r="I28" s="26">
        <f>'2-1'!B8</f>
        <v>0</v>
      </c>
    </row>
    <row r="29" spans="1:9" ht="39.950000000000003" customHeight="1">
      <c r="A29" s="26" t="str">
        <f>'2-1'!A13</f>
        <v>1.1.3</v>
      </c>
      <c r="B29" s="26" t="str">
        <f>'2-1'!C13</f>
        <v>სხვა მანქანები</v>
      </c>
      <c r="C29" s="26" t="str">
        <f>'2-1'!D13</f>
        <v>ლარი</v>
      </c>
      <c r="D29" s="26">
        <f>'2-1'!F13</f>
        <v>0.95760000000000012</v>
      </c>
      <c r="E29" s="4" t="str">
        <f t="shared" ref="E29:E34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ლარი</v>
      </c>
      <c r="F29" s="4">
        <f t="shared" ref="F29:F34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0.95760000000000012</v>
      </c>
      <c r="G29" s="4">
        <f t="shared" ref="G29:G34" si="8">ROUND(H29/F29,2)</f>
        <v>0</v>
      </c>
      <c r="H29" s="26">
        <f>'2-1'!M13</f>
        <v>0</v>
      </c>
      <c r="I29" s="26">
        <f>'2-1'!B13</f>
        <v>0</v>
      </c>
    </row>
    <row r="30" spans="1:9" ht="39.950000000000003" customHeight="1">
      <c r="A30" s="26" t="str">
        <f>'2-1'!A14</f>
        <v>1.1.4</v>
      </c>
      <c r="B30" s="26" t="str">
        <f>'2-1'!C14</f>
        <v>ღორღი ბუნებრივი ქვის ფრაქცია 40-70</v>
      </c>
      <c r="C30" s="26" t="str">
        <f>'2-1'!D14</f>
        <v>მ3</v>
      </c>
      <c r="D30" s="26">
        <f>'2-1'!F14</f>
        <v>2.2800000000000001E-2</v>
      </c>
      <c r="E30" s="4" t="b">
        <f t="shared" si="6"/>
        <v>0</v>
      </c>
      <c r="F30" s="4" t="b">
        <f t="shared" si="7"/>
        <v>0</v>
      </c>
      <c r="G30" s="4" t="e">
        <f t="shared" si="8"/>
        <v>#DIV/0!</v>
      </c>
      <c r="H30" s="26">
        <f>'2-1'!M14</f>
        <v>0</v>
      </c>
      <c r="I30" s="26" t="str">
        <f>'2-1'!B14</f>
        <v>4-1-238</v>
      </c>
    </row>
    <row r="31" spans="1:9" ht="39.950000000000003" customHeight="1">
      <c r="A31" s="26">
        <f>'2-1'!A19</f>
        <v>0</v>
      </c>
      <c r="B31" s="26">
        <f>'2-1'!C19</f>
        <v>0</v>
      </c>
      <c r="C31" s="26" t="str">
        <f>'2-1'!D19</f>
        <v>1000 მ3</v>
      </c>
      <c r="D31" s="26">
        <f>'2-1'!F19</f>
        <v>0.45600000000000002</v>
      </c>
      <c r="E31" s="4" t="b">
        <f t="shared" si="6"/>
        <v>0</v>
      </c>
      <c r="F31" s="4" t="b">
        <f t="shared" si="7"/>
        <v>0</v>
      </c>
      <c r="G31" s="4" t="e">
        <f t="shared" si="8"/>
        <v>#DIV/0!</v>
      </c>
      <c r="H31" s="26">
        <f>'2-1'!M19</f>
        <v>0</v>
      </c>
      <c r="I31" s="26">
        <f>'2-1'!B19</f>
        <v>0</v>
      </c>
    </row>
    <row r="32" spans="1:9" ht="39.950000000000003" customHeight="1">
      <c r="A32" s="26">
        <f>'2-1'!A24</f>
        <v>0</v>
      </c>
      <c r="B32" s="26">
        <f>'2-1'!C24</f>
        <v>0</v>
      </c>
      <c r="C32" s="26">
        <f>'2-1'!D24</f>
        <v>0</v>
      </c>
      <c r="D32" s="26">
        <f>'2-1'!F24</f>
        <v>0</v>
      </c>
      <c r="E32" s="4" t="b">
        <f t="shared" si="6"/>
        <v>0</v>
      </c>
      <c r="F32" s="4" t="b">
        <f t="shared" si="7"/>
        <v>0</v>
      </c>
      <c r="G32" s="4" t="e">
        <f t="shared" si="8"/>
        <v>#DIV/0!</v>
      </c>
      <c r="H32" s="26">
        <f>'2-1'!M24</f>
        <v>0</v>
      </c>
      <c r="I32" s="26">
        <f>'2-1'!B24</f>
        <v>0</v>
      </c>
    </row>
    <row r="33" spans="1:10" ht="39.950000000000003" customHeight="1">
      <c r="A33" s="26">
        <f>'2-1'!A25</f>
        <v>1.4</v>
      </c>
      <c r="B33" s="26" t="str">
        <f>'2-1'!C25</f>
        <v xml:space="preserve">ხრეშოვანი გრუნტის დატვირთვა კარიერში ექსკავატორით ავტოთვითმცლელზე </v>
      </c>
      <c r="C33" s="26" t="str">
        <f>'2-1'!D25</f>
        <v>მ3</v>
      </c>
      <c r="D33" s="26">
        <f>'2-1'!F25</f>
        <v>133</v>
      </c>
      <c r="E33" s="4" t="b">
        <f t="shared" si="6"/>
        <v>0</v>
      </c>
      <c r="F33" s="4" t="b">
        <f t="shared" si="7"/>
        <v>0</v>
      </c>
      <c r="G33" s="4" t="e">
        <f t="shared" si="8"/>
        <v>#DIV/0!</v>
      </c>
      <c r="H33" s="26">
        <f>'2-1'!M25</f>
        <v>0</v>
      </c>
      <c r="I33" s="26" t="str">
        <f>'2-1'!B25</f>
        <v>1-22-15</v>
      </c>
      <c r="J33" s="2"/>
    </row>
    <row r="34" spans="1:10" ht="39.950000000000003" customHeight="1">
      <c r="A34" s="33" t="str">
        <f>'2-1'!A27</f>
        <v>1.4.1</v>
      </c>
      <c r="B34" s="26" t="str">
        <f>'2-1'!C27</f>
        <v>შრომითი დანახარჯები</v>
      </c>
      <c r="C34" s="26" t="str">
        <f>'2-1'!D27</f>
        <v>კაც/სთ</v>
      </c>
      <c r="D34" s="26">
        <f>'2-1'!F27</f>
        <v>2.66</v>
      </c>
      <c r="E34" s="4" t="b">
        <f t="shared" si="6"/>
        <v>0</v>
      </c>
      <c r="F34" s="4" t="b">
        <f t="shared" si="7"/>
        <v>0</v>
      </c>
      <c r="G34" s="4" t="e">
        <f t="shared" si="8"/>
        <v>#DIV/0!</v>
      </c>
      <c r="H34" s="26">
        <f>'2-1'!M27</f>
        <v>0</v>
      </c>
      <c r="I34" s="26">
        <f>'2-1'!B27</f>
        <v>0</v>
      </c>
      <c r="J34" s="2"/>
    </row>
    <row r="35" spans="1:10" s="5" customFormat="1" ht="39.950000000000003" customHeight="1">
      <c r="A35" s="17"/>
      <c r="B35" s="13" t="s">
        <v>4</v>
      </c>
      <c r="C35" s="1"/>
      <c r="D35" s="3"/>
      <c r="E35" s="3"/>
      <c r="F35" s="4"/>
      <c r="G35" s="3"/>
      <c r="H35" s="3">
        <f>ROUND(SUM(H28:H34),2)</f>
        <v>0</v>
      </c>
      <c r="I35" s="27"/>
    </row>
    <row r="36" spans="1:10" s="5" customFormat="1" ht="39.950000000000003" customHeight="1">
      <c r="A36" s="17"/>
      <c r="B36" s="13" t="s">
        <v>10</v>
      </c>
      <c r="C36" s="1"/>
      <c r="D36" s="1"/>
      <c r="E36" s="30" t="s">
        <v>12</v>
      </c>
      <c r="F36" s="1">
        <v>10</v>
      </c>
      <c r="G36" s="1"/>
      <c r="H36" s="3">
        <f>ROUND(H35*F36%,2)</f>
        <v>0</v>
      </c>
      <c r="I36" s="27"/>
    </row>
    <row r="37" spans="1:10" s="5" customFormat="1" ht="39.950000000000003" customHeight="1">
      <c r="A37" s="17"/>
      <c r="B37" s="13" t="s">
        <v>4</v>
      </c>
      <c r="C37" s="1"/>
      <c r="D37" s="1"/>
      <c r="E37" s="4"/>
      <c r="F37" s="1"/>
      <c r="G37" s="4"/>
      <c r="H37" s="4">
        <f>ROUND(SUM(H35:H36),2)</f>
        <v>0</v>
      </c>
      <c r="I37" s="27"/>
    </row>
    <row r="38" spans="1:10" s="5" customFormat="1" ht="39.950000000000003" customHeight="1">
      <c r="A38" s="17"/>
      <c r="B38" s="13" t="s">
        <v>11</v>
      </c>
      <c r="C38" s="1"/>
      <c r="D38" s="1"/>
      <c r="E38" s="30" t="s">
        <v>12</v>
      </c>
      <c r="F38" s="1">
        <v>8</v>
      </c>
      <c r="G38" s="1"/>
      <c r="H38" s="3">
        <f>ROUND(H37*F38%,2)</f>
        <v>0</v>
      </c>
      <c r="I38" s="27"/>
    </row>
    <row r="39" spans="1:10" s="5" customFormat="1" ht="39.950000000000003" customHeight="1">
      <c r="A39" s="17"/>
      <c r="B39" s="13" t="s">
        <v>4</v>
      </c>
      <c r="C39" s="1"/>
      <c r="D39" s="1"/>
      <c r="E39" s="1"/>
      <c r="F39" s="1"/>
      <c r="G39" s="1"/>
      <c r="H39" s="3">
        <f>ROUND(SUM(H37:H38),2)</f>
        <v>0</v>
      </c>
      <c r="I39" s="27"/>
    </row>
    <row r="40" spans="1:10" s="5" customFormat="1" ht="80.099999999999994" customHeight="1">
      <c r="A40" s="13"/>
      <c r="B40" s="15" t="str">
        <f>'3-1'!C8</f>
        <v>წყალგამტარი მილების კვეთით 6.0x3.0 მ მოწყობის სამუშაოები</v>
      </c>
      <c r="C40" s="1"/>
      <c r="D40" s="1"/>
      <c r="E40" s="1"/>
      <c r="F40" s="1"/>
      <c r="G40" s="1"/>
      <c r="H40" s="3"/>
      <c r="I40" s="1"/>
    </row>
    <row r="41" spans="1:10" ht="39.950000000000003" customHeight="1">
      <c r="A41" s="26">
        <f>'3-1'!A11</f>
        <v>0</v>
      </c>
      <c r="B41" s="26">
        <f>'3-1'!C11</f>
        <v>0</v>
      </c>
      <c r="C41" s="26" t="str">
        <f>'3-1'!D11</f>
        <v>1000 მ3</v>
      </c>
      <c r="D41" s="26">
        <f>'3-1'!F11</f>
        <v>0.14799999999999999</v>
      </c>
      <c r="E41" s="4" t="b">
        <f t="shared" ref="E41" si="9">IF(C41="კმ","კმ",IF(C41="1 ჰა","1 ჰა",IF(C41="100 ც","ც",IF(C41="1 ც","ც",IF(C41="ც","ც",IF(C41="ტ","ტ",IF(C41="1 ტ","ტ",IF(C41="მ³","მ³",IF(C41="1 მ³","მ³",IF(C41="10 მ³","მ³",IF(C41="100 მ³","მ³",IF(C41="1000 მ³","მ³",IF(C41="1000 მ","მ",IF(C41="100 მ","მ",IF(C41="10 მ","მ",IF(C41="10 მ ","მ",IF(C41="მ","მ",IF(C41="1000 მ²","მ²",IF(C41="1000 მ² ","მ²",IF(C41="100 მ²","მ²",IF(C41="100 მ² ","მ²",IF(C41="10 მ²","მ²",IF(C41="მ² ","მ²",IF(C41="ლარი","ლარი",IF(C41="ხიდი","ლარი",IF(C41="100 მ","მ",IF(C41="გ.მ.","მ")))))))))))))))))))))))))))</f>
        <v>0</v>
      </c>
      <c r="F41" s="4" t="b">
        <f t="shared" ref="F41" si="10">IF(C41="კმ",D41,IF(C41="1 ჰა",D41,IF(C41="100 ც",D41*100,IF(C41="1 ც",D41,IF(C41="ც",D41,IF(C41="ტ",D41,IF(C41="1 ტ",D41,IF(C41="მ³",D41,IF(C41="1 მ³",D41,IF(C41="10 მ³",D41*10,IF(C41="100 მ³",D41*100,IF(C41="1000 მ³",D41*1000,IF(C41="1000 მ",D41*1000,IF(C41="100 მ",D41*100,IF(C41="10 მ",D41*10,IF(C41="10 მ ",D41*10,IF(C41="მ",D41,IF(C41="1000 მ²",D41*1000,IF(C41="1000 მ² ",D41*1000,IF(C41="100 მ²",D41*100,IF(C41="100 მ² ",D41*100,IF(C41="10 მ²",D41*10,IF(C41="მ² ",D41,IF(C41="ლარი",D41,IF(C41="ხიდი",D41,IF(C41="100 მ",D41*100,IF(C41="გ.მ.",D41)))))))))))))))))))))))))))</f>
        <v>0</v>
      </c>
      <c r="G41" s="4" t="e">
        <f t="shared" ref="G41" si="11">ROUND(H41/F41,2)</f>
        <v>#DIV/0!</v>
      </c>
      <c r="H41" s="26">
        <f>'3-1'!M11</f>
        <v>0</v>
      </c>
      <c r="I41" s="26">
        <f>'3-1'!B11</f>
        <v>0</v>
      </c>
    </row>
    <row r="42" spans="1:10" ht="39.950000000000003" customHeight="1">
      <c r="A42" s="26">
        <f>'3-1'!A17</f>
        <v>1.2</v>
      </c>
      <c r="B42" s="26" t="str">
        <f>'3-1'!C17</f>
        <v>მე-3 კატეგორიის გრუნტის ფენის დამუშავება ხელით ადგილზე მოსწორებით</v>
      </c>
      <c r="C42" s="26" t="str">
        <f>'3-1'!D17</f>
        <v>მ3</v>
      </c>
      <c r="D42" s="26">
        <f>'3-1'!F17</f>
        <v>3</v>
      </c>
      <c r="E42" s="4" t="b">
        <f t="shared" ref="E42:E59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0</v>
      </c>
      <c r="F42" s="4" t="b">
        <f t="shared" ref="F42:F59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0</v>
      </c>
      <c r="G42" s="4" t="e">
        <f t="shared" ref="G42:G59" si="14">ROUND(H42/F42,2)</f>
        <v>#DIV/0!</v>
      </c>
      <c r="H42" s="26">
        <f>'3-1'!M17</f>
        <v>0</v>
      </c>
      <c r="I42" s="26" t="str">
        <f>'3-1'!B17</f>
        <v>1-80-3</v>
      </c>
    </row>
    <row r="43" spans="1:10" ht="39.950000000000003" customHeight="1">
      <c r="A43" s="26">
        <f>'3-1'!A21</f>
        <v>1.3</v>
      </c>
      <c r="B43" s="26" t="str">
        <f>'3-1'!C21</f>
        <v>ტვირთის ტრანსპორტირება ნაყარში 3 კმ მანძილზე</v>
      </c>
      <c r="C43" s="26" t="str">
        <f>'3-1'!D21</f>
        <v>ტ</v>
      </c>
      <c r="D43" s="26">
        <f>'3-1'!F21</f>
        <v>288.59999999999997</v>
      </c>
      <c r="E43" s="4" t="str">
        <f t="shared" si="12"/>
        <v>ტ</v>
      </c>
      <c r="F43" s="4">
        <f t="shared" si="13"/>
        <v>288.59999999999997</v>
      </c>
      <c r="G43" s="4">
        <f t="shared" si="14"/>
        <v>0</v>
      </c>
      <c r="H43" s="26">
        <f>'3-1'!M21</f>
        <v>0</v>
      </c>
      <c r="I43" s="26" t="str">
        <f>'3-1'!B21</f>
        <v>15-ტრ-3</v>
      </c>
    </row>
    <row r="44" spans="1:10" ht="39.950000000000003" customHeight="1">
      <c r="A44" s="26">
        <f>'3-1'!A23</f>
        <v>1.4</v>
      </c>
      <c r="B44" s="26" t="str">
        <f>'3-1'!C23</f>
        <v>მე-3 კატეგორიის გრუნტის დამუშავება ნაყარში</v>
      </c>
      <c r="C44" s="26" t="str">
        <f>'3-1'!D23</f>
        <v>მ3</v>
      </c>
      <c r="D44" s="26">
        <f>'3-1'!F23</f>
        <v>148</v>
      </c>
      <c r="E44" s="4" t="b">
        <f t="shared" si="12"/>
        <v>0</v>
      </c>
      <c r="F44" s="4" t="b">
        <f t="shared" si="13"/>
        <v>0</v>
      </c>
      <c r="G44" s="4" t="e">
        <f t="shared" si="14"/>
        <v>#DIV/0!</v>
      </c>
      <c r="H44" s="26">
        <f>'3-1'!M23</f>
        <v>0</v>
      </c>
      <c r="I44" s="26" t="str">
        <f>'3-1'!B23</f>
        <v>1-25-2</v>
      </c>
    </row>
    <row r="45" spans="1:10" ht="39.950000000000003" customHeight="1">
      <c r="A45" s="26">
        <f>'3-1'!A31</f>
        <v>0</v>
      </c>
      <c r="B45" s="26">
        <f>'3-1'!C31</f>
        <v>0</v>
      </c>
      <c r="C45" s="26" t="str">
        <f>'3-1'!D31</f>
        <v>1 მ3</v>
      </c>
      <c r="D45" s="26">
        <f>'3-1'!F31</f>
        <v>54</v>
      </c>
      <c r="E45" s="4" t="b">
        <f t="shared" si="12"/>
        <v>0</v>
      </c>
      <c r="F45" s="4" t="b">
        <f t="shared" si="13"/>
        <v>0</v>
      </c>
      <c r="G45" s="4" t="e">
        <f t="shared" si="14"/>
        <v>#DIV/0!</v>
      </c>
      <c r="H45" s="26">
        <f>'3-1'!M31</f>
        <v>0</v>
      </c>
      <c r="I45" s="26">
        <f>'3-1'!B31</f>
        <v>0</v>
      </c>
    </row>
    <row r="46" spans="1:10" ht="39.950000000000003" customHeight="1">
      <c r="A46" s="26">
        <f>'3-1'!A38</f>
        <v>0</v>
      </c>
      <c r="B46" s="26">
        <f>'3-1'!C38</f>
        <v>0</v>
      </c>
      <c r="C46" s="26" t="str">
        <f>'3-1'!D38</f>
        <v>100 მ3</v>
      </c>
      <c r="D46" s="26">
        <f>'3-1'!F38</f>
        <v>0.4</v>
      </c>
      <c r="E46" s="4" t="b">
        <f t="shared" si="12"/>
        <v>0</v>
      </c>
      <c r="F46" s="4" t="b">
        <f t="shared" si="13"/>
        <v>0</v>
      </c>
      <c r="G46" s="4" t="e">
        <f t="shared" si="14"/>
        <v>#DIV/0!</v>
      </c>
      <c r="H46" s="26">
        <f>'3-1'!M38</f>
        <v>0</v>
      </c>
      <c r="I46" s="26">
        <f>'3-1'!B38</f>
        <v>0</v>
      </c>
    </row>
    <row r="47" spans="1:10" ht="39.950000000000003" customHeight="1">
      <c r="A47" s="26">
        <f>'3-1'!A45</f>
        <v>0</v>
      </c>
      <c r="B47" s="26">
        <f>'3-1'!C45</f>
        <v>0</v>
      </c>
      <c r="C47" s="26" t="str">
        <f>'3-1'!D45</f>
        <v>100 მ3</v>
      </c>
      <c r="D47" s="26">
        <f>'3-1'!F45</f>
        <v>1.35</v>
      </c>
      <c r="E47" s="4" t="b">
        <f t="shared" si="12"/>
        <v>0</v>
      </c>
      <c r="F47" s="4" t="b">
        <f t="shared" si="13"/>
        <v>0</v>
      </c>
      <c r="G47" s="4" t="e">
        <f t="shared" si="14"/>
        <v>#DIV/0!</v>
      </c>
      <c r="H47" s="26">
        <f>'3-1'!M45</f>
        <v>0</v>
      </c>
      <c r="I47" s="26">
        <f>'3-1'!B45</f>
        <v>0</v>
      </c>
    </row>
    <row r="48" spans="1:10" ht="39.950000000000003" customHeight="1">
      <c r="A48" s="26">
        <f>'3-1'!A58</f>
        <v>1.8</v>
      </c>
      <c r="B48" s="26" t="str">
        <f>'3-1'!C58</f>
        <v>სადეფორმაციო ნაკერების მოწყობა პენოპლასტით</v>
      </c>
      <c r="C48" s="26" t="str">
        <f>'3-1'!D58</f>
        <v>მ2</v>
      </c>
      <c r="D48" s="26">
        <f>'3-1'!F58</f>
        <v>18.2</v>
      </c>
      <c r="E48" s="4" t="b">
        <f t="shared" si="12"/>
        <v>0</v>
      </c>
      <c r="F48" s="4" t="b">
        <f t="shared" si="13"/>
        <v>0</v>
      </c>
      <c r="G48" s="4" t="e">
        <f t="shared" si="14"/>
        <v>#DIV/0!</v>
      </c>
      <c r="H48" s="26">
        <f>'3-1'!M58</f>
        <v>0</v>
      </c>
      <c r="I48" s="26" t="str">
        <f>'3-1'!B58</f>
        <v>საბაზრო</v>
      </c>
    </row>
    <row r="49" spans="1:9" ht="39.950000000000003" customHeight="1">
      <c r="A49" s="26">
        <f>'3-1'!A62</f>
        <v>1.9</v>
      </c>
      <c r="B49" s="26" t="str">
        <f>'3-1'!C62</f>
        <v xml:space="preserve">წასაცხები ჰიდროიზოლაციის მოწყობა </v>
      </c>
      <c r="C49" s="26" t="str">
        <f>'3-1'!D62</f>
        <v>მ2</v>
      </c>
      <c r="D49" s="26">
        <f>'3-1'!F62</f>
        <v>144</v>
      </c>
      <c r="E49" s="4" t="b">
        <f t="shared" si="12"/>
        <v>0</v>
      </c>
      <c r="F49" s="4" t="b">
        <f t="shared" si="13"/>
        <v>0</v>
      </c>
      <c r="G49" s="4" t="e">
        <f t="shared" si="14"/>
        <v>#DIV/0!</v>
      </c>
      <c r="H49" s="26">
        <f>'3-1'!M62</f>
        <v>0</v>
      </c>
      <c r="I49" s="26" t="str">
        <f>'3-1'!B62</f>
        <v>8-4-7.</v>
      </c>
    </row>
    <row r="50" spans="1:9" ht="39.950000000000003" customHeight="1">
      <c r="A50" s="34">
        <f>'3-1'!A71</f>
        <v>0</v>
      </c>
      <c r="B50" s="26">
        <f>'3-1'!C71</f>
        <v>0</v>
      </c>
      <c r="C50" s="26" t="str">
        <f>'3-1'!D71</f>
        <v>100 მ2</v>
      </c>
      <c r="D50" s="26">
        <f>'3-1'!F71</f>
        <v>1.44</v>
      </c>
      <c r="E50" s="4" t="b">
        <f t="shared" si="12"/>
        <v>0</v>
      </c>
      <c r="F50" s="4" t="b">
        <f t="shared" si="13"/>
        <v>0</v>
      </c>
      <c r="G50" s="4" t="e">
        <f t="shared" si="14"/>
        <v>#DIV/0!</v>
      </c>
      <c r="H50" s="26">
        <f>'3-1'!M71</f>
        <v>0</v>
      </c>
      <c r="I50" s="26" t="str">
        <f>'3-1'!B71</f>
        <v>ГЭСН</v>
      </c>
    </row>
    <row r="51" spans="1:9" ht="39.950000000000003" customHeight="1">
      <c r="A51" s="26">
        <f>'3-1'!A82</f>
        <v>1.1100000000000001</v>
      </c>
      <c r="B51" s="26" t="str">
        <f>'3-1'!C82</f>
        <v xml:space="preserve">ქვიშა-ხრეშოვანი ქვესაგები ფენის მოწყობა სისქით </v>
      </c>
      <c r="C51" s="26" t="str">
        <f>'3-1'!D82</f>
        <v>მ3</v>
      </c>
      <c r="D51" s="26">
        <f>'3-1'!F82</f>
        <v>20</v>
      </c>
      <c r="E51" s="4" t="b">
        <f t="shared" si="12"/>
        <v>0</v>
      </c>
      <c r="F51" s="4" t="b">
        <f t="shared" si="13"/>
        <v>0</v>
      </c>
      <c r="G51" s="4" t="e">
        <f t="shared" si="14"/>
        <v>#DIV/0!</v>
      </c>
      <c r="H51" s="26">
        <f>'3-1'!M82</f>
        <v>0</v>
      </c>
      <c r="I51" s="26" t="str">
        <f>'3-1'!B82</f>
        <v>8-3-2.</v>
      </c>
    </row>
    <row r="52" spans="1:9" ht="39.950000000000003" customHeight="1">
      <c r="A52" s="26">
        <f>'3-1'!A90</f>
        <v>0</v>
      </c>
      <c r="B52" s="26">
        <f>'3-1'!C90</f>
        <v>0</v>
      </c>
      <c r="C52" s="26" t="str">
        <f>'3-1'!D90</f>
        <v>100 მ3</v>
      </c>
      <c r="D52" s="26">
        <f>'3-1'!F90</f>
        <v>4.4000000000000004E-2</v>
      </c>
      <c r="E52" s="4" t="b">
        <f t="shared" si="12"/>
        <v>0</v>
      </c>
      <c r="F52" s="4" t="b">
        <f t="shared" si="13"/>
        <v>0</v>
      </c>
      <c r="G52" s="4" t="e">
        <f t="shared" si="14"/>
        <v>#DIV/0!</v>
      </c>
      <c r="H52" s="26">
        <f>'3-1'!M90</f>
        <v>0</v>
      </c>
      <c r="I52" s="26">
        <f>'3-1'!B90</f>
        <v>0</v>
      </c>
    </row>
    <row r="53" spans="1:9" ht="39.950000000000003" customHeight="1">
      <c r="A53" s="26">
        <f>'3-1'!A96</f>
        <v>1.1299999999999999</v>
      </c>
      <c r="B53" s="26" t="str">
        <f>'3-1'!C96</f>
        <v>რკ.-ბეტონის სათავისის მოწყობა</v>
      </c>
      <c r="C53" s="26" t="str">
        <f>'3-1'!D96</f>
        <v>მ3</v>
      </c>
      <c r="D53" s="26">
        <f>'3-1'!F96</f>
        <v>83.4</v>
      </c>
      <c r="E53" s="4" t="b">
        <f t="shared" si="12"/>
        <v>0</v>
      </c>
      <c r="F53" s="4" t="b">
        <f t="shared" si="13"/>
        <v>0</v>
      </c>
      <c r="G53" s="4" t="e">
        <f t="shared" si="14"/>
        <v>#DIV/0!</v>
      </c>
      <c r="H53" s="26">
        <f>'3-1'!M96</f>
        <v>0</v>
      </c>
      <c r="I53" s="26" t="str">
        <f>'3-1'!B96</f>
        <v>6-11-7.</v>
      </c>
    </row>
    <row r="54" spans="1:9" ht="39.950000000000003" customHeight="1">
      <c r="A54" s="26">
        <f>'3-1'!A111</f>
        <v>1.1399999999999999</v>
      </c>
      <c r="B54" s="26" t="str">
        <f>'3-1'!C111</f>
        <v xml:space="preserve">წასაცხები ჰიდროიზოლაციის მოწყობა </v>
      </c>
      <c r="C54" s="26" t="str">
        <f>'3-1'!D111</f>
        <v>მ2</v>
      </c>
      <c r="D54" s="26">
        <f>'3-1'!F111</f>
        <v>258</v>
      </c>
      <c r="E54" s="4" t="b">
        <f t="shared" si="12"/>
        <v>0</v>
      </c>
      <c r="F54" s="4" t="b">
        <f t="shared" si="13"/>
        <v>0</v>
      </c>
      <c r="G54" s="4" t="e">
        <f t="shared" si="14"/>
        <v>#DIV/0!</v>
      </c>
      <c r="H54" s="26">
        <f>'3-1'!M111</f>
        <v>0</v>
      </c>
      <c r="I54" s="26" t="str">
        <f>'3-1'!B111</f>
        <v>8-4-7.</v>
      </c>
    </row>
    <row r="55" spans="1:9" ht="39.950000000000003" customHeight="1">
      <c r="A55" s="26">
        <f>'3-1'!A120</f>
        <v>0</v>
      </c>
      <c r="B55" s="26">
        <f>'3-1'!C120</f>
        <v>0</v>
      </c>
      <c r="C55" s="26" t="str">
        <f>'3-1'!D120</f>
        <v>1000 მ3</v>
      </c>
      <c r="D55" s="26">
        <f>'3-1'!F120</f>
        <v>0.53800000000000003</v>
      </c>
      <c r="E55" s="4" t="b">
        <f t="shared" si="12"/>
        <v>0</v>
      </c>
      <c r="F55" s="4" t="b">
        <f t="shared" si="13"/>
        <v>0</v>
      </c>
      <c r="G55" s="4" t="e">
        <f t="shared" si="14"/>
        <v>#DIV/0!</v>
      </c>
      <c r="H55" s="26">
        <f>'3-1'!M120</f>
        <v>0</v>
      </c>
      <c r="I55" s="26">
        <f>'3-1'!B120</f>
        <v>0</v>
      </c>
    </row>
    <row r="56" spans="1:9" ht="39.950000000000003" customHeight="1">
      <c r="A56" s="26">
        <f>'3-1'!A127</f>
        <v>0</v>
      </c>
      <c r="B56" s="26">
        <f>'3-1'!C127</f>
        <v>0</v>
      </c>
      <c r="C56" s="26" t="str">
        <f>'3-1'!D127</f>
        <v>100 მ</v>
      </c>
      <c r="D56" s="26">
        <f>'3-1'!F127</f>
        <v>0.18</v>
      </c>
      <c r="E56" s="4" t="str">
        <f t="shared" si="12"/>
        <v>მ</v>
      </c>
      <c r="F56" s="4">
        <f t="shared" si="13"/>
        <v>18</v>
      </c>
      <c r="G56" s="4">
        <f t="shared" si="14"/>
        <v>0</v>
      </c>
      <c r="H56" s="26">
        <f>'3-1'!M127</f>
        <v>0</v>
      </c>
      <c r="I56" s="26">
        <f>'3-1'!B127</f>
        <v>0</v>
      </c>
    </row>
    <row r="57" spans="1:9" ht="39.950000000000003" customHeight="1">
      <c r="A57" s="26">
        <f>'3-1'!A136</f>
        <v>0</v>
      </c>
      <c r="B57" s="26">
        <f>'3-1'!C136</f>
        <v>0</v>
      </c>
      <c r="C57" s="26" t="str">
        <f>'3-1'!D136</f>
        <v>100 მ2</v>
      </c>
      <c r="D57" s="26">
        <f>'3-1'!F136</f>
        <v>0.36599999999999999</v>
      </c>
      <c r="E57" s="4" t="b">
        <f t="shared" si="12"/>
        <v>0</v>
      </c>
      <c r="F57" s="4" t="b">
        <f t="shared" si="13"/>
        <v>0</v>
      </c>
      <c r="G57" s="4" t="e">
        <f t="shared" si="14"/>
        <v>#DIV/0!</v>
      </c>
      <c r="H57" s="26">
        <f>'3-1'!M136</f>
        <v>0</v>
      </c>
      <c r="I57" s="26">
        <f>'3-1'!B136</f>
        <v>0</v>
      </c>
    </row>
    <row r="58" spans="1:9" ht="39.950000000000003" customHeight="1">
      <c r="A58" s="26">
        <f>'3-1'!A146</f>
        <v>0</v>
      </c>
      <c r="B58" s="26">
        <f>'3-1'!C146</f>
        <v>0</v>
      </c>
      <c r="C58" s="26" t="str">
        <f>'3-1'!D146</f>
        <v>1000 მ3</v>
      </c>
      <c r="D58" s="26">
        <f>'3-1'!F146</f>
        <v>1.542</v>
      </c>
      <c r="E58" s="4" t="b">
        <f t="shared" si="12"/>
        <v>0</v>
      </c>
      <c r="F58" s="4" t="b">
        <f t="shared" si="13"/>
        <v>0</v>
      </c>
      <c r="G58" s="4" t="e">
        <f t="shared" si="14"/>
        <v>#DIV/0!</v>
      </c>
      <c r="H58" s="26">
        <f>'3-1'!M146</f>
        <v>0</v>
      </c>
      <c r="I58" s="26">
        <f>'3-1'!B146</f>
        <v>0</v>
      </c>
    </row>
    <row r="59" spans="1:9" ht="39.950000000000003" customHeight="1">
      <c r="A59" s="26">
        <f>'3-1'!A153</f>
        <v>0</v>
      </c>
      <c r="B59" s="26">
        <f>'3-1'!C153</f>
        <v>0</v>
      </c>
      <c r="C59" s="26" t="str">
        <f>'3-1'!D153</f>
        <v>100 მ3</v>
      </c>
      <c r="D59" s="26">
        <f>'3-1'!F153</f>
        <v>0.15</v>
      </c>
      <c r="E59" s="4" t="b">
        <f t="shared" si="12"/>
        <v>0</v>
      </c>
      <c r="F59" s="4" t="b">
        <f t="shared" si="13"/>
        <v>0</v>
      </c>
      <c r="G59" s="4" t="e">
        <f t="shared" si="14"/>
        <v>#DIV/0!</v>
      </c>
      <c r="H59" s="26">
        <f>'3-1'!M153</f>
        <v>0</v>
      </c>
      <c r="I59" s="26" t="str">
        <f>'3-1'!B153</f>
        <v>პ. 3.105</v>
      </c>
    </row>
    <row r="60" spans="1:9" s="5" customFormat="1" ht="39.950000000000003" customHeight="1">
      <c r="A60" s="17"/>
      <c r="B60" s="13" t="s">
        <v>4</v>
      </c>
      <c r="C60" s="1"/>
      <c r="D60" s="3"/>
      <c r="E60" s="3"/>
      <c r="F60" s="4"/>
      <c r="G60" s="3"/>
      <c r="H60" s="3">
        <f>ROUND(SUM(H41:H59),2)</f>
        <v>0</v>
      </c>
      <c r="I60" s="27"/>
    </row>
    <row r="61" spans="1:9" s="5" customFormat="1" ht="39.950000000000003" customHeight="1">
      <c r="A61" s="17"/>
      <c r="B61" s="13" t="s">
        <v>10</v>
      </c>
      <c r="C61" s="1"/>
      <c r="D61" s="1"/>
      <c r="E61" s="30" t="s">
        <v>12</v>
      </c>
      <c r="F61" s="1">
        <v>10</v>
      </c>
      <c r="G61" s="1"/>
      <c r="H61" s="3">
        <f>ROUND(H60*F61%,2)</f>
        <v>0</v>
      </c>
      <c r="I61" s="27"/>
    </row>
    <row r="62" spans="1:9" s="5" customFormat="1" ht="39.950000000000003" customHeight="1">
      <c r="A62" s="17"/>
      <c r="B62" s="13" t="s">
        <v>4</v>
      </c>
      <c r="C62" s="1"/>
      <c r="D62" s="1"/>
      <c r="E62" s="4"/>
      <c r="F62" s="1"/>
      <c r="G62" s="4"/>
      <c r="H62" s="4">
        <f>ROUND(SUM(H60:H61),2)</f>
        <v>0</v>
      </c>
      <c r="I62" s="27"/>
    </row>
    <row r="63" spans="1:9" s="5" customFormat="1" ht="39.950000000000003" customHeight="1">
      <c r="A63" s="17"/>
      <c r="B63" s="13" t="s">
        <v>11</v>
      </c>
      <c r="C63" s="1"/>
      <c r="D63" s="1"/>
      <c r="E63" s="30" t="s">
        <v>12</v>
      </c>
      <c r="F63" s="1">
        <v>8</v>
      </c>
      <c r="G63" s="1"/>
      <c r="H63" s="3">
        <f>ROUND(H62*F63%,2)</f>
        <v>0</v>
      </c>
      <c r="I63" s="27"/>
    </row>
    <row r="64" spans="1:9" s="5" customFormat="1" ht="39.950000000000003" customHeight="1">
      <c r="A64" s="17"/>
      <c r="B64" s="13" t="s">
        <v>4</v>
      </c>
      <c r="C64" s="1"/>
      <c r="D64" s="1"/>
      <c r="E64" s="1"/>
      <c r="F64" s="1"/>
      <c r="G64" s="1"/>
      <c r="H64" s="3">
        <f>ROUND(SUM(H62:H63),2)</f>
        <v>0</v>
      </c>
      <c r="I64" s="27"/>
    </row>
    <row r="65" spans="1:9" s="5" customFormat="1" ht="80.099999999999994" customHeight="1">
      <c r="A65" s="13"/>
      <c r="B65" s="15" t="str">
        <f>'3-2'!C8</f>
        <v>ღობის მოწყობის სამუშაოები</v>
      </c>
      <c r="C65" s="1"/>
      <c r="D65" s="1"/>
      <c r="E65" s="1"/>
      <c r="F65" s="1"/>
      <c r="G65" s="1"/>
      <c r="H65" s="3"/>
      <c r="I65" s="1"/>
    </row>
    <row r="66" spans="1:9" ht="39.950000000000003" customHeight="1">
      <c r="A66" s="26">
        <f>'3-2'!A9</f>
        <v>0</v>
      </c>
      <c r="B66" s="26">
        <f>'3-2'!C9</f>
        <v>0</v>
      </c>
      <c r="C66" s="26">
        <f>'3-2'!D9</f>
        <v>0</v>
      </c>
      <c r="D66" s="26">
        <f>'3-2'!F9</f>
        <v>0</v>
      </c>
      <c r="E66" s="4" t="b">
        <f t="shared" ref="E66" si="15">IF(C66="კმ","კმ",IF(C66="1 ჰა","1 ჰა",IF(C66="100 ც","ც",IF(C66="1 ც","ც",IF(C66="ც","ც",IF(C66="ტ","ტ",IF(C66="1 ტ","ტ",IF(C66="მ³","მ³",IF(C66="1 მ³","მ³",IF(C66="10 მ³","მ³",IF(C66="100 მ³","მ³",IF(C66="1000 მ³","მ³",IF(C66="1000 მ","მ",IF(C66="100 მ","მ",IF(C66="10 მ","მ",IF(C66="10 მ ","მ",IF(C66="მ","მ",IF(C66="1000 მ²","მ²",IF(C66="1000 მ² ","მ²",IF(C66="100 მ²","მ²",IF(C66="100 მ² ","მ²",IF(C66="10 მ²","მ²",IF(C66="მ² ","მ²",IF(C66="ლარი","ლარი",IF(C66="ხიდი","ლარი",IF(C66="100 მ","მ",IF(C66="გ.მ.","მ")))))))))))))))))))))))))))</f>
        <v>0</v>
      </c>
      <c r="F66" s="4" t="b">
        <f t="shared" ref="F66" si="16">IF(C66="კმ",D66,IF(C66="1 ჰა",D66,IF(C66="100 ც",D66*100,IF(C66="1 ც",D66,IF(C66="ც",D66,IF(C66="ტ",D66,IF(C66="1 ტ",D66,IF(C66="მ³",D66,IF(C66="1 მ³",D66,IF(C66="10 მ³",D66*10,IF(C66="100 მ³",D66*100,IF(C66="1000 მ³",D66*1000,IF(C66="1000 მ",D66*1000,IF(C66="100 მ",D66*100,IF(C66="10 მ",D66*10,IF(C66="10 მ ",D66*10,IF(C66="მ",D66,IF(C66="1000 მ²",D66*1000,IF(C66="1000 მ² ",D66*1000,IF(C66="100 მ²",D66*100,IF(C66="100 მ² ",D66*100,IF(C66="10 მ²",D66*10,IF(C66="მ² ",D66,IF(C66="ლარი",D66,IF(C66="ხიდი",D66,IF(C66="100 მ",D66*100,IF(C66="გ.მ.",D66)))))))))))))))))))))))))))</f>
        <v>0</v>
      </c>
      <c r="G66" s="4" t="e">
        <f t="shared" ref="G66" si="17">ROUND(H66/F66,2)</f>
        <v>#DIV/0!</v>
      </c>
      <c r="H66" s="26">
        <f>'3-2'!M9</f>
        <v>0</v>
      </c>
      <c r="I66" s="26">
        <f>'3-2'!B9</f>
        <v>0</v>
      </c>
    </row>
    <row r="67" spans="1:9" ht="39.950000000000003" customHeight="1">
      <c r="A67" s="26" t="str">
        <f>'3-2'!A15</f>
        <v>1.1.4</v>
      </c>
      <c r="B67" s="26" t="str">
        <f>'3-2'!C15</f>
        <v>სხვა მანქანები</v>
      </c>
      <c r="C67" s="26" t="str">
        <f>'3-2'!D15</f>
        <v>ლარი</v>
      </c>
      <c r="D67" s="26">
        <f>'3-2'!F15</f>
        <v>0.64680000000000004</v>
      </c>
      <c r="E67" s="4" t="str">
        <f t="shared" ref="E67:E79" si="18">IF(C67="კმ","კმ",IF(C67="1 ჰა","1 ჰა",IF(C67="100 ც","ც",IF(C67="1 ც","ც",IF(C67="ც","ც",IF(C67="ტ","ტ",IF(C67="1 ტ","ტ",IF(C67="მ³","მ³",IF(C67="1 მ³","მ³",IF(C67="10 მ³","მ³",IF(C67="100 მ³","მ³",IF(C67="1000 მ³","მ³",IF(C67="1000 მ","მ",IF(C67="100 მ","მ",IF(C67="10 მ","მ",IF(C67="10 მ ","მ",IF(C67="მ","მ",IF(C67="1000 მ²","მ²",IF(C67="1000 მ² ","მ²",IF(C67="100 მ²","მ²",IF(C67="100 მ² ","მ²",IF(C67="10 მ²","მ²",IF(C67="მ² ","მ²",IF(C67="ლარი","ლარი",IF(C67="ხიდი","ლარი",IF(C67="100 მ","მ",IF(C67="გ.მ.","მ")))))))))))))))))))))))))))</f>
        <v>ლარი</v>
      </c>
      <c r="F67" s="4">
        <f t="shared" ref="F67:F79" si="19">IF(C67="კმ",D67,IF(C67="1 ჰა",D67,IF(C67="100 ც",D67*100,IF(C67="1 ც",D67,IF(C67="ც",D67,IF(C67="ტ",D67,IF(C67="1 ტ",D67,IF(C67="მ³",D67,IF(C67="1 მ³",D67,IF(C67="10 მ³",D67*10,IF(C67="100 მ³",D67*100,IF(C67="1000 მ³",D67*1000,IF(C67="1000 მ",D67*1000,IF(C67="100 მ",D67*100,IF(C67="10 მ",D67*10,IF(C67="10 მ ",D67*10,IF(C67="მ",D67,IF(C67="1000 მ²",D67*1000,IF(C67="1000 მ² ",D67*1000,IF(C67="100 მ²",D67*100,IF(C67="100 მ² ",D67*100,IF(C67="10 მ²",D67*10,IF(C67="მ² ",D67,IF(C67="ლარი",D67,IF(C67="ხიდი",D67,IF(C67="100 მ",D67*100,IF(C67="გ.მ.",D67)))))))))))))))))))))))))))</f>
        <v>0.64680000000000004</v>
      </c>
      <c r="G67" s="4">
        <f t="shared" ref="G67:G79" si="20">ROUND(H67/F67,2)</f>
        <v>0</v>
      </c>
      <c r="H67" s="26">
        <f>'3-2'!M15</f>
        <v>0</v>
      </c>
      <c r="I67" s="26" t="str">
        <f>'3-2'!B15</f>
        <v>კ=0.7</v>
      </c>
    </row>
    <row r="68" spans="1:9" ht="39.950000000000003" customHeight="1">
      <c r="A68" s="26" t="str">
        <f>'3-2'!A20</f>
        <v>1.2.1</v>
      </c>
      <c r="B68" s="26" t="str">
        <f>'3-2'!C20</f>
        <v>შრომითი დანახარჯები</v>
      </c>
      <c r="C68" s="26" t="str">
        <f>'3-2'!D20</f>
        <v>კაც/სთ</v>
      </c>
      <c r="D68" s="26">
        <f>'3-2'!F20</f>
        <v>6.6639999999999997</v>
      </c>
      <c r="E68" s="4" t="b">
        <f t="shared" si="18"/>
        <v>0</v>
      </c>
      <c r="F68" s="4" t="b">
        <f t="shared" si="19"/>
        <v>0</v>
      </c>
      <c r="G68" s="4" t="e">
        <f t="shared" si="20"/>
        <v>#DIV/0!</v>
      </c>
      <c r="H68" s="26">
        <f>'3-2'!M20</f>
        <v>0</v>
      </c>
      <c r="I68" s="26">
        <f>'3-2'!B20</f>
        <v>0</v>
      </c>
    </row>
    <row r="69" spans="1:9" ht="39.950000000000003" customHeight="1">
      <c r="A69" s="26" t="str">
        <f>'3-2'!A22</f>
        <v>1.2.3</v>
      </c>
      <c r="B69" s="26" t="str">
        <f>'3-2'!C22</f>
        <v>სხვა მანქანები</v>
      </c>
      <c r="C69" s="26" t="str">
        <f>'3-2'!D22</f>
        <v>ლარი</v>
      </c>
      <c r="D69" s="26">
        <f>'3-2'!F22</f>
        <v>0.69972000000000001</v>
      </c>
      <c r="E69" s="4" t="str">
        <f t="shared" si="18"/>
        <v>ლარი</v>
      </c>
      <c r="F69" s="4">
        <f t="shared" si="19"/>
        <v>0.69972000000000001</v>
      </c>
      <c r="G69" s="4">
        <f t="shared" si="20"/>
        <v>0</v>
      </c>
      <c r="H69" s="26">
        <f>'3-2'!M22</f>
        <v>0</v>
      </c>
      <c r="I69" s="26">
        <f>'3-2'!B22</f>
        <v>0</v>
      </c>
    </row>
    <row r="70" spans="1:9" ht="39.950000000000003" customHeight="1">
      <c r="A70" s="26">
        <f>'3-2'!A24</f>
        <v>0</v>
      </c>
      <c r="B70" s="26">
        <f>'3-2'!C24</f>
        <v>0</v>
      </c>
      <c r="C70" s="26">
        <f>'3-2'!D24</f>
        <v>0</v>
      </c>
      <c r="D70" s="26">
        <f>'3-2'!F24</f>
        <v>0</v>
      </c>
      <c r="E70" s="4" t="b">
        <f t="shared" si="18"/>
        <v>0</v>
      </c>
      <c r="F70" s="4" t="b">
        <f t="shared" si="19"/>
        <v>0</v>
      </c>
      <c r="G70" s="4" t="e">
        <f t="shared" si="20"/>
        <v>#DIV/0!</v>
      </c>
      <c r="H70" s="26">
        <f>'3-2'!M24</f>
        <v>0</v>
      </c>
      <c r="I70" s="26">
        <f>'3-2'!B24</f>
        <v>0</v>
      </c>
    </row>
    <row r="71" spans="1:9" ht="39.950000000000003" customHeight="1">
      <c r="A71" s="26">
        <f>'3-2'!A25</f>
        <v>1.3</v>
      </c>
      <c r="B71" s="26" t="str">
        <f>'3-2'!C25</f>
        <v xml:space="preserve">მე-3 კატეგორიის გრუნტის ფენის დამუშავება ხელით </v>
      </c>
      <c r="C71" s="26" t="str">
        <f>'3-2'!D25</f>
        <v>მ3</v>
      </c>
      <c r="D71" s="26">
        <f>'3-2'!F25</f>
        <v>9</v>
      </c>
      <c r="E71" s="4" t="b">
        <f t="shared" si="18"/>
        <v>0</v>
      </c>
      <c r="F71" s="4" t="b">
        <f t="shared" si="19"/>
        <v>0</v>
      </c>
      <c r="G71" s="4" t="e">
        <f t="shared" si="20"/>
        <v>#DIV/0!</v>
      </c>
      <c r="H71" s="26">
        <f>'3-2'!M25</f>
        <v>0</v>
      </c>
      <c r="I71" s="26" t="str">
        <f>'3-2'!B25</f>
        <v>1-80-3</v>
      </c>
    </row>
    <row r="72" spans="1:9" ht="39.950000000000003" customHeight="1">
      <c r="A72" s="26" t="str">
        <f>'3-2'!A30</f>
        <v>1.4.1</v>
      </c>
      <c r="B72" s="26" t="str">
        <f>'3-2'!C30</f>
        <v>შრომითი დანახარჯები</v>
      </c>
      <c r="C72" s="26" t="str">
        <f>'3-2'!D30</f>
        <v>კაც/სთ</v>
      </c>
      <c r="D72" s="26">
        <f>'3-2'!F30</f>
        <v>9.3015000000000008</v>
      </c>
      <c r="E72" s="4" t="b">
        <f t="shared" si="18"/>
        <v>0</v>
      </c>
      <c r="F72" s="4" t="b">
        <f t="shared" si="19"/>
        <v>0</v>
      </c>
      <c r="G72" s="4" t="e">
        <f t="shared" si="20"/>
        <v>#DIV/0!</v>
      </c>
      <c r="H72" s="26">
        <f>'3-2'!M30</f>
        <v>0</v>
      </c>
      <c r="I72" s="26" t="str">
        <f>'3-2'!B30</f>
        <v>ЕНиР</v>
      </c>
    </row>
    <row r="73" spans="1:9" ht="39.950000000000003" customHeight="1">
      <c r="A73" s="26">
        <f>'3-2'!A33</f>
        <v>0</v>
      </c>
      <c r="B73" s="26">
        <f>'3-2'!C33</f>
        <v>0</v>
      </c>
      <c r="C73" s="26">
        <f>'3-2'!D33</f>
        <v>0</v>
      </c>
      <c r="D73" s="26">
        <f>'3-2'!F33</f>
        <v>0</v>
      </c>
      <c r="E73" s="4" t="b">
        <f t="shared" si="18"/>
        <v>0</v>
      </c>
      <c r="F73" s="4" t="b">
        <f t="shared" si="19"/>
        <v>0</v>
      </c>
      <c r="G73" s="4" t="e">
        <f t="shared" si="20"/>
        <v>#DIV/0!</v>
      </c>
      <c r="H73" s="26">
        <f>'3-2'!M33</f>
        <v>0</v>
      </c>
      <c r="I73" s="26">
        <f>'3-2'!B33</f>
        <v>0</v>
      </c>
    </row>
    <row r="74" spans="1:9" ht="39.950000000000003" customHeight="1">
      <c r="A74" s="26" t="str">
        <f>'3-2'!A38</f>
        <v>1.6.3</v>
      </c>
      <c r="B74" s="26" t="str">
        <f>'3-2'!C38</f>
        <v>სხვა მანქანები</v>
      </c>
      <c r="C74" s="26" t="str">
        <f>'3-2'!D38</f>
        <v>ლარი</v>
      </c>
      <c r="D74" s="26">
        <f>'3-2'!F38</f>
        <v>5.4539999999999998E-2</v>
      </c>
      <c r="E74" s="4" t="str">
        <f t="shared" si="18"/>
        <v>ლარი</v>
      </c>
      <c r="F74" s="4">
        <f t="shared" si="19"/>
        <v>5.4539999999999998E-2</v>
      </c>
      <c r="G74" s="4">
        <f t="shared" si="20"/>
        <v>0</v>
      </c>
      <c r="H74" s="26">
        <f>'3-2'!M38</f>
        <v>0</v>
      </c>
      <c r="I74" s="26">
        <f>'3-2'!B38</f>
        <v>0</v>
      </c>
    </row>
    <row r="75" spans="1:9" ht="39.950000000000003" customHeight="1">
      <c r="A75" s="34">
        <f>'3-2'!A48</f>
        <v>1.8</v>
      </c>
      <c r="B75" s="26" t="str">
        <f>'3-2'!C48</f>
        <v>ბეტონის საგების  მომზადება სისქით 10 სმ</v>
      </c>
      <c r="C75" s="26" t="str">
        <f>'3-2'!D48</f>
        <v>მ3</v>
      </c>
      <c r="D75" s="26">
        <f>'3-2'!F48</f>
        <v>21</v>
      </c>
      <c r="E75" s="4" t="b">
        <f t="shared" si="18"/>
        <v>0</v>
      </c>
      <c r="F75" s="4" t="b">
        <f t="shared" si="19"/>
        <v>0</v>
      </c>
      <c r="G75" s="4" t="e">
        <f t="shared" si="20"/>
        <v>#DIV/0!</v>
      </c>
      <c r="H75" s="26">
        <f>'3-2'!M48</f>
        <v>0</v>
      </c>
      <c r="I75" s="26" t="str">
        <f>'3-2'!B48</f>
        <v>6-1-1.</v>
      </c>
    </row>
    <row r="76" spans="1:9" ht="39.950000000000003" customHeight="1">
      <c r="A76" s="26" t="str">
        <f>'3-2'!A53</f>
        <v>1.8.4</v>
      </c>
      <c r="B76" s="26" t="str">
        <f>'3-2'!C53</f>
        <v>სხვა მასალები</v>
      </c>
      <c r="C76" s="26" t="str">
        <f>'3-2'!D53</f>
        <v>ლარი</v>
      </c>
      <c r="D76" s="26">
        <f>'3-2'!F53</f>
        <v>13.02</v>
      </c>
      <c r="E76" s="4" t="str">
        <f t="shared" si="18"/>
        <v>ლარი</v>
      </c>
      <c r="F76" s="4">
        <f t="shared" si="19"/>
        <v>13.02</v>
      </c>
      <c r="G76" s="4">
        <f t="shared" si="20"/>
        <v>0</v>
      </c>
      <c r="H76" s="26">
        <f>'3-2'!M53</f>
        <v>0</v>
      </c>
      <c r="I76" s="26">
        <f>'3-2'!B53</f>
        <v>0</v>
      </c>
    </row>
    <row r="77" spans="1:9" ht="39.950000000000003" customHeight="1">
      <c r="A77" s="26">
        <f>'3-2'!A56</f>
        <v>0</v>
      </c>
      <c r="B77" s="26">
        <f>'3-2'!C56</f>
        <v>0</v>
      </c>
      <c r="C77" s="26" t="str">
        <f>'3-2'!D56</f>
        <v>100 მ3</v>
      </c>
      <c r="D77" s="26">
        <f>'3-2'!F56</f>
        <v>1.58</v>
      </c>
      <c r="E77" s="4" t="b">
        <f t="shared" si="18"/>
        <v>0</v>
      </c>
      <c r="F77" s="4" t="b">
        <f t="shared" si="19"/>
        <v>0</v>
      </c>
      <c r="G77" s="4" t="e">
        <f t="shared" si="20"/>
        <v>#DIV/0!</v>
      </c>
      <c r="H77" s="26">
        <f>'3-2'!M56</f>
        <v>0</v>
      </c>
      <c r="I77" s="26">
        <f>'3-2'!B56</f>
        <v>0</v>
      </c>
    </row>
    <row r="78" spans="1:9" ht="39.950000000000003" customHeight="1">
      <c r="A78" s="26" t="str">
        <f>'3-2'!A59</f>
        <v>1.9.3</v>
      </c>
      <c r="B78" s="26" t="str">
        <f>'3-2'!C59</f>
        <v>სხვა მასალები მანქანები</v>
      </c>
      <c r="C78" s="26" t="str">
        <f>'3-2'!D59</f>
        <v>ლარი</v>
      </c>
      <c r="D78" s="26">
        <f>'3-2'!F59</f>
        <v>172.22</v>
      </c>
      <c r="E78" s="4" t="str">
        <f t="shared" si="18"/>
        <v>ლარი</v>
      </c>
      <c r="F78" s="4">
        <f t="shared" si="19"/>
        <v>172.22</v>
      </c>
      <c r="G78" s="4">
        <f t="shared" si="20"/>
        <v>0</v>
      </c>
      <c r="H78" s="26">
        <f>'3-2'!M59</f>
        <v>0</v>
      </c>
      <c r="I78" s="26">
        <f>'3-2'!B59</f>
        <v>0</v>
      </c>
    </row>
    <row r="79" spans="1:9" ht="39.950000000000003" customHeight="1">
      <c r="A79" s="26" t="str">
        <f>'3-2'!A64</f>
        <v>1.9.7</v>
      </c>
      <c r="B79" s="26" t="str">
        <f>'3-2'!C64</f>
        <v>ხის მორი</v>
      </c>
      <c r="C79" s="26" t="str">
        <f>'3-2'!D64</f>
        <v>მ3</v>
      </c>
      <c r="D79" s="26">
        <f>'3-2'!F64</f>
        <v>0</v>
      </c>
      <c r="E79" s="4" t="b">
        <f t="shared" si="18"/>
        <v>0</v>
      </c>
      <c r="F79" s="4" t="b">
        <f t="shared" si="19"/>
        <v>0</v>
      </c>
      <c r="G79" s="4" t="e">
        <f t="shared" si="20"/>
        <v>#DIV/0!</v>
      </c>
      <c r="H79" s="26">
        <f>'3-2'!M64</f>
        <v>0</v>
      </c>
      <c r="I79" s="26">
        <f>'3-2'!B64</f>
        <v>0</v>
      </c>
    </row>
    <row r="80" spans="1:9" ht="39.950000000000003" customHeight="1">
      <c r="A80" s="26">
        <f>'3-2'!A70</f>
        <v>0</v>
      </c>
      <c r="B80" s="26">
        <f>'3-2'!C70</f>
        <v>0</v>
      </c>
      <c r="C80" s="26">
        <f>'3-2'!D70</f>
        <v>0</v>
      </c>
      <c r="D80" s="26">
        <f>'3-2'!F70</f>
        <v>0</v>
      </c>
      <c r="E80" s="4" t="b">
        <f t="shared" ref="E80:E81" si="21">IF(C80="კმ","კმ",IF(C80="1 ჰა","1 ჰა",IF(C80="100 ც","ც",IF(C80="1 ც","ც",IF(C80="ც","ც",IF(C80="ტ","ტ",IF(C80="1 ტ","ტ",IF(C80="მ³","მ³",IF(C80="1 მ³","მ³",IF(C80="10 მ³","მ³",IF(C80="100 მ³","მ³",IF(C80="1000 მ³","მ³",IF(C80="1000 მ","მ",IF(C80="100 მ","მ",IF(C80="10 მ","მ",IF(C80="10 მ ","მ",IF(C80="მ","მ",IF(C80="1000 მ²","მ²",IF(C80="1000 მ² ","მ²",IF(C80="100 მ²","მ²",IF(C80="100 მ² ","მ²",IF(C80="10 მ²","მ²",IF(C80="მ² ","მ²",IF(C80="ლარი","ლარი",IF(C80="ხიდი","ლარი",IF(C80="100 მ","მ",IF(C80="გ.მ.","მ")))))))))))))))))))))))))))</f>
        <v>0</v>
      </c>
      <c r="F80" s="4" t="b">
        <f t="shared" ref="F80:F81" si="22">IF(C80="კმ",D80,IF(C80="1 ჰა",D80,IF(C80="100 ც",D80*100,IF(C80="1 ც",D80,IF(C80="ც",D80,IF(C80="ტ",D80,IF(C80="1 ტ",D80,IF(C80="მ³",D80,IF(C80="1 მ³",D80,IF(C80="10 მ³",D80*10,IF(C80="100 მ³",D80*100,IF(C80="1000 მ³",D80*1000,IF(C80="1000 მ",D80*1000,IF(C80="100 მ",D80*100,IF(C80="10 მ",D80*10,IF(C80="10 მ ",D80*10,IF(C80="მ",D80,IF(C80="1000 მ²",D80*1000,IF(C80="1000 მ² ",D80*1000,IF(C80="100 მ²",D80*100,IF(C80="100 მ² ",D80*100,IF(C80="10 მ²",D80*10,IF(C80="მ² ",D80,IF(C80="ლარი",D80,IF(C80="ხიდი",D80,IF(C80="100 მ",D80*100,IF(C80="გ.მ.",D80)))))))))))))))))))))))))))</f>
        <v>0</v>
      </c>
      <c r="G80" s="4" t="e">
        <f t="shared" ref="G80:G81" si="23">ROUND(H80/F80,2)</f>
        <v>#DIV/0!</v>
      </c>
      <c r="H80" s="26">
        <f>'3-2'!M70</f>
        <v>0</v>
      </c>
      <c r="I80" s="26">
        <f>'3-2'!B70</f>
        <v>0</v>
      </c>
    </row>
    <row r="81" spans="1:9" ht="39.950000000000003" customHeight="1">
      <c r="A81" s="26">
        <f>'3-2'!A79</f>
        <v>0</v>
      </c>
      <c r="B81" s="26">
        <f>'3-2'!C79</f>
        <v>0</v>
      </c>
      <c r="C81" s="26" t="str">
        <f>'3-2'!D79</f>
        <v>1000 მ3</v>
      </c>
      <c r="D81" s="26">
        <f>'3-2'!F79</f>
        <v>7.9000000000000001E-2</v>
      </c>
      <c r="E81" s="4" t="b">
        <f t="shared" si="21"/>
        <v>0</v>
      </c>
      <c r="F81" s="4" t="b">
        <f t="shared" si="22"/>
        <v>0</v>
      </c>
      <c r="G81" s="4" t="e">
        <f t="shared" si="23"/>
        <v>#DIV/0!</v>
      </c>
      <c r="H81" s="26">
        <f>'3-2'!M79</f>
        <v>0</v>
      </c>
      <c r="I81" s="26">
        <f>'3-2'!B79</f>
        <v>0</v>
      </c>
    </row>
    <row r="82" spans="1:9" s="5" customFormat="1" ht="39.950000000000003" customHeight="1">
      <c r="A82" s="17"/>
      <c r="B82" s="13" t="s">
        <v>4</v>
      </c>
      <c r="C82" s="1"/>
      <c r="D82" s="3"/>
      <c r="E82" s="3"/>
      <c r="F82" s="4"/>
      <c r="G82" s="3"/>
      <c r="H82" s="3">
        <f>ROUND(SUM(H66:H81),2)</f>
        <v>0</v>
      </c>
      <c r="I82" s="27"/>
    </row>
    <row r="83" spans="1:9" s="5" customFormat="1" ht="39.950000000000003" customHeight="1">
      <c r="A83" s="17"/>
      <c r="B83" s="13" t="s">
        <v>10</v>
      </c>
      <c r="C83" s="1"/>
      <c r="D83" s="1"/>
      <c r="E83" s="30" t="s">
        <v>12</v>
      </c>
      <c r="F83" s="1">
        <v>10</v>
      </c>
      <c r="G83" s="1"/>
      <c r="H83" s="3">
        <f>ROUND(H82*F83%,2)</f>
        <v>0</v>
      </c>
      <c r="I83" s="27"/>
    </row>
    <row r="84" spans="1:9" s="5" customFormat="1" ht="39.950000000000003" customHeight="1">
      <c r="A84" s="17"/>
      <c r="B84" s="13" t="s">
        <v>4</v>
      </c>
      <c r="C84" s="1"/>
      <c r="D84" s="1"/>
      <c r="E84" s="4"/>
      <c r="F84" s="1"/>
      <c r="G84" s="4"/>
      <c r="H84" s="4">
        <f>ROUND(SUM(H82:H83),2)</f>
        <v>0</v>
      </c>
      <c r="I84" s="27"/>
    </row>
    <row r="85" spans="1:9" s="5" customFormat="1" ht="39.950000000000003" customHeight="1">
      <c r="A85" s="17"/>
      <c r="B85" s="13" t="s">
        <v>11</v>
      </c>
      <c r="C85" s="1"/>
      <c r="D85" s="1"/>
      <c r="E85" s="30" t="s">
        <v>12</v>
      </c>
      <c r="F85" s="1">
        <v>8</v>
      </c>
      <c r="G85" s="1"/>
      <c r="H85" s="3">
        <f>ROUND(H84*F85%,2)</f>
        <v>0</v>
      </c>
      <c r="I85" s="27"/>
    </row>
    <row r="86" spans="1:9" s="5" customFormat="1" ht="39.950000000000003" customHeight="1">
      <c r="A86" s="17"/>
      <c r="B86" s="13" t="s">
        <v>4</v>
      </c>
      <c r="C86" s="1"/>
      <c r="D86" s="1"/>
      <c r="E86" s="1"/>
      <c r="F86" s="1"/>
      <c r="G86" s="1"/>
      <c r="H86" s="3">
        <f>ROUND(SUM(H84:H85),2)</f>
        <v>0</v>
      </c>
      <c r="I86" s="27"/>
    </row>
    <row r="87" spans="1:9" s="5" customFormat="1" ht="80.099999999999994" customHeight="1">
      <c r="A87" s="13"/>
      <c r="B87" s="15" t="str">
        <f>'3-3'!C7</f>
        <v>გაბიონის ყუთების მოწყობის სამუშაოები</v>
      </c>
      <c r="C87" s="1"/>
      <c r="D87" s="1"/>
      <c r="E87" s="1"/>
      <c r="F87" s="1"/>
      <c r="G87" s="1"/>
      <c r="H87" s="3"/>
      <c r="I87" s="1"/>
    </row>
    <row r="88" spans="1:9" ht="39.950000000000003" customHeight="1">
      <c r="A88" s="26">
        <f>'3-3'!A8</f>
        <v>0</v>
      </c>
      <c r="B88" s="26">
        <f>'3-3'!C8</f>
        <v>0</v>
      </c>
      <c r="C88" s="26">
        <f>'3-3'!D8</f>
        <v>0</v>
      </c>
      <c r="D88" s="26">
        <f>'3-3'!F8</f>
        <v>0</v>
      </c>
      <c r="E88" s="4" t="b">
        <f t="shared" ref="E88" si="24">IF(C88="კმ","კმ",IF(C88="1 ჰა","1 ჰა",IF(C88="100 ც","ც",IF(C88="1 ც","ც",IF(C88="ც","ც",IF(C88="ტ","ტ",IF(C88="1 ტ","ტ",IF(C88="მ³","მ³",IF(C88="1 მ³","მ³",IF(C88="10 მ³","მ³",IF(C88="100 მ³","მ³",IF(C88="1000 მ³","მ³",IF(C88="1000 მ","მ",IF(C88="100 მ","მ",IF(C88="10 მ","მ",IF(C88="10 მ ","მ",IF(C88="მ","მ",IF(C88="1000 მ²","მ²",IF(C88="1000 მ² ","მ²",IF(C88="100 მ²","მ²",IF(C88="100 მ² ","მ²",IF(C88="10 მ²","მ²",IF(C88="მ² ","მ²",IF(C88="ლარი","ლარი",IF(C88="ხიდი","ლარი",IF(C88="100 მ","მ",IF(C88="გ.მ.","მ")))))))))))))))))))))))))))</f>
        <v>0</v>
      </c>
      <c r="F88" s="4" t="b">
        <f t="shared" ref="F88" si="25">IF(C88="კმ",D88,IF(C88="1 ჰა",D88,IF(C88="100 ც",D88*100,IF(C88="1 ც",D88,IF(C88="ც",D88,IF(C88="ტ",D88,IF(C88="1 ტ",D88,IF(C88="მ³",D88,IF(C88="1 მ³",D88,IF(C88="10 მ³",D88*10,IF(C88="100 მ³",D88*100,IF(C88="1000 მ³",D88*1000,IF(C88="1000 მ",D88*1000,IF(C88="100 მ",D88*100,IF(C88="10 მ",D88*10,IF(C88="10 მ ",D88*10,IF(C88="მ",D88,IF(C88="1000 მ²",D88*1000,IF(C88="1000 მ² ",D88*1000,IF(C88="100 მ²",D88*100,IF(C88="100 მ² ",D88*100,IF(C88="10 მ²",D88*10,IF(C88="მ² ",D88,IF(C88="ლარი",D88,IF(C88="ხიდი",D88,IF(C88="100 მ",D88*100,IF(C88="გ.მ.",D88)))))))))))))))))))))))))))</f>
        <v>0</v>
      </c>
      <c r="G88" s="4" t="e">
        <f t="shared" ref="G88" si="26">ROUND(H88/F88,2)</f>
        <v>#DIV/0!</v>
      </c>
      <c r="H88" s="26">
        <f>'3-3'!M8</f>
        <v>0</v>
      </c>
      <c r="I88" s="26">
        <f>'3-3'!B8</f>
        <v>0</v>
      </c>
    </row>
    <row r="89" spans="1:9" ht="39.950000000000003" customHeight="1">
      <c r="A89" s="26" t="str">
        <f>'3-3'!A13</f>
        <v>1.1.3</v>
      </c>
      <c r="B89" s="26" t="str">
        <f>'3-3'!C13</f>
        <v>სხვა მანქანები</v>
      </c>
      <c r="C89" s="26" t="str">
        <f>'3-3'!D13</f>
        <v>ლარი</v>
      </c>
      <c r="D89" s="26">
        <f>'3-3'!F13</f>
        <v>0.46179000000000003</v>
      </c>
      <c r="E89" s="4" t="str">
        <f t="shared" ref="E89:E95" si="27">IF(C89="კმ","კმ",IF(C89="1 ჰა","1 ჰა",IF(C89="100 ც","ც",IF(C89="1 ც","ც",IF(C89="ც","ც",IF(C89="ტ","ტ",IF(C89="1 ტ","ტ",IF(C89="მ³","მ³",IF(C89="1 მ³","მ³",IF(C89="10 მ³","მ³",IF(C89="100 მ³","მ³",IF(C89="1000 მ³","მ³",IF(C89="1000 მ","მ",IF(C89="100 მ","მ",IF(C89="10 მ","მ",IF(C89="10 მ ","მ",IF(C89="მ","მ",IF(C89="1000 მ²","მ²",IF(C89="1000 მ² ","მ²",IF(C89="100 მ²","მ²",IF(C89="100 მ² ","მ²",IF(C89="10 მ²","მ²",IF(C89="მ² ","მ²",IF(C89="ლარი","ლარი",IF(C89="ხიდი","ლარი",IF(C89="100 მ","მ",IF(C89="გ.მ.","მ")))))))))))))))))))))))))))</f>
        <v>ლარი</v>
      </c>
      <c r="F89" s="4">
        <f t="shared" ref="F89:F95" si="28">IF(C89="კმ",D89,IF(C89="1 ჰა",D89,IF(C89="100 ც",D89*100,IF(C89="1 ც",D89,IF(C89="ც",D89,IF(C89="ტ",D89,IF(C89="1 ტ",D89,IF(C89="მ³",D89,IF(C89="1 მ³",D89,IF(C89="10 მ³",D89*10,IF(C89="100 მ³",D89*100,IF(C89="1000 მ³",D89*1000,IF(C89="1000 მ",D89*1000,IF(C89="100 მ",D89*100,IF(C89="10 მ",D89*10,IF(C89="10 მ ",D89*10,IF(C89="მ",D89,IF(C89="1000 მ²",D89*1000,IF(C89="1000 მ² ",D89*1000,IF(C89="100 მ²",D89*100,IF(C89="100 მ² ",D89*100,IF(C89="10 მ²",D89*10,IF(C89="მ² ",D89,IF(C89="ლარი",D89,IF(C89="ხიდი",D89,IF(C89="100 მ",D89*100,IF(C89="გ.მ.",D89)))))))))))))))))))))))))))</f>
        <v>0.46179000000000003</v>
      </c>
      <c r="G89" s="4">
        <f t="shared" ref="G89:G95" si="29">ROUND(H89/F89,2)</f>
        <v>0</v>
      </c>
      <c r="H89" s="26">
        <f>'3-3'!M13</f>
        <v>0</v>
      </c>
      <c r="I89" s="26">
        <f>'3-3'!B13</f>
        <v>0</v>
      </c>
    </row>
    <row r="90" spans="1:9" ht="39.950000000000003" customHeight="1">
      <c r="A90" s="26">
        <f>'3-3'!A15</f>
        <v>0</v>
      </c>
      <c r="B90" s="26">
        <f>'3-3'!C15</f>
        <v>0</v>
      </c>
      <c r="C90" s="26">
        <f>'3-3'!D15</f>
        <v>0</v>
      </c>
      <c r="D90" s="26">
        <f>'3-3'!F15</f>
        <v>0</v>
      </c>
      <c r="E90" s="4" t="b">
        <f t="shared" si="27"/>
        <v>0</v>
      </c>
      <c r="F90" s="4" t="b">
        <f t="shared" si="28"/>
        <v>0</v>
      </c>
      <c r="G90" s="4" t="e">
        <f t="shared" si="29"/>
        <v>#DIV/0!</v>
      </c>
      <c r="H90" s="26">
        <f>'3-3'!M15</f>
        <v>0</v>
      </c>
      <c r="I90" s="26">
        <f>'3-3'!B15</f>
        <v>0</v>
      </c>
    </row>
    <row r="91" spans="1:9" ht="39.950000000000003" customHeight="1">
      <c r="A91" s="26">
        <f>'3-3'!A17</f>
        <v>0</v>
      </c>
      <c r="B91" s="26">
        <f>'3-3'!C17</f>
        <v>0</v>
      </c>
      <c r="C91" s="26" t="str">
        <f>'3-3'!D17</f>
        <v>100 მ3</v>
      </c>
      <c r="D91" s="26">
        <f>'3-3'!F17</f>
        <v>0.33</v>
      </c>
      <c r="E91" s="4" t="b">
        <f t="shared" si="27"/>
        <v>0</v>
      </c>
      <c r="F91" s="4" t="b">
        <f t="shared" si="28"/>
        <v>0</v>
      </c>
      <c r="G91" s="4" t="e">
        <f t="shared" si="29"/>
        <v>#DIV/0!</v>
      </c>
      <c r="H91" s="26">
        <f>'3-3'!M17</f>
        <v>0</v>
      </c>
      <c r="I91" s="26" t="str">
        <f>'3-3'!B17</f>
        <v>პ.3-107, კ=1.2</v>
      </c>
    </row>
    <row r="92" spans="1:9" ht="39.950000000000003" customHeight="1">
      <c r="A92" s="26" t="str">
        <f>'3-3'!A18</f>
        <v>1.2.1</v>
      </c>
      <c r="B92" s="26" t="str">
        <f>'3-3'!C18</f>
        <v>შრომითი დანახარჯები</v>
      </c>
      <c r="C92" s="26" t="str">
        <f>'3-3'!D18</f>
        <v>კაც/სთ</v>
      </c>
      <c r="D92" s="26">
        <f>'3-3'!F18</f>
        <v>81.575999999999993</v>
      </c>
      <c r="E92" s="4" t="b">
        <f t="shared" si="27"/>
        <v>0</v>
      </c>
      <c r="F92" s="4" t="b">
        <f t="shared" si="28"/>
        <v>0</v>
      </c>
      <c r="G92" s="4" t="e">
        <f t="shared" si="29"/>
        <v>#DIV/0!</v>
      </c>
      <c r="H92" s="26">
        <f>'3-3'!M18</f>
        <v>0</v>
      </c>
      <c r="I92" s="26">
        <f>'3-3'!B18</f>
        <v>0</v>
      </c>
    </row>
    <row r="93" spans="1:9" ht="39.950000000000003" customHeight="1">
      <c r="A93" s="26">
        <f>'3-3'!A23</f>
        <v>1.4</v>
      </c>
      <c r="B93" s="26" t="str">
        <f>'3-3'!C23</f>
        <v>ტვირთის ტრანსპორტირება ნაყარში 3 კმ მანძილზე</v>
      </c>
      <c r="C93" s="26" t="str">
        <f>'3-3'!D23</f>
        <v>ტ</v>
      </c>
      <c r="D93" s="26">
        <f>'3-3'!F23</f>
        <v>493.15499999999997</v>
      </c>
      <c r="E93" s="4" t="str">
        <f t="shared" si="27"/>
        <v>ტ</v>
      </c>
      <c r="F93" s="4">
        <f t="shared" si="28"/>
        <v>493.15499999999997</v>
      </c>
      <c r="G93" s="4">
        <f t="shared" si="29"/>
        <v>0</v>
      </c>
      <c r="H93" s="26">
        <f>'3-3'!M23</f>
        <v>0</v>
      </c>
      <c r="I93" s="26" t="str">
        <f>'3-3'!B23</f>
        <v>15-ტრ-3</v>
      </c>
    </row>
    <row r="94" spans="1:9" ht="39.950000000000003" customHeight="1">
      <c r="A94" s="26" t="str">
        <f>'3-3'!A28</f>
        <v>1.5.2</v>
      </c>
      <c r="B94" s="26" t="str">
        <f>'3-3'!C28</f>
        <v>ბულდოზერი 79 კვტ (108 ც.ძ.)</v>
      </c>
      <c r="C94" s="26" t="str">
        <f>'3-3'!D28</f>
        <v>მანქ/სთ</v>
      </c>
      <c r="D94" s="26">
        <f>'3-3'!F28</f>
        <v>0.91549800000000003</v>
      </c>
      <c r="E94" s="4" t="b">
        <f t="shared" si="27"/>
        <v>0</v>
      </c>
      <c r="F94" s="4" t="b">
        <f t="shared" si="28"/>
        <v>0</v>
      </c>
      <c r="G94" s="4" t="e">
        <f t="shared" si="29"/>
        <v>#DIV/0!</v>
      </c>
      <c r="H94" s="26">
        <f>'3-3'!M28</f>
        <v>0</v>
      </c>
      <c r="I94" s="26" t="str">
        <f>'3-3'!B28</f>
        <v>14-1-142</v>
      </c>
    </row>
    <row r="95" spans="1:9" ht="39.950000000000003" customHeight="1">
      <c r="A95" s="26">
        <f>'3-3'!A31</f>
        <v>0</v>
      </c>
      <c r="B95" s="26">
        <f>'3-3'!C31</f>
        <v>0</v>
      </c>
      <c r="C95" s="26">
        <f>'3-3'!D31</f>
        <v>0</v>
      </c>
      <c r="D95" s="26">
        <f>'3-3'!F31</f>
        <v>0</v>
      </c>
      <c r="E95" s="4" t="b">
        <f t="shared" si="27"/>
        <v>0</v>
      </c>
      <c r="F95" s="4" t="b">
        <f t="shared" si="28"/>
        <v>0</v>
      </c>
      <c r="G95" s="4" t="e">
        <f t="shared" si="29"/>
        <v>#DIV/0!</v>
      </c>
      <c r="H95" s="26">
        <f>'3-3'!M31</f>
        <v>0</v>
      </c>
      <c r="I95" s="26">
        <f>'3-3'!B31</f>
        <v>0</v>
      </c>
    </row>
    <row r="96" spans="1:9" s="5" customFormat="1" ht="39.950000000000003" customHeight="1">
      <c r="A96" s="17"/>
      <c r="B96" s="13" t="s">
        <v>4</v>
      </c>
      <c r="C96" s="1"/>
      <c r="D96" s="3"/>
      <c r="E96" s="3"/>
      <c r="F96" s="4"/>
      <c r="G96" s="3"/>
      <c r="H96" s="3">
        <f>ROUND(SUM(H88:H95),2)</f>
        <v>0</v>
      </c>
      <c r="I96" s="27"/>
    </row>
    <row r="97" spans="1:9" s="5" customFormat="1" ht="39.950000000000003" customHeight="1">
      <c r="A97" s="17"/>
      <c r="B97" s="13" t="s">
        <v>10</v>
      </c>
      <c r="C97" s="1"/>
      <c r="D97" s="1"/>
      <c r="E97" s="30" t="s">
        <v>12</v>
      </c>
      <c r="F97" s="1">
        <v>10</v>
      </c>
      <c r="G97" s="1"/>
      <c r="H97" s="3">
        <f>ROUND(H96*F97%,2)</f>
        <v>0</v>
      </c>
      <c r="I97" s="27"/>
    </row>
    <row r="98" spans="1:9" s="5" customFormat="1" ht="39.950000000000003" customHeight="1">
      <c r="A98" s="17"/>
      <c r="B98" s="13" t="s">
        <v>4</v>
      </c>
      <c r="C98" s="1"/>
      <c r="D98" s="1"/>
      <c r="E98" s="4"/>
      <c r="F98" s="1"/>
      <c r="G98" s="4"/>
      <c r="H98" s="4">
        <f>ROUND(SUM(H96:H97),2)</f>
        <v>0</v>
      </c>
      <c r="I98" s="27"/>
    </row>
    <row r="99" spans="1:9" s="5" customFormat="1" ht="39.950000000000003" customHeight="1">
      <c r="A99" s="17"/>
      <c r="B99" s="13" t="s">
        <v>11</v>
      </c>
      <c r="C99" s="1"/>
      <c r="D99" s="1"/>
      <c r="E99" s="30" t="s">
        <v>12</v>
      </c>
      <c r="F99" s="1">
        <v>8</v>
      </c>
      <c r="G99" s="1"/>
      <c r="H99" s="3">
        <f>ROUND(H98*F99%,2)</f>
        <v>0</v>
      </c>
      <c r="I99" s="27"/>
    </row>
    <row r="100" spans="1:9" s="5" customFormat="1" ht="39.950000000000003" customHeight="1">
      <c r="A100" s="17"/>
      <c r="B100" s="13" t="s">
        <v>4</v>
      </c>
      <c r="C100" s="1"/>
      <c r="D100" s="1"/>
      <c r="E100" s="1"/>
      <c r="F100" s="1"/>
      <c r="G100" s="1"/>
      <c r="H100" s="3">
        <f>ROUND(SUM(H98:H99),2)</f>
        <v>0</v>
      </c>
      <c r="I100" s="27"/>
    </row>
    <row r="101" spans="1:9" s="5" customFormat="1" ht="80.099999999999994" customHeight="1">
      <c r="A101" s="13"/>
      <c r="B101" s="15" t="str">
        <f>'4-1'!C8</f>
        <v>საგზაო სამოსი</v>
      </c>
      <c r="C101" s="1"/>
      <c r="D101" s="1"/>
      <c r="E101" s="1"/>
      <c r="F101" s="1"/>
      <c r="G101" s="1"/>
      <c r="H101" s="3"/>
      <c r="I101" s="1"/>
    </row>
    <row r="102" spans="1:9" ht="39.950000000000003" customHeight="1">
      <c r="A102" s="26">
        <f>'4-1'!A9</f>
        <v>0</v>
      </c>
      <c r="B102" s="26">
        <f>'4-1'!C9</f>
        <v>0</v>
      </c>
      <c r="C102" s="26">
        <f>'4-1'!D9</f>
        <v>0</v>
      </c>
      <c r="D102" s="26">
        <f>'4-1'!F9</f>
        <v>0</v>
      </c>
      <c r="E102" s="4" t="b">
        <f t="shared" ref="E102" si="30">IF(C102="კმ","კმ",IF(C102="1 ჰა","1 ჰა",IF(C102="100 ც","ც",IF(C102="1 ც","ც",IF(C102="ც","ც",IF(C102="ტ","ტ",IF(C102="1 ტ","ტ",IF(C102="მ³","მ³",IF(C102="1 მ³","მ³",IF(C102="10 მ³","მ³",IF(C102="100 მ³","მ³",IF(C102="1000 მ³","მ³",IF(C102="1000 მ","მ",IF(C102="100 მ","მ",IF(C102="10 მ","მ",IF(C102="10 მ ","მ",IF(C102="მ","მ",IF(C102="1000 მ²","მ²",IF(C102="1000 მ² ","მ²",IF(C102="100 მ²","მ²",IF(C102="100 მ² ","მ²",IF(C102="10 მ²","მ²",IF(C102="მ² ","მ²",IF(C102="ლარი","ლარი",IF(C102="ხიდი","ლარი",IF(C102="100 მ","მ",IF(C102="გ.მ.","მ")))))))))))))))))))))))))))</f>
        <v>0</v>
      </c>
      <c r="F102" s="4" t="b">
        <f t="shared" ref="F102" si="31">IF(C102="კმ",D102,IF(C102="1 ჰა",D102,IF(C102="100 ც",D102*100,IF(C102="1 ც",D102,IF(C102="ც",D102,IF(C102="ტ",D102,IF(C102="1 ტ",D102,IF(C102="მ³",D102,IF(C102="1 მ³",D102,IF(C102="10 მ³",D102*10,IF(C102="100 მ³",D102*100,IF(C102="1000 მ³",D102*1000,IF(C102="1000 მ",D102*1000,IF(C102="100 მ",D102*100,IF(C102="10 მ",D102*10,IF(C102="10 მ ",D102*10,IF(C102="მ",D102,IF(C102="1000 მ²",D102*1000,IF(C102="1000 მ² ",D102*1000,IF(C102="100 მ²",D102*100,IF(C102="100 მ² ",D102*100,IF(C102="10 მ²",D102*10,IF(C102="მ² ",D102,IF(C102="ლარი",D102,IF(C102="ხიდი",D102,IF(C102="100 მ",D102*100,IF(C102="გ.მ.",D102)))))))))))))))))))))))))))</f>
        <v>0</v>
      </c>
      <c r="G102" s="4" t="e">
        <f t="shared" ref="G102" si="32">ROUND(H102/F102,2)</f>
        <v>#DIV/0!</v>
      </c>
      <c r="H102" s="26">
        <f>'4-1'!M9</f>
        <v>0</v>
      </c>
      <c r="I102" s="26">
        <f>'4-1'!B9</f>
        <v>0</v>
      </c>
    </row>
    <row r="103" spans="1:9" ht="39.950000000000003" customHeight="1">
      <c r="A103" s="26" t="str">
        <f>'4-1'!A16</f>
        <v>1.1.5</v>
      </c>
      <c r="B103" s="26" t="str">
        <f>'4-1'!C16</f>
        <v>წყალი</v>
      </c>
      <c r="C103" s="26" t="str">
        <f>'4-1'!D16</f>
        <v>მ3</v>
      </c>
      <c r="D103" s="26">
        <f>'4-1'!F16</f>
        <v>13.93</v>
      </c>
      <c r="E103" s="4" t="b">
        <f t="shared" ref="E103:E109" si="33">IF(C103="კმ","კმ",IF(C103="1 ჰა","1 ჰა",IF(C103="100 ც","ც",IF(C103="1 ც","ც",IF(C103="ც","ც",IF(C103="ტ","ტ",IF(C103="1 ტ","ტ",IF(C103="მ³","მ³",IF(C103="1 მ³","მ³",IF(C103="10 მ³","მ³",IF(C103="100 მ³","მ³",IF(C103="1000 მ³","მ³",IF(C103="1000 მ","მ",IF(C103="100 მ","მ",IF(C103="10 მ","მ",IF(C103="10 მ ","მ",IF(C103="მ","მ",IF(C103="1000 მ²","მ²",IF(C103="1000 მ² ","მ²",IF(C103="100 მ²","მ²",IF(C103="100 მ² ","მ²",IF(C103="10 მ²","მ²",IF(C103="მ² ","მ²",IF(C103="ლარი","ლარი",IF(C103="ხიდი","ლარი",IF(C103="100 მ","მ",IF(C103="გ.მ.","მ")))))))))))))))))))))))))))</f>
        <v>0</v>
      </c>
      <c r="F103" s="4" t="b">
        <f t="shared" ref="F103:F109" si="34">IF(C103="კმ",D103,IF(C103="1 ჰა",D103,IF(C103="100 ც",D103*100,IF(C103="1 ც",D103,IF(C103="ც",D103,IF(C103="ტ",D103,IF(C103="1 ტ",D103,IF(C103="მ³",D103,IF(C103="1 მ³",D103,IF(C103="10 მ³",D103*10,IF(C103="100 მ³",D103*100,IF(C103="1000 მ³",D103*1000,IF(C103="1000 მ",D103*1000,IF(C103="100 მ",D103*100,IF(C103="10 მ",D103*10,IF(C103="10 მ ",D103*10,IF(C103="მ",D103,IF(C103="1000 მ²",D103*1000,IF(C103="1000 მ² ",D103*1000,IF(C103="100 მ²",D103*100,IF(C103="100 მ² ",D103*100,IF(C103="10 მ²",D103*10,IF(C103="მ² ",D103,IF(C103="ლარი",D103,IF(C103="ხიდი",D103,IF(C103="100 მ",D103*100,IF(C103="გ.მ.",D103)))))))))))))))))))))))))))</f>
        <v>0</v>
      </c>
      <c r="G103" s="4" t="e">
        <f t="shared" ref="G103:G109" si="35">ROUND(H103/F103,2)</f>
        <v>#DIV/0!</v>
      </c>
      <c r="H103" s="26">
        <f>'4-1'!M16</f>
        <v>0</v>
      </c>
      <c r="I103" s="26">
        <f>'4-1'!B16</f>
        <v>0</v>
      </c>
    </row>
    <row r="104" spans="1:9" ht="39.950000000000003" customHeight="1">
      <c r="A104" s="26" t="str">
        <f>'4-1'!A24</f>
        <v>1.2.4</v>
      </c>
      <c r="B104" s="26" t="str">
        <f>'4-1'!C24</f>
        <v>არმატურა A-I კლასი</v>
      </c>
      <c r="C104" s="26" t="str">
        <f>'4-1'!D24</f>
        <v>ტ</v>
      </c>
      <c r="D104" s="26">
        <f>'4-1'!F24</f>
        <v>9.7020000000000009E-2</v>
      </c>
      <c r="E104" s="4" t="str">
        <f t="shared" si="33"/>
        <v>ტ</v>
      </c>
      <c r="F104" s="4">
        <f t="shared" si="34"/>
        <v>9.7020000000000009E-2</v>
      </c>
      <c r="G104" s="4">
        <f t="shared" si="35"/>
        <v>0</v>
      </c>
      <c r="H104" s="26">
        <f>'4-1'!M24</f>
        <v>0</v>
      </c>
      <c r="I104" s="26" t="str">
        <f>'4-1'!B24</f>
        <v>1-1-010</v>
      </c>
    </row>
    <row r="105" spans="1:9" ht="39.950000000000003" customHeight="1">
      <c r="A105" s="26" t="str">
        <f>'4-1'!A29</f>
        <v>1.2.9</v>
      </c>
      <c r="B105" s="26" t="str">
        <f>'4-1'!C29</f>
        <v>სხვა მასალები</v>
      </c>
      <c r="C105" s="26" t="str">
        <f>'4-1'!D29</f>
        <v>ლარი</v>
      </c>
      <c r="D105" s="26">
        <f>'4-1'!F29</f>
        <v>23.931600000000003</v>
      </c>
      <c r="E105" s="4" t="str">
        <f t="shared" ref="E105:E106" si="36">IF(C105="კმ","კმ",IF(C105="1 ჰა","1 ჰა",IF(C105="100 ც","ც",IF(C105="1 ც","ც",IF(C105="ც","ც",IF(C105="ტ","ტ",IF(C105="1 ტ","ტ",IF(C105="მ³","მ³",IF(C105="1 მ³","მ³",IF(C105="10 მ³","მ³",IF(C105="100 მ³","მ³",IF(C105="1000 მ³","მ³",IF(C105="1000 მ","მ",IF(C105="100 მ","მ",IF(C105="10 მ","მ",IF(C105="10 მ ","მ",IF(C105="მ","მ",IF(C105="1000 მ²","მ²",IF(C105="1000 მ² ","მ²",IF(C105="100 მ²","მ²",IF(C105="100 მ² ","მ²",IF(C105="10 მ²","მ²",IF(C105="მ² ","მ²",IF(C105="ლარი","ლარი",IF(C105="ხიდი","ლარი",IF(C105="100 მ","მ",IF(C105="გ.მ.","მ")))))))))))))))))))))))))))</f>
        <v>ლარი</v>
      </c>
      <c r="F105" s="4">
        <f t="shared" ref="F105:F106" si="37">IF(C105="კმ",D105,IF(C105="1 ჰა",D105,IF(C105="100 ც",D105*100,IF(C105="1 ც",D105,IF(C105="ც",D105,IF(C105="ტ",D105,IF(C105="1 ტ",D105,IF(C105="მ³",D105,IF(C105="1 მ³",D105,IF(C105="10 მ³",D105*10,IF(C105="100 მ³",D105*100,IF(C105="1000 მ³",D105*1000,IF(C105="1000 მ",D105*1000,IF(C105="100 მ",D105*100,IF(C105="10 მ",D105*10,IF(C105="10 მ ",D105*10,IF(C105="მ",D105,IF(C105="1000 მ²",D105*1000,IF(C105="1000 მ² ",D105*1000,IF(C105="100 მ²",D105*100,IF(C105="100 მ² ",D105*100,IF(C105="10 მ²",D105*10,IF(C105="მ² ",D105,IF(C105="ლარი",D105,IF(C105="ხიდი",D105,IF(C105="100 მ",D105*100,IF(C105="გ.მ.",D105)))))))))))))))))))))))))))</f>
        <v>23.931600000000003</v>
      </c>
      <c r="G105" s="4">
        <f t="shared" ref="G105:G106" si="38">ROUND(H105/F105,2)</f>
        <v>0</v>
      </c>
      <c r="H105" s="26">
        <f>'4-1'!M29</f>
        <v>0</v>
      </c>
      <c r="I105" s="26">
        <f>'4-1'!B29</f>
        <v>0</v>
      </c>
    </row>
    <row r="106" spans="1:9" ht="39.950000000000003" customHeight="1">
      <c r="A106" s="26">
        <f>'4-1'!A37</f>
        <v>1.4</v>
      </c>
      <c r="B106" s="26" t="str">
        <f>'4-1'!C37</f>
        <v>რ/ბ  სარტყელის  მოწყობა</v>
      </c>
      <c r="C106" s="26" t="str">
        <f>'4-1'!D37</f>
        <v>მ</v>
      </c>
      <c r="D106" s="26">
        <f>'4-1'!F37</f>
        <v>690</v>
      </c>
      <c r="E106" s="4" t="str">
        <f t="shared" si="36"/>
        <v>მ</v>
      </c>
      <c r="F106" s="4">
        <f t="shared" si="37"/>
        <v>690</v>
      </c>
      <c r="G106" s="4">
        <f t="shared" si="38"/>
        <v>0</v>
      </c>
      <c r="H106" s="26">
        <f>'4-1'!M37</f>
        <v>0</v>
      </c>
      <c r="I106" s="26" t="str">
        <f>'4-1'!B37</f>
        <v>6-15-9.</v>
      </c>
    </row>
    <row r="107" spans="1:9" ht="39.950000000000003" customHeight="1">
      <c r="A107" s="26" t="str">
        <f>'4-1'!A42</f>
        <v>1.4.4</v>
      </c>
      <c r="B107" s="26" t="str">
        <f>'4-1'!C42</f>
        <v>არმატურა A-I კლასი</v>
      </c>
      <c r="C107" s="26" t="str">
        <f>'4-1'!D42</f>
        <v>ტ</v>
      </c>
      <c r="D107" s="26">
        <f>'4-1'!F42</f>
        <v>0.13800000000000001</v>
      </c>
      <c r="E107" s="4" t="str">
        <f t="shared" si="33"/>
        <v>ტ</v>
      </c>
      <c r="F107" s="4">
        <f t="shared" si="34"/>
        <v>0.13800000000000001</v>
      </c>
      <c r="G107" s="4">
        <f t="shared" si="35"/>
        <v>0</v>
      </c>
      <c r="H107" s="26">
        <f>'4-1'!M42</f>
        <v>0</v>
      </c>
      <c r="I107" s="26" t="str">
        <f>'4-1'!B42</f>
        <v>1-1-010</v>
      </c>
    </row>
    <row r="108" spans="1:9" ht="39.950000000000003" customHeight="1">
      <c r="A108" s="26" t="str">
        <f>'4-1'!A50</f>
        <v>1.5.1</v>
      </c>
      <c r="B108" s="26" t="str">
        <f>'4-1'!C50</f>
        <v>შრომითი დანახარჯები</v>
      </c>
      <c r="C108" s="26" t="str">
        <f>'4-1'!D50</f>
        <v>კაც/სთ</v>
      </c>
      <c r="D108" s="26">
        <f>'4-1'!F50</f>
        <v>0</v>
      </c>
      <c r="E108" s="4" t="b">
        <f t="shared" si="33"/>
        <v>0</v>
      </c>
      <c r="F108" s="4" t="b">
        <f t="shared" si="34"/>
        <v>0</v>
      </c>
      <c r="G108" s="4" t="e">
        <f t="shared" si="35"/>
        <v>#DIV/0!</v>
      </c>
      <c r="H108" s="26">
        <f>'4-1'!M50</f>
        <v>0</v>
      </c>
      <c r="I108" s="26">
        <f>'4-1'!B50</f>
        <v>0</v>
      </c>
    </row>
    <row r="109" spans="1:9" ht="39.950000000000003" customHeight="1">
      <c r="A109" s="26">
        <f>'4-1'!A56</f>
        <v>0</v>
      </c>
      <c r="B109" s="26">
        <f>'4-1'!C56</f>
        <v>0</v>
      </c>
      <c r="C109" s="26" t="str">
        <f>'4-1'!D56</f>
        <v>100 მ3</v>
      </c>
      <c r="D109" s="26">
        <f>'4-1'!F56</f>
        <v>1.21</v>
      </c>
      <c r="E109" s="4" t="b">
        <f t="shared" si="33"/>
        <v>0</v>
      </c>
      <c r="F109" s="4" t="b">
        <f t="shared" si="34"/>
        <v>0</v>
      </c>
      <c r="G109" s="4" t="e">
        <f t="shared" si="35"/>
        <v>#DIV/0!</v>
      </c>
      <c r="H109" s="26">
        <f>'4-1'!M56</f>
        <v>0</v>
      </c>
      <c r="I109" s="26">
        <f>'4-1'!B56</f>
        <v>0</v>
      </c>
    </row>
    <row r="110" spans="1:9" s="5" customFormat="1" ht="39.950000000000003" customHeight="1">
      <c r="A110" s="17"/>
      <c r="B110" s="13" t="s">
        <v>4</v>
      </c>
      <c r="C110" s="1"/>
      <c r="D110" s="3"/>
      <c r="E110" s="3"/>
      <c r="F110" s="4"/>
      <c r="G110" s="3"/>
      <c r="H110" s="3">
        <f>ROUND(SUM(H102:H109),2)</f>
        <v>0</v>
      </c>
      <c r="I110" s="27"/>
    </row>
    <row r="111" spans="1:9" s="5" customFormat="1" ht="39.950000000000003" customHeight="1">
      <c r="A111" s="17"/>
      <c r="B111" s="13" t="s">
        <v>10</v>
      </c>
      <c r="C111" s="1"/>
      <c r="D111" s="1"/>
      <c r="E111" s="30" t="s">
        <v>12</v>
      </c>
      <c r="F111" s="1">
        <v>10</v>
      </c>
      <c r="G111" s="1"/>
      <c r="H111" s="3">
        <f>ROUND(H110*F111%,2)</f>
        <v>0</v>
      </c>
      <c r="I111" s="27"/>
    </row>
    <row r="112" spans="1:9" s="5" customFormat="1" ht="39.950000000000003" customHeight="1">
      <c r="A112" s="17"/>
      <c r="B112" s="13" t="s">
        <v>4</v>
      </c>
      <c r="C112" s="1"/>
      <c r="D112" s="1"/>
      <c r="E112" s="4"/>
      <c r="F112" s="1"/>
      <c r="G112" s="4"/>
      <c r="H112" s="3">
        <f>ROUND(SUM(H110:H111),2)</f>
        <v>0</v>
      </c>
      <c r="I112" s="27"/>
    </row>
    <row r="113" spans="1:9" s="5" customFormat="1" ht="39.950000000000003" customHeight="1">
      <c r="A113" s="17"/>
      <c r="B113" s="13" t="s">
        <v>11</v>
      </c>
      <c r="C113" s="1"/>
      <c r="D113" s="1"/>
      <c r="E113" s="30" t="s">
        <v>12</v>
      </c>
      <c r="F113" s="1">
        <v>8</v>
      </c>
      <c r="G113" s="1"/>
      <c r="H113" s="3">
        <f>ROUND(H112*F113%,2)</f>
        <v>0</v>
      </c>
      <c r="I113" s="27"/>
    </row>
    <row r="114" spans="1:9" s="5" customFormat="1" ht="39.75" customHeight="1">
      <c r="A114" s="17"/>
      <c r="B114" s="13" t="s">
        <v>4</v>
      </c>
      <c r="C114" s="1"/>
      <c r="D114" s="1"/>
      <c r="E114" s="1"/>
      <c r="F114" s="1"/>
      <c r="G114" s="1"/>
      <c r="H114" s="3">
        <f>ROUND(SUM(H112:H113),2)</f>
        <v>0</v>
      </c>
      <c r="I114" s="27"/>
    </row>
  </sheetData>
  <mergeCells count="27">
    <mergeCell ref="A5:B6"/>
    <mergeCell ref="E5:G6"/>
    <mergeCell ref="H5:I6"/>
    <mergeCell ref="A1:B1"/>
    <mergeCell ref="A2:B2"/>
    <mergeCell ref="A3:B4"/>
    <mergeCell ref="E3:G4"/>
    <mergeCell ref="H3:I4"/>
    <mergeCell ref="A7:B8"/>
    <mergeCell ref="E7:G8"/>
    <mergeCell ref="H7:I8"/>
    <mergeCell ref="A9:B10"/>
    <mergeCell ref="E9:G10"/>
    <mergeCell ref="H9:I10"/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paperSize="9" scale="45" orientation="landscape" r:id="rId1"/>
  <rowBreaks count="4" manualBreakCount="4">
    <brk id="34" max="16383" man="1"/>
    <brk id="59" max="16383" man="1"/>
    <brk id="82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110</vt:i4>
      </vt:variant>
    </vt:vector>
  </HeadingPairs>
  <TitlesOfParts>
    <vt:vector size="120" baseType="lpstr">
      <vt:lpstr>კრებსითი</vt:lpstr>
      <vt:lpstr>1-1</vt:lpstr>
      <vt:lpstr>2-1</vt:lpstr>
      <vt:lpstr>3-1</vt:lpstr>
      <vt:lpstr>3-2</vt:lpstr>
      <vt:lpstr>3-3</vt:lpstr>
      <vt:lpstr>4-1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'3-2'!Область_печати</vt:lpstr>
      <vt:lpstr>'3-3'!Область_печати</vt:lpstr>
      <vt:lpstr>'4-1'!Область_печати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2019-01-11T10:10:58Z</dcterms:modified>
</cp:coreProperties>
</file>